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05" windowWidth="23520" windowHeight="12465" tabRatio="784" activeTab="1"/>
  </bookViews>
  <sheets>
    <sheet name="Revisions" sheetId="85" r:id="rId1"/>
    <sheet name="Cover Page" sheetId="1" r:id="rId2"/>
    <sheet name="Table of Contents" sheetId="2" r:id="rId3"/>
    <sheet name="Est. Rates" sheetId="5" r:id="rId4"/>
    <sheet name="Actual Rates" sheetId="24" r:id="rId5"/>
    <sheet name="ATRR Est." sheetId="3" r:id="rId6"/>
    <sheet name="ATRR Act" sheetId="25" r:id="rId7"/>
    <sheet name="WP_A-2 (1)" sheetId="28" r:id="rId8"/>
    <sheet name="WP_A-2 (2)" sheetId="84" r:id="rId9"/>
    <sheet name="WP_A-2 (3)" sheetId="83" r:id="rId10"/>
    <sheet name="WP_A-2 (4)" sheetId="82" r:id="rId11"/>
    <sheet name="WP_A-2 (5)" sheetId="81" r:id="rId12"/>
    <sheet name="WP_A-2 (6)" sheetId="80" r:id="rId13"/>
    <sheet name="WP_A-2 (7)" sheetId="87" r:id="rId14"/>
    <sheet name="WP_B-1" sheetId="9" r:id="rId15"/>
    <sheet name="WP_B-2" sheetId="74" r:id="rId16"/>
    <sheet name="WP_B-3" sheetId="75" r:id="rId17"/>
    <sheet name="WP_B-4" sheetId="13" r:id="rId18"/>
    <sheet name="WP_B-5" sheetId="14" r:id="rId19"/>
    <sheet name="WP_B-6" sheetId="58" r:id="rId20"/>
    <sheet name="WP_B-7" sheetId="48" r:id="rId21"/>
    <sheet name="WP_B-8" sheetId="47" r:id="rId22"/>
    <sheet name="WP_B-Inputs Est." sheetId="76" r:id="rId23"/>
    <sheet name="WP_B-Inputs Act." sheetId="77" r:id="rId24"/>
    <sheet name="WP_C-1" sheetId="15" r:id="rId25"/>
    <sheet name="WP_C-2" sheetId="16" r:id="rId26"/>
    <sheet name="WP_C-3" sheetId="23" r:id="rId27"/>
    <sheet name="WP_C-4" sheetId="37" r:id="rId28"/>
    <sheet name="WP_D-1" sheetId="18" r:id="rId29"/>
    <sheet name="WP_E-1" sheetId="21" r:id="rId30"/>
    <sheet name="WP_F-1" sheetId="29" r:id="rId31"/>
    <sheet name="WP_G-1" sheetId="20" r:id="rId32"/>
    <sheet name="WP_H-1 " sheetId="38" r:id="rId33"/>
    <sheet name="WP_I-1" sheetId="27" r:id="rId34"/>
    <sheet name="Schedule 1" sheetId="7" r:id="rId35"/>
    <sheet name="Schedule 2" sheetId="40" r:id="rId36"/>
    <sheet name="Schedule 3 and 3A" sheetId="41" r:id="rId37"/>
    <sheet name="Schedule 5" sheetId="42" r:id="rId38"/>
    <sheet name="Schedule 6" sheetId="43" r:id="rId39"/>
    <sheet name="WP_FCR" sheetId="44" r:id="rId40"/>
    <sheet name="WP_Cost per Unit" sheetId="45" r:id="rId41"/>
    <sheet name="WP_Load Factor" sheetId="53" r:id="rId42"/>
    <sheet name="Schedule 16" sheetId="63" r:id="rId43"/>
    <sheet name="WP_Installed Cost" sheetId="64" r:id="rId44"/>
    <sheet name="WP_O&amp;M Cost" sheetId="65" r:id="rId45"/>
    <sheet name="WP_Reactive Cost" sheetId="66" r:id="rId46"/>
    <sheet name="WP_ADIT Prorate" sheetId="78" r:id="rId47"/>
  </sheets>
  <externalReferences>
    <externalReference r:id="rId48"/>
  </externalReferences>
  <definedNames>
    <definedName name="CE" localSheetId="13">'[1]ATRR Est.'!$G$172</definedName>
    <definedName name="CE">'ATRR Est.'!$G$172</definedName>
    <definedName name="CEA" localSheetId="13">'[1]ATRR Act'!$G$172</definedName>
    <definedName name="CEA">'ATRR Act'!$G$173</definedName>
    <definedName name="GP">'ATRR Est.'!$F$18</definedName>
    <definedName name="GPA">'ATRR Act'!$F$18</definedName>
    <definedName name="NP" localSheetId="13">'[1]ATRR Est.'!$F$45</definedName>
    <definedName name="NP">'ATRR Est.'!$F$45</definedName>
    <definedName name="NPA" localSheetId="13">'[1]ATRR Act'!$F$45</definedName>
    <definedName name="NPA">'ATRR Act'!$F$45</definedName>
    <definedName name="_xlnm.Print_Area" localSheetId="4">'Actual Rates'!$A$1:$J$43</definedName>
    <definedName name="_xlnm.Print_Area" localSheetId="6">'ATRR Act'!$A$1:$G$245</definedName>
    <definedName name="_xlnm.Print_Area" localSheetId="5">'ATRR Est.'!$A$1:$G$244</definedName>
    <definedName name="_xlnm.Print_Area" localSheetId="1">'Cover Page'!$A$1:$A$18</definedName>
    <definedName name="_xlnm.Print_Area" localSheetId="3">'Est. Rates'!$A$1:$H$97</definedName>
    <definedName name="_xlnm.Print_Area" localSheetId="34">'Schedule 1'!$A$1:$E$54</definedName>
    <definedName name="_xlnm.Print_Area" localSheetId="42">'Schedule 16'!$A$1:$I$56</definedName>
    <definedName name="_xlnm.Print_Area" localSheetId="35">'Schedule 2'!$A$1:$I$69</definedName>
    <definedName name="_xlnm.Print_Area" localSheetId="36">'Schedule 3 and 3A'!$A$1:$I$56</definedName>
    <definedName name="_xlnm.Print_Area" localSheetId="37">'Schedule 5'!$A$1:$Q$65</definedName>
    <definedName name="_xlnm.Print_Area" localSheetId="38">'Schedule 6'!$A$1:$Q$65</definedName>
    <definedName name="_xlnm.Print_Area" localSheetId="2">'Table of Contents'!$A$1:$D$47</definedName>
    <definedName name="_xlnm.Print_Area" localSheetId="14">'WP_B-1'!$A$1:$G$90</definedName>
    <definedName name="_xlnm.Print_Area" localSheetId="15">'WP_B-2'!$A$1:$G$212</definedName>
    <definedName name="_xlnm.Print_Area" localSheetId="16">'WP_B-3'!$A$1:$G$205</definedName>
    <definedName name="_xlnm.Print_Area" localSheetId="17">'WP_B-4'!$A$1:$U$67</definedName>
    <definedName name="_xlnm.Print_Area" localSheetId="18">'WP_B-5'!$A$1:$R$121</definedName>
    <definedName name="_xlnm.Print_Area" localSheetId="19">'WP_B-6'!$A$1:$E$85</definedName>
    <definedName name="_xlnm.Print_Area" localSheetId="20">'WP_B-7'!$A$1:$F$51</definedName>
    <definedName name="_xlnm.Print_Area" localSheetId="21">'WP_B-8'!$A$1:$L$63</definedName>
    <definedName name="_xlnm.Print_Area" localSheetId="24">'WP_C-1'!$A$1:$M$51</definedName>
    <definedName name="_xlnm.Print_Area" localSheetId="25">'WP_C-2'!$A$1:$G$66</definedName>
    <definedName name="_xlnm.Print_Area" localSheetId="26">'WP_C-3'!$A$1:$E$62</definedName>
    <definedName name="_xlnm.Print_Area" localSheetId="27">'WP_C-4'!$A$1:$F$50</definedName>
    <definedName name="_xlnm.Print_Area" localSheetId="40">'WP_Cost per Unit'!$A$1:$L$56</definedName>
    <definedName name="_xlnm.Print_Area" localSheetId="28">'WP_D-1'!$A$1:$G$27</definedName>
    <definedName name="_xlnm.Print_Area" localSheetId="29">'WP_E-1'!$A$1:$F$42</definedName>
    <definedName name="_xlnm.Print_Area" localSheetId="30">'WP_F-1'!$A$1:$R$125</definedName>
    <definedName name="_xlnm.Print_Area" localSheetId="39">WP_FCR!$A$1:$I$221</definedName>
    <definedName name="_xlnm.Print_Area" localSheetId="31">'WP_G-1'!$A$1:$Q$91</definedName>
    <definedName name="_xlnm.Print_Area" localSheetId="32">'WP_H-1 '!$A$1:$C$460</definedName>
    <definedName name="_xlnm.Print_Area" localSheetId="33">'WP_I-1'!$A$1:$S$59</definedName>
    <definedName name="_xlnm.Print_Area" localSheetId="43">'WP_Installed Cost'!$A$1:$I$40</definedName>
    <definedName name="_xlnm.Print_Area" localSheetId="44">'WP_O&amp;M Cost'!$A$1:$M$44</definedName>
    <definedName name="_xlnm.Print_Area" localSheetId="45">'WP_Reactive Cost'!$A$1:$G$33</definedName>
    <definedName name="_xlnm.Print_Area">#REF!</definedName>
    <definedName name="_xlnm.Print_Titles" localSheetId="6">'ATRR Act'!$1:$3</definedName>
    <definedName name="_xlnm.Print_Titles" localSheetId="5">'ATRR Est.'!$1:$3</definedName>
    <definedName name="_xlnm.Print_Titles" localSheetId="7">'WP_A-2 (1)'!$1:$5</definedName>
    <definedName name="_xlnm.Print_Titles" localSheetId="13">'WP_A-2 (7)'!$1:$5</definedName>
    <definedName name="_xlnm.Print_Titles" localSheetId="14">'WP_B-1'!$1:$4</definedName>
    <definedName name="_xlnm.Print_Titles" localSheetId="17">'WP_B-4'!$1:$4</definedName>
    <definedName name="_xlnm.Print_Titles" localSheetId="18">'WP_B-5'!$1:$5</definedName>
    <definedName name="_xlnm.Print_Titles" localSheetId="19">'WP_B-6'!$1:$5</definedName>
    <definedName name="_xlnm.Print_Titles" localSheetId="25">'WP_C-2'!$1:$4</definedName>
    <definedName name="_xlnm.Print_Titles" localSheetId="29">'WP_E-1'!$1:$4</definedName>
    <definedName name="_xlnm.Print_Titles" localSheetId="30">'WP_F-1'!$1:$3</definedName>
    <definedName name="_xlnm.Print_Titles" localSheetId="39">WP_FCR!$1:$4</definedName>
    <definedName name="_xlnm.Print_Titles" localSheetId="31">'WP_G-1'!$1:$4</definedName>
    <definedName name="_xlnm.Print_Titles" localSheetId="32">'WP_H-1 '!$1:$9</definedName>
    <definedName name="_xlnm.Print_Titles" localSheetId="41">'WP_Load Factor'!$1:$11</definedName>
    <definedName name="ROR" localSheetId="13">'[1]ATRR Est.'!$G$179</definedName>
    <definedName name="ROR">'ATRR Est.'!$G$179</definedName>
    <definedName name="TP" localSheetId="13">'[1]ATRR Est.'!$G$158</definedName>
    <definedName name="TP">'ATRR Est.'!$G$158</definedName>
    <definedName name="TPA" localSheetId="13">'[1]ATRR Act'!$G$158</definedName>
    <definedName name="TPA">'ATRR Act'!$G$159</definedName>
    <definedName name="WS" localSheetId="13">'[1]ATRR Est.'!$G$168</definedName>
    <definedName name="WS">'ATRR Est.'!$G$168</definedName>
    <definedName name="WSA" localSheetId="13">'[1]ATRR Act'!$G$168</definedName>
    <definedName name="WSA">'ATRR Act'!$G$169</definedName>
  </definedNames>
  <calcPr calcId="145621"/>
</workbook>
</file>

<file path=xl/calcChain.xml><?xml version="1.0" encoding="utf-8"?>
<calcChain xmlns="http://schemas.openxmlformats.org/spreadsheetml/2006/main">
  <c r="A157" i="76" l="1"/>
  <c r="E181" i="74" l="1"/>
  <c r="E113" i="29" l="1"/>
  <c r="E112" i="29"/>
  <c r="R101" i="29"/>
  <c r="R100" i="29"/>
  <c r="R99" i="29"/>
  <c r="R98" i="29"/>
  <c r="R97" i="29"/>
  <c r="R96" i="29"/>
  <c r="R95" i="29"/>
  <c r="R94" i="29"/>
  <c r="R93" i="29"/>
  <c r="R92" i="29"/>
  <c r="R91" i="29"/>
  <c r="R90" i="29"/>
  <c r="R89" i="29"/>
  <c r="R88" i="29"/>
  <c r="R87" i="29"/>
  <c r="R86" i="29"/>
  <c r="R85" i="29"/>
  <c r="R84" i="29"/>
  <c r="R83" i="29"/>
  <c r="R82" i="29"/>
  <c r="R81" i="29"/>
  <c r="R80" i="29"/>
  <c r="R79" i="29"/>
  <c r="R78" i="29"/>
  <c r="R77" i="29"/>
  <c r="R76" i="29"/>
  <c r="R75" i="29"/>
  <c r="R74" i="29"/>
  <c r="R73" i="29"/>
  <c r="G18" i="18" l="1"/>
  <c r="G14" i="18"/>
  <c r="E48" i="37"/>
  <c r="F48" i="37" s="1"/>
  <c r="D48" i="37"/>
  <c r="F38" i="37"/>
  <c r="F39" i="37"/>
  <c r="F40" i="37"/>
  <c r="F41" i="37"/>
  <c r="F42" i="37"/>
  <c r="F43" i="37"/>
  <c r="F44" i="37"/>
  <c r="F45" i="37"/>
  <c r="F46" i="37"/>
  <c r="A39" i="37"/>
  <c r="A40" i="37"/>
  <c r="A41" i="37" s="1"/>
  <c r="A42" i="37" s="1"/>
  <c r="A43" i="37" s="1"/>
  <c r="A44" i="37" s="1"/>
  <c r="A45" i="37" s="1"/>
  <c r="A46" i="37" s="1"/>
  <c r="A47" i="37" s="1"/>
  <c r="A48" i="37" s="1"/>
  <c r="A38" i="37"/>
  <c r="E52" i="23"/>
  <c r="R107" i="14" l="1"/>
  <c r="R116" i="14"/>
  <c r="R115" i="14"/>
  <c r="E197" i="75"/>
  <c r="E196" i="75"/>
  <c r="E195" i="75"/>
  <c r="E194" i="75"/>
  <c r="E193" i="75"/>
  <c r="A194" i="75"/>
  <c r="A195" i="75" s="1"/>
  <c r="A196" i="75" s="1"/>
  <c r="A197" i="75" s="1"/>
  <c r="A198" i="75" s="1"/>
  <c r="A199" i="75" s="1"/>
  <c r="A169" i="74"/>
  <c r="A170" i="74" s="1"/>
  <c r="A171" i="74" s="1"/>
  <c r="A158" i="74"/>
  <c r="E170" i="74"/>
  <c r="G170" i="74" s="1"/>
  <c r="E169" i="74"/>
  <c r="G169" i="74" s="1"/>
  <c r="F193" i="75" l="1"/>
  <c r="G193" i="75" s="1"/>
  <c r="F197" i="75"/>
  <c r="G197" i="75" s="1"/>
  <c r="F194" i="75"/>
  <c r="G194" i="75" s="1"/>
  <c r="F195" i="75"/>
  <c r="G195" i="75" s="1"/>
  <c r="F196" i="75"/>
  <c r="G196" i="75" s="1"/>
  <c r="D191" i="25"/>
  <c r="E153" i="75" l="1"/>
  <c r="G153" i="75" s="1"/>
  <c r="E10" i="5" l="1"/>
  <c r="E168" i="74" l="1"/>
  <c r="G168" i="74" s="1"/>
  <c r="E35" i="21" l="1"/>
  <c r="F34" i="21" l="1"/>
  <c r="E36" i="21"/>
  <c r="F35" i="21"/>
  <c r="D36" i="21"/>
  <c r="F36" i="21" l="1"/>
  <c r="D139" i="25" s="1"/>
  <c r="G139" i="25" s="1"/>
  <c r="E154" i="75" l="1"/>
  <c r="G154" i="75" s="1"/>
  <c r="D118" i="74" l="1"/>
  <c r="D145" i="74"/>
  <c r="D113" i="75"/>
  <c r="C118" i="74"/>
  <c r="C145" i="74"/>
  <c r="C113" i="75"/>
  <c r="Q108" i="78" l="1"/>
  <c r="C140" i="74"/>
  <c r="L109" i="78"/>
  <c r="C172" i="74"/>
  <c r="L78" i="78"/>
  <c r="D155" i="74"/>
  <c r="L140" i="78"/>
  <c r="Q77" i="78"/>
  <c r="I154" i="75" s="1"/>
  <c r="I116" i="74"/>
  <c r="C194" i="74"/>
  <c r="C162" i="74"/>
  <c r="C182" i="74"/>
  <c r="D194" i="74"/>
  <c r="D182" i="74"/>
  <c r="D188" i="75"/>
  <c r="C198" i="75"/>
  <c r="D198" i="75"/>
  <c r="C188" i="75"/>
  <c r="C144" i="75"/>
  <c r="D119" i="75"/>
  <c r="D174" i="75"/>
  <c r="C134" i="75"/>
  <c r="C203" i="74"/>
  <c r="C132" i="74"/>
  <c r="D157" i="75"/>
  <c r="D172" i="74"/>
  <c r="C157" i="75"/>
  <c r="C155" i="74"/>
  <c r="Q201" i="78" s="1"/>
  <c r="I152" i="74" s="1"/>
  <c r="D203" i="74"/>
  <c r="C174" i="75"/>
  <c r="C119" i="75"/>
  <c r="C147" i="74" l="1"/>
  <c r="L202" i="78"/>
  <c r="L16" i="78"/>
  <c r="D134" i="75" l="1"/>
  <c r="D144" i="75" l="1"/>
  <c r="D201" i="75" s="1"/>
  <c r="D162" i="74" l="1"/>
  <c r="D205" i="74" s="1"/>
  <c r="M44" i="15" l="1"/>
  <c r="D92" i="25" s="1"/>
  <c r="P87" i="20"/>
  <c r="P61" i="20"/>
  <c r="O61" i="20"/>
  <c r="N61" i="20"/>
  <c r="M61" i="20"/>
  <c r="L61" i="20"/>
  <c r="K61" i="20"/>
  <c r="J61" i="20"/>
  <c r="I61" i="20"/>
  <c r="H61" i="20"/>
  <c r="F61" i="20"/>
  <c r="E61" i="20"/>
  <c r="D61" i="20"/>
  <c r="N116" i="29"/>
  <c r="L116" i="29"/>
  <c r="K116" i="29"/>
  <c r="J116" i="29"/>
  <c r="F116" i="29"/>
  <c r="L115" i="29"/>
  <c r="I115" i="29"/>
  <c r="Q115" i="29"/>
  <c r="P115" i="29"/>
  <c r="N115" i="29"/>
  <c r="M115" i="29"/>
  <c r="J115" i="29"/>
  <c r="H115" i="29"/>
  <c r="F115" i="29"/>
  <c r="O111" i="29"/>
  <c r="Q114" i="29"/>
  <c r="P111" i="29"/>
  <c r="O114" i="29"/>
  <c r="N114" i="29"/>
  <c r="M111" i="29"/>
  <c r="L114" i="29"/>
  <c r="K111" i="29"/>
  <c r="J111" i="29"/>
  <c r="H111" i="29"/>
  <c r="F111" i="29"/>
  <c r="E111" i="29"/>
  <c r="M50" i="27"/>
  <c r="M45" i="27"/>
  <c r="M44" i="27"/>
  <c r="M43" i="27"/>
  <c r="K54" i="27"/>
  <c r="K56" i="27" s="1"/>
  <c r="G54" i="27"/>
  <c r="G56" i="27" s="1"/>
  <c r="G55" i="16"/>
  <c r="G54" i="16"/>
  <c r="G51" i="16"/>
  <c r="F50" i="16"/>
  <c r="G49" i="16"/>
  <c r="G47" i="16"/>
  <c r="D96" i="25"/>
  <c r="G45" i="16"/>
  <c r="G44" i="16"/>
  <c r="G43" i="16"/>
  <c r="G42" i="16"/>
  <c r="M33" i="15"/>
  <c r="M31" i="15"/>
  <c r="M29" i="15"/>
  <c r="M24" i="15"/>
  <c r="M21" i="15"/>
  <c r="M19" i="15"/>
  <c r="M15" i="15"/>
  <c r="M14" i="15"/>
  <c r="M11" i="15"/>
  <c r="G84" i="87"/>
  <c r="E80" i="87"/>
  <c r="E79" i="87"/>
  <c r="E78" i="87"/>
  <c r="E77" i="87"/>
  <c r="E76" i="87"/>
  <c r="E75" i="87"/>
  <c r="E74" i="87"/>
  <c r="E73" i="87"/>
  <c r="E72" i="87"/>
  <c r="E71" i="87"/>
  <c r="E70" i="87"/>
  <c r="E69" i="87"/>
  <c r="E68" i="87"/>
  <c r="E67" i="87"/>
  <c r="E66" i="87"/>
  <c r="E65" i="87"/>
  <c r="E64" i="87"/>
  <c r="E63" i="87"/>
  <c r="E62" i="87"/>
  <c r="E61" i="87"/>
  <c r="E60" i="87"/>
  <c r="E59" i="87"/>
  <c r="E58" i="87"/>
  <c r="E57" i="87"/>
  <c r="E56" i="87"/>
  <c r="E55" i="87"/>
  <c r="E54" i="87"/>
  <c r="E53" i="87"/>
  <c r="E52" i="87"/>
  <c r="E51" i="87"/>
  <c r="E50" i="87"/>
  <c r="E49" i="87"/>
  <c r="E48" i="87"/>
  <c r="E47" i="87"/>
  <c r="E46" i="87"/>
  <c r="E45" i="87"/>
  <c r="E81" i="87" s="1"/>
  <c r="I35" i="87"/>
  <c r="I33" i="87"/>
  <c r="I31" i="87"/>
  <c r="I37" i="87" s="1"/>
  <c r="I22" i="87"/>
  <c r="I20" i="87"/>
  <c r="I24" i="87"/>
  <c r="I39" i="87" s="1"/>
  <c r="F84" i="87" s="1"/>
  <c r="I16" i="87"/>
  <c r="I17" i="87"/>
  <c r="I14" i="87"/>
  <c r="A9" i="87"/>
  <c r="A10" i="87" s="1"/>
  <c r="A11" i="87" s="1"/>
  <c r="A13" i="87" s="1"/>
  <c r="I2" i="87"/>
  <c r="A1" i="3"/>
  <c r="E52" i="29"/>
  <c r="E51" i="29"/>
  <c r="L110" i="78"/>
  <c r="P110" i="78" s="1"/>
  <c r="L111" i="78"/>
  <c r="P111" i="78" s="1"/>
  <c r="Q219" i="78"/>
  <c r="P202" i="78"/>
  <c r="Q126" i="78"/>
  <c r="P109" i="78"/>
  <c r="E139" i="75"/>
  <c r="G139" i="75" s="1"/>
  <c r="E127" i="75"/>
  <c r="E123" i="75"/>
  <c r="F123" i="75" s="1"/>
  <c r="G123" i="75" s="1"/>
  <c r="D119" i="25"/>
  <c r="E78" i="9"/>
  <c r="E76" i="9"/>
  <c r="Q449" i="78"/>
  <c r="Q467" i="78" s="1"/>
  <c r="Q294" i="78"/>
  <c r="Q312" i="78" s="1"/>
  <c r="D55" i="9"/>
  <c r="G154" i="25" s="1"/>
  <c r="E91" i="75"/>
  <c r="G91" i="75"/>
  <c r="E89" i="75"/>
  <c r="E84" i="75"/>
  <c r="F84" i="75" s="1"/>
  <c r="G84" i="75" s="1"/>
  <c r="E82" i="75"/>
  <c r="E71" i="75"/>
  <c r="G71" i="75" s="1"/>
  <c r="E69" i="75"/>
  <c r="G69" i="75" s="1"/>
  <c r="E67" i="75"/>
  <c r="G67" i="75" s="1"/>
  <c r="E65" i="75"/>
  <c r="G65" i="75" s="1"/>
  <c r="E63" i="75"/>
  <c r="G63" i="75" s="1"/>
  <c r="E53" i="75"/>
  <c r="G53" i="75"/>
  <c r="E51" i="75"/>
  <c r="G51" i="75" s="1"/>
  <c r="E43" i="75"/>
  <c r="G43" i="75" s="1"/>
  <c r="E39" i="75"/>
  <c r="G39" i="75" s="1"/>
  <c r="E33" i="75"/>
  <c r="F33" i="75" s="1"/>
  <c r="E29" i="75"/>
  <c r="G29" i="75" s="1"/>
  <c r="E27" i="75"/>
  <c r="F27" i="75" s="1"/>
  <c r="G27" i="75" s="1"/>
  <c r="E25" i="75"/>
  <c r="E23" i="75"/>
  <c r="F23" i="75" s="1"/>
  <c r="G23" i="75" s="1"/>
  <c r="E18" i="75"/>
  <c r="G166" i="25"/>
  <c r="G165" i="25"/>
  <c r="G162" i="25"/>
  <c r="F26" i="64"/>
  <c r="F25" i="64"/>
  <c r="F24" i="64"/>
  <c r="F23" i="64"/>
  <c r="F22" i="64"/>
  <c r="F21" i="64"/>
  <c r="F20" i="64"/>
  <c r="F19" i="64"/>
  <c r="F18" i="64"/>
  <c r="F17" i="64"/>
  <c r="F16" i="64"/>
  <c r="F15" i="64"/>
  <c r="F14" i="64"/>
  <c r="F13" i="64"/>
  <c r="F12" i="64"/>
  <c r="F11" i="64"/>
  <c r="F10" i="64"/>
  <c r="L28" i="65"/>
  <c r="P49" i="14"/>
  <c r="M49" i="14"/>
  <c r="J449" i="78"/>
  <c r="J467" i="78"/>
  <c r="J387" i="78"/>
  <c r="I24" i="80"/>
  <c r="I24" i="82"/>
  <c r="I24" i="84"/>
  <c r="A10" i="66"/>
  <c r="A11" i="66" s="1"/>
  <c r="A12" i="66" s="1"/>
  <c r="A13" i="66" s="1"/>
  <c r="A14" i="66" s="1"/>
  <c r="A15" i="66" s="1"/>
  <c r="A16" i="66" s="1"/>
  <c r="A17" i="66" s="1"/>
  <c r="A18" i="66" s="1"/>
  <c r="A19" i="66" s="1"/>
  <c r="A20" i="66" s="1"/>
  <c r="A21" i="66" s="1"/>
  <c r="A22" i="66" s="1"/>
  <c r="A23" i="66" s="1"/>
  <c r="A24" i="66" s="1"/>
  <c r="A25" i="66" s="1"/>
  <c r="A26" i="66" s="1"/>
  <c r="A27" i="66" s="1"/>
  <c r="A28" i="66" s="1"/>
  <c r="A29" i="66" s="1"/>
  <c r="L27" i="65"/>
  <c r="D26" i="65"/>
  <c r="L11" i="65"/>
  <c r="C31" i="65"/>
  <c r="C30" i="65"/>
  <c r="C29" i="65"/>
  <c r="C28" i="65"/>
  <c r="M28" i="65" s="1"/>
  <c r="C27" i="65"/>
  <c r="M27" i="65"/>
  <c r="F26" i="41" s="1"/>
  <c r="A10" i="65"/>
  <c r="A11" i="65" s="1"/>
  <c r="A12" i="65" s="1"/>
  <c r="A13" i="65" s="1"/>
  <c r="A14" i="65" s="1"/>
  <c r="A15" i="65" s="1"/>
  <c r="A16" i="65" s="1"/>
  <c r="A17" i="65" s="1"/>
  <c r="A18" i="65" s="1"/>
  <c r="A19" i="65" s="1"/>
  <c r="A20" i="65" s="1"/>
  <c r="A21" i="65" s="1"/>
  <c r="A22" i="65" s="1"/>
  <c r="A23" i="65" s="1"/>
  <c r="A24" i="65" s="1"/>
  <c r="A25" i="65" s="1"/>
  <c r="E28" i="41"/>
  <c r="G28" i="41"/>
  <c r="E27" i="63"/>
  <c r="G27" i="63" s="1"/>
  <c r="I26" i="64"/>
  <c r="I25" i="64"/>
  <c r="I24" i="64"/>
  <c r="C23" i="65"/>
  <c r="C23" i="66" s="1"/>
  <c r="I22" i="64"/>
  <c r="I21" i="64"/>
  <c r="C20" i="65"/>
  <c r="C20" i="66" s="1"/>
  <c r="C19" i="65"/>
  <c r="C19" i="66"/>
  <c r="I18" i="64"/>
  <c r="I17" i="64"/>
  <c r="C16" i="65"/>
  <c r="C16" i="66"/>
  <c r="C15" i="65"/>
  <c r="C15" i="66" s="1"/>
  <c r="I14" i="64"/>
  <c r="I13" i="64"/>
  <c r="C12" i="65"/>
  <c r="C12" i="66" s="1"/>
  <c r="C11" i="65"/>
  <c r="C11" i="66"/>
  <c r="C10" i="65"/>
  <c r="C10" i="66" s="1"/>
  <c r="F9" i="64"/>
  <c r="G9" i="64"/>
  <c r="G10" i="64" s="1"/>
  <c r="E11" i="64"/>
  <c r="A10" i="64"/>
  <c r="A11" i="64" s="1"/>
  <c r="A12" i="64" s="1"/>
  <c r="A13" i="64" s="1"/>
  <c r="A14" i="64" s="1"/>
  <c r="A15" i="64" s="1"/>
  <c r="A16" i="64" s="1"/>
  <c r="A17" i="64" s="1"/>
  <c r="A18" i="64" s="1"/>
  <c r="A19" i="64" s="1"/>
  <c r="A20" i="64" s="1"/>
  <c r="A21" i="64" s="1"/>
  <c r="A22" i="64" s="1"/>
  <c r="A23" i="64" s="1"/>
  <c r="A24" i="64" s="1"/>
  <c r="A25" i="64" s="1"/>
  <c r="A26" i="64" s="1"/>
  <c r="D47" i="42"/>
  <c r="B47" i="42"/>
  <c r="B47" i="43"/>
  <c r="C18" i="23"/>
  <c r="D107" i="75"/>
  <c r="C107" i="75"/>
  <c r="D113" i="74"/>
  <c r="C113" i="74"/>
  <c r="F92" i="75"/>
  <c r="E46" i="74"/>
  <c r="F46" i="74" s="1"/>
  <c r="G46" i="74" s="1"/>
  <c r="E95" i="74"/>
  <c r="C96" i="74"/>
  <c r="E90" i="74"/>
  <c r="E88" i="74"/>
  <c r="E86" i="74"/>
  <c r="F86" i="74" s="1"/>
  <c r="G86" i="74" s="1"/>
  <c r="E85" i="74"/>
  <c r="F85" i="74" s="1"/>
  <c r="E84" i="74"/>
  <c r="F84" i="74" s="1"/>
  <c r="E75" i="74"/>
  <c r="F75" i="74" s="1"/>
  <c r="F79" i="74" s="1"/>
  <c r="E74" i="74"/>
  <c r="G74" i="74" s="1"/>
  <c r="C79" i="74"/>
  <c r="E68" i="74"/>
  <c r="F68" i="74" s="1"/>
  <c r="E67" i="74"/>
  <c r="C62" i="74"/>
  <c r="J232" i="78" s="1"/>
  <c r="J250" i="78" s="1"/>
  <c r="D62" i="74"/>
  <c r="D50" i="74"/>
  <c r="C50" i="74"/>
  <c r="J201" i="78" s="1"/>
  <c r="J219" i="78" s="1"/>
  <c r="H140" i="78"/>
  <c r="H141" i="78" s="1"/>
  <c r="C13" i="74"/>
  <c r="J108" i="78" s="1"/>
  <c r="M28" i="27"/>
  <c r="M30" i="27" s="1"/>
  <c r="L49" i="14"/>
  <c r="Q33" i="14"/>
  <c r="P33" i="14"/>
  <c r="O33" i="14"/>
  <c r="N33" i="14"/>
  <c r="M33" i="14"/>
  <c r="L33" i="14"/>
  <c r="K33" i="14"/>
  <c r="J33" i="14"/>
  <c r="I33" i="14"/>
  <c r="H33" i="14"/>
  <c r="B88" i="14"/>
  <c r="F27" i="14"/>
  <c r="O27" i="14"/>
  <c r="H27" i="14"/>
  <c r="J27" i="14"/>
  <c r="J19" i="14"/>
  <c r="E24" i="58"/>
  <c r="A4" i="64"/>
  <c r="A4" i="44"/>
  <c r="A3" i="38"/>
  <c r="A3" i="76"/>
  <c r="A3" i="75"/>
  <c r="A102" i="75" s="1"/>
  <c r="A3" i="74"/>
  <c r="AB12" i="53"/>
  <c r="AB43" i="53"/>
  <c r="AB72" i="53"/>
  <c r="AB103" i="53"/>
  <c r="AB133" i="53"/>
  <c r="AB164" i="53"/>
  <c r="AB194" i="53"/>
  <c r="AB225" i="53"/>
  <c r="AB256" i="53"/>
  <c r="AB286" i="53"/>
  <c r="AB317" i="53"/>
  <c r="AB346" i="53"/>
  <c r="D190" i="3"/>
  <c r="I24" i="28"/>
  <c r="F25" i="37"/>
  <c r="F23" i="37"/>
  <c r="D27" i="37"/>
  <c r="A13" i="37"/>
  <c r="A14" i="37" s="1"/>
  <c r="A15" i="37" s="1"/>
  <c r="A16" i="37" s="1"/>
  <c r="A17" i="37" s="1"/>
  <c r="A18" i="37" s="1"/>
  <c r="A19" i="37" s="1"/>
  <c r="A20" i="37" s="1"/>
  <c r="A21" i="37" s="1"/>
  <c r="A22" i="37" s="1"/>
  <c r="A23" i="37" s="1"/>
  <c r="A24" i="37" s="1"/>
  <c r="A25" i="37" s="1"/>
  <c r="A26" i="37" s="1"/>
  <c r="A27" i="37" s="1"/>
  <c r="A12" i="37"/>
  <c r="F22" i="16"/>
  <c r="G24" i="16"/>
  <c r="G23" i="16"/>
  <c r="G20" i="16"/>
  <c r="G16" i="16"/>
  <c r="G13" i="16"/>
  <c r="H38" i="15"/>
  <c r="H33" i="15"/>
  <c r="H29" i="15"/>
  <c r="H25" i="15"/>
  <c r="H24" i="15"/>
  <c r="H23" i="15"/>
  <c r="D91" i="3" s="1"/>
  <c r="H15" i="15"/>
  <c r="D11" i="7" s="1"/>
  <c r="H14" i="15"/>
  <c r="H13" i="15"/>
  <c r="D10" i="7" s="1"/>
  <c r="D129" i="3"/>
  <c r="G92" i="80"/>
  <c r="G91" i="80"/>
  <c r="E80" i="80"/>
  <c r="E79" i="80"/>
  <c r="E78" i="80"/>
  <c r="E77" i="80"/>
  <c r="E76" i="80"/>
  <c r="E75" i="80"/>
  <c r="E74" i="80"/>
  <c r="E73" i="80"/>
  <c r="E72" i="80"/>
  <c r="E71" i="80"/>
  <c r="E70" i="80"/>
  <c r="E69" i="80"/>
  <c r="E68" i="80"/>
  <c r="E67" i="80"/>
  <c r="E66" i="80"/>
  <c r="E65" i="80"/>
  <c r="E64" i="80"/>
  <c r="E63" i="80"/>
  <c r="E62" i="80"/>
  <c r="E61" i="80"/>
  <c r="E60" i="80"/>
  <c r="E59" i="80"/>
  <c r="E58" i="80"/>
  <c r="E57" i="80"/>
  <c r="E56" i="80"/>
  <c r="E55" i="80"/>
  <c r="E54" i="80"/>
  <c r="E53" i="80"/>
  <c r="E52" i="80"/>
  <c r="E51" i="80"/>
  <c r="E50" i="80"/>
  <c r="E49" i="80"/>
  <c r="E48" i="80"/>
  <c r="E47" i="80"/>
  <c r="E46" i="80"/>
  <c r="E45" i="80"/>
  <c r="I35" i="80"/>
  <c r="I33" i="80"/>
  <c r="I31" i="80"/>
  <c r="I37" i="80" s="1"/>
  <c r="I16" i="80"/>
  <c r="I17" i="80"/>
  <c r="I87" i="80" s="1"/>
  <c r="I14" i="80"/>
  <c r="A9" i="80"/>
  <c r="A10" i="80"/>
  <c r="A11" i="80" s="1"/>
  <c r="A13" i="80" s="1"/>
  <c r="A14" i="80" s="1"/>
  <c r="A15" i="80" s="1"/>
  <c r="A3" i="80"/>
  <c r="I2" i="80"/>
  <c r="A2" i="80"/>
  <c r="A1" i="80"/>
  <c r="G92" i="81"/>
  <c r="G91" i="81"/>
  <c r="E80" i="81"/>
  <c r="E79" i="81"/>
  <c r="E78" i="81"/>
  <c r="E77" i="81"/>
  <c r="E76" i="81"/>
  <c r="E75" i="81"/>
  <c r="E74" i="81"/>
  <c r="E73" i="81"/>
  <c r="E72" i="81"/>
  <c r="E71" i="81"/>
  <c r="E70" i="81"/>
  <c r="E69" i="81"/>
  <c r="E68" i="81"/>
  <c r="E67" i="81"/>
  <c r="E66" i="81"/>
  <c r="E65" i="81"/>
  <c r="E64" i="81"/>
  <c r="E63" i="81"/>
  <c r="E62" i="81"/>
  <c r="E61" i="81"/>
  <c r="E60" i="81"/>
  <c r="E59" i="81"/>
  <c r="E58" i="81"/>
  <c r="E57" i="81"/>
  <c r="E56" i="81"/>
  <c r="E55" i="81"/>
  <c r="E54" i="81"/>
  <c r="E53" i="81"/>
  <c r="E52" i="81"/>
  <c r="E51" i="81"/>
  <c r="E50" i="81"/>
  <c r="E49" i="81"/>
  <c r="E48" i="81"/>
  <c r="E47" i="81"/>
  <c r="E46" i="81"/>
  <c r="E45" i="81"/>
  <c r="E81" i="81" s="1"/>
  <c r="I84" i="81" s="1"/>
  <c r="I35" i="81"/>
  <c r="I33" i="81"/>
  <c r="I31" i="81"/>
  <c r="I37" i="81" s="1"/>
  <c r="I16" i="81"/>
  <c r="I17" i="81" s="1"/>
  <c r="I87" i="81" s="1"/>
  <c r="I14" i="81"/>
  <c r="A9" i="81"/>
  <c r="A10" i="81" s="1"/>
  <c r="A11" i="81" s="1"/>
  <c r="A13" i="81"/>
  <c r="A3" i="81"/>
  <c r="I2" i="81"/>
  <c r="A2" i="81"/>
  <c r="A1" i="81"/>
  <c r="G92" i="82"/>
  <c r="G91" i="82"/>
  <c r="E80" i="82"/>
  <c r="E79" i="82"/>
  <c r="E78" i="82"/>
  <c r="E77" i="82"/>
  <c r="E76" i="82"/>
  <c r="E75" i="82"/>
  <c r="E74" i="82"/>
  <c r="E73" i="82"/>
  <c r="E72" i="82"/>
  <c r="E71" i="82"/>
  <c r="E70" i="82"/>
  <c r="E69" i="82"/>
  <c r="E68" i="82"/>
  <c r="E67" i="82"/>
  <c r="E66" i="82"/>
  <c r="E65" i="82"/>
  <c r="E64" i="82"/>
  <c r="E63" i="82"/>
  <c r="E62" i="82"/>
  <c r="E61" i="82"/>
  <c r="E60" i="82"/>
  <c r="E59" i="82"/>
  <c r="E58" i="82"/>
  <c r="E57" i="82"/>
  <c r="E56" i="82"/>
  <c r="E55" i="82"/>
  <c r="E54" i="82"/>
  <c r="E53" i="82"/>
  <c r="E52" i="82"/>
  <c r="E51" i="82"/>
  <c r="E50" i="82"/>
  <c r="E49" i="82"/>
  <c r="E48" i="82"/>
  <c r="E47" i="82"/>
  <c r="E81" i="82" s="1"/>
  <c r="I84" i="82" s="1"/>
  <c r="E46" i="82"/>
  <c r="E45" i="82"/>
  <c r="I35" i="82"/>
  <c r="I33" i="82"/>
  <c r="I31" i="82"/>
  <c r="I37" i="82" s="1"/>
  <c r="I16" i="82"/>
  <c r="I17" i="82"/>
  <c r="I87" i="82" s="1"/>
  <c r="I14" i="82"/>
  <c r="A9" i="82"/>
  <c r="A10" i="82"/>
  <c r="A11" i="82" s="1"/>
  <c r="A13" i="82" s="1"/>
  <c r="A3" i="82"/>
  <c r="I2" i="82"/>
  <c r="A2" i="82"/>
  <c r="A1" i="82"/>
  <c r="G92" i="83"/>
  <c r="G91" i="83"/>
  <c r="E80" i="83"/>
  <c r="E79" i="83"/>
  <c r="E78" i="83"/>
  <c r="E77" i="83"/>
  <c r="E76" i="83"/>
  <c r="E75" i="83"/>
  <c r="E74" i="83"/>
  <c r="E73" i="83"/>
  <c r="E72" i="83"/>
  <c r="E71" i="83"/>
  <c r="E70" i="83"/>
  <c r="E69" i="83"/>
  <c r="E68" i="83"/>
  <c r="E67" i="83"/>
  <c r="E66" i="83"/>
  <c r="E65" i="83"/>
  <c r="E64" i="83"/>
  <c r="E63" i="83"/>
  <c r="E62" i="83"/>
  <c r="E61" i="83"/>
  <c r="E60" i="83"/>
  <c r="E59" i="83"/>
  <c r="E58" i="83"/>
  <c r="E57" i="83"/>
  <c r="E56" i="83"/>
  <c r="E55" i="83"/>
  <c r="E54" i="83"/>
  <c r="E53" i="83"/>
  <c r="E52" i="83"/>
  <c r="E51" i="83"/>
  <c r="E50" i="83"/>
  <c r="E49" i="83"/>
  <c r="E48" i="83"/>
  <c r="E47" i="83"/>
  <c r="E46" i="83"/>
  <c r="E45" i="83"/>
  <c r="I35" i="83"/>
  <c r="I33" i="83"/>
  <c r="I31" i="83"/>
  <c r="I37" i="83" s="1"/>
  <c r="I16" i="83"/>
  <c r="I17" i="83"/>
  <c r="I87" i="83"/>
  <c r="I14" i="83"/>
  <c r="A9" i="83"/>
  <c r="A10" i="83"/>
  <c r="A11" i="83"/>
  <c r="A13" i="83"/>
  <c r="A3" i="83"/>
  <c r="I2" i="83"/>
  <c r="A2" i="83"/>
  <c r="A1" i="83"/>
  <c r="G92" i="84"/>
  <c r="G91" i="84"/>
  <c r="E80" i="84"/>
  <c r="E79" i="84"/>
  <c r="E78" i="84"/>
  <c r="E77" i="84"/>
  <c r="E76" i="84"/>
  <c r="E75" i="84"/>
  <c r="E74" i="84"/>
  <c r="E73" i="84"/>
  <c r="E72" i="84"/>
  <c r="E71" i="84"/>
  <c r="E70" i="84"/>
  <c r="E69" i="84"/>
  <c r="E68" i="84"/>
  <c r="E67" i="84"/>
  <c r="E66" i="84"/>
  <c r="E65" i="84"/>
  <c r="E64" i="84"/>
  <c r="E63" i="84"/>
  <c r="E62" i="84"/>
  <c r="E61" i="84"/>
  <c r="E60" i="84"/>
  <c r="E59" i="84"/>
  <c r="E58" i="84"/>
  <c r="E57" i="84"/>
  <c r="E56" i="84"/>
  <c r="E55" i="84"/>
  <c r="E54" i="84"/>
  <c r="E53" i="84"/>
  <c r="E52" i="84"/>
  <c r="E51" i="84"/>
  <c r="E50" i="84"/>
  <c r="E49" i="84"/>
  <c r="E48" i="84"/>
  <c r="E47" i="84"/>
  <c r="E46" i="84"/>
  <c r="E45" i="84"/>
  <c r="E81" i="84" s="1"/>
  <c r="I84" i="84" s="1"/>
  <c r="I35" i="84"/>
  <c r="I33" i="84"/>
  <c r="I31" i="84"/>
  <c r="I37" i="84" s="1"/>
  <c r="I16" i="84"/>
  <c r="I17" i="84"/>
  <c r="I87" i="84" s="1"/>
  <c r="I14" i="84"/>
  <c r="A9" i="84"/>
  <c r="A10" i="84"/>
  <c r="A11" i="84" s="1"/>
  <c r="A13" i="84"/>
  <c r="A14" i="84" s="1"/>
  <c r="A15" i="84" s="1"/>
  <c r="A3" i="84"/>
  <c r="I2" i="84"/>
  <c r="A2" i="84"/>
  <c r="A1" i="84"/>
  <c r="H193" i="44"/>
  <c r="H174" i="44"/>
  <c r="E81" i="80"/>
  <c r="I84" i="80" s="1"/>
  <c r="E81" i="83"/>
  <c r="I84" i="83" s="1"/>
  <c r="B14" i="80"/>
  <c r="B14" i="84"/>
  <c r="H146" i="44"/>
  <c r="H109" i="44"/>
  <c r="H71" i="44"/>
  <c r="H20" i="40"/>
  <c r="D118" i="3"/>
  <c r="D119" i="3"/>
  <c r="P35" i="20"/>
  <c r="G24" i="20"/>
  <c r="P24" i="20"/>
  <c r="L24" i="20"/>
  <c r="N24" i="20"/>
  <c r="N26" i="20" s="1"/>
  <c r="J24" i="20"/>
  <c r="D24" i="20"/>
  <c r="P16" i="20"/>
  <c r="O16" i="20"/>
  <c r="N16" i="20"/>
  <c r="L16" i="20"/>
  <c r="J16" i="20"/>
  <c r="H16" i="20"/>
  <c r="G16" i="20"/>
  <c r="G26" i="20" s="1"/>
  <c r="F16" i="20"/>
  <c r="E16" i="20"/>
  <c r="D16" i="20"/>
  <c r="U24" i="13"/>
  <c r="U23" i="13"/>
  <c r="U22" i="13"/>
  <c r="U21" i="13"/>
  <c r="U20" i="13"/>
  <c r="U19" i="13"/>
  <c r="U17" i="13"/>
  <c r="T25" i="13"/>
  <c r="U13" i="13"/>
  <c r="H25" i="13"/>
  <c r="J25" i="13"/>
  <c r="K21" i="13"/>
  <c r="K20" i="13"/>
  <c r="K18" i="13"/>
  <c r="M18" i="13"/>
  <c r="K17" i="13"/>
  <c r="O15" i="13"/>
  <c r="O13" i="13"/>
  <c r="O24" i="13"/>
  <c r="N21" i="13"/>
  <c r="M21" i="13"/>
  <c r="N20" i="13"/>
  <c r="F20" i="13"/>
  <c r="O16" i="13"/>
  <c r="N16" i="13"/>
  <c r="F16" i="13"/>
  <c r="F15" i="13"/>
  <c r="M14" i="13"/>
  <c r="N13" i="13"/>
  <c r="E35" i="9"/>
  <c r="F129" i="76"/>
  <c r="E22" i="9" s="1"/>
  <c r="K129" i="76"/>
  <c r="J511" i="78"/>
  <c r="J418" i="78"/>
  <c r="K102" i="76"/>
  <c r="F37" i="9"/>
  <c r="G37" i="9" s="1"/>
  <c r="D112" i="3" s="1"/>
  <c r="F35" i="9"/>
  <c r="F34" i="9"/>
  <c r="L96" i="76"/>
  <c r="K95" i="76"/>
  <c r="K94" i="76"/>
  <c r="K93" i="76"/>
  <c r="K92" i="76"/>
  <c r="K91" i="76"/>
  <c r="I96" i="76"/>
  <c r="G96" i="76"/>
  <c r="F24" i="9"/>
  <c r="J96" i="76"/>
  <c r="K84" i="76"/>
  <c r="E92" i="76"/>
  <c r="E90" i="76"/>
  <c r="E89" i="76"/>
  <c r="E87" i="76"/>
  <c r="E86" i="76"/>
  <c r="E85" i="76"/>
  <c r="K74" i="76"/>
  <c r="K73" i="76"/>
  <c r="K72" i="76"/>
  <c r="K69" i="76"/>
  <c r="K67" i="76"/>
  <c r="F77" i="76"/>
  <c r="G77" i="76"/>
  <c r="F14" i="9"/>
  <c r="K64" i="76"/>
  <c r="E76" i="76"/>
  <c r="E75" i="76"/>
  <c r="E74" i="76"/>
  <c r="E73" i="76"/>
  <c r="E71" i="76"/>
  <c r="E69" i="76"/>
  <c r="E68" i="76"/>
  <c r="E67" i="76"/>
  <c r="E66" i="76"/>
  <c r="D38" i="9"/>
  <c r="D37" i="9"/>
  <c r="D35" i="9"/>
  <c r="D34" i="9"/>
  <c r="D33" i="9"/>
  <c r="D32" i="9"/>
  <c r="D36" i="9"/>
  <c r="D46" i="76"/>
  <c r="D50" i="76"/>
  <c r="K46" i="76"/>
  <c r="K50" i="76"/>
  <c r="I46" i="76"/>
  <c r="I50" i="76"/>
  <c r="D24" i="9"/>
  <c r="F46" i="76"/>
  <c r="H23" i="76"/>
  <c r="H27" i="76"/>
  <c r="J23" i="76"/>
  <c r="M57" i="29"/>
  <c r="M56" i="29"/>
  <c r="M55" i="29"/>
  <c r="M54" i="29"/>
  <c r="L57" i="29"/>
  <c r="L56" i="29"/>
  <c r="L55" i="29"/>
  <c r="L54" i="29"/>
  <c r="K57" i="29"/>
  <c r="K56" i="29"/>
  <c r="K55" i="29"/>
  <c r="K54" i="29"/>
  <c r="P51" i="29"/>
  <c r="P54" i="29"/>
  <c r="P55" i="29"/>
  <c r="P56" i="29"/>
  <c r="P57" i="29"/>
  <c r="C47" i="2"/>
  <c r="A3" i="78"/>
  <c r="A2" i="78"/>
  <c r="A1" i="78"/>
  <c r="J529" i="78"/>
  <c r="D522" i="78"/>
  <c r="E512" i="78"/>
  <c r="E513" i="78"/>
  <c r="E514" i="78" s="1"/>
  <c r="D491" i="78"/>
  <c r="D490" i="78" s="1"/>
  <c r="D489" i="78" s="1"/>
  <c r="E481" i="78"/>
  <c r="D460" i="78"/>
  <c r="D459" i="78" s="1"/>
  <c r="D458" i="78" s="1"/>
  <c r="E450" i="78"/>
  <c r="D429" i="78"/>
  <c r="D428" i="78" s="1"/>
  <c r="D427" i="78" s="1"/>
  <c r="D426" i="78" s="1"/>
  <c r="D425" i="78" s="1"/>
  <c r="D424" i="78" s="1"/>
  <c r="D423" i="78" s="1"/>
  <c r="D422" i="78" s="1"/>
  <c r="E419" i="78"/>
  <c r="D398" i="78"/>
  <c r="E388" i="78"/>
  <c r="D367" i="78"/>
  <c r="E357" i="78"/>
  <c r="E358" i="78" s="1"/>
  <c r="D336" i="78"/>
  <c r="D335" i="78"/>
  <c r="D334" i="78"/>
  <c r="E326" i="78"/>
  <c r="D305" i="78"/>
  <c r="D304" i="78" s="1"/>
  <c r="D303" i="78" s="1"/>
  <c r="D302" i="78"/>
  <c r="E295" i="78"/>
  <c r="D274" i="78"/>
  <c r="D273" i="78"/>
  <c r="D272" i="78"/>
  <c r="D271" i="78" s="1"/>
  <c r="D270" i="78" s="1"/>
  <c r="D269" i="78" s="1"/>
  <c r="D268" i="78" s="1"/>
  <c r="D267" i="78" s="1"/>
  <c r="E264" i="78"/>
  <c r="D243" i="78"/>
  <c r="E233" i="78"/>
  <c r="D212" i="78"/>
  <c r="E202" i="78"/>
  <c r="D181" i="78"/>
  <c r="D180" i="78"/>
  <c r="D179" i="78" s="1"/>
  <c r="D178" i="78" s="1"/>
  <c r="D177" i="78" s="1"/>
  <c r="D176" i="78" s="1"/>
  <c r="D175" i="78" s="1"/>
  <c r="D174" i="78" s="1"/>
  <c r="D173" i="78" s="1"/>
  <c r="E171" i="78"/>
  <c r="E172" i="78" s="1"/>
  <c r="E173" i="78" s="1"/>
  <c r="E174" i="78" s="1"/>
  <c r="E175" i="78" s="1"/>
  <c r="D150" i="78"/>
  <c r="D149" i="78" s="1"/>
  <c r="D148" i="78" s="1"/>
  <c r="D147" i="78" s="1"/>
  <c r="E140" i="78"/>
  <c r="E141" i="78" s="1"/>
  <c r="D119" i="78"/>
  <c r="D118" i="78" s="1"/>
  <c r="D117" i="78" s="1"/>
  <c r="E109" i="78"/>
  <c r="E110" i="78"/>
  <c r="D88" i="78"/>
  <c r="D87" i="78"/>
  <c r="D86" i="78"/>
  <c r="D85" i="78" s="1"/>
  <c r="D84" i="78" s="1"/>
  <c r="D83" i="78" s="1"/>
  <c r="D82" i="78" s="1"/>
  <c r="D81" i="78" s="1"/>
  <c r="D80" i="78" s="1"/>
  <c r="D79" i="78" s="1"/>
  <c r="D78" i="78" s="1"/>
  <c r="D90" i="78" s="1"/>
  <c r="E78" i="78"/>
  <c r="D57" i="78"/>
  <c r="D56" i="78" s="1"/>
  <c r="D55" i="78" s="1"/>
  <c r="D54" i="78" s="1"/>
  <c r="E47" i="78"/>
  <c r="E48" i="78" s="1"/>
  <c r="D26" i="78"/>
  <c r="D25" i="78" s="1"/>
  <c r="D24" i="78" s="1"/>
  <c r="D23" i="78" s="1"/>
  <c r="D22" i="78" s="1"/>
  <c r="D21" i="78" s="1"/>
  <c r="D20" i="78" s="1"/>
  <c r="D19" i="78" s="1"/>
  <c r="D18" i="78" s="1"/>
  <c r="D17" i="78" s="1"/>
  <c r="D16" i="78" s="1"/>
  <c r="F16" i="78" s="1"/>
  <c r="E16" i="78"/>
  <c r="E17" i="78" s="1"/>
  <c r="A10" i="78"/>
  <c r="A11" i="78"/>
  <c r="A12" i="78"/>
  <c r="A13" i="78" s="1"/>
  <c r="A14" i="78" s="1"/>
  <c r="A15" i="78" s="1"/>
  <c r="Q2" i="78"/>
  <c r="B47" i="2" s="1"/>
  <c r="D53" i="78"/>
  <c r="D52" i="78" s="1"/>
  <c r="D51" i="78" s="1"/>
  <c r="D50" i="78" s="1"/>
  <c r="D49" i="78" s="1"/>
  <c r="D48" i="78" s="1"/>
  <c r="D47" i="78" s="1"/>
  <c r="E203" i="78"/>
  <c r="E204" i="78" s="1"/>
  <c r="E234" i="78"/>
  <c r="E235" i="78" s="1"/>
  <c r="E265" i="78"/>
  <c r="E266" i="78"/>
  <c r="E267" i="78"/>
  <c r="D211" i="78"/>
  <c r="D242" i="78"/>
  <c r="D241" i="78" s="1"/>
  <c r="D240" i="78" s="1"/>
  <c r="D239" i="78" s="1"/>
  <c r="D333" i="78"/>
  <c r="D332" i="78"/>
  <c r="D331" i="78" s="1"/>
  <c r="D330" i="78" s="1"/>
  <c r="D329" i="78" s="1"/>
  <c r="E389" i="78"/>
  <c r="D366" i="78"/>
  <c r="D488" i="78"/>
  <c r="D487" i="78" s="1"/>
  <c r="D486" i="78" s="1"/>
  <c r="D397" i="78"/>
  <c r="D521" i="78"/>
  <c r="D210" i="78"/>
  <c r="D520" i="78"/>
  <c r="D116" i="78"/>
  <c r="D115" i="78" s="1"/>
  <c r="D114" i="78" s="1"/>
  <c r="D113" i="78" s="1"/>
  <c r="D112" i="78" s="1"/>
  <c r="D111" i="78" s="1"/>
  <c r="D110" i="78" s="1"/>
  <c r="D396" i="78"/>
  <c r="D395" i="78" s="1"/>
  <c r="D394" i="78" s="1"/>
  <c r="D393" i="78" s="1"/>
  <c r="D519" i="78"/>
  <c r="D485" i="78"/>
  <c r="D484" i="78" s="1"/>
  <c r="D483" i="78" s="1"/>
  <c r="D482" i="78" s="1"/>
  <c r="D481" i="78" s="1"/>
  <c r="D209" i="78"/>
  <c r="D208" i="78" s="1"/>
  <c r="D207" i="78" s="1"/>
  <c r="D206" i="78" s="1"/>
  <c r="D205" i="78" s="1"/>
  <c r="D518" i="78"/>
  <c r="D517" i="78" s="1"/>
  <c r="D516" i="78" s="1"/>
  <c r="D238" i="78"/>
  <c r="D204" i="78"/>
  <c r="E173" i="75"/>
  <c r="G173" i="75" s="1"/>
  <c r="E172" i="75"/>
  <c r="G172" i="75" s="1"/>
  <c r="E112" i="75"/>
  <c r="E13" i="75"/>
  <c r="G13" i="75" s="1"/>
  <c r="G14" i="75" s="1"/>
  <c r="E202" i="74"/>
  <c r="F202" i="74" s="1"/>
  <c r="E201" i="74"/>
  <c r="F201" i="74" s="1"/>
  <c r="E200" i="74"/>
  <c r="F200" i="74" s="1"/>
  <c r="G200" i="74" s="1"/>
  <c r="E199" i="74"/>
  <c r="F199" i="74" s="1"/>
  <c r="E193" i="74"/>
  <c r="E180" i="74"/>
  <c r="G180" i="74" s="1"/>
  <c r="E129" i="74"/>
  <c r="E94" i="74"/>
  <c r="F94" i="74" s="1"/>
  <c r="E53" i="74"/>
  <c r="E19" i="41"/>
  <c r="E17" i="41"/>
  <c r="E16" i="41"/>
  <c r="E12" i="41"/>
  <c r="O57" i="29"/>
  <c r="O56" i="29"/>
  <c r="O55" i="29"/>
  <c r="O54" i="29"/>
  <c r="N57" i="29"/>
  <c r="N56" i="29"/>
  <c r="N55" i="29"/>
  <c r="N54" i="29"/>
  <c r="O51" i="29"/>
  <c r="N51" i="29"/>
  <c r="L111" i="29"/>
  <c r="P117" i="29"/>
  <c r="P116" i="29"/>
  <c r="L117" i="29"/>
  <c r="K117" i="29"/>
  <c r="C2" i="38"/>
  <c r="B33" i="2" s="1"/>
  <c r="F26" i="63"/>
  <c r="I31" i="64"/>
  <c r="I30" i="64"/>
  <c r="I29" i="64"/>
  <c r="I28" i="64"/>
  <c r="I27" i="64"/>
  <c r="I23" i="64"/>
  <c r="I20" i="64"/>
  <c r="I19" i="64"/>
  <c r="I15" i="64"/>
  <c r="I12" i="64"/>
  <c r="I10" i="64"/>
  <c r="I9" i="64"/>
  <c r="E31" i="64"/>
  <c r="E30" i="64"/>
  <c r="E29" i="64"/>
  <c r="E28" i="64"/>
  <c r="E27" i="64"/>
  <c r="E26" i="64"/>
  <c r="E25" i="64"/>
  <c r="E24" i="64"/>
  <c r="E23" i="64"/>
  <c r="E22" i="64"/>
  <c r="E21" i="64"/>
  <c r="E20" i="64"/>
  <c r="E19" i="64"/>
  <c r="E18" i="64"/>
  <c r="E17" i="64"/>
  <c r="E16" i="64"/>
  <c r="E15" i="64"/>
  <c r="E14" i="64"/>
  <c r="E13" i="64"/>
  <c r="E12" i="64"/>
  <c r="E10" i="64"/>
  <c r="E9" i="64"/>
  <c r="H11" i="45"/>
  <c r="H69" i="40"/>
  <c r="E40" i="21"/>
  <c r="D124" i="25"/>
  <c r="D128" i="25" s="1"/>
  <c r="G164" i="25"/>
  <c r="N111" i="29"/>
  <c r="C49" i="23"/>
  <c r="D39" i="23"/>
  <c r="C39" i="23"/>
  <c r="E65" i="16"/>
  <c r="F53" i="16"/>
  <c r="G53" i="16" s="1"/>
  <c r="E76" i="58"/>
  <c r="E78" i="58" s="1"/>
  <c r="D116" i="14"/>
  <c r="D115" i="14"/>
  <c r="D88" i="14"/>
  <c r="D82" i="14"/>
  <c r="D81" i="14"/>
  <c r="D80" i="14"/>
  <c r="D74" i="14"/>
  <c r="D73" i="14"/>
  <c r="D72" i="14"/>
  <c r="D71" i="14"/>
  <c r="G53" i="74"/>
  <c r="C17" i="2"/>
  <c r="C16" i="2"/>
  <c r="B16" i="2"/>
  <c r="C24" i="2"/>
  <c r="B24" i="2"/>
  <c r="C23" i="2"/>
  <c r="B23" i="2"/>
  <c r="E39" i="74"/>
  <c r="E40" i="74" s="1"/>
  <c r="E34" i="9"/>
  <c r="G34" i="9" s="1"/>
  <c r="F38" i="9"/>
  <c r="G38" i="9" s="1"/>
  <c r="D113" i="3" s="1"/>
  <c r="E94" i="76"/>
  <c r="D60" i="25"/>
  <c r="D109" i="25"/>
  <c r="G109" i="25" s="1"/>
  <c r="D108" i="25"/>
  <c r="G108" i="25" s="1"/>
  <c r="D57" i="25"/>
  <c r="G57" i="25" s="1"/>
  <c r="D56" i="25"/>
  <c r="G56" i="25" s="1"/>
  <c r="K154" i="76"/>
  <c r="D60" i="3" s="1"/>
  <c r="H154" i="76"/>
  <c r="D109" i="3" s="1"/>
  <c r="G109" i="3" s="1"/>
  <c r="G154" i="76"/>
  <c r="D154" i="76"/>
  <c r="D108" i="3" s="1"/>
  <c r="G108" i="3" s="1"/>
  <c r="C154" i="76"/>
  <c r="I153" i="76"/>
  <c r="I154" i="76" s="1"/>
  <c r="D57" i="3" s="1"/>
  <c r="G57" i="3" s="1"/>
  <c r="E153" i="76"/>
  <c r="E154" i="76" s="1"/>
  <c r="D56" i="3" s="1"/>
  <c r="G56" i="3" s="1"/>
  <c r="I152" i="76"/>
  <c r="E152" i="76"/>
  <c r="I151" i="76"/>
  <c r="E151" i="76"/>
  <c r="I150" i="76"/>
  <c r="E150" i="76"/>
  <c r="I149" i="76"/>
  <c r="E149" i="76"/>
  <c r="I148" i="76"/>
  <c r="E148" i="76"/>
  <c r="I147" i="76"/>
  <c r="E147" i="76"/>
  <c r="I146" i="76"/>
  <c r="E146" i="76"/>
  <c r="I145" i="76"/>
  <c r="E145" i="76"/>
  <c r="I144" i="76"/>
  <c r="E144" i="76"/>
  <c r="I143" i="76"/>
  <c r="E143" i="76"/>
  <c r="I142" i="76"/>
  <c r="E142" i="76"/>
  <c r="I141" i="76"/>
  <c r="E141" i="76"/>
  <c r="A11" i="76"/>
  <c r="A12" i="76" s="1"/>
  <c r="A13" i="76" s="1"/>
  <c r="A14" i="76" s="1"/>
  <c r="A15" i="76" s="1"/>
  <c r="A16" i="76" s="1"/>
  <c r="A17" i="76" s="1"/>
  <c r="A18" i="76" s="1"/>
  <c r="A19" i="76" s="1"/>
  <c r="A20" i="76" s="1"/>
  <c r="A21" i="76" s="1"/>
  <c r="A22" i="76" s="1"/>
  <c r="F174" i="75"/>
  <c r="F144" i="75"/>
  <c r="F113" i="75"/>
  <c r="A110" i="75"/>
  <c r="A111" i="75" s="1"/>
  <c r="A112" i="75" s="1"/>
  <c r="A113" i="75" s="1"/>
  <c r="A114" i="75" s="1"/>
  <c r="A115" i="75" s="1"/>
  <c r="A116" i="75" s="1"/>
  <c r="A117" i="75" s="1"/>
  <c r="A118" i="75" s="1"/>
  <c r="A119" i="75" s="1"/>
  <c r="A120" i="75" s="1"/>
  <c r="A121" i="75" s="1"/>
  <c r="A122" i="75" s="1"/>
  <c r="A123" i="75" s="1"/>
  <c r="A124" i="75" s="1"/>
  <c r="A125" i="75" s="1"/>
  <c r="A126" i="75" s="1"/>
  <c r="A127" i="75" s="1"/>
  <c r="A128" i="75" s="1"/>
  <c r="A129" i="75" s="1"/>
  <c r="A130" i="75" s="1"/>
  <c r="A131" i="75" s="1"/>
  <c r="A132" i="75" s="1"/>
  <c r="A133" i="75" s="1"/>
  <c r="A134" i="75" s="1"/>
  <c r="A135" i="75" s="1"/>
  <c r="A136" i="75" s="1"/>
  <c r="A137" i="75" s="1"/>
  <c r="A138" i="75" s="1"/>
  <c r="A139" i="75" s="1"/>
  <c r="A140" i="75" s="1"/>
  <c r="A141" i="75" s="1"/>
  <c r="A142" i="75" s="1"/>
  <c r="A143" i="75" s="1"/>
  <c r="A144" i="75" s="1"/>
  <c r="A145" i="75" s="1"/>
  <c r="A146" i="75" s="1"/>
  <c r="A147" i="75" s="1"/>
  <c r="A148" i="75" s="1"/>
  <c r="A149" i="75" s="1"/>
  <c r="A150" i="75" s="1"/>
  <c r="A151" i="75" s="1"/>
  <c r="A152" i="75" s="1"/>
  <c r="A103" i="75"/>
  <c r="G101" i="75"/>
  <c r="A101" i="75"/>
  <c r="A100" i="75"/>
  <c r="F72" i="75"/>
  <c r="F57" i="75"/>
  <c r="F45" i="75"/>
  <c r="F14" i="75"/>
  <c r="D14" i="75"/>
  <c r="C14" i="75"/>
  <c r="A11" i="75"/>
  <c r="A12" i="75" s="1"/>
  <c r="A13" i="75" s="1"/>
  <c r="A14" i="75" s="1"/>
  <c r="A15" i="75" s="1"/>
  <c r="A16" i="75" s="1"/>
  <c r="A17" i="75" s="1"/>
  <c r="A18" i="75" s="1"/>
  <c r="A19" i="75" s="1"/>
  <c r="A20" i="75" s="1"/>
  <c r="A21" i="75" s="1"/>
  <c r="A22" i="75" s="1"/>
  <c r="A23" i="75" s="1"/>
  <c r="A24" i="75" s="1"/>
  <c r="A25" i="75" s="1"/>
  <c r="A26" i="75" s="1"/>
  <c r="A27" i="75" s="1"/>
  <c r="A28" i="75" s="1"/>
  <c r="A29" i="75" s="1"/>
  <c r="A30" i="75" s="1"/>
  <c r="A31" i="75" s="1"/>
  <c r="A32" i="75" s="1"/>
  <c r="A33" i="75" s="1"/>
  <c r="A34" i="75" s="1"/>
  <c r="A35" i="75" s="1"/>
  <c r="A36" i="75" s="1"/>
  <c r="A37" i="75" s="1"/>
  <c r="A38" i="75" s="1"/>
  <c r="A39" i="75" s="1"/>
  <c r="A40" i="75" s="1"/>
  <c r="A41" i="75" s="1"/>
  <c r="A42" i="75" s="1"/>
  <c r="A43" i="75" s="1"/>
  <c r="A44" i="75" s="1"/>
  <c r="A45" i="75" s="1"/>
  <c r="A46" i="75" s="1"/>
  <c r="A47" i="75" s="1"/>
  <c r="A48" i="75" s="1"/>
  <c r="A49" i="75" s="1"/>
  <c r="A50" i="75" s="1"/>
  <c r="A51" i="75" s="1"/>
  <c r="A52" i="75" s="1"/>
  <c r="A53" i="75" s="1"/>
  <c r="A54" i="75" s="1"/>
  <c r="A55" i="75" s="1"/>
  <c r="A56" i="75" s="1"/>
  <c r="A57" i="75" s="1"/>
  <c r="A58" i="75" s="1"/>
  <c r="A59" i="75" s="1"/>
  <c r="A60" i="75" s="1"/>
  <c r="A61" i="75" s="1"/>
  <c r="A62" i="75" s="1"/>
  <c r="A63" i="75" s="1"/>
  <c r="A64" i="75" s="1"/>
  <c r="A65" i="75" s="1"/>
  <c r="A66" i="75" s="1"/>
  <c r="A67" i="75" s="1"/>
  <c r="A68" i="75" s="1"/>
  <c r="A69" i="75" s="1"/>
  <c r="A70" i="75" s="1"/>
  <c r="A71" i="75" s="1"/>
  <c r="A72" i="75" s="1"/>
  <c r="A73" i="75" s="1"/>
  <c r="A74" i="75" s="1"/>
  <c r="A75" i="75" s="1"/>
  <c r="A76" i="75" s="1"/>
  <c r="A77" i="75" s="1"/>
  <c r="A78" i="75" s="1"/>
  <c r="A79" i="75" s="1"/>
  <c r="A80" i="75" s="1"/>
  <c r="A81" i="75" s="1"/>
  <c r="A82" i="75" s="1"/>
  <c r="A83" i="75" s="1"/>
  <c r="A84" i="75" s="1"/>
  <c r="A85" i="75" s="1"/>
  <c r="A86" i="75" s="1"/>
  <c r="A87" i="75" s="1"/>
  <c r="A88" i="75" s="1"/>
  <c r="A89" i="75" s="1"/>
  <c r="A90" i="75" s="1"/>
  <c r="A91" i="75" s="1"/>
  <c r="A92" i="75" s="1"/>
  <c r="A93" i="75" s="1"/>
  <c r="A94" i="75" s="1"/>
  <c r="A95" i="75" s="1"/>
  <c r="C51" i="3" s="1"/>
  <c r="G100" i="75"/>
  <c r="F182" i="74"/>
  <c r="A116" i="74"/>
  <c r="A117" i="74" s="1"/>
  <c r="A118" i="74" s="1"/>
  <c r="A109" i="74"/>
  <c r="A108" i="74"/>
  <c r="G107" i="74"/>
  <c r="A107" i="74"/>
  <c r="A106" i="74"/>
  <c r="D40" i="74"/>
  <c r="C40" i="74"/>
  <c r="A11" i="74"/>
  <c r="A12" i="74" s="1"/>
  <c r="A13" i="74" s="1"/>
  <c r="G106" i="74"/>
  <c r="D45" i="42"/>
  <c r="D45" i="43"/>
  <c r="G39" i="41"/>
  <c r="L26" i="65"/>
  <c r="D43" i="42"/>
  <c r="D43" i="43"/>
  <c r="D41" i="42"/>
  <c r="D39" i="42"/>
  <c r="D39" i="43"/>
  <c r="D37" i="42"/>
  <c r="D37" i="43" s="1"/>
  <c r="D35" i="42"/>
  <c r="D33" i="42"/>
  <c r="D31" i="42"/>
  <c r="D31" i="43" s="1"/>
  <c r="D29" i="42"/>
  <c r="D29" i="43"/>
  <c r="D27" i="42"/>
  <c r="D27" i="43" s="1"/>
  <c r="D25" i="42"/>
  <c r="D23" i="42"/>
  <c r="D23" i="43"/>
  <c r="D21" i="42"/>
  <c r="D21" i="43"/>
  <c r="D19" i="42"/>
  <c r="D19" i="43"/>
  <c r="D17" i="42"/>
  <c r="D15" i="42"/>
  <c r="D15" i="43"/>
  <c r="D13" i="42"/>
  <c r="D13" i="43" s="1"/>
  <c r="P21" i="42"/>
  <c r="J54" i="29"/>
  <c r="I54" i="29"/>
  <c r="H54" i="29"/>
  <c r="G54" i="29"/>
  <c r="D140" i="3" s="1"/>
  <c r="G140" i="3" s="1"/>
  <c r="F54" i="29"/>
  <c r="D139" i="3" s="1"/>
  <c r="G139" i="3" s="1"/>
  <c r="F55" i="29"/>
  <c r="G55" i="29"/>
  <c r="H55" i="29"/>
  <c r="I55" i="29"/>
  <c r="J55" i="29"/>
  <c r="H56" i="29"/>
  <c r="F56" i="29"/>
  <c r="G56" i="29"/>
  <c r="I56" i="29"/>
  <c r="J56" i="29"/>
  <c r="F57" i="29"/>
  <c r="G57" i="29"/>
  <c r="H57" i="29"/>
  <c r="I57" i="29"/>
  <c r="J57" i="29"/>
  <c r="Q57" i="29"/>
  <c r="Q56" i="29"/>
  <c r="Q55" i="29"/>
  <c r="Q54" i="29"/>
  <c r="H51" i="29"/>
  <c r="F51" i="29"/>
  <c r="O19" i="13"/>
  <c r="N19" i="13"/>
  <c r="M16" i="20"/>
  <c r="K16" i="20"/>
  <c r="Q18" i="20"/>
  <c r="D177" i="3" s="1"/>
  <c r="Q13" i="20"/>
  <c r="F12" i="48"/>
  <c r="D13" i="48"/>
  <c r="G52" i="5"/>
  <c r="E52" i="5"/>
  <c r="E10" i="41"/>
  <c r="E11" i="41"/>
  <c r="E13" i="41"/>
  <c r="E14" i="41"/>
  <c r="E15" i="41"/>
  <c r="E18" i="41"/>
  <c r="E20" i="41"/>
  <c r="E21" i="41"/>
  <c r="E22" i="41"/>
  <c r="E23" i="41"/>
  <c r="E24" i="41"/>
  <c r="E25" i="41"/>
  <c r="E26" i="41"/>
  <c r="G26" i="41"/>
  <c r="E27" i="41"/>
  <c r="G27" i="41"/>
  <c r="E29" i="41"/>
  <c r="G29" i="41"/>
  <c r="E30" i="41"/>
  <c r="G30" i="41"/>
  <c r="E9" i="41"/>
  <c r="E10" i="63"/>
  <c r="E11" i="63"/>
  <c r="E12" i="63"/>
  <c r="E13" i="63"/>
  <c r="E14" i="63"/>
  <c r="E15" i="63"/>
  <c r="E16" i="63"/>
  <c r="E17" i="63"/>
  <c r="E18" i="63"/>
  <c r="E19" i="63"/>
  <c r="E20" i="63"/>
  <c r="E21" i="63"/>
  <c r="E22" i="63"/>
  <c r="E23" i="63"/>
  <c r="E24" i="63"/>
  <c r="E25" i="63"/>
  <c r="E26" i="63"/>
  <c r="G26" i="63"/>
  <c r="E28" i="63"/>
  <c r="G28" i="63" s="1"/>
  <c r="E29" i="63"/>
  <c r="G29" i="63"/>
  <c r="E30" i="63"/>
  <c r="G30" i="63" s="1"/>
  <c r="G1" i="66"/>
  <c r="M1" i="65"/>
  <c r="I1" i="64"/>
  <c r="I1" i="63"/>
  <c r="C46" i="2"/>
  <c r="C45" i="2"/>
  <c r="C44" i="2"/>
  <c r="C43" i="2"/>
  <c r="A4" i="66"/>
  <c r="G2" i="66"/>
  <c r="B46" i="2" s="1"/>
  <c r="A2" i="66"/>
  <c r="L10" i="65"/>
  <c r="L12" i="65"/>
  <c r="L13" i="65"/>
  <c r="L14" i="65"/>
  <c r="L16" i="65"/>
  <c r="L17" i="65"/>
  <c r="L18" i="65"/>
  <c r="L19" i="65"/>
  <c r="L20" i="65"/>
  <c r="L21" i="65"/>
  <c r="L22" i="65"/>
  <c r="L23" i="65"/>
  <c r="L24" i="65"/>
  <c r="L25" i="65"/>
  <c r="F27" i="63"/>
  <c r="L29" i="65"/>
  <c r="F28" i="63" s="1"/>
  <c r="L30" i="65"/>
  <c r="F29" i="63"/>
  <c r="L31" i="65"/>
  <c r="F30" i="63" s="1"/>
  <c r="L9" i="65"/>
  <c r="A4" i="65"/>
  <c r="M2" i="65"/>
  <c r="B45" i="2" s="1"/>
  <c r="A2" i="65"/>
  <c r="I2" i="64"/>
  <c r="B44" i="2" s="1"/>
  <c r="A2" i="64"/>
  <c r="C39" i="63"/>
  <c r="E85" i="5" s="1"/>
  <c r="A10" i="63"/>
  <c r="A11" i="63"/>
  <c r="A12" i="63"/>
  <c r="A13" i="63"/>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C39" i="41"/>
  <c r="E38" i="41"/>
  <c r="E39" i="41"/>
  <c r="F52" i="5" s="1"/>
  <c r="A10" i="41"/>
  <c r="A11" i="41"/>
  <c r="A12" i="41" s="1"/>
  <c r="A13" i="41" s="1"/>
  <c r="A14" i="41" s="1"/>
  <c r="A15" i="4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I2" i="63"/>
  <c r="B43" i="2" s="1"/>
  <c r="A2" i="63"/>
  <c r="A54" i="5"/>
  <c r="A55" i="5" s="1"/>
  <c r="A56" i="5" s="1"/>
  <c r="A57" i="5" s="1"/>
  <c r="A58" i="5"/>
  <c r="A59" i="5" s="1"/>
  <c r="A60" i="5" s="1"/>
  <c r="A61" i="5" s="1"/>
  <c r="A62" i="5" s="1"/>
  <c r="A63" i="5" s="1"/>
  <c r="A64" i="5" s="1"/>
  <c r="A65" i="5" s="1"/>
  <c r="A66" i="5"/>
  <c r="A67" i="5" s="1"/>
  <c r="A68" i="5" s="1"/>
  <c r="A69" i="5" s="1"/>
  <c r="A70" i="5" s="1"/>
  <c r="A71" i="5" s="1"/>
  <c r="A72" i="5" s="1"/>
  <c r="A73" i="5" s="1"/>
  <c r="A74" i="5" s="1"/>
  <c r="A75" i="5" s="1"/>
  <c r="A76" i="5" s="1"/>
  <c r="A77" i="5" s="1"/>
  <c r="A78" i="5" s="1"/>
  <c r="A79" i="5" s="1"/>
  <c r="A80" i="5" s="1"/>
  <c r="A81" i="5" s="1"/>
  <c r="A82" i="5" s="1"/>
  <c r="A83" i="5" s="1"/>
  <c r="A84" i="5" s="1"/>
  <c r="A85" i="5" s="1"/>
  <c r="H1" i="5"/>
  <c r="H2" i="5"/>
  <c r="B10" i="2" s="1"/>
  <c r="I2" i="28"/>
  <c r="G92" i="28"/>
  <c r="G91" i="28"/>
  <c r="E80" i="28"/>
  <c r="E79" i="28"/>
  <c r="E78" i="28"/>
  <c r="E77" i="28"/>
  <c r="E76" i="28"/>
  <c r="E75" i="28"/>
  <c r="E73" i="28"/>
  <c r="E71" i="28"/>
  <c r="E72" i="28"/>
  <c r="E70" i="28"/>
  <c r="E68" i="28"/>
  <c r="E67" i="28"/>
  <c r="E66" i="28"/>
  <c r="E65" i="28"/>
  <c r="E64" i="28"/>
  <c r="E63" i="28"/>
  <c r="E62" i="28"/>
  <c r="E61" i="28"/>
  <c r="E60" i="28"/>
  <c r="E59" i="28"/>
  <c r="E58" i="28"/>
  <c r="E56" i="28"/>
  <c r="E55" i="28"/>
  <c r="E54" i="28"/>
  <c r="E53" i="28"/>
  <c r="E52" i="28"/>
  <c r="E50" i="28"/>
  <c r="E49" i="28"/>
  <c r="E47" i="28"/>
  <c r="E48" i="28"/>
  <c r="E46" i="28"/>
  <c r="E45" i="28"/>
  <c r="I35" i="28"/>
  <c r="I33" i="28"/>
  <c r="I31" i="28"/>
  <c r="I16" i="28"/>
  <c r="I17" i="28" s="1"/>
  <c r="I87" i="28" s="1"/>
  <c r="I14" i="28"/>
  <c r="E34" i="58"/>
  <c r="E36" i="58" s="1"/>
  <c r="E37" i="58"/>
  <c r="E33" i="14"/>
  <c r="P45" i="42"/>
  <c r="P31" i="43"/>
  <c r="G161" i="3"/>
  <c r="G163" i="3"/>
  <c r="G164" i="3"/>
  <c r="G165" i="3"/>
  <c r="H197" i="44"/>
  <c r="AF83" i="53"/>
  <c r="D49" i="48"/>
  <c r="D189" i="3"/>
  <c r="D192" i="3"/>
  <c r="R20" i="14" s="1"/>
  <c r="R28" i="14" s="1"/>
  <c r="R50" i="14" s="1"/>
  <c r="D120" i="3"/>
  <c r="G120" i="3" s="1"/>
  <c r="H105" i="44"/>
  <c r="H113" i="44" s="1"/>
  <c r="H115" i="44"/>
  <c r="E136" i="44"/>
  <c r="H131" i="44"/>
  <c r="G137" i="44" s="1"/>
  <c r="M2" i="15"/>
  <c r="AD375" i="53"/>
  <c r="AE375" i="53"/>
  <c r="AF375" i="53"/>
  <c r="AG375" i="53"/>
  <c r="AH375" i="53"/>
  <c r="AI375" i="53"/>
  <c r="AJ375" i="53"/>
  <c r="AK375" i="53"/>
  <c r="AL375" i="53"/>
  <c r="AM375" i="53"/>
  <c r="AN375" i="53"/>
  <c r="AO375" i="53"/>
  <c r="AP375" i="53"/>
  <c r="AQ375" i="53"/>
  <c r="AR375" i="53"/>
  <c r="AS375" i="53"/>
  <c r="AT375" i="53"/>
  <c r="AU375" i="53"/>
  <c r="AV375" i="53"/>
  <c r="AW375" i="53"/>
  <c r="AX375" i="53"/>
  <c r="AY375" i="53"/>
  <c r="AZ375" i="53"/>
  <c r="BA375" i="53"/>
  <c r="AD376" i="53"/>
  <c r="AE376" i="53"/>
  <c r="AF376" i="53"/>
  <c r="AG376" i="53"/>
  <c r="AH376" i="53"/>
  <c r="AI376" i="53"/>
  <c r="AJ376" i="53"/>
  <c r="AK376" i="53"/>
  <c r="AL376" i="53"/>
  <c r="AM376" i="53"/>
  <c r="AN376" i="53"/>
  <c r="AO376" i="53"/>
  <c r="AP376" i="53"/>
  <c r="AQ376" i="53"/>
  <c r="AR376" i="53"/>
  <c r="AS376" i="53"/>
  <c r="AT376" i="53"/>
  <c r="AU376" i="53"/>
  <c r="AV376" i="53"/>
  <c r="AW376" i="53"/>
  <c r="AX376" i="53"/>
  <c r="AY376" i="53"/>
  <c r="AZ376" i="53"/>
  <c r="BA376" i="53"/>
  <c r="A14" i="29"/>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G51" i="29"/>
  <c r="I51" i="29"/>
  <c r="J51" i="29"/>
  <c r="Q51" i="29"/>
  <c r="G138" i="44"/>
  <c r="H215" i="44"/>
  <c r="H218" i="44" s="1"/>
  <c r="H217" i="44"/>
  <c r="H171" i="44"/>
  <c r="H172" i="44"/>
  <c r="H54" i="44"/>
  <c r="J51" i="45"/>
  <c r="J53" i="45"/>
  <c r="H59" i="44"/>
  <c r="H61" i="44" s="1"/>
  <c r="H88" i="44"/>
  <c r="H90" i="44" s="1"/>
  <c r="F12" i="44" s="1"/>
  <c r="Q15" i="20"/>
  <c r="A13" i="14"/>
  <c r="A14" i="14" s="1"/>
  <c r="A15" i="14" s="1"/>
  <c r="A16" i="14" s="1"/>
  <c r="A17" i="14" s="1"/>
  <c r="A18" i="14" s="1"/>
  <c r="A19" i="14" s="1"/>
  <c r="I2" i="44"/>
  <c r="I1" i="44"/>
  <c r="Q2" i="42"/>
  <c r="Q2" i="43"/>
  <c r="Q1" i="42"/>
  <c r="B24" i="20"/>
  <c r="E2" i="23"/>
  <c r="B27" i="2" s="1"/>
  <c r="E1" i="23"/>
  <c r="D49" i="23"/>
  <c r="E39" i="23"/>
  <c r="E49" i="23"/>
  <c r="U2" i="13"/>
  <c r="G2" i="3"/>
  <c r="B12" i="2" s="1"/>
  <c r="G2" i="25"/>
  <c r="G1" i="3"/>
  <c r="G1" i="25"/>
  <c r="G2" i="9"/>
  <c r="F2" i="37"/>
  <c r="B28" i="2" s="1"/>
  <c r="F1" i="37"/>
  <c r="G1" i="16"/>
  <c r="G2" i="16"/>
  <c r="F37" i="48"/>
  <c r="F38" i="48"/>
  <c r="F39" i="48"/>
  <c r="F40" i="48"/>
  <c r="F41" i="48"/>
  <c r="F42" i="48"/>
  <c r="F43" i="48"/>
  <c r="F44" i="48"/>
  <c r="F45" i="48"/>
  <c r="F46" i="48"/>
  <c r="F47" i="48"/>
  <c r="F48" i="48"/>
  <c r="F36" i="48"/>
  <c r="A71" i="14"/>
  <c r="A72" i="14" s="1"/>
  <c r="A73" i="14" s="1"/>
  <c r="A74" i="14" s="1"/>
  <c r="A75" i="14" s="1"/>
  <c r="A76" i="14" s="1"/>
  <c r="A77" i="14" s="1"/>
  <c r="A78" i="14" s="1"/>
  <c r="A79" i="14" s="1"/>
  <c r="A80" i="14" s="1"/>
  <c r="A81" i="14" s="1"/>
  <c r="A82" i="14" s="1"/>
  <c r="A83" i="14" s="1"/>
  <c r="Q59" i="20"/>
  <c r="D99" i="25"/>
  <c r="G99" i="25" s="1"/>
  <c r="D118" i="25"/>
  <c r="D120" i="25"/>
  <c r="G120" i="25" s="1"/>
  <c r="F29" i="21"/>
  <c r="E30" i="21"/>
  <c r="F30" i="21" s="1"/>
  <c r="E50" i="48"/>
  <c r="D39" i="21" s="1"/>
  <c r="F39" i="21" s="1"/>
  <c r="F40" i="21"/>
  <c r="Q2" i="20"/>
  <c r="R2" i="14"/>
  <c r="E2" i="58"/>
  <c r="B20" i="2" s="1"/>
  <c r="J117" i="29"/>
  <c r="Q117" i="29"/>
  <c r="I116" i="29"/>
  <c r="O116" i="29"/>
  <c r="I114" i="29"/>
  <c r="A74" i="29"/>
  <c r="A75" i="29"/>
  <c r="A76" i="29"/>
  <c r="A77" i="29" s="1"/>
  <c r="A78" i="29" s="1"/>
  <c r="A79" i="29" s="1"/>
  <c r="A80" i="29" s="1"/>
  <c r="A81" i="29" s="1"/>
  <c r="A82" i="29" s="1"/>
  <c r="A83" i="29" s="1"/>
  <c r="A84" i="29" s="1"/>
  <c r="A85" i="29" s="1"/>
  <c r="A86" i="29" s="1"/>
  <c r="A87" i="29" s="1"/>
  <c r="A88" i="29"/>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c r="A121" i="29" s="1"/>
  <c r="A122" i="29" s="1"/>
  <c r="A123" i="29" s="1"/>
  <c r="G33" i="14"/>
  <c r="A57" i="20"/>
  <c r="A58" i="20" s="1"/>
  <c r="A59" i="20" s="1"/>
  <c r="A60" i="20" s="1"/>
  <c r="A12" i="20"/>
  <c r="A13" i="20" s="1"/>
  <c r="A14" i="20" s="1"/>
  <c r="A15" i="20" s="1"/>
  <c r="A16" i="20" s="1"/>
  <c r="A17" i="20" s="1"/>
  <c r="A18" i="20" s="1"/>
  <c r="A19" i="20" s="1"/>
  <c r="A20" i="20" s="1"/>
  <c r="J2" i="24"/>
  <c r="B11" i="2" s="1"/>
  <c r="J1" i="24"/>
  <c r="D2" i="7"/>
  <c r="I2" i="40"/>
  <c r="Q14" i="20"/>
  <c r="C20" i="2"/>
  <c r="E1" i="58"/>
  <c r="A54" i="58"/>
  <c r="A55" i="58" s="1"/>
  <c r="A56" i="58" s="1"/>
  <c r="A57" i="58" s="1"/>
  <c r="A58" i="58" s="1"/>
  <c r="A59" i="58" s="1"/>
  <c r="A60" i="58" s="1"/>
  <c r="A61" i="58" s="1"/>
  <c r="A62" i="58" s="1"/>
  <c r="A63" i="58" s="1"/>
  <c r="A64" i="58" s="1"/>
  <c r="A65" i="58" s="1"/>
  <c r="C55" i="58"/>
  <c r="C56" i="58" s="1"/>
  <c r="C57" i="58" s="1"/>
  <c r="C58" i="58" s="1"/>
  <c r="C59" i="58" s="1"/>
  <c r="C60" i="58" s="1"/>
  <c r="C61" i="58" s="1"/>
  <c r="C62" i="58" s="1"/>
  <c r="C63" i="58" s="1"/>
  <c r="C64" i="58" s="1"/>
  <c r="C65" i="58" s="1"/>
  <c r="A12" i="58"/>
  <c r="A13" i="58"/>
  <c r="A14" i="58" s="1"/>
  <c r="A15" i="58" s="1"/>
  <c r="A16" i="58" s="1"/>
  <c r="A17" i="58" s="1"/>
  <c r="A18" i="58" s="1"/>
  <c r="A19" i="58" s="1"/>
  <c r="A20" i="58" s="1"/>
  <c r="A21" i="58" s="1"/>
  <c r="A22" i="58" s="1"/>
  <c r="A23" i="58" s="1"/>
  <c r="C13" i="58"/>
  <c r="C14" i="58"/>
  <c r="C15" i="58" s="1"/>
  <c r="C16" i="58" s="1"/>
  <c r="C17" i="58" s="1"/>
  <c r="C18" i="58" s="1"/>
  <c r="C19" i="58" s="1"/>
  <c r="C20" i="58" s="1"/>
  <c r="C21" i="58" s="1"/>
  <c r="C22" i="58" s="1"/>
  <c r="C23" i="58" s="1"/>
  <c r="A2" i="58"/>
  <c r="A3" i="58"/>
  <c r="S2" i="27"/>
  <c r="C14" i="24" s="1"/>
  <c r="L2" i="47"/>
  <c r="C107" i="3" s="1"/>
  <c r="I54" i="27"/>
  <c r="I56" i="27" s="1"/>
  <c r="A10" i="7"/>
  <c r="Q63" i="20"/>
  <c r="D178" i="25" s="1"/>
  <c r="E178" i="25" s="1"/>
  <c r="G178" i="25" s="1"/>
  <c r="A14" i="24"/>
  <c r="A12" i="24"/>
  <c r="A13" i="24" s="1"/>
  <c r="H14" i="40"/>
  <c r="H32" i="40"/>
  <c r="G2" i="18"/>
  <c r="G1" i="18"/>
  <c r="A12" i="13"/>
  <c r="A13" i="13"/>
  <c r="A14" i="13"/>
  <c r="A15" i="13" s="1"/>
  <c r="A16" i="13" s="1"/>
  <c r="A17" i="13" s="1"/>
  <c r="A18" i="13" s="1"/>
  <c r="A19" i="13" s="1"/>
  <c r="A20" i="13" s="1"/>
  <c r="A21" i="13" s="1"/>
  <c r="A22" i="13" s="1"/>
  <c r="A23" i="13" s="1"/>
  <c r="A24" i="13" s="1"/>
  <c r="A25" i="13" s="1"/>
  <c r="G141" i="3"/>
  <c r="P13" i="43"/>
  <c r="P15" i="43"/>
  <c r="P17" i="43"/>
  <c r="P19" i="43"/>
  <c r="P21" i="43"/>
  <c r="P23" i="43"/>
  <c r="P25" i="43"/>
  <c r="P27" i="43"/>
  <c r="P29" i="43"/>
  <c r="P33" i="43"/>
  <c r="P35" i="43"/>
  <c r="P37" i="43"/>
  <c r="P39" i="43"/>
  <c r="P41" i="43"/>
  <c r="P43" i="43"/>
  <c r="P45" i="43"/>
  <c r="P47" i="43"/>
  <c r="P13" i="42"/>
  <c r="P15" i="42"/>
  <c r="P19" i="42"/>
  <c r="P23" i="42"/>
  <c r="P27" i="42"/>
  <c r="P31" i="42"/>
  <c r="P35" i="42"/>
  <c r="P39" i="42"/>
  <c r="P43" i="42"/>
  <c r="P47" i="42"/>
  <c r="A9" i="5"/>
  <c r="A10" i="5" s="1"/>
  <c r="A11" i="5" s="1"/>
  <c r="I2" i="41"/>
  <c r="B37" i="2" s="1"/>
  <c r="F2" i="21"/>
  <c r="C139" i="25" s="1"/>
  <c r="F1" i="21"/>
  <c r="A10" i="9"/>
  <c r="A11" i="9"/>
  <c r="A12" i="9"/>
  <c r="A53" i="9"/>
  <c r="A54" i="9" s="1"/>
  <c r="A55" i="9" s="1"/>
  <c r="I1" i="40"/>
  <c r="D1" i="7"/>
  <c r="R1" i="14"/>
  <c r="R2" i="29"/>
  <c r="AB2" i="53"/>
  <c r="BA2" i="53" s="1"/>
  <c r="AB1" i="53"/>
  <c r="BA1" i="53"/>
  <c r="C28" i="2"/>
  <c r="C25" i="2"/>
  <c r="A10" i="3"/>
  <c r="AD334" i="53"/>
  <c r="AD335" i="53"/>
  <c r="AD336" i="53"/>
  <c r="AD337" i="53"/>
  <c r="AD338" i="53"/>
  <c r="AD339" i="53"/>
  <c r="AD340" i="53"/>
  <c r="AD341" i="53"/>
  <c r="AD342" i="53"/>
  <c r="AD343" i="53"/>
  <c r="AD344" i="53"/>
  <c r="AD345" i="53"/>
  <c r="AD346" i="53"/>
  <c r="AD347" i="53"/>
  <c r="AD348" i="53"/>
  <c r="AD349" i="53"/>
  <c r="AD350" i="53"/>
  <c r="AD351" i="53"/>
  <c r="AD352" i="53"/>
  <c r="AD353" i="53"/>
  <c r="AD354" i="53"/>
  <c r="AD355" i="53"/>
  <c r="AD356" i="53"/>
  <c r="AD357" i="53"/>
  <c r="AD358" i="53"/>
  <c r="AD359" i="53"/>
  <c r="AD360" i="53"/>
  <c r="AD361" i="53"/>
  <c r="AD362" i="53"/>
  <c r="AD363" i="53"/>
  <c r="AD364" i="53"/>
  <c r="AD365" i="53"/>
  <c r="AD366" i="53"/>
  <c r="AD367" i="53"/>
  <c r="AD368" i="53"/>
  <c r="AD369" i="53"/>
  <c r="AD370" i="53"/>
  <c r="AD371" i="53"/>
  <c r="AD372" i="53"/>
  <c r="AD373" i="53"/>
  <c r="AD374" i="53"/>
  <c r="AE12" i="53"/>
  <c r="AF12" i="53"/>
  <c r="AG12" i="53"/>
  <c r="AH12" i="53"/>
  <c r="AI12" i="53"/>
  <c r="AJ12" i="53"/>
  <c r="AK12" i="53"/>
  <c r="AL12" i="53"/>
  <c r="AM12" i="53"/>
  <c r="AN12" i="53"/>
  <c r="AO12" i="53"/>
  <c r="AP12" i="53"/>
  <c r="AQ12" i="53"/>
  <c r="AR12" i="53"/>
  <c r="AS12" i="53"/>
  <c r="AT12" i="53"/>
  <c r="AU12" i="53"/>
  <c r="AV12" i="53"/>
  <c r="AW12" i="53"/>
  <c r="AX12" i="53"/>
  <c r="AY12" i="53"/>
  <c r="AZ12" i="53"/>
  <c r="BA12" i="53"/>
  <c r="AD13" i="53"/>
  <c r="AE13" i="53"/>
  <c r="AF13" i="53"/>
  <c r="AG13" i="53"/>
  <c r="AH13" i="53"/>
  <c r="AI13" i="53"/>
  <c r="AJ13" i="53"/>
  <c r="AK13" i="53"/>
  <c r="AL13" i="53"/>
  <c r="AM13" i="53"/>
  <c r="AN13" i="53"/>
  <c r="AO13" i="53"/>
  <c r="AP13" i="53"/>
  <c r="AQ13" i="53"/>
  <c r="AR13" i="53"/>
  <c r="AS13" i="53"/>
  <c r="AT13" i="53"/>
  <c r="AU13" i="53"/>
  <c r="AV13" i="53"/>
  <c r="AW13" i="53"/>
  <c r="AX13" i="53"/>
  <c r="AY13" i="53"/>
  <c r="AZ13" i="53"/>
  <c r="BA13" i="53"/>
  <c r="AD14" i="53"/>
  <c r="AE14" i="53"/>
  <c r="AF14" i="53"/>
  <c r="AG14" i="53"/>
  <c r="AH14" i="53"/>
  <c r="AI14" i="53"/>
  <c r="AJ14" i="53"/>
  <c r="AK14" i="53"/>
  <c r="AL14" i="53"/>
  <c r="AM14" i="53"/>
  <c r="AN14" i="53"/>
  <c r="AO14" i="53"/>
  <c r="AP14" i="53"/>
  <c r="AQ14" i="53"/>
  <c r="AR14" i="53"/>
  <c r="AS14" i="53"/>
  <c r="AT14" i="53"/>
  <c r="AU14" i="53"/>
  <c r="AV14" i="53"/>
  <c r="AW14" i="53"/>
  <c r="AX14" i="53"/>
  <c r="AY14" i="53"/>
  <c r="AZ14" i="53"/>
  <c r="BA14" i="53"/>
  <c r="AD15" i="53"/>
  <c r="AE15" i="53"/>
  <c r="AF15" i="53"/>
  <c r="AG15" i="53"/>
  <c r="AH15" i="53"/>
  <c r="AI15" i="53"/>
  <c r="AJ15" i="53"/>
  <c r="AK15" i="53"/>
  <c r="AL15" i="53"/>
  <c r="AM15" i="53"/>
  <c r="AN15" i="53"/>
  <c r="AO15" i="53"/>
  <c r="AP15" i="53"/>
  <c r="AQ15" i="53"/>
  <c r="AR15" i="53"/>
  <c r="AS15" i="53"/>
  <c r="AT15" i="53"/>
  <c r="AU15" i="53"/>
  <c r="AV15" i="53"/>
  <c r="AW15" i="53"/>
  <c r="AX15" i="53"/>
  <c r="AY15" i="53"/>
  <c r="AZ15" i="53"/>
  <c r="BA15" i="53"/>
  <c r="AD16" i="53"/>
  <c r="AE16" i="53"/>
  <c r="AF16" i="53"/>
  <c r="AG16" i="53"/>
  <c r="AH16" i="53"/>
  <c r="AI16" i="53"/>
  <c r="AJ16" i="53"/>
  <c r="AK16" i="53"/>
  <c r="AL16" i="53"/>
  <c r="AM16" i="53"/>
  <c r="AN16" i="53"/>
  <c r="AO16" i="53"/>
  <c r="AP16" i="53"/>
  <c r="AQ16" i="53"/>
  <c r="AR16" i="53"/>
  <c r="AS16" i="53"/>
  <c r="AT16" i="53"/>
  <c r="AU16" i="53"/>
  <c r="AV16" i="53"/>
  <c r="AW16" i="53"/>
  <c r="AX16" i="53"/>
  <c r="AY16" i="53"/>
  <c r="AZ16" i="53"/>
  <c r="BA16" i="53"/>
  <c r="AD17" i="53"/>
  <c r="AE17" i="53"/>
  <c r="AF17" i="53"/>
  <c r="AG17" i="53"/>
  <c r="AH17" i="53"/>
  <c r="AI17" i="53"/>
  <c r="AJ17" i="53"/>
  <c r="AK17" i="53"/>
  <c r="AL17" i="53"/>
  <c r="AM17" i="53"/>
  <c r="AN17" i="53"/>
  <c r="AO17" i="53"/>
  <c r="AP17" i="53"/>
  <c r="AQ17" i="53"/>
  <c r="AR17" i="53"/>
  <c r="AS17" i="53"/>
  <c r="AT17" i="53"/>
  <c r="AU17" i="53"/>
  <c r="AV17" i="53"/>
  <c r="AW17" i="53"/>
  <c r="AX17" i="53"/>
  <c r="AY17" i="53"/>
  <c r="AZ17" i="53"/>
  <c r="BA17" i="53"/>
  <c r="AD18" i="53"/>
  <c r="AE18" i="53"/>
  <c r="AF18" i="53"/>
  <c r="AG18" i="53"/>
  <c r="AH18" i="53"/>
  <c r="AI18" i="53"/>
  <c r="AJ18" i="53"/>
  <c r="AK18" i="53"/>
  <c r="AL18" i="53"/>
  <c r="AM18" i="53"/>
  <c r="AN18" i="53"/>
  <c r="AO18" i="53"/>
  <c r="AP18" i="53"/>
  <c r="AQ18" i="53"/>
  <c r="AR18" i="53"/>
  <c r="AS18" i="53"/>
  <c r="AT18" i="53"/>
  <c r="AU18" i="53"/>
  <c r="AV18" i="53"/>
  <c r="AW18" i="53"/>
  <c r="AX18" i="53"/>
  <c r="AY18" i="53"/>
  <c r="AZ18" i="53"/>
  <c r="BA18" i="53"/>
  <c r="AD19" i="53"/>
  <c r="AE19" i="53"/>
  <c r="AF19" i="53"/>
  <c r="AG19" i="53"/>
  <c r="AH19" i="53"/>
  <c r="AI19" i="53"/>
  <c r="AJ19" i="53"/>
  <c r="AK19" i="53"/>
  <c r="AL19" i="53"/>
  <c r="AM19" i="53"/>
  <c r="AN19" i="53"/>
  <c r="AO19" i="53"/>
  <c r="AP19" i="53"/>
  <c r="AQ19" i="53"/>
  <c r="AR19" i="53"/>
  <c r="AS19" i="53"/>
  <c r="AT19" i="53"/>
  <c r="AU19" i="53"/>
  <c r="AV19" i="53"/>
  <c r="AW19" i="53"/>
  <c r="AX19" i="53"/>
  <c r="AY19" i="53"/>
  <c r="AZ19" i="53"/>
  <c r="BA19" i="53"/>
  <c r="AD20" i="53"/>
  <c r="AE20" i="53"/>
  <c r="AF20" i="53"/>
  <c r="AG20" i="53"/>
  <c r="AH20" i="53"/>
  <c r="AI20" i="53"/>
  <c r="AJ20" i="53"/>
  <c r="AK20" i="53"/>
  <c r="AL20" i="53"/>
  <c r="AM20" i="53"/>
  <c r="AN20" i="53"/>
  <c r="AO20" i="53"/>
  <c r="AP20" i="53"/>
  <c r="AQ20" i="53"/>
  <c r="AR20" i="53"/>
  <c r="AS20" i="53"/>
  <c r="AT20" i="53"/>
  <c r="AU20" i="53"/>
  <c r="AV20" i="53"/>
  <c r="AW20" i="53"/>
  <c r="AX20" i="53"/>
  <c r="AY20" i="53"/>
  <c r="AZ20" i="53"/>
  <c r="BA20" i="53"/>
  <c r="AD21" i="53"/>
  <c r="AE21" i="53"/>
  <c r="AF21" i="53"/>
  <c r="AG21" i="53"/>
  <c r="AH21" i="53"/>
  <c r="AI21" i="53"/>
  <c r="AJ21" i="53"/>
  <c r="AK21" i="53"/>
  <c r="AL21" i="53"/>
  <c r="AM21" i="53"/>
  <c r="AN21" i="53"/>
  <c r="AO21" i="53"/>
  <c r="AP21" i="53"/>
  <c r="AQ21" i="53"/>
  <c r="AR21" i="53"/>
  <c r="AS21" i="53"/>
  <c r="AT21" i="53"/>
  <c r="AU21" i="53"/>
  <c r="AV21" i="53"/>
  <c r="AW21" i="53"/>
  <c r="AX21" i="53"/>
  <c r="AY21" i="53"/>
  <c r="AZ21" i="53"/>
  <c r="BA21" i="53"/>
  <c r="AD22" i="53"/>
  <c r="AE22" i="53"/>
  <c r="AF22" i="53"/>
  <c r="AG22" i="53"/>
  <c r="AH22" i="53"/>
  <c r="AI22" i="53"/>
  <c r="AJ22" i="53"/>
  <c r="AK22" i="53"/>
  <c r="AL22" i="53"/>
  <c r="AM22" i="53"/>
  <c r="AN22" i="53"/>
  <c r="AO22" i="53"/>
  <c r="AP22" i="53"/>
  <c r="AQ22" i="53"/>
  <c r="AR22" i="53"/>
  <c r="AS22" i="53"/>
  <c r="AT22" i="53"/>
  <c r="AU22" i="53"/>
  <c r="AV22" i="53"/>
  <c r="AW22" i="53"/>
  <c r="AX22" i="53"/>
  <c r="AY22" i="53"/>
  <c r="AZ22" i="53"/>
  <c r="BA22" i="53"/>
  <c r="AD23" i="53"/>
  <c r="AE23" i="53"/>
  <c r="AF23" i="53"/>
  <c r="AG23" i="53"/>
  <c r="AH23" i="53"/>
  <c r="AI23" i="53"/>
  <c r="AJ23" i="53"/>
  <c r="AK23" i="53"/>
  <c r="AL23" i="53"/>
  <c r="AM23" i="53"/>
  <c r="AN23" i="53"/>
  <c r="AO23" i="53"/>
  <c r="AP23" i="53"/>
  <c r="AQ23" i="53"/>
  <c r="AR23" i="53"/>
  <c r="AS23" i="53"/>
  <c r="AT23" i="53"/>
  <c r="AU23" i="53"/>
  <c r="AV23" i="53"/>
  <c r="AW23" i="53"/>
  <c r="AX23" i="53"/>
  <c r="AY23" i="53"/>
  <c r="AZ23" i="53"/>
  <c r="BA23" i="53"/>
  <c r="AD24" i="53"/>
  <c r="AE24" i="53"/>
  <c r="AF24" i="53"/>
  <c r="AG24" i="53"/>
  <c r="AH24" i="53"/>
  <c r="AI24" i="53"/>
  <c r="AJ24" i="53"/>
  <c r="AK24" i="53"/>
  <c r="AL24" i="53"/>
  <c r="AM24" i="53"/>
  <c r="AN24" i="53"/>
  <c r="AO24" i="53"/>
  <c r="AP24" i="53"/>
  <c r="AQ24" i="53"/>
  <c r="AR24" i="53"/>
  <c r="AS24" i="53"/>
  <c r="AT24" i="53"/>
  <c r="AU24" i="53"/>
  <c r="AV24" i="53"/>
  <c r="AW24" i="53"/>
  <c r="AX24" i="53"/>
  <c r="AY24" i="53"/>
  <c r="AZ24" i="53"/>
  <c r="BA24" i="53"/>
  <c r="AD25" i="53"/>
  <c r="AE25" i="53"/>
  <c r="AF25" i="53"/>
  <c r="AG25" i="53"/>
  <c r="AH25" i="53"/>
  <c r="AI25" i="53"/>
  <c r="AJ25" i="53"/>
  <c r="AK25" i="53"/>
  <c r="AL25" i="53"/>
  <c r="AM25" i="53"/>
  <c r="AN25" i="53"/>
  <c r="AO25" i="53"/>
  <c r="AP25" i="53"/>
  <c r="AQ25" i="53"/>
  <c r="AR25" i="53"/>
  <c r="AS25" i="53"/>
  <c r="AT25" i="53"/>
  <c r="AU25" i="53"/>
  <c r="AV25" i="53"/>
  <c r="AW25" i="53"/>
  <c r="AX25" i="53"/>
  <c r="AY25" i="53"/>
  <c r="AZ25" i="53"/>
  <c r="BA25" i="53"/>
  <c r="AD26" i="53"/>
  <c r="AE26" i="53"/>
  <c r="AF26" i="53"/>
  <c r="AG26" i="53"/>
  <c r="AH26" i="53"/>
  <c r="AI26" i="53"/>
  <c r="AJ26" i="53"/>
  <c r="AK26" i="53"/>
  <c r="AL26" i="53"/>
  <c r="AM26" i="53"/>
  <c r="AN26" i="53"/>
  <c r="AO26" i="53"/>
  <c r="AP26" i="53"/>
  <c r="AQ26" i="53"/>
  <c r="AR26" i="53"/>
  <c r="AS26" i="53"/>
  <c r="AT26" i="53"/>
  <c r="AU26" i="53"/>
  <c r="AV26" i="53"/>
  <c r="AW26" i="53"/>
  <c r="AX26" i="53"/>
  <c r="AY26" i="53"/>
  <c r="AZ26" i="53"/>
  <c r="BA26" i="53"/>
  <c r="AD27" i="53"/>
  <c r="AE27" i="53"/>
  <c r="AF27" i="53"/>
  <c r="AG27" i="53"/>
  <c r="AH27" i="53"/>
  <c r="AI27" i="53"/>
  <c r="AJ27" i="53"/>
  <c r="AK27" i="53"/>
  <c r="AL27" i="53"/>
  <c r="AM27" i="53"/>
  <c r="AN27" i="53"/>
  <c r="AO27" i="53"/>
  <c r="AP27" i="53"/>
  <c r="AQ27" i="53"/>
  <c r="AR27" i="53"/>
  <c r="AS27" i="53"/>
  <c r="AT27" i="53"/>
  <c r="AU27" i="53"/>
  <c r="AV27" i="53"/>
  <c r="AW27" i="53"/>
  <c r="AX27" i="53"/>
  <c r="AY27" i="53"/>
  <c r="AZ27" i="53"/>
  <c r="BA27" i="53"/>
  <c r="AD28" i="53"/>
  <c r="AE28" i="53"/>
  <c r="AF28" i="53"/>
  <c r="AG28" i="53"/>
  <c r="AH28" i="53"/>
  <c r="AI28" i="53"/>
  <c r="AJ28" i="53"/>
  <c r="AK28" i="53"/>
  <c r="AL28" i="53"/>
  <c r="AM28" i="53"/>
  <c r="AN28" i="53"/>
  <c r="AO28" i="53"/>
  <c r="AP28" i="53"/>
  <c r="AQ28" i="53"/>
  <c r="AR28" i="53"/>
  <c r="AS28" i="53"/>
  <c r="AT28" i="53"/>
  <c r="AU28" i="53"/>
  <c r="AV28" i="53"/>
  <c r="AW28" i="53"/>
  <c r="AX28" i="53"/>
  <c r="AY28" i="53"/>
  <c r="AZ28" i="53"/>
  <c r="BA28" i="53"/>
  <c r="AD29" i="53"/>
  <c r="AE29" i="53"/>
  <c r="AF29" i="53"/>
  <c r="AG29" i="53"/>
  <c r="AH29" i="53"/>
  <c r="AI29" i="53"/>
  <c r="AJ29" i="53"/>
  <c r="AK29" i="53"/>
  <c r="AL29" i="53"/>
  <c r="AM29" i="53"/>
  <c r="AN29" i="53"/>
  <c r="AO29" i="53"/>
  <c r="AP29" i="53"/>
  <c r="AQ29" i="53"/>
  <c r="AR29" i="53"/>
  <c r="AS29" i="53"/>
  <c r="AT29" i="53"/>
  <c r="AU29" i="53"/>
  <c r="AV29" i="53"/>
  <c r="AW29" i="53"/>
  <c r="AX29" i="53"/>
  <c r="AY29" i="53"/>
  <c r="AZ29" i="53"/>
  <c r="BA29" i="53"/>
  <c r="AD30" i="53"/>
  <c r="AE30" i="53"/>
  <c r="AF30" i="53"/>
  <c r="AG30" i="53"/>
  <c r="AH30" i="53"/>
  <c r="AI30" i="53"/>
  <c r="AJ30" i="53"/>
  <c r="AK30" i="53"/>
  <c r="AL30" i="53"/>
  <c r="AM30" i="53"/>
  <c r="AN30" i="53"/>
  <c r="AO30" i="53"/>
  <c r="AP30" i="53"/>
  <c r="AQ30" i="53"/>
  <c r="AR30" i="53"/>
  <c r="AS30" i="53"/>
  <c r="AT30" i="53"/>
  <c r="AU30" i="53"/>
  <c r="AV30" i="53"/>
  <c r="AW30" i="53"/>
  <c r="AX30" i="53"/>
  <c r="AY30" i="53"/>
  <c r="AZ30" i="53"/>
  <c r="BA30" i="53"/>
  <c r="AD31" i="53"/>
  <c r="AE31" i="53"/>
  <c r="AF31" i="53"/>
  <c r="AG31" i="53"/>
  <c r="AH31" i="53"/>
  <c r="AI31" i="53"/>
  <c r="AJ31" i="53"/>
  <c r="AK31" i="53"/>
  <c r="AL31" i="53"/>
  <c r="AM31" i="53"/>
  <c r="AN31" i="53"/>
  <c r="AO31" i="53"/>
  <c r="AP31" i="53"/>
  <c r="AQ31" i="53"/>
  <c r="AR31" i="53"/>
  <c r="AS31" i="53"/>
  <c r="AT31" i="53"/>
  <c r="AU31" i="53"/>
  <c r="AV31" i="53"/>
  <c r="AW31" i="53"/>
  <c r="AX31" i="53"/>
  <c r="AY31" i="53"/>
  <c r="AZ31" i="53"/>
  <c r="BA31" i="53"/>
  <c r="AD32" i="53"/>
  <c r="AE32" i="53"/>
  <c r="AF32" i="53"/>
  <c r="AG32" i="53"/>
  <c r="AH32" i="53"/>
  <c r="AI32" i="53"/>
  <c r="AJ32" i="53"/>
  <c r="AK32" i="53"/>
  <c r="AL32" i="53"/>
  <c r="AM32" i="53"/>
  <c r="AN32" i="53"/>
  <c r="AO32" i="53"/>
  <c r="AP32" i="53"/>
  <c r="AQ32" i="53"/>
  <c r="AR32" i="53"/>
  <c r="AS32" i="53"/>
  <c r="AT32" i="53"/>
  <c r="AU32" i="53"/>
  <c r="AV32" i="53"/>
  <c r="AW32" i="53"/>
  <c r="AX32" i="53"/>
  <c r="AY32" i="53"/>
  <c r="AZ32" i="53"/>
  <c r="BA32" i="53"/>
  <c r="AD33" i="53"/>
  <c r="AE33" i="53"/>
  <c r="AF33" i="53"/>
  <c r="AG33" i="53"/>
  <c r="AH33" i="53"/>
  <c r="AI33" i="53"/>
  <c r="AJ33" i="53"/>
  <c r="AK33" i="53"/>
  <c r="AL33" i="53"/>
  <c r="AM33" i="53"/>
  <c r="AN33" i="53"/>
  <c r="AO33" i="53"/>
  <c r="AP33" i="53"/>
  <c r="AQ33" i="53"/>
  <c r="AR33" i="53"/>
  <c r="AS33" i="53"/>
  <c r="AT33" i="53"/>
  <c r="AU33" i="53"/>
  <c r="AV33" i="53"/>
  <c r="AW33" i="53"/>
  <c r="AX33" i="53"/>
  <c r="AY33" i="53"/>
  <c r="AZ33" i="53"/>
  <c r="BA33" i="53"/>
  <c r="AD34" i="53"/>
  <c r="AE34" i="53"/>
  <c r="AF34" i="53"/>
  <c r="AG34" i="53"/>
  <c r="AH34" i="53"/>
  <c r="AI34" i="53"/>
  <c r="AJ34" i="53"/>
  <c r="AK34" i="53"/>
  <c r="AL34" i="53"/>
  <c r="AM34" i="53"/>
  <c r="AN34" i="53"/>
  <c r="AO34" i="53"/>
  <c r="AP34" i="53"/>
  <c r="AQ34" i="53"/>
  <c r="AR34" i="53"/>
  <c r="AS34" i="53"/>
  <c r="AT34" i="53"/>
  <c r="AU34" i="53"/>
  <c r="AV34" i="53"/>
  <c r="AW34" i="53"/>
  <c r="AX34" i="53"/>
  <c r="AY34" i="53"/>
  <c r="AZ34" i="53"/>
  <c r="BA34" i="53"/>
  <c r="AD35" i="53"/>
  <c r="AE35" i="53"/>
  <c r="AF35" i="53"/>
  <c r="AG35" i="53"/>
  <c r="AH35" i="53"/>
  <c r="AI35" i="53"/>
  <c r="AJ35" i="53"/>
  <c r="AK35" i="53"/>
  <c r="AL35" i="53"/>
  <c r="AM35" i="53"/>
  <c r="AN35" i="53"/>
  <c r="AO35" i="53"/>
  <c r="AP35" i="53"/>
  <c r="AQ35" i="53"/>
  <c r="AR35" i="53"/>
  <c r="AS35" i="53"/>
  <c r="AT35" i="53"/>
  <c r="AU35" i="53"/>
  <c r="AV35" i="53"/>
  <c r="AW35" i="53"/>
  <c r="AX35" i="53"/>
  <c r="AY35" i="53"/>
  <c r="AZ35" i="53"/>
  <c r="BA35" i="53"/>
  <c r="AD36" i="53"/>
  <c r="AE36" i="53"/>
  <c r="AF36" i="53"/>
  <c r="AG36" i="53"/>
  <c r="AH36" i="53"/>
  <c r="AI36" i="53"/>
  <c r="AJ36" i="53"/>
  <c r="AK36" i="53"/>
  <c r="AL36" i="53"/>
  <c r="AM36" i="53"/>
  <c r="AN36" i="53"/>
  <c r="AO36" i="53"/>
  <c r="AP36" i="53"/>
  <c r="AQ36" i="53"/>
  <c r="AR36" i="53"/>
  <c r="AS36" i="53"/>
  <c r="AT36" i="53"/>
  <c r="AU36" i="53"/>
  <c r="AV36" i="53"/>
  <c r="AW36" i="53"/>
  <c r="AX36" i="53"/>
  <c r="AY36" i="53"/>
  <c r="AZ36" i="53"/>
  <c r="BA36" i="53"/>
  <c r="AD37" i="53"/>
  <c r="AE37" i="53"/>
  <c r="AF37" i="53"/>
  <c r="AG37" i="53"/>
  <c r="AH37" i="53"/>
  <c r="AI37" i="53"/>
  <c r="AJ37" i="53"/>
  <c r="AK37" i="53"/>
  <c r="AL37" i="53"/>
  <c r="AM37" i="53"/>
  <c r="AN37" i="53"/>
  <c r="AO37" i="53"/>
  <c r="AP37" i="53"/>
  <c r="AQ37" i="53"/>
  <c r="AR37" i="53"/>
  <c r="AS37" i="53"/>
  <c r="AT37" i="53"/>
  <c r="AU37" i="53"/>
  <c r="AV37" i="53"/>
  <c r="AW37" i="53"/>
  <c r="AX37" i="53"/>
  <c r="AY37" i="53"/>
  <c r="AZ37" i="53"/>
  <c r="BA37" i="53"/>
  <c r="AD38" i="53"/>
  <c r="AE38" i="53"/>
  <c r="AF38" i="53"/>
  <c r="AG38" i="53"/>
  <c r="AH38" i="53"/>
  <c r="AI38" i="53"/>
  <c r="AJ38" i="53"/>
  <c r="AK38" i="53"/>
  <c r="AL38" i="53"/>
  <c r="AM38" i="53"/>
  <c r="AN38" i="53"/>
  <c r="AO38" i="53"/>
  <c r="AP38" i="53"/>
  <c r="AQ38" i="53"/>
  <c r="AR38" i="53"/>
  <c r="AS38" i="53"/>
  <c r="AT38" i="53"/>
  <c r="AU38" i="53"/>
  <c r="AV38" i="53"/>
  <c r="AW38" i="53"/>
  <c r="AX38" i="53"/>
  <c r="AY38" i="53"/>
  <c r="AZ38" i="53"/>
  <c r="BA38" i="53"/>
  <c r="AD39" i="53"/>
  <c r="AE39" i="53"/>
  <c r="AF39" i="53"/>
  <c r="AG39" i="53"/>
  <c r="AH39" i="53"/>
  <c r="AI39" i="53"/>
  <c r="AJ39" i="53"/>
  <c r="AK39" i="53"/>
  <c r="AL39" i="53"/>
  <c r="AM39" i="53"/>
  <c r="AN39" i="53"/>
  <c r="AO39" i="53"/>
  <c r="AP39" i="53"/>
  <c r="AQ39" i="53"/>
  <c r="AR39" i="53"/>
  <c r="AS39" i="53"/>
  <c r="AT39" i="53"/>
  <c r="AU39" i="53"/>
  <c r="AV39" i="53"/>
  <c r="AW39" i="53"/>
  <c r="AX39" i="53"/>
  <c r="AY39" i="53"/>
  <c r="AZ39" i="53"/>
  <c r="BA39" i="53"/>
  <c r="AD40" i="53"/>
  <c r="AE40" i="53"/>
  <c r="AF40" i="53"/>
  <c r="AG40" i="53"/>
  <c r="AH40" i="53"/>
  <c r="AI40" i="53"/>
  <c r="AJ40" i="53"/>
  <c r="AK40" i="53"/>
  <c r="AL40" i="53"/>
  <c r="AM40" i="53"/>
  <c r="AN40" i="53"/>
  <c r="AO40" i="53"/>
  <c r="AP40" i="53"/>
  <c r="AQ40" i="53"/>
  <c r="AR40" i="53"/>
  <c r="AS40" i="53"/>
  <c r="AT40" i="53"/>
  <c r="AU40" i="53"/>
  <c r="AV40" i="53"/>
  <c r="AW40" i="53"/>
  <c r="AX40" i="53"/>
  <c r="AY40" i="53"/>
  <c r="AZ40" i="53"/>
  <c r="BA40" i="53"/>
  <c r="AD41" i="53"/>
  <c r="AE41" i="53"/>
  <c r="AF41" i="53"/>
  <c r="AG41" i="53"/>
  <c r="AH41" i="53"/>
  <c r="AI41" i="53"/>
  <c r="AJ41" i="53"/>
  <c r="AK41" i="53"/>
  <c r="AL41" i="53"/>
  <c r="AM41" i="53"/>
  <c r="AN41" i="53"/>
  <c r="AO41" i="53"/>
  <c r="AP41" i="53"/>
  <c r="AQ41" i="53"/>
  <c r="AR41" i="53"/>
  <c r="AS41" i="53"/>
  <c r="AT41" i="53"/>
  <c r="AU41" i="53"/>
  <c r="AV41" i="53"/>
  <c r="AW41" i="53"/>
  <c r="AX41" i="53"/>
  <c r="AY41" i="53"/>
  <c r="AZ41" i="53"/>
  <c r="BA41" i="53"/>
  <c r="AD42" i="53"/>
  <c r="AE42" i="53"/>
  <c r="AF42" i="53"/>
  <c r="AG42" i="53"/>
  <c r="AH42" i="53"/>
  <c r="AI42" i="53"/>
  <c r="AJ42" i="53"/>
  <c r="AK42" i="53"/>
  <c r="AL42" i="53"/>
  <c r="AM42" i="53"/>
  <c r="AN42" i="53"/>
  <c r="AO42" i="53"/>
  <c r="AP42" i="53"/>
  <c r="AQ42" i="53"/>
  <c r="AR42" i="53"/>
  <c r="AS42" i="53"/>
  <c r="AT42" i="53"/>
  <c r="AU42" i="53"/>
  <c r="AV42" i="53"/>
  <c r="AW42" i="53"/>
  <c r="AX42" i="53"/>
  <c r="AY42" i="53"/>
  <c r="AZ42" i="53"/>
  <c r="BA42" i="53"/>
  <c r="AD43" i="53"/>
  <c r="AE43" i="53"/>
  <c r="AF43" i="53"/>
  <c r="AG43" i="53"/>
  <c r="AH43" i="53"/>
  <c r="AI43" i="53"/>
  <c r="AJ43" i="53"/>
  <c r="AK43" i="53"/>
  <c r="AL43" i="53"/>
  <c r="AM43" i="53"/>
  <c r="AN43" i="53"/>
  <c r="AO43" i="53"/>
  <c r="AP43" i="53"/>
  <c r="AQ43" i="53"/>
  <c r="AR43" i="53"/>
  <c r="AS43" i="53"/>
  <c r="AT43" i="53"/>
  <c r="AU43" i="53"/>
  <c r="AV43" i="53"/>
  <c r="AW43" i="53"/>
  <c r="AX43" i="53"/>
  <c r="AY43" i="53"/>
  <c r="AZ43" i="53"/>
  <c r="BA43" i="53"/>
  <c r="AD44" i="53"/>
  <c r="AE44" i="53"/>
  <c r="AF44" i="53"/>
  <c r="AG44" i="53"/>
  <c r="AH44" i="53"/>
  <c r="AI44" i="53"/>
  <c r="AJ44" i="53"/>
  <c r="AK44" i="53"/>
  <c r="AL44" i="53"/>
  <c r="AM44" i="53"/>
  <c r="AN44" i="53"/>
  <c r="AO44" i="53"/>
  <c r="AP44" i="53"/>
  <c r="AQ44" i="53"/>
  <c r="AR44" i="53"/>
  <c r="AS44" i="53"/>
  <c r="AT44" i="53"/>
  <c r="AU44" i="53"/>
  <c r="AV44" i="53"/>
  <c r="AW44" i="53"/>
  <c r="AX44" i="53"/>
  <c r="AY44" i="53"/>
  <c r="AZ44" i="53"/>
  <c r="BA44" i="53"/>
  <c r="AD45" i="53"/>
  <c r="AE45" i="53"/>
  <c r="AF45" i="53"/>
  <c r="AG45" i="53"/>
  <c r="AH45" i="53"/>
  <c r="AI45" i="53"/>
  <c r="AJ45" i="53"/>
  <c r="AK45" i="53"/>
  <c r="AL45" i="53"/>
  <c r="AM45" i="53"/>
  <c r="AN45" i="53"/>
  <c r="AO45" i="53"/>
  <c r="AP45" i="53"/>
  <c r="AQ45" i="53"/>
  <c r="AR45" i="53"/>
  <c r="AS45" i="53"/>
  <c r="AT45" i="53"/>
  <c r="AU45" i="53"/>
  <c r="AV45" i="53"/>
  <c r="AW45" i="53"/>
  <c r="AX45" i="53"/>
  <c r="AY45" i="53"/>
  <c r="AZ45" i="53"/>
  <c r="BA45" i="53"/>
  <c r="AD46" i="53"/>
  <c r="AE46" i="53"/>
  <c r="AF46" i="53"/>
  <c r="AG46" i="53"/>
  <c r="AH46" i="53"/>
  <c r="AI46" i="53"/>
  <c r="AJ46" i="53"/>
  <c r="AK46" i="53"/>
  <c r="AL46" i="53"/>
  <c r="AM46" i="53"/>
  <c r="AN46" i="53"/>
  <c r="AO46" i="53"/>
  <c r="AP46" i="53"/>
  <c r="AQ46" i="53"/>
  <c r="AR46" i="53"/>
  <c r="AS46" i="53"/>
  <c r="AT46" i="53"/>
  <c r="AU46" i="53"/>
  <c r="AV46" i="53"/>
  <c r="AW46" i="53"/>
  <c r="AX46" i="53"/>
  <c r="AY46" i="53"/>
  <c r="AZ46" i="53"/>
  <c r="BA46" i="53"/>
  <c r="AD47" i="53"/>
  <c r="AE47" i="53"/>
  <c r="AF47" i="53"/>
  <c r="AG47" i="53"/>
  <c r="AH47" i="53"/>
  <c r="AI47" i="53"/>
  <c r="AJ47" i="53"/>
  <c r="AK47" i="53"/>
  <c r="AL47" i="53"/>
  <c r="AM47" i="53"/>
  <c r="AN47" i="53"/>
  <c r="AO47" i="53"/>
  <c r="AP47" i="53"/>
  <c r="AQ47" i="53"/>
  <c r="AR47" i="53"/>
  <c r="AS47" i="53"/>
  <c r="AT47" i="53"/>
  <c r="AU47" i="53"/>
  <c r="AV47" i="53"/>
  <c r="AW47" i="53"/>
  <c r="AX47" i="53"/>
  <c r="AY47" i="53"/>
  <c r="AZ47" i="53"/>
  <c r="BA47" i="53"/>
  <c r="AD48" i="53"/>
  <c r="AE48" i="53"/>
  <c r="AF48" i="53"/>
  <c r="AG48" i="53"/>
  <c r="AH48" i="53"/>
  <c r="AI48" i="53"/>
  <c r="AJ48" i="53"/>
  <c r="AK48" i="53"/>
  <c r="AL48" i="53"/>
  <c r="AM48" i="53"/>
  <c r="AN48" i="53"/>
  <c r="AO48" i="53"/>
  <c r="AP48" i="53"/>
  <c r="AQ48" i="53"/>
  <c r="AR48" i="53"/>
  <c r="AS48" i="53"/>
  <c r="AT48" i="53"/>
  <c r="AU48" i="53"/>
  <c r="AV48" i="53"/>
  <c r="AW48" i="53"/>
  <c r="AX48" i="53"/>
  <c r="AY48" i="53"/>
  <c r="AZ48" i="53"/>
  <c r="BA48" i="53"/>
  <c r="AD49" i="53"/>
  <c r="AE49" i="53"/>
  <c r="AF49" i="53"/>
  <c r="AG49" i="53"/>
  <c r="AH49" i="53"/>
  <c r="AI49" i="53"/>
  <c r="AJ49" i="53"/>
  <c r="AK49" i="53"/>
  <c r="AL49" i="53"/>
  <c r="AM49" i="53"/>
  <c r="AN49" i="53"/>
  <c r="AO49" i="53"/>
  <c r="AP49" i="53"/>
  <c r="AQ49" i="53"/>
  <c r="AR49" i="53"/>
  <c r="AS49" i="53"/>
  <c r="AT49" i="53"/>
  <c r="AU49" i="53"/>
  <c r="AV49" i="53"/>
  <c r="AW49" i="53"/>
  <c r="AX49" i="53"/>
  <c r="AY49" i="53"/>
  <c r="AZ49" i="53"/>
  <c r="BA49" i="53"/>
  <c r="AD50" i="53"/>
  <c r="AE50" i="53"/>
  <c r="AF50" i="53"/>
  <c r="AG50" i="53"/>
  <c r="AH50" i="53"/>
  <c r="AI50" i="53"/>
  <c r="AJ50" i="53"/>
  <c r="AK50" i="53"/>
  <c r="AL50" i="53"/>
  <c r="AM50" i="53"/>
  <c r="AN50" i="53"/>
  <c r="AO50" i="53"/>
  <c r="AP50" i="53"/>
  <c r="AQ50" i="53"/>
  <c r="AR50" i="53"/>
  <c r="AS50" i="53"/>
  <c r="AT50" i="53"/>
  <c r="AU50" i="53"/>
  <c r="AV50" i="53"/>
  <c r="AW50" i="53"/>
  <c r="AX50" i="53"/>
  <c r="AY50" i="53"/>
  <c r="AZ50" i="53"/>
  <c r="BA50" i="53"/>
  <c r="AD51" i="53"/>
  <c r="AE51" i="53"/>
  <c r="AF51" i="53"/>
  <c r="AG51" i="53"/>
  <c r="AH51" i="53"/>
  <c r="AI51" i="53"/>
  <c r="AJ51" i="53"/>
  <c r="AK51" i="53"/>
  <c r="AL51" i="53"/>
  <c r="AM51" i="53"/>
  <c r="AN51" i="53"/>
  <c r="AO51" i="53"/>
  <c r="AP51" i="53"/>
  <c r="AQ51" i="53"/>
  <c r="AR51" i="53"/>
  <c r="AS51" i="53"/>
  <c r="AT51" i="53"/>
  <c r="AU51" i="53"/>
  <c r="AV51" i="53"/>
  <c r="AW51" i="53"/>
  <c r="AX51" i="53"/>
  <c r="AY51" i="53"/>
  <c r="AZ51" i="53"/>
  <c r="BA51" i="53"/>
  <c r="AD52" i="53"/>
  <c r="AE52" i="53"/>
  <c r="AF52" i="53"/>
  <c r="AG52" i="53"/>
  <c r="AH52" i="53"/>
  <c r="AI52" i="53"/>
  <c r="AJ52" i="53"/>
  <c r="AK52" i="53"/>
  <c r="AL52" i="53"/>
  <c r="AM52" i="53"/>
  <c r="AN52" i="53"/>
  <c r="AO52" i="53"/>
  <c r="AP52" i="53"/>
  <c r="AQ52" i="53"/>
  <c r="AR52" i="53"/>
  <c r="AS52" i="53"/>
  <c r="AT52" i="53"/>
  <c r="AU52" i="53"/>
  <c r="AV52" i="53"/>
  <c r="AW52" i="53"/>
  <c r="AX52" i="53"/>
  <c r="AY52" i="53"/>
  <c r="AZ52" i="53"/>
  <c r="BA52" i="53"/>
  <c r="AD53" i="53"/>
  <c r="AE53" i="53"/>
  <c r="AF53" i="53"/>
  <c r="AG53" i="53"/>
  <c r="AH53" i="53"/>
  <c r="AI53" i="53"/>
  <c r="AJ53" i="53"/>
  <c r="AK53" i="53"/>
  <c r="AL53" i="53"/>
  <c r="AM53" i="53"/>
  <c r="AN53" i="53"/>
  <c r="AO53" i="53"/>
  <c r="AP53" i="53"/>
  <c r="AQ53" i="53"/>
  <c r="AR53" i="53"/>
  <c r="AS53" i="53"/>
  <c r="AT53" i="53"/>
  <c r="AU53" i="53"/>
  <c r="AV53" i="53"/>
  <c r="AW53" i="53"/>
  <c r="AX53" i="53"/>
  <c r="AY53" i="53"/>
  <c r="AZ53" i="53"/>
  <c r="BA53" i="53"/>
  <c r="AD54" i="53"/>
  <c r="AE54" i="53"/>
  <c r="AF54" i="53"/>
  <c r="AG54" i="53"/>
  <c r="AH54" i="53"/>
  <c r="AI54" i="53"/>
  <c r="AJ54" i="53"/>
  <c r="AK54" i="53"/>
  <c r="AL54" i="53"/>
  <c r="AM54" i="53"/>
  <c r="AN54" i="53"/>
  <c r="AO54" i="53"/>
  <c r="AP54" i="53"/>
  <c r="AQ54" i="53"/>
  <c r="AR54" i="53"/>
  <c r="AS54" i="53"/>
  <c r="AT54" i="53"/>
  <c r="AU54" i="53"/>
  <c r="AV54" i="53"/>
  <c r="AW54" i="53"/>
  <c r="AX54" i="53"/>
  <c r="AY54" i="53"/>
  <c r="AZ54" i="53"/>
  <c r="BA54" i="53"/>
  <c r="AD55" i="53"/>
  <c r="AE55" i="53"/>
  <c r="AF55" i="53"/>
  <c r="AG55" i="53"/>
  <c r="AH55" i="53"/>
  <c r="AI55" i="53"/>
  <c r="AJ55" i="53"/>
  <c r="AK55" i="53"/>
  <c r="AL55" i="53"/>
  <c r="AM55" i="53"/>
  <c r="AN55" i="53"/>
  <c r="AO55" i="53"/>
  <c r="AP55" i="53"/>
  <c r="AQ55" i="53"/>
  <c r="AR55" i="53"/>
  <c r="AS55" i="53"/>
  <c r="AT55" i="53"/>
  <c r="AU55" i="53"/>
  <c r="AV55" i="53"/>
  <c r="AW55" i="53"/>
  <c r="AX55" i="53"/>
  <c r="AY55" i="53"/>
  <c r="AZ55" i="53"/>
  <c r="BA55" i="53"/>
  <c r="AD56" i="53"/>
  <c r="AE56" i="53"/>
  <c r="AF56" i="53"/>
  <c r="AG56" i="53"/>
  <c r="AH56" i="53"/>
  <c r="AI56" i="53"/>
  <c r="AJ56" i="53"/>
  <c r="AK56" i="53"/>
  <c r="AL56" i="53"/>
  <c r="AM56" i="53"/>
  <c r="AN56" i="53"/>
  <c r="AO56" i="53"/>
  <c r="AP56" i="53"/>
  <c r="AQ56" i="53"/>
  <c r="AR56" i="53"/>
  <c r="AS56" i="53"/>
  <c r="AT56" i="53"/>
  <c r="AU56" i="53"/>
  <c r="AV56" i="53"/>
  <c r="AW56" i="53"/>
  <c r="AX56" i="53"/>
  <c r="AY56" i="53"/>
  <c r="AZ56" i="53"/>
  <c r="BA56" i="53"/>
  <c r="AD57" i="53"/>
  <c r="AE57" i="53"/>
  <c r="AF57" i="53"/>
  <c r="AG57" i="53"/>
  <c r="AH57" i="53"/>
  <c r="AI57" i="53"/>
  <c r="AJ57" i="53"/>
  <c r="AK57" i="53"/>
  <c r="AL57" i="53"/>
  <c r="AM57" i="53"/>
  <c r="AN57" i="53"/>
  <c r="AO57" i="53"/>
  <c r="AP57" i="53"/>
  <c r="AQ57" i="53"/>
  <c r="AR57" i="53"/>
  <c r="AS57" i="53"/>
  <c r="AT57" i="53"/>
  <c r="AU57" i="53"/>
  <c r="AV57" i="53"/>
  <c r="AW57" i="53"/>
  <c r="AX57" i="53"/>
  <c r="AY57" i="53"/>
  <c r="AZ57" i="53"/>
  <c r="BA57" i="53"/>
  <c r="AD58" i="53"/>
  <c r="AE58" i="53"/>
  <c r="AF58" i="53"/>
  <c r="AG58" i="53"/>
  <c r="AH58" i="53"/>
  <c r="AI58" i="53"/>
  <c r="AJ58" i="53"/>
  <c r="AK58" i="53"/>
  <c r="AL58" i="53"/>
  <c r="AM58" i="53"/>
  <c r="AN58" i="53"/>
  <c r="AO58" i="53"/>
  <c r="AP58" i="53"/>
  <c r="AQ58" i="53"/>
  <c r="AR58" i="53"/>
  <c r="AS58" i="53"/>
  <c r="AT58" i="53"/>
  <c r="AU58" i="53"/>
  <c r="AV58" i="53"/>
  <c r="AW58" i="53"/>
  <c r="AX58" i="53"/>
  <c r="AY58" i="53"/>
  <c r="AZ58" i="53"/>
  <c r="BA58" i="53"/>
  <c r="AD59" i="53"/>
  <c r="AE59" i="53"/>
  <c r="AF59" i="53"/>
  <c r="AG59" i="53"/>
  <c r="AH59" i="53"/>
  <c r="AI59" i="53"/>
  <c r="AJ59" i="53"/>
  <c r="AK59" i="53"/>
  <c r="AL59" i="53"/>
  <c r="AM59" i="53"/>
  <c r="AN59" i="53"/>
  <c r="AO59" i="53"/>
  <c r="AP59" i="53"/>
  <c r="AQ59" i="53"/>
  <c r="AR59" i="53"/>
  <c r="AS59" i="53"/>
  <c r="AT59" i="53"/>
  <c r="AU59" i="53"/>
  <c r="AV59" i="53"/>
  <c r="AW59" i="53"/>
  <c r="AX59" i="53"/>
  <c r="AY59" i="53"/>
  <c r="AZ59" i="53"/>
  <c r="BA59" i="53"/>
  <c r="AD60" i="53"/>
  <c r="AE60" i="53"/>
  <c r="AF60" i="53"/>
  <c r="AG60" i="53"/>
  <c r="AH60" i="53"/>
  <c r="AI60" i="53"/>
  <c r="AJ60" i="53"/>
  <c r="AK60" i="53"/>
  <c r="AL60" i="53"/>
  <c r="AM60" i="53"/>
  <c r="AN60" i="53"/>
  <c r="AO60" i="53"/>
  <c r="AP60" i="53"/>
  <c r="AQ60" i="53"/>
  <c r="AR60" i="53"/>
  <c r="AS60" i="53"/>
  <c r="AT60" i="53"/>
  <c r="AU60" i="53"/>
  <c r="AV60" i="53"/>
  <c r="AW60" i="53"/>
  <c r="AX60" i="53"/>
  <c r="AY60" i="53"/>
  <c r="AZ60" i="53"/>
  <c r="BA60" i="53"/>
  <c r="AD61" i="53"/>
  <c r="AE61" i="53"/>
  <c r="AF61" i="53"/>
  <c r="AG61" i="53"/>
  <c r="AH61" i="53"/>
  <c r="AI61" i="53"/>
  <c r="AJ61" i="53"/>
  <c r="AK61" i="53"/>
  <c r="AL61" i="53"/>
  <c r="AM61" i="53"/>
  <c r="AN61" i="53"/>
  <c r="AO61" i="53"/>
  <c r="AP61" i="53"/>
  <c r="AQ61" i="53"/>
  <c r="AR61" i="53"/>
  <c r="AS61" i="53"/>
  <c r="AT61" i="53"/>
  <c r="AU61" i="53"/>
  <c r="AV61" i="53"/>
  <c r="AW61" i="53"/>
  <c r="AX61" i="53"/>
  <c r="AY61" i="53"/>
  <c r="AZ61" i="53"/>
  <c r="BA61" i="53"/>
  <c r="AD62" i="53"/>
  <c r="AE62" i="53"/>
  <c r="AF62" i="53"/>
  <c r="AG62" i="53"/>
  <c r="AH62" i="53"/>
  <c r="AI62" i="53"/>
  <c r="AJ62" i="53"/>
  <c r="AK62" i="53"/>
  <c r="AL62" i="53"/>
  <c r="AM62" i="53"/>
  <c r="AN62" i="53"/>
  <c r="AO62" i="53"/>
  <c r="AP62" i="53"/>
  <c r="AQ62" i="53"/>
  <c r="AR62" i="53"/>
  <c r="AS62" i="53"/>
  <c r="AT62" i="53"/>
  <c r="AU62" i="53"/>
  <c r="AV62" i="53"/>
  <c r="AW62" i="53"/>
  <c r="AX62" i="53"/>
  <c r="AY62" i="53"/>
  <c r="AZ62" i="53"/>
  <c r="BA62" i="53"/>
  <c r="AD63" i="53"/>
  <c r="AE63" i="53"/>
  <c r="AF63" i="53"/>
  <c r="AG63" i="53"/>
  <c r="AH63" i="53"/>
  <c r="AI63" i="53"/>
  <c r="AJ63" i="53"/>
  <c r="AK63" i="53"/>
  <c r="AL63" i="53"/>
  <c r="AM63" i="53"/>
  <c r="AN63" i="53"/>
  <c r="AO63" i="53"/>
  <c r="AP63" i="53"/>
  <c r="AQ63" i="53"/>
  <c r="AR63" i="53"/>
  <c r="AS63" i="53"/>
  <c r="AT63" i="53"/>
  <c r="AU63" i="53"/>
  <c r="AV63" i="53"/>
  <c r="AW63" i="53"/>
  <c r="AX63" i="53"/>
  <c r="AY63" i="53"/>
  <c r="AZ63" i="53"/>
  <c r="BA63" i="53"/>
  <c r="AD64" i="53"/>
  <c r="AE64" i="53"/>
  <c r="AF64" i="53"/>
  <c r="AG64" i="53"/>
  <c r="AH64" i="53"/>
  <c r="AI64" i="53"/>
  <c r="AJ64" i="53"/>
  <c r="AK64" i="53"/>
  <c r="AL64" i="53"/>
  <c r="AM64" i="53"/>
  <c r="AN64" i="53"/>
  <c r="AO64" i="53"/>
  <c r="AP64" i="53"/>
  <c r="AQ64" i="53"/>
  <c r="AR64" i="53"/>
  <c r="AS64" i="53"/>
  <c r="AT64" i="53"/>
  <c r="AU64" i="53"/>
  <c r="AV64" i="53"/>
  <c r="AW64" i="53"/>
  <c r="AX64" i="53"/>
  <c r="AY64" i="53"/>
  <c r="AZ64" i="53"/>
  <c r="BA64" i="53"/>
  <c r="AD65" i="53"/>
  <c r="AE65" i="53"/>
  <c r="AF65" i="53"/>
  <c r="AG65" i="53"/>
  <c r="AH65" i="53"/>
  <c r="AI65" i="53"/>
  <c r="AJ65" i="53"/>
  <c r="AK65" i="53"/>
  <c r="AL65" i="53"/>
  <c r="AM65" i="53"/>
  <c r="AN65" i="53"/>
  <c r="AO65" i="53"/>
  <c r="AP65" i="53"/>
  <c r="AQ65" i="53"/>
  <c r="AR65" i="53"/>
  <c r="AS65" i="53"/>
  <c r="AT65" i="53"/>
  <c r="AU65" i="53"/>
  <c r="AV65" i="53"/>
  <c r="AW65" i="53"/>
  <c r="AX65" i="53"/>
  <c r="AY65" i="53"/>
  <c r="AZ65" i="53"/>
  <c r="BA65" i="53"/>
  <c r="AD66" i="53"/>
  <c r="AE66" i="53"/>
  <c r="AF66" i="53"/>
  <c r="AG66" i="53"/>
  <c r="AH66" i="53"/>
  <c r="AI66" i="53"/>
  <c r="AJ66" i="53"/>
  <c r="AK66" i="53"/>
  <c r="AL66" i="53"/>
  <c r="AM66" i="53"/>
  <c r="AN66" i="53"/>
  <c r="AO66" i="53"/>
  <c r="AP66" i="53"/>
  <c r="AQ66" i="53"/>
  <c r="AR66" i="53"/>
  <c r="AS66" i="53"/>
  <c r="AT66" i="53"/>
  <c r="AU66" i="53"/>
  <c r="AV66" i="53"/>
  <c r="AW66" i="53"/>
  <c r="AX66" i="53"/>
  <c r="AY66" i="53"/>
  <c r="AZ66" i="53"/>
  <c r="BA66" i="53"/>
  <c r="AD67" i="53"/>
  <c r="AE67" i="53"/>
  <c r="AF67" i="53"/>
  <c r="AG67" i="53"/>
  <c r="AH67" i="53"/>
  <c r="AI67" i="53"/>
  <c r="AJ67" i="53"/>
  <c r="AK67" i="53"/>
  <c r="AL67" i="53"/>
  <c r="AM67" i="53"/>
  <c r="AN67" i="53"/>
  <c r="AO67" i="53"/>
  <c r="AP67" i="53"/>
  <c r="AQ67" i="53"/>
  <c r="AR67" i="53"/>
  <c r="AS67" i="53"/>
  <c r="AT67" i="53"/>
  <c r="AU67" i="53"/>
  <c r="AV67" i="53"/>
  <c r="AW67" i="53"/>
  <c r="AX67" i="53"/>
  <c r="AY67" i="53"/>
  <c r="AZ67" i="53"/>
  <c r="BA67" i="53"/>
  <c r="AD68" i="53"/>
  <c r="AE68" i="53"/>
  <c r="AF68" i="53"/>
  <c r="AG68" i="53"/>
  <c r="AH68" i="53"/>
  <c r="AI68" i="53"/>
  <c r="AJ68" i="53"/>
  <c r="AK68" i="53"/>
  <c r="AL68" i="53"/>
  <c r="AM68" i="53"/>
  <c r="AN68" i="53"/>
  <c r="AO68" i="53"/>
  <c r="AP68" i="53"/>
  <c r="AQ68" i="53"/>
  <c r="AR68" i="53"/>
  <c r="AS68" i="53"/>
  <c r="AT68" i="53"/>
  <c r="AU68" i="53"/>
  <c r="AV68" i="53"/>
  <c r="AW68" i="53"/>
  <c r="AX68" i="53"/>
  <c r="AY68" i="53"/>
  <c r="AZ68" i="53"/>
  <c r="BA68" i="53"/>
  <c r="AD69" i="53"/>
  <c r="AE69" i="53"/>
  <c r="AF69" i="53"/>
  <c r="AG69" i="53"/>
  <c r="AH69" i="53"/>
  <c r="AI69" i="53"/>
  <c r="AJ69" i="53"/>
  <c r="AK69" i="53"/>
  <c r="AL69" i="53"/>
  <c r="AM69" i="53"/>
  <c r="AN69" i="53"/>
  <c r="AO69" i="53"/>
  <c r="AP69" i="53"/>
  <c r="AQ69" i="53"/>
  <c r="AR69" i="53"/>
  <c r="AS69" i="53"/>
  <c r="AT69" i="53"/>
  <c r="AU69" i="53"/>
  <c r="AV69" i="53"/>
  <c r="AW69" i="53"/>
  <c r="AX69" i="53"/>
  <c r="AY69" i="53"/>
  <c r="AZ69" i="53"/>
  <c r="BA69" i="53"/>
  <c r="AD70" i="53"/>
  <c r="AE70" i="53"/>
  <c r="AF70" i="53"/>
  <c r="AG70" i="53"/>
  <c r="AH70" i="53"/>
  <c r="AI70" i="53"/>
  <c r="AJ70" i="53"/>
  <c r="AK70" i="53"/>
  <c r="AL70" i="53"/>
  <c r="AM70" i="53"/>
  <c r="AN70" i="53"/>
  <c r="AO70" i="53"/>
  <c r="AP70" i="53"/>
  <c r="AQ70" i="53"/>
  <c r="AR70" i="53"/>
  <c r="AS70" i="53"/>
  <c r="AT70" i="53"/>
  <c r="AU70" i="53"/>
  <c r="AV70" i="53"/>
  <c r="AW70" i="53"/>
  <c r="AX70" i="53"/>
  <c r="AY70" i="53"/>
  <c r="AZ70" i="53"/>
  <c r="BA70" i="53"/>
  <c r="AD71" i="53"/>
  <c r="AE71" i="53"/>
  <c r="AF71" i="53"/>
  <c r="AG71" i="53"/>
  <c r="AH71" i="53"/>
  <c r="AI71" i="53"/>
  <c r="AJ71" i="53"/>
  <c r="AK71" i="53"/>
  <c r="AL71" i="53"/>
  <c r="AM71" i="53"/>
  <c r="AN71" i="53"/>
  <c r="AO71" i="53"/>
  <c r="AP71" i="53"/>
  <c r="AQ71" i="53"/>
  <c r="AR71" i="53"/>
  <c r="AS71" i="53"/>
  <c r="AT71" i="53"/>
  <c r="AU71" i="53"/>
  <c r="AV71" i="53"/>
  <c r="AW71" i="53"/>
  <c r="AX71" i="53"/>
  <c r="AY71" i="53"/>
  <c r="AZ71" i="53"/>
  <c r="BA71" i="53"/>
  <c r="AD72" i="53"/>
  <c r="AE72" i="53"/>
  <c r="AF72" i="53"/>
  <c r="AG72" i="53"/>
  <c r="AH72" i="53"/>
  <c r="AI72" i="53"/>
  <c r="AJ72" i="53"/>
  <c r="AK72" i="53"/>
  <c r="AL72" i="53"/>
  <c r="AM72" i="53"/>
  <c r="AN72" i="53"/>
  <c r="AO72" i="53"/>
  <c r="AP72" i="53"/>
  <c r="AQ72" i="53"/>
  <c r="AR72" i="53"/>
  <c r="AS72" i="53"/>
  <c r="AT72" i="53"/>
  <c r="AU72" i="53"/>
  <c r="AV72" i="53"/>
  <c r="AW72" i="53"/>
  <c r="AX72" i="53"/>
  <c r="AY72" i="53"/>
  <c r="AZ72" i="53"/>
  <c r="BA72" i="53"/>
  <c r="AD73" i="53"/>
  <c r="AE73" i="53"/>
  <c r="AF73" i="53"/>
  <c r="AG73" i="53"/>
  <c r="AH73" i="53"/>
  <c r="AI73" i="53"/>
  <c r="AJ73" i="53"/>
  <c r="AK73" i="53"/>
  <c r="AL73" i="53"/>
  <c r="AM73" i="53"/>
  <c r="AN73" i="53"/>
  <c r="AO73" i="53"/>
  <c r="AP73" i="53"/>
  <c r="AQ73" i="53"/>
  <c r="AR73" i="53"/>
  <c r="AS73" i="53"/>
  <c r="AT73" i="53"/>
  <c r="AU73" i="53"/>
  <c r="AV73" i="53"/>
  <c r="AW73" i="53"/>
  <c r="AX73" i="53"/>
  <c r="AY73" i="53"/>
  <c r="AZ73" i="53"/>
  <c r="BA73" i="53"/>
  <c r="AD74" i="53"/>
  <c r="AE74" i="53"/>
  <c r="AF74" i="53"/>
  <c r="AG74" i="53"/>
  <c r="AH74" i="53"/>
  <c r="AI74" i="53"/>
  <c r="AJ74" i="53"/>
  <c r="AK74" i="53"/>
  <c r="AL74" i="53"/>
  <c r="AM74" i="53"/>
  <c r="AN74" i="53"/>
  <c r="AO74" i="53"/>
  <c r="AP74" i="53"/>
  <c r="AQ74" i="53"/>
  <c r="AR74" i="53"/>
  <c r="AS74" i="53"/>
  <c r="AT74" i="53"/>
  <c r="AU74" i="53"/>
  <c r="AV74" i="53"/>
  <c r="AW74" i="53"/>
  <c r="AX74" i="53"/>
  <c r="AY74" i="53"/>
  <c r="AZ74" i="53"/>
  <c r="BA74" i="53"/>
  <c r="AD75" i="53"/>
  <c r="AE75" i="53"/>
  <c r="AF75" i="53"/>
  <c r="AG75" i="53"/>
  <c r="AH75" i="53"/>
  <c r="AI75" i="53"/>
  <c r="AJ75" i="53"/>
  <c r="AK75" i="53"/>
  <c r="AL75" i="53"/>
  <c r="AM75" i="53"/>
  <c r="AN75" i="53"/>
  <c r="AO75" i="53"/>
  <c r="AP75" i="53"/>
  <c r="AQ75" i="53"/>
  <c r="AR75" i="53"/>
  <c r="AS75" i="53"/>
  <c r="AT75" i="53"/>
  <c r="AU75" i="53"/>
  <c r="AV75" i="53"/>
  <c r="AW75" i="53"/>
  <c r="AX75" i="53"/>
  <c r="AY75" i="53"/>
  <c r="AZ75" i="53"/>
  <c r="BA75" i="53"/>
  <c r="AD76" i="53"/>
  <c r="AE76" i="53"/>
  <c r="AF76" i="53"/>
  <c r="AG76" i="53"/>
  <c r="AH76" i="53"/>
  <c r="AI76" i="53"/>
  <c r="AJ76" i="53"/>
  <c r="AK76" i="53"/>
  <c r="AL76" i="53"/>
  <c r="AM76" i="53"/>
  <c r="AN76" i="53"/>
  <c r="AO76" i="53"/>
  <c r="AP76" i="53"/>
  <c r="AQ76" i="53"/>
  <c r="AR76" i="53"/>
  <c r="AS76" i="53"/>
  <c r="AT76" i="53"/>
  <c r="AU76" i="53"/>
  <c r="AV76" i="53"/>
  <c r="AW76" i="53"/>
  <c r="AX76" i="53"/>
  <c r="AY76" i="53"/>
  <c r="AZ76" i="53"/>
  <c r="BA76" i="53"/>
  <c r="AD77" i="53"/>
  <c r="AE77" i="53"/>
  <c r="AF77" i="53"/>
  <c r="AG77" i="53"/>
  <c r="AH77" i="53"/>
  <c r="AI77" i="53"/>
  <c r="AJ77" i="53"/>
  <c r="AK77" i="53"/>
  <c r="AL77" i="53"/>
  <c r="AM77" i="53"/>
  <c r="AN77" i="53"/>
  <c r="AO77" i="53"/>
  <c r="AP77" i="53"/>
  <c r="AQ77" i="53"/>
  <c r="AR77" i="53"/>
  <c r="AS77" i="53"/>
  <c r="AT77" i="53"/>
  <c r="AU77" i="53"/>
  <c r="AV77" i="53"/>
  <c r="AW77" i="53"/>
  <c r="AX77" i="53"/>
  <c r="AY77" i="53"/>
  <c r="AZ77" i="53"/>
  <c r="BA77" i="53"/>
  <c r="AD78" i="53"/>
  <c r="AE78" i="53"/>
  <c r="AF78" i="53"/>
  <c r="AG78" i="53"/>
  <c r="AH78" i="53"/>
  <c r="AI78" i="53"/>
  <c r="AJ78" i="53"/>
  <c r="AK78" i="53"/>
  <c r="AL78" i="53"/>
  <c r="AM78" i="53"/>
  <c r="AN78" i="53"/>
  <c r="AO78" i="53"/>
  <c r="AP78" i="53"/>
  <c r="AQ78" i="53"/>
  <c r="AR78" i="53"/>
  <c r="AS78" i="53"/>
  <c r="AT78" i="53"/>
  <c r="AU78" i="53"/>
  <c r="AV78" i="53"/>
  <c r="AW78" i="53"/>
  <c r="AX78" i="53"/>
  <c r="AY78" i="53"/>
  <c r="AZ78" i="53"/>
  <c r="BA78" i="53"/>
  <c r="AD79" i="53"/>
  <c r="AE79" i="53"/>
  <c r="AF79" i="53"/>
  <c r="AG79" i="53"/>
  <c r="AH79" i="53"/>
  <c r="AI79" i="53"/>
  <c r="AJ79" i="53"/>
  <c r="AK79" i="53"/>
  <c r="AL79" i="53"/>
  <c r="AM79" i="53"/>
  <c r="AN79" i="53"/>
  <c r="AO79" i="53"/>
  <c r="AP79" i="53"/>
  <c r="AQ79" i="53"/>
  <c r="AR79" i="53"/>
  <c r="AS79" i="53"/>
  <c r="AT79" i="53"/>
  <c r="AU79" i="53"/>
  <c r="AV79" i="53"/>
  <c r="AW79" i="53"/>
  <c r="AX79" i="53"/>
  <c r="AY79" i="53"/>
  <c r="AZ79" i="53"/>
  <c r="BA79" i="53"/>
  <c r="AD80" i="53"/>
  <c r="AE80" i="53"/>
  <c r="AF80" i="53"/>
  <c r="AG80" i="53"/>
  <c r="AH80" i="53"/>
  <c r="AI80" i="53"/>
  <c r="AJ80" i="53"/>
  <c r="AK80" i="53"/>
  <c r="AL80" i="53"/>
  <c r="AM80" i="53"/>
  <c r="AN80" i="53"/>
  <c r="AO80" i="53"/>
  <c r="AP80" i="53"/>
  <c r="AQ80" i="53"/>
  <c r="AR80" i="53"/>
  <c r="AS80" i="53"/>
  <c r="AT80" i="53"/>
  <c r="AU80" i="53"/>
  <c r="AV80" i="53"/>
  <c r="AW80" i="53"/>
  <c r="AX80" i="53"/>
  <c r="AY80" i="53"/>
  <c r="AZ80" i="53"/>
  <c r="BA80" i="53"/>
  <c r="AD81" i="53"/>
  <c r="AE81" i="53"/>
  <c r="AF81" i="53"/>
  <c r="AG81" i="53"/>
  <c r="AH81" i="53"/>
  <c r="AI81" i="53"/>
  <c r="AJ81" i="53"/>
  <c r="AK81" i="53"/>
  <c r="AL81" i="53"/>
  <c r="AM81" i="53"/>
  <c r="AN81" i="53"/>
  <c r="AO81" i="53"/>
  <c r="AP81" i="53"/>
  <c r="AQ81" i="53"/>
  <c r="AR81" i="53"/>
  <c r="AS81" i="53"/>
  <c r="AT81" i="53"/>
  <c r="AU81" i="53"/>
  <c r="AV81" i="53"/>
  <c r="AW81" i="53"/>
  <c r="AX81" i="53"/>
  <c r="AY81" i="53"/>
  <c r="AZ81" i="53"/>
  <c r="BA81" i="53"/>
  <c r="AD82" i="53"/>
  <c r="AE82" i="53"/>
  <c r="AF82" i="53"/>
  <c r="AG82" i="53"/>
  <c r="AH82" i="53"/>
  <c r="AI82" i="53"/>
  <c r="AJ82" i="53"/>
  <c r="AK82" i="53"/>
  <c r="AL82" i="53"/>
  <c r="AM82" i="53"/>
  <c r="AN82" i="53"/>
  <c r="AO82" i="53"/>
  <c r="AP82" i="53"/>
  <c r="AQ82" i="53"/>
  <c r="AR82" i="53"/>
  <c r="AS82" i="53"/>
  <c r="AT82" i="53"/>
  <c r="AU82" i="53"/>
  <c r="AV82" i="53"/>
  <c r="AW82" i="53"/>
  <c r="AX82" i="53"/>
  <c r="AY82" i="53"/>
  <c r="AZ82" i="53"/>
  <c r="BA82" i="53"/>
  <c r="AD83" i="53"/>
  <c r="AE83" i="53"/>
  <c r="AG83" i="53"/>
  <c r="AH83" i="53"/>
  <c r="AI83" i="53"/>
  <c r="AJ83" i="53"/>
  <c r="AK83" i="53"/>
  <c r="AL83" i="53"/>
  <c r="AM83" i="53"/>
  <c r="AN83" i="53"/>
  <c r="AO83" i="53"/>
  <c r="AP83" i="53"/>
  <c r="AQ83" i="53"/>
  <c r="AR83" i="53"/>
  <c r="AS83" i="53"/>
  <c r="AT83" i="53"/>
  <c r="AU83" i="53"/>
  <c r="AV83" i="53"/>
  <c r="AW83" i="53"/>
  <c r="AX83" i="53"/>
  <c r="AY83" i="53"/>
  <c r="AZ83" i="53"/>
  <c r="BA83" i="53"/>
  <c r="AD84" i="53"/>
  <c r="AE84" i="53"/>
  <c r="AF84" i="53"/>
  <c r="AG84" i="53"/>
  <c r="AH84" i="53"/>
  <c r="AI84" i="53"/>
  <c r="AJ84" i="53"/>
  <c r="AK84" i="53"/>
  <c r="AL84" i="53"/>
  <c r="AM84" i="53"/>
  <c r="AN84" i="53"/>
  <c r="AO84" i="53"/>
  <c r="AP84" i="53"/>
  <c r="AQ84" i="53"/>
  <c r="AR84" i="53"/>
  <c r="AS84" i="53"/>
  <c r="AT84" i="53"/>
  <c r="AU84" i="53"/>
  <c r="AV84" i="53"/>
  <c r="AW84" i="53"/>
  <c r="AX84" i="53"/>
  <c r="AY84" i="53"/>
  <c r="AZ84" i="53"/>
  <c r="BA84" i="53"/>
  <c r="AD85" i="53"/>
  <c r="AE85" i="53"/>
  <c r="AF85" i="53"/>
  <c r="AG85" i="53"/>
  <c r="AH85" i="53"/>
  <c r="AI85" i="53"/>
  <c r="AJ85" i="53"/>
  <c r="AK85" i="53"/>
  <c r="AL85" i="53"/>
  <c r="AM85" i="53"/>
  <c r="AN85" i="53"/>
  <c r="AO85" i="53"/>
  <c r="AP85" i="53"/>
  <c r="AQ85" i="53"/>
  <c r="AR85" i="53"/>
  <c r="AS85" i="53"/>
  <c r="AT85" i="53"/>
  <c r="AU85" i="53"/>
  <c r="AV85" i="53"/>
  <c r="AW85" i="53"/>
  <c r="AX85" i="53"/>
  <c r="AY85" i="53"/>
  <c r="AZ85" i="53"/>
  <c r="BA85" i="53"/>
  <c r="AD86" i="53"/>
  <c r="AE86" i="53"/>
  <c r="AF86" i="53"/>
  <c r="AG86" i="53"/>
  <c r="AH86" i="53"/>
  <c r="AI86" i="53"/>
  <c r="AJ86" i="53"/>
  <c r="AK86" i="53"/>
  <c r="AL86" i="53"/>
  <c r="AM86" i="53"/>
  <c r="AN86" i="53"/>
  <c r="AO86" i="53"/>
  <c r="AP86" i="53"/>
  <c r="AQ86" i="53"/>
  <c r="AR86" i="53"/>
  <c r="AS86" i="53"/>
  <c r="AT86" i="53"/>
  <c r="AU86" i="53"/>
  <c r="AV86" i="53"/>
  <c r="AW86" i="53"/>
  <c r="AX86" i="53"/>
  <c r="AY86" i="53"/>
  <c r="AZ86" i="53"/>
  <c r="BA86" i="53"/>
  <c r="AD87" i="53"/>
  <c r="AE87" i="53"/>
  <c r="AF87" i="53"/>
  <c r="AG87" i="53"/>
  <c r="AH87" i="53"/>
  <c r="AI87" i="53"/>
  <c r="AJ87" i="53"/>
  <c r="AK87" i="53"/>
  <c r="AL87" i="53"/>
  <c r="AM87" i="53"/>
  <c r="AN87" i="53"/>
  <c r="AO87" i="53"/>
  <c r="AP87" i="53"/>
  <c r="AQ87" i="53"/>
  <c r="AR87" i="53"/>
  <c r="AS87" i="53"/>
  <c r="AT87" i="53"/>
  <c r="AU87" i="53"/>
  <c r="AV87" i="53"/>
  <c r="AW87" i="53"/>
  <c r="AX87" i="53"/>
  <c r="AY87" i="53"/>
  <c r="AZ87" i="53"/>
  <c r="BA87" i="53"/>
  <c r="AD88" i="53"/>
  <c r="AE88" i="53"/>
  <c r="AF88" i="53"/>
  <c r="AG88" i="53"/>
  <c r="AH88" i="53"/>
  <c r="AI88" i="53"/>
  <c r="AJ88" i="53"/>
  <c r="AK88" i="53"/>
  <c r="AL88" i="53"/>
  <c r="AM88" i="53"/>
  <c r="AN88" i="53"/>
  <c r="AO88" i="53"/>
  <c r="AP88" i="53"/>
  <c r="AQ88" i="53"/>
  <c r="AR88" i="53"/>
  <c r="AS88" i="53"/>
  <c r="AT88" i="53"/>
  <c r="AU88" i="53"/>
  <c r="AV88" i="53"/>
  <c r="AW88" i="53"/>
  <c r="AX88" i="53"/>
  <c r="AY88" i="53"/>
  <c r="AZ88" i="53"/>
  <c r="BA88" i="53"/>
  <c r="AD89" i="53"/>
  <c r="AE89" i="53"/>
  <c r="AF89" i="53"/>
  <c r="AG89" i="53"/>
  <c r="AH89" i="53"/>
  <c r="AI89" i="53"/>
  <c r="AJ89" i="53"/>
  <c r="AK89" i="53"/>
  <c r="AL89" i="53"/>
  <c r="AM89" i="53"/>
  <c r="AN89" i="53"/>
  <c r="AO89" i="53"/>
  <c r="AP89" i="53"/>
  <c r="AQ89" i="53"/>
  <c r="AR89" i="53"/>
  <c r="AS89" i="53"/>
  <c r="AT89" i="53"/>
  <c r="AU89" i="53"/>
  <c r="AV89" i="53"/>
  <c r="AW89" i="53"/>
  <c r="AX89" i="53"/>
  <c r="AY89" i="53"/>
  <c r="AZ89" i="53"/>
  <c r="BA89" i="53"/>
  <c r="AD90" i="53"/>
  <c r="AE90" i="53"/>
  <c r="AF90" i="53"/>
  <c r="AG90" i="53"/>
  <c r="AH90" i="53"/>
  <c r="AI90" i="53"/>
  <c r="AJ90" i="53"/>
  <c r="AK90" i="53"/>
  <c r="AL90" i="53"/>
  <c r="AM90" i="53"/>
  <c r="AN90" i="53"/>
  <c r="AO90" i="53"/>
  <c r="AP90" i="53"/>
  <c r="AQ90" i="53"/>
  <c r="AR90" i="53"/>
  <c r="AS90" i="53"/>
  <c r="AT90" i="53"/>
  <c r="AU90" i="53"/>
  <c r="AV90" i="53"/>
  <c r="AW90" i="53"/>
  <c r="AX90" i="53"/>
  <c r="AY90" i="53"/>
  <c r="AZ90" i="53"/>
  <c r="BA90" i="53"/>
  <c r="AD91" i="53"/>
  <c r="AE91" i="53"/>
  <c r="AF91" i="53"/>
  <c r="AG91" i="53"/>
  <c r="AH91" i="53"/>
  <c r="AI91" i="53"/>
  <c r="AJ91" i="53"/>
  <c r="AK91" i="53"/>
  <c r="AL91" i="53"/>
  <c r="AM91" i="53"/>
  <c r="AN91" i="53"/>
  <c r="AO91" i="53"/>
  <c r="AP91" i="53"/>
  <c r="AQ91" i="53"/>
  <c r="AR91" i="53"/>
  <c r="AS91" i="53"/>
  <c r="AT91" i="53"/>
  <c r="AU91" i="53"/>
  <c r="AV91" i="53"/>
  <c r="AW91" i="53"/>
  <c r="AX91" i="53"/>
  <c r="AY91" i="53"/>
  <c r="AZ91" i="53"/>
  <c r="BA91" i="53"/>
  <c r="AD92" i="53"/>
  <c r="AE92" i="53"/>
  <c r="AF92" i="53"/>
  <c r="AG92" i="53"/>
  <c r="AH92" i="53"/>
  <c r="AI92" i="53"/>
  <c r="AJ92" i="53"/>
  <c r="AK92" i="53"/>
  <c r="AL92" i="53"/>
  <c r="AM92" i="53"/>
  <c r="AN92" i="53"/>
  <c r="AO92" i="53"/>
  <c r="AP92" i="53"/>
  <c r="AQ92" i="53"/>
  <c r="AR92" i="53"/>
  <c r="AS92" i="53"/>
  <c r="AT92" i="53"/>
  <c r="AU92" i="53"/>
  <c r="AV92" i="53"/>
  <c r="AW92" i="53"/>
  <c r="AX92" i="53"/>
  <c r="AY92" i="53"/>
  <c r="AZ92" i="53"/>
  <c r="BA92" i="53"/>
  <c r="AD93" i="53"/>
  <c r="AE93" i="53"/>
  <c r="AF93" i="53"/>
  <c r="AG93" i="53"/>
  <c r="AH93" i="53"/>
  <c r="AI93" i="53"/>
  <c r="AJ93" i="53"/>
  <c r="AK93" i="53"/>
  <c r="AL93" i="53"/>
  <c r="AM93" i="53"/>
  <c r="AN93" i="53"/>
  <c r="AO93" i="53"/>
  <c r="AP93" i="53"/>
  <c r="AQ93" i="53"/>
  <c r="AR93" i="53"/>
  <c r="AS93" i="53"/>
  <c r="AT93" i="53"/>
  <c r="AU93" i="53"/>
  <c r="AV93" i="53"/>
  <c r="AW93" i="53"/>
  <c r="AX93" i="53"/>
  <c r="AY93" i="53"/>
  <c r="AZ93" i="53"/>
  <c r="BA93" i="53"/>
  <c r="AD94" i="53"/>
  <c r="AE94" i="53"/>
  <c r="AF94" i="53"/>
  <c r="AG94" i="53"/>
  <c r="AH94" i="53"/>
  <c r="AI94" i="53"/>
  <c r="AJ94" i="53"/>
  <c r="AK94" i="53"/>
  <c r="AL94" i="53"/>
  <c r="AM94" i="53"/>
  <c r="AN94" i="53"/>
  <c r="AO94" i="53"/>
  <c r="AP94" i="53"/>
  <c r="AQ94" i="53"/>
  <c r="AR94" i="53"/>
  <c r="AS94" i="53"/>
  <c r="AT94" i="53"/>
  <c r="AU94" i="53"/>
  <c r="AV94" i="53"/>
  <c r="AW94" i="53"/>
  <c r="AX94" i="53"/>
  <c r="AY94" i="53"/>
  <c r="AZ94" i="53"/>
  <c r="BA94" i="53"/>
  <c r="AD95" i="53"/>
  <c r="AE95" i="53"/>
  <c r="AF95" i="53"/>
  <c r="AG95" i="53"/>
  <c r="AH95" i="53"/>
  <c r="AI95" i="53"/>
  <c r="AJ95" i="53"/>
  <c r="AK95" i="53"/>
  <c r="AL95" i="53"/>
  <c r="AM95" i="53"/>
  <c r="AN95" i="53"/>
  <c r="AO95" i="53"/>
  <c r="AP95" i="53"/>
  <c r="AQ95" i="53"/>
  <c r="AR95" i="53"/>
  <c r="AS95" i="53"/>
  <c r="AT95" i="53"/>
  <c r="AU95" i="53"/>
  <c r="AV95" i="53"/>
  <c r="AW95" i="53"/>
  <c r="AX95" i="53"/>
  <c r="AY95" i="53"/>
  <c r="AZ95" i="53"/>
  <c r="BA95" i="53"/>
  <c r="AD96" i="53"/>
  <c r="AE96" i="53"/>
  <c r="AF96" i="53"/>
  <c r="AG96" i="53"/>
  <c r="AH96" i="53"/>
  <c r="AI96" i="53"/>
  <c r="AJ96" i="53"/>
  <c r="AK96" i="53"/>
  <c r="AL96" i="53"/>
  <c r="AM96" i="53"/>
  <c r="AN96" i="53"/>
  <c r="AO96" i="53"/>
  <c r="AP96" i="53"/>
  <c r="AQ96" i="53"/>
  <c r="AR96" i="53"/>
  <c r="AS96" i="53"/>
  <c r="AT96" i="53"/>
  <c r="AU96" i="53"/>
  <c r="AV96" i="53"/>
  <c r="AW96" i="53"/>
  <c r="AX96" i="53"/>
  <c r="AY96" i="53"/>
  <c r="AZ96" i="53"/>
  <c r="BA96" i="53"/>
  <c r="AD97" i="53"/>
  <c r="AE97" i="53"/>
  <c r="AF97" i="53"/>
  <c r="AG97" i="53"/>
  <c r="AH97" i="53"/>
  <c r="AI97" i="53"/>
  <c r="AJ97" i="53"/>
  <c r="AK97" i="53"/>
  <c r="AL97" i="53"/>
  <c r="AM97" i="53"/>
  <c r="AN97" i="53"/>
  <c r="AO97" i="53"/>
  <c r="AP97" i="53"/>
  <c r="AQ97" i="53"/>
  <c r="AR97" i="53"/>
  <c r="AS97" i="53"/>
  <c r="AT97" i="53"/>
  <c r="AU97" i="53"/>
  <c r="AV97" i="53"/>
  <c r="AW97" i="53"/>
  <c r="AX97" i="53"/>
  <c r="AY97" i="53"/>
  <c r="AZ97" i="53"/>
  <c r="BA97" i="53"/>
  <c r="AD98" i="53"/>
  <c r="AE98" i="53"/>
  <c r="AF98" i="53"/>
  <c r="AG98" i="53"/>
  <c r="AH98" i="53"/>
  <c r="AI98" i="53"/>
  <c r="AJ98" i="53"/>
  <c r="AK98" i="53"/>
  <c r="AL98" i="53"/>
  <c r="AM98" i="53"/>
  <c r="AN98" i="53"/>
  <c r="AO98" i="53"/>
  <c r="AP98" i="53"/>
  <c r="AQ98" i="53"/>
  <c r="AR98" i="53"/>
  <c r="AS98" i="53"/>
  <c r="AT98" i="53"/>
  <c r="AU98" i="53"/>
  <c r="AV98" i="53"/>
  <c r="AW98" i="53"/>
  <c r="AX98" i="53"/>
  <c r="AY98" i="53"/>
  <c r="AZ98" i="53"/>
  <c r="BA98" i="53"/>
  <c r="AD99" i="53"/>
  <c r="AE99" i="53"/>
  <c r="AF99" i="53"/>
  <c r="AG99" i="53"/>
  <c r="AH99" i="53"/>
  <c r="AI99" i="53"/>
  <c r="AJ99" i="53"/>
  <c r="AK99" i="53"/>
  <c r="AL99" i="53"/>
  <c r="AM99" i="53"/>
  <c r="AN99" i="53"/>
  <c r="AO99" i="53"/>
  <c r="AP99" i="53"/>
  <c r="AQ99" i="53"/>
  <c r="AR99" i="53"/>
  <c r="AS99" i="53"/>
  <c r="AT99" i="53"/>
  <c r="AU99" i="53"/>
  <c r="AV99" i="53"/>
  <c r="AW99" i="53"/>
  <c r="AX99" i="53"/>
  <c r="AY99" i="53"/>
  <c r="AZ99" i="53"/>
  <c r="BA99" i="53"/>
  <c r="AD100" i="53"/>
  <c r="AE100" i="53"/>
  <c r="AF100" i="53"/>
  <c r="AG100" i="53"/>
  <c r="AH100" i="53"/>
  <c r="AI100" i="53"/>
  <c r="AJ100" i="53"/>
  <c r="AK100" i="53"/>
  <c r="AL100" i="53"/>
  <c r="AM100" i="53"/>
  <c r="AN100" i="53"/>
  <c r="AO100" i="53"/>
  <c r="AP100" i="53"/>
  <c r="AQ100" i="53"/>
  <c r="AR100" i="53"/>
  <c r="AS100" i="53"/>
  <c r="AT100" i="53"/>
  <c r="AU100" i="53"/>
  <c r="AV100" i="53"/>
  <c r="AW100" i="53"/>
  <c r="AX100" i="53"/>
  <c r="AY100" i="53"/>
  <c r="AZ100" i="53"/>
  <c r="BA100" i="53"/>
  <c r="AD101" i="53"/>
  <c r="AE101" i="53"/>
  <c r="AF101" i="53"/>
  <c r="AG101" i="53"/>
  <c r="AH101" i="53"/>
  <c r="AI101" i="53"/>
  <c r="AJ101" i="53"/>
  <c r="AK101" i="53"/>
  <c r="AL101" i="53"/>
  <c r="AM101" i="53"/>
  <c r="AN101" i="53"/>
  <c r="AO101" i="53"/>
  <c r="AP101" i="53"/>
  <c r="AQ101" i="53"/>
  <c r="AR101" i="53"/>
  <c r="AS101" i="53"/>
  <c r="AT101" i="53"/>
  <c r="AU101" i="53"/>
  <c r="AV101" i="53"/>
  <c r="AW101" i="53"/>
  <c r="AX101" i="53"/>
  <c r="AY101" i="53"/>
  <c r="AZ101" i="53"/>
  <c r="BA101" i="53"/>
  <c r="AD102" i="53"/>
  <c r="AE102" i="53"/>
  <c r="AF102" i="53"/>
  <c r="AG102" i="53"/>
  <c r="AH102" i="53"/>
  <c r="AI102" i="53"/>
  <c r="AJ102" i="53"/>
  <c r="AK102" i="53"/>
  <c r="AL102" i="53"/>
  <c r="AM102" i="53"/>
  <c r="AN102" i="53"/>
  <c r="AO102" i="53"/>
  <c r="AP102" i="53"/>
  <c r="AQ102" i="53"/>
  <c r="AR102" i="53"/>
  <c r="AS102" i="53"/>
  <c r="AT102" i="53"/>
  <c r="AU102" i="53"/>
  <c r="AV102" i="53"/>
  <c r="AW102" i="53"/>
  <c r="AX102" i="53"/>
  <c r="AY102" i="53"/>
  <c r="AZ102" i="53"/>
  <c r="BA102" i="53"/>
  <c r="AD103" i="53"/>
  <c r="AE103" i="53"/>
  <c r="AF103" i="53"/>
  <c r="AG103" i="53"/>
  <c r="AH103" i="53"/>
  <c r="AI103" i="53"/>
  <c r="AJ103" i="53"/>
  <c r="AK103" i="53"/>
  <c r="AL103" i="53"/>
  <c r="AM103" i="53"/>
  <c r="AN103" i="53"/>
  <c r="AO103" i="53"/>
  <c r="AP103" i="53"/>
  <c r="AQ103" i="53"/>
  <c r="AR103" i="53"/>
  <c r="AS103" i="53"/>
  <c r="AT103" i="53"/>
  <c r="AU103" i="53"/>
  <c r="AV103" i="53"/>
  <c r="AW103" i="53"/>
  <c r="AX103" i="53"/>
  <c r="AY103" i="53"/>
  <c r="AZ103" i="53"/>
  <c r="BA103" i="53"/>
  <c r="AD104" i="53"/>
  <c r="AE104" i="53"/>
  <c r="AF104" i="53"/>
  <c r="AG104" i="53"/>
  <c r="AH104" i="53"/>
  <c r="AI104" i="53"/>
  <c r="AJ104" i="53"/>
  <c r="AK104" i="53"/>
  <c r="AL104" i="53"/>
  <c r="AM104" i="53"/>
  <c r="AN104" i="53"/>
  <c r="AO104" i="53"/>
  <c r="AP104" i="53"/>
  <c r="AQ104" i="53"/>
  <c r="AR104" i="53"/>
  <c r="AS104" i="53"/>
  <c r="AT104" i="53"/>
  <c r="AU104" i="53"/>
  <c r="AV104" i="53"/>
  <c r="AW104" i="53"/>
  <c r="AX104" i="53"/>
  <c r="AY104" i="53"/>
  <c r="AZ104" i="53"/>
  <c r="BA104" i="53"/>
  <c r="AD105" i="53"/>
  <c r="AE105" i="53"/>
  <c r="AF105" i="53"/>
  <c r="AG105" i="53"/>
  <c r="AH105" i="53"/>
  <c r="AI105" i="53"/>
  <c r="AJ105" i="53"/>
  <c r="AK105" i="53"/>
  <c r="AL105" i="53"/>
  <c r="AM105" i="53"/>
  <c r="AN105" i="53"/>
  <c r="AO105" i="53"/>
  <c r="AP105" i="53"/>
  <c r="AQ105" i="53"/>
  <c r="AR105" i="53"/>
  <c r="AS105" i="53"/>
  <c r="AT105" i="53"/>
  <c r="AU105" i="53"/>
  <c r="AV105" i="53"/>
  <c r="AW105" i="53"/>
  <c r="AX105" i="53"/>
  <c r="AY105" i="53"/>
  <c r="AZ105" i="53"/>
  <c r="BA105" i="53"/>
  <c r="AD106" i="53"/>
  <c r="AE106" i="53"/>
  <c r="AF106" i="53"/>
  <c r="AG106" i="53"/>
  <c r="AH106" i="53"/>
  <c r="AI106" i="53"/>
  <c r="AJ106" i="53"/>
  <c r="AK106" i="53"/>
  <c r="AL106" i="53"/>
  <c r="AM106" i="53"/>
  <c r="AN106" i="53"/>
  <c r="AO106" i="53"/>
  <c r="AP106" i="53"/>
  <c r="AQ106" i="53"/>
  <c r="AR106" i="53"/>
  <c r="AS106" i="53"/>
  <c r="AT106" i="53"/>
  <c r="AU106" i="53"/>
  <c r="AV106" i="53"/>
  <c r="AW106" i="53"/>
  <c r="AX106" i="53"/>
  <c r="AY106" i="53"/>
  <c r="AZ106" i="53"/>
  <c r="BA106" i="53"/>
  <c r="AD107" i="53"/>
  <c r="AE107" i="53"/>
  <c r="AF107" i="53"/>
  <c r="AG107" i="53"/>
  <c r="AH107" i="53"/>
  <c r="AI107" i="53"/>
  <c r="AJ107" i="53"/>
  <c r="AK107" i="53"/>
  <c r="AL107" i="53"/>
  <c r="AM107" i="53"/>
  <c r="AN107" i="53"/>
  <c r="AO107" i="53"/>
  <c r="AP107" i="53"/>
  <c r="AQ107" i="53"/>
  <c r="AR107" i="53"/>
  <c r="AS107" i="53"/>
  <c r="AT107" i="53"/>
  <c r="AU107" i="53"/>
  <c r="AV107" i="53"/>
  <c r="AW107" i="53"/>
  <c r="AX107" i="53"/>
  <c r="AY107" i="53"/>
  <c r="AZ107" i="53"/>
  <c r="BA107" i="53"/>
  <c r="AD108" i="53"/>
  <c r="AE108" i="53"/>
  <c r="AF108" i="53"/>
  <c r="AG108" i="53"/>
  <c r="AH108" i="53"/>
  <c r="AI108" i="53"/>
  <c r="AJ108" i="53"/>
  <c r="AK108" i="53"/>
  <c r="AL108" i="53"/>
  <c r="AM108" i="53"/>
  <c r="AN108" i="53"/>
  <c r="AO108" i="53"/>
  <c r="AP108" i="53"/>
  <c r="AQ108" i="53"/>
  <c r="AR108" i="53"/>
  <c r="AS108" i="53"/>
  <c r="AT108" i="53"/>
  <c r="AU108" i="53"/>
  <c r="AV108" i="53"/>
  <c r="AW108" i="53"/>
  <c r="AX108" i="53"/>
  <c r="AY108" i="53"/>
  <c r="AZ108" i="53"/>
  <c r="BA108" i="53"/>
  <c r="AD109" i="53"/>
  <c r="AE109" i="53"/>
  <c r="AF109" i="53"/>
  <c r="AG109" i="53"/>
  <c r="AH109" i="53"/>
  <c r="AI109" i="53"/>
  <c r="AJ109" i="53"/>
  <c r="AK109" i="53"/>
  <c r="AL109" i="53"/>
  <c r="AM109" i="53"/>
  <c r="AN109" i="53"/>
  <c r="AO109" i="53"/>
  <c r="AP109" i="53"/>
  <c r="AQ109" i="53"/>
  <c r="AR109" i="53"/>
  <c r="AS109" i="53"/>
  <c r="AT109" i="53"/>
  <c r="AU109" i="53"/>
  <c r="AV109" i="53"/>
  <c r="AW109" i="53"/>
  <c r="AX109" i="53"/>
  <c r="AY109" i="53"/>
  <c r="AZ109" i="53"/>
  <c r="BA109" i="53"/>
  <c r="AD110" i="53"/>
  <c r="AE110" i="53"/>
  <c r="AF110" i="53"/>
  <c r="AG110" i="53"/>
  <c r="AH110" i="53"/>
  <c r="AI110" i="53"/>
  <c r="AJ110" i="53"/>
  <c r="AK110" i="53"/>
  <c r="AL110" i="53"/>
  <c r="AM110" i="53"/>
  <c r="AN110" i="53"/>
  <c r="AO110" i="53"/>
  <c r="AP110" i="53"/>
  <c r="AQ110" i="53"/>
  <c r="AR110" i="53"/>
  <c r="AS110" i="53"/>
  <c r="AT110" i="53"/>
  <c r="AU110" i="53"/>
  <c r="AV110" i="53"/>
  <c r="AW110" i="53"/>
  <c r="AX110" i="53"/>
  <c r="AY110" i="53"/>
  <c r="AZ110" i="53"/>
  <c r="BA110" i="53"/>
  <c r="AD111" i="53"/>
  <c r="AE111" i="53"/>
  <c r="AF111" i="53"/>
  <c r="AG111" i="53"/>
  <c r="AH111" i="53"/>
  <c r="AI111" i="53"/>
  <c r="AJ111" i="53"/>
  <c r="AK111" i="53"/>
  <c r="AL111" i="53"/>
  <c r="AM111" i="53"/>
  <c r="AN111" i="53"/>
  <c r="AO111" i="53"/>
  <c r="AP111" i="53"/>
  <c r="AQ111" i="53"/>
  <c r="AR111" i="53"/>
  <c r="AS111" i="53"/>
  <c r="AT111" i="53"/>
  <c r="AU111" i="53"/>
  <c r="AV111" i="53"/>
  <c r="AW111" i="53"/>
  <c r="AX111" i="53"/>
  <c r="AY111" i="53"/>
  <c r="AZ111" i="53"/>
  <c r="BA111" i="53"/>
  <c r="AD112" i="53"/>
  <c r="AE112" i="53"/>
  <c r="AF112" i="53"/>
  <c r="AG112" i="53"/>
  <c r="AH112" i="53"/>
  <c r="AI112" i="53"/>
  <c r="AJ112" i="53"/>
  <c r="AK112" i="53"/>
  <c r="AL112" i="53"/>
  <c r="AM112" i="53"/>
  <c r="AN112" i="53"/>
  <c r="AO112" i="53"/>
  <c r="AP112" i="53"/>
  <c r="AQ112" i="53"/>
  <c r="AR112" i="53"/>
  <c r="AS112" i="53"/>
  <c r="AT112" i="53"/>
  <c r="AU112" i="53"/>
  <c r="AV112" i="53"/>
  <c r="AW112" i="53"/>
  <c r="AX112" i="53"/>
  <c r="AY112" i="53"/>
  <c r="AZ112" i="53"/>
  <c r="BA112" i="53"/>
  <c r="AD113" i="53"/>
  <c r="AE113" i="53"/>
  <c r="AF113" i="53"/>
  <c r="AG113" i="53"/>
  <c r="AH113" i="53"/>
  <c r="AI113" i="53"/>
  <c r="AJ113" i="53"/>
  <c r="AK113" i="53"/>
  <c r="AL113" i="53"/>
  <c r="AM113" i="53"/>
  <c r="AN113" i="53"/>
  <c r="AO113" i="53"/>
  <c r="AP113" i="53"/>
  <c r="AQ113" i="53"/>
  <c r="AR113" i="53"/>
  <c r="AS113" i="53"/>
  <c r="AT113" i="53"/>
  <c r="AU113" i="53"/>
  <c r="AV113" i="53"/>
  <c r="AW113" i="53"/>
  <c r="AX113" i="53"/>
  <c r="AY113" i="53"/>
  <c r="AZ113" i="53"/>
  <c r="BA113" i="53"/>
  <c r="AD114" i="53"/>
  <c r="AE114" i="53"/>
  <c r="AF114" i="53"/>
  <c r="AG114" i="53"/>
  <c r="AH114" i="53"/>
  <c r="AI114" i="53"/>
  <c r="AJ114" i="53"/>
  <c r="AK114" i="53"/>
  <c r="AL114" i="53"/>
  <c r="AM114" i="53"/>
  <c r="AN114" i="53"/>
  <c r="AO114" i="53"/>
  <c r="AP114" i="53"/>
  <c r="AQ114" i="53"/>
  <c r="AR114" i="53"/>
  <c r="AS114" i="53"/>
  <c r="AT114" i="53"/>
  <c r="AU114" i="53"/>
  <c r="AV114" i="53"/>
  <c r="AW114" i="53"/>
  <c r="AX114" i="53"/>
  <c r="AY114" i="53"/>
  <c r="AZ114" i="53"/>
  <c r="BA114" i="53"/>
  <c r="AD115" i="53"/>
  <c r="AE115" i="53"/>
  <c r="AF115" i="53"/>
  <c r="AG115" i="53"/>
  <c r="AH115" i="53"/>
  <c r="AI115" i="53"/>
  <c r="AJ115" i="53"/>
  <c r="AK115" i="53"/>
  <c r="AL115" i="53"/>
  <c r="AM115" i="53"/>
  <c r="AN115" i="53"/>
  <c r="AO115" i="53"/>
  <c r="AP115" i="53"/>
  <c r="AQ115" i="53"/>
  <c r="AR115" i="53"/>
  <c r="AS115" i="53"/>
  <c r="AT115" i="53"/>
  <c r="AU115" i="53"/>
  <c r="AV115" i="53"/>
  <c r="AW115" i="53"/>
  <c r="AX115" i="53"/>
  <c r="AY115" i="53"/>
  <c r="AZ115" i="53"/>
  <c r="BA115" i="53"/>
  <c r="AD116" i="53"/>
  <c r="AE116" i="53"/>
  <c r="AF116" i="53"/>
  <c r="AG116" i="53"/>
  <c r="AH116" i="53"/>
  <c r="AI116" i="53"/>
  <c r="AJ116" i="53"/>
  <c r="AK116" i="53"/>
  <c r="AL116" i="53"/>
  <c r="AM116" i="53"/>
  <c r="AN116" i="53"/>
  <c r="AO116" i="53"/>
  <c r="AP116" i="53"/>
  <c r="AQ116" i="53"/>
  <c r="AR116" i="53"/>
  <c r="AS116" i="53"/>
  <c r="AT116" i="53"/>
  <c r="AU116" i="53"/>
  <c r="AV116" i="53"/>
  <c r="AW116" i="53"/>
  <c r="AX116" i="53"/>
  <c r="AY116" i="53"/>
  <c r="AZ116" i="53"/>
  <c r="BA116" i="53"/>
  <c r="AD117" i="53"/>
  <c r="AE117" i="53"/>
  <c r="AF117" i="53"/>
  <c r="AG117" i="53"/>
  <c r="AH117" i="53"/>
  <c r="AI117" i="53"/>
  <c r="AJ117" i="53"/>
  <c r="AK117" i="53"/>
  <c r="AL117" i="53"/>
  <c r="AM117" i="53"/>
  <c r="AN117" i="53"/>
  <c r="AO117" i="53"/>
  <c r="AP117" i="53"/>
  <c r="AQ117" i="53"/>
  <c r="AR117" i="53"/>
  <c r="AS117" i="53"/>
  <c r="AT117" i="53"/>
  <c r="AU117" i="53"/>
  <c r="AV117" i="53"/>
  <c r="AW117" i="53"/>
  <c r="AX117" i="53"/>
  <c r="AY117" i="53"/>
  <c r="AZ117" i="53"/>
  <c r="BA117" i="53"/>
  <c r="AD118" i="53"/>
  <c r="AE118" i="53"/>
  <c r="AF118" i="53"/>
  <c r="AG118" i="53"/>
  <c r="AH118" i="53"/>
  <c r="AI118" i="53"/>
  <c r="AJ118" i="53"/>
  <c r="AK118" i="53"/>
  <c r="AL118" i="53"/>
  <c r="AM118" i="53"/>
  <c r="AN118" i="53"/>
  <c r="AO118" i="53"/>
  <c r="AP118" i="53"/>
  <c r="AQ118" i="53"/>
  <c r="AR118" i="53"/>
  <c r="AS118" i="53"/>
  <c r="AT118" i="53"/>
  <c r="AU118" i="53"/>
  <c r="AV118" i="53"/>
  <c r="AW118" i="53"/>
  <c r="AX118" i="53"/>
  <c r="AY118" i="53"/>
  <c r="AZ118" i="53"/>
  <c r="BA118" i="53"/>
  <c r="AD119" i="53"/>
  <c r="AE119" i="53"/>
  <c r="AF119" i="53"/>
  <c r="AG119" i="53"/>
  <c r="AH119" i="53"/>
  <c r="AI119" i="53"/>
  <c r="AJ119" i="53"/>
  <c r="AK119" i="53"/>
  <c r="AL119" i="53"/>
  <c r="AM119" i="53"/>
  <c r="AN119" i="53"/>
  <c r="AO119" i="53"/>
  <c r="AP119" i="53"/>
  <c r="AQ119" i="53"/>
  <c r="AR119" i="53"/>
  <c r="AS119" i="53"/>
  <c r="AT119" i="53"/>
  <c r="AU119" i="53"/>
  <c r="AV119" i="53"/>
  <c r="AW119" i="53"/>
  <c r="AX119" i="53"/>
  <c r="AY119" i="53"/>
  <c r="AZ119" i="53"/>
  <c r="BA119" i="53"/>
  <c r="AD120" i="53"/>
  <c r="AE120" i="53"/>
  <c r="AF120" i="53"/>
  <c r="AG120" i="53"/>
  <c r="AH120" i="53"/>
  <c r="AI120" i="53"/>
  <c r="AJ120" i="53"/>
  <c r="AK120" i="53"/>
  <c r="AL120" i="53"/>
  <c r="AM120" i="53"/>
  <c r="AN120" i="53"/>
  <c r="AO120" i="53"/>
  <c r="AP120" i="53"/>
  <c r="AQ120" i="53"/>
  <c r="AR120" i="53"/>
  <c r="AS120" i="53"/>
  <c r="AT120" i="53"/>
  <c r="AU120" i="53"/>
  <c r="AV120" i="53"/>
  <c r="AW120" i="53"/>
  <c r="AX120" i="53"/>
  <c r="AY120" i="53"/>
  <c r="AZ120" i="53"/>
  <c r="BA120" i="53"/>
  <c r="AD121" i="53"/>
  <c r="AE121" i="53"/>
  <c r="AF121" i="53"/>
  <c r="AG121" i="53"/>
  <c r="AH121" i="53"/>
  <c r="AI121" i="53"/>
  <c r="AJ121" i="53"/>
  <c r="AK121" i="53"/>
  <c r="AL121" i="53"/>
  <c r="AM121" i="53"/>
  <c r="AN121" i="53"/>
  <c r="AO121" i="53"/>
  <c r="AP121" i="53"/>
  <c r="AQ121" i="53"/>
  <c r="AR121" i="53"/>
  <c r="AS121" i="53"/>
  <c r="AT121" i="53"/>
  <c r="AU121" i="53"/>
  <c r="AV121" i="53"/>
  <c r="AW121" i="53"/>
  <c r="AX121" i="53"/>
  <c r="AY121" i="53"/>
  <c r="AZ121" i="53"/>
  <c r="BA121" i="53"/>
  <c r="AD122" i="53"/>
  <c r="AE122" i="53"/>
  <c r="AF122" i="53"/>
  <c r="AG122" i="53"/>
  <c r="AH122" i="53"/>
  <c r="AI122" i="53"/>
  <c r="AJ122" i="53"/>
  <c r="AK122" i="53"/>
  <c r="AL122" i="53"/>
  <c r="AM122" i="53"/>
  <c r="AN122" i="53"/>
  <c r="AO122" i="53"/>
  <c r="AP122" i="53"/>
  <c r="AQ122" i="53"/>
  <c r="AR122" i="53"/>
  <c r="AS122" i="53"/>
  <c r="AT122" i="53"/>
  <c r="AU122" i="53"/>
  <c r="AV122" i="53"/>
  <c r="AW122" i="53"/>
  <c r="AX122" i="53"/>
  <c r="AY122" i="53"/>
  <c r="AZ122" i="53"/>
  <c r="BA122" i="53"/>
  <c r="AD123" i="53"/>
  <c r="AE123" i="53"/>
  <c r="AF123" i="53"/>
  <c r="AG123" i="53"/>
  <c r="AH123" i="53"/>
  <c r="AI123" i="53"/>
  <c r="AJ123" i="53"/>
  <c r="AK123" i="53"/>
  <c r="AL123" i="53"/>
  <c r="AM123" i="53"/>
  <c r="AN123" i="53"/>
  <c r="AO123" i="53"/>
  <c r="AP123" i="53"/>
  <c r="AQ123" i="53"/>
  <c r="AR123" i="53"/>
  <c r="AS123" i="53"/>
  <c r="AT123" i="53"/>
  <c r="AU123" i="53"/>
  <c r="AV123" i="53"/>
  <c r="AW123" i="53"/>
  <c r="AX123" i="53"/>
  <c r="AY123" i="53"/>
  <c r="AZ123" i="53"/>
  <c r="BA123" i="53"/>
  <c r="AD124" i="53"/>
  <c r="AE124" i="53"/>
  <c r="AF124" i="53"/>
  <c r="AG124" i="53"/>
  <c r="AH124" i="53"/>
  <c r="AI124" i="53"/>
  <c r="AJ124" i="53"/>
  <c r="AK124" i="53"/>
  <c r="AL124" i="53"/>
  <c r="AM124" i="53"/>
  <c r="AN124" i="53"/>
  <c r="AO124" i="53"/>
  <c r="AP124" i="53"/>
  <c r="AQ124" i="53"/>
  <c r="AR124" i="53"/>
  <c r="AS124" i="53"/>
  <c r="AT124" i="53"/>
  <c r="AU124" i="53"/>
  <c r="AV124" i="53"/>
  <c r="AW124" i="53"/>
  <c r="AX124" i="53"/>
  <c r="AY124" i="53"/>
  <c r="AZ124" i="53"/>
  <c r="BA124" i="53"/>
  <c r="AD125" i="53"/>
  <c r="AE125" i="53"/>
  <c r="AF125" i="53"/>
  <c r="AG125" i="53"/>
  <c r="AH125" i="53"/>
  <c r="AI125" i="53"/>
  <c r="AJ125" i="53"/>
  <c r="AK125" i="53"/>
  <c r="AL125" i="53"/>
  <c r="AM125" i="53"/>
  <c r="AN125" i="53"/>
  <c r="AO125" i="53"/>
  <c r="AP125" i="53"/>
  <c r="AQ125" i="53"/>
  <c r="AR125" i="53"/>
  <c r="AS125" i="53"/>
  <c r="AT125" i="53"/>
  <c r="AU125" i="53"/>
  <c r="AV125" i="53"/>
  <c r="AW125" i="53"/>
  <c r="AX125" i="53"/>
  <c r="AY125" i="53"/>
  <c r="AZ125" i="53"/>
  <c r="BA125" i="53"/>
  <c r="AD126" i="53"/>
  <c r="AE126" i="53"/>
  <c r="AF126" i="53"/>
  <c r="AG126" i="53"/>
  <c r="AH126" i="53"/>
  <c r="AI126" i="53"/>
  <c r="AJ126" i="53"/>
  <c r="AK126" i="53"/>
  <c r="AL126" i="53"/>
  <c r="AM126" i="53"/>
  <c r="AN126" i="53"/>
  <c r="AO126" i="53"/>
  <c r="AP126" i="53"/>
  <c r="AQ126" i="53"/>
  <c r="AR126" i="53"/>
  <c r="AS126" i="53"/>
  <c r="AT126" i="53"/>
  <c r="AU126" i="53"/>
  <c r="AV126" i="53"/>
  <c r="AW126" i="53"/>
  <c r="AX126" i="53"/>
  <c r="AY126" i="53"/>
  <c r="AZ126" i="53"/>
  <c r="BA126" i="53"/>
  <c r="AD127" i="53"/>
  <c r="AE127" i="53"/>
  <c r="AF127" i="53"/>
  <c r="AG127" i="53"/>
  <c r="AH127" i="53"/>
  <c r="AI127" i="53"/>
  <c r="AJ127" i="53"/>
  <c r="AK127" i="53"/>
  <c r="AL127" i="53"/>
  <c r="AM127" i="53"/>
  <c r="AN127" i="53"/>
  <c r="AO127" i="53"/>
  <c r="AP127" i="53"/>
  <c r="AQ127" i="53"/>
  <c r="AR127" i="53"/>
  <c r="AS127" i="53"/>
  <c r="AT127" i="53"/>
  <c r="AU127" i="53"/>
  <c r="AV127" i="53"/>
  <c r="AW127" i="53"/>
  <c r="AX127" i="53"/>
  <c r="AY127" i="53"/>
  <c r="AZ127" i="53"/>
  <c r="BA127" i="53"/>
  <c r="AD128" i="53"/>
  <c r="AE128" i="53"/>
  <c r="AF128" i="53"/>
  <c r="AG128" i="53"/>
  <c r="AH128" i="53"/>
  <c r="AI128" i="53"/>
  <c r="AJ128" i="53"/>
  <c r="AK128" i="53"/>
  <c r="AL128" i="53"/>
  <c r="AM128" i="53"/>
  <c r="AN128" i="53"/>
  <c r="AO128" i="53"/>
  <c r="AP128" i="53"/>
  <c r="AQ128" i="53"/>
  <c r="AR128" i="53"/>
  <c r="AS128" i="53"/>
  <c r="AT128" i="53"/>
  <c r="AU128" i="53"/>
  <c r="AV128" i="53"/>
  <c r="AW128" i="53"/>
  <c r="AX128" i="53"/>
  <c r="AY128" i="53"/>
  <c r="AZ128" i="53"/>
  <c r="BA128" i="53"/>
  <c r="AD129" i="53"/>
  <c r="AE129" i="53"/>
  <c r="AF129" i="53"/>
  <c r="AG129" i="53"/>
  <c r="AH129" i="53"/>
  <c r="AI129" i="53"/>
  <c r="AJ129" i="53"/>
  <c r="AK129" i="53"/>
  <c r="AL129" i="53"/>
  <c r="AM129" i="53"/>
  <c r="AN129" i="53"/>
  <c r="AO129" i="53"/>
  <c r="AP129" i="53"/>
  <c r="AQ129" i="53"/>
  <c r="AR129" i="53"/>
  <c r="AS129" i="53"/>
  <c r="AT129" i="53"/>
  <c r="AU129" i="53"/>
  <c r="AV129" i="53"/>
  <c r="AW129" i="53"/>
  <c r="AX129" i="53"/>
  <c r="AY129" i="53"/>
  <c r="AZ129" i="53"/>
  <c r="BA129" i="53"/>
  <c r="AD130" i="53"/>
  <c r="AE130" i="53"/>
  <c r="AF130" i="53"/>
  <c r="AG130" i="53"/>
  <c r="AH130" i="53"/>
  <c r="AI130" i="53"/>
  <c r="AJ130" i="53"/>
  <c r="AK130" i="53"/>
  <c r="AL130" i="53"/>
  <c r="AM130" i="53"/>
  <c r="AN130" i="53"/>
  <c r="AO130" i="53"/>
  <c r="AP130" i="53"/>
  <c r="AQ130" i="53"/>
  <c r="AR130" i="53"/>
  <c r="AS130" i="53"/>
  <c r="AT130" i="53"/>
  <c r="AU130" i="53"/>
  <c r="AV130" i="53"/>
  <c r="AW130" i="53"/>
  <c r="AX130" i="53"/>
  <c r="AY130" i="53"/>
  <c r="AZ130" i="53"/>
  <c r="BA130" i="53"/>
  <c r="AD131" i="53"/>
  <c r="AE131" i="53"/>
  <c r="AF131" i="53"/>
  <c r="AG131" i="53"/>
  <c r="AH131" i="53"/>
  <c r="AI131" i="53"/>
  <c r="AJ131" i="53"/>
  <c r="AK131" i="53"/>
  <c r="AL131" i="53"/>
  <c r="AM131" i="53"/>
  <c r="AN131" i="53"/>
  <c r="AO131" i="53"/>
  <c r="AP131" i="53"/>
  <c r="AQ131" i="53"/>
  <c r="AR131" i="53"/>
  <c r="AS131" i="53"/>
  <c r="AT131" i="53"/>
  <c r="AU131" i="53"/>
  <c r="AV131" i="53"/>
  <c r="AW131" i="53"/>
  <c r="AX131" i="53"/>
  <c r="AY131" i="53"/>
  <c r="AZ131" i="53"/>
  <c r="BA131" i="53"/>
  <c r="AD132" i="53"/>
  <c r="AE132" i="53"/>
  <c r="AF132" i="53"/>
  <c r="AG132" i="53"/>
  <c r="AH132" i="53"/>
  <c r="AI132" i="53"/>
  <c r="AJ132" i="53"/>
  <c r="AK132" i="53"/>
  <c r="AL132" i="53"/>
  <c r="AM132" i="53"/>
  <c r="AN132" i="53"/>
  <c r="AO132" i="53"/>
  <c r="AP132" i="53"/>
  <c r="AQ132" i="53"/>
  <c r="AR132" i="53"/>
  <c r="AS132" i="53"/>
  <c r="AT132" i="53"/>
  <c r="AU132" i="53"/>
  <c r="AV132" i="53"/>
  <c r="AW132" i="53"/>
  <c r="AX132" i="53"/>
  <c r="AY132" i="53"/>
  <c r="AZ132" i="53"/>
  <c r="BA132" i="53"/>
  <c r="AD133" i="53"/>
  <c r="AE133" i="53"/>
  <c r="AF133" i="53"/>
  <c r="AG133" i="53"/>
  <c r="AH133" i="53"/>
  <c r="AI133" i="53"/>
  <c r="AJ133" i="53"/>
  <c r="AK133" i="53"/>
  <c r="AL133" i="53"/>
  <c r="AM133" i="53"/>
  <c r="AN133" i="53"/>
  <c r="AO133" i="53"/>
  <c r="AP133" i="53"/>
  <c r="AQ133" i="53"/>
  <c r="AR133" i="53"/>
  <c r="AS133" i="53"/>
  <c r="AT133" i="53"/>
  <c r="AU133" i="53"/>
  <c r="AV133" i="53"/>
  <c r="AW133" i="53"/>
  <c r="AX133" i="53"/>
  <c r="AY133" i="53"/>
  <c r="AZ133" i="53"/>
  <c r="BA133" i="53"/>
  <c r="AD134" i="53"/>
  <c r="AE134" i="53"/>
  <c r="AF134" i="53"/>
  <c r="AG134" i="53"/>
  <c r="AH134" i="53"/>
  <c r="AI134" i="53"/>
  <c r="AJ134" i="53"/>
  <c r="AK134" i="53"/>
  <c r="AL134" i="53"/>
  <c r="AM134" i="53"/>
  <c r="AN134" i="53"/>
  <c r="AO134" i="53"/>
  <c r="AP134" i="53"/>
  <c r="AQ134" i="53"/>
  <c r="AR134" i="53"/>
  <c r="AS134" i="53"/>
  <c r="AT134" i="53"/>
  <c r="AU134" i="53"/>
  <c r="AV134" i="53"/>
  <c r="AW134" i="53"/>
  <c r="AX134" i="53"/>
  <c r="AY134" i="53"/>
  <c r="AZ134" i="53"/>
  <c r="BA134" i="53"/>
  <c r="AD135" i="53"/>
  <c r="AE135" i="53"/>
  <c r="AF135" i="53"/>
  <c r="AG135" i="53"/>
  <c r="AH135" i="53"/>
  <c r="AI135" i="53"/>
  <c r="AJ135" i="53"/>
  <c r="AK135" i="53"/>
  <c r="AL135" i="53"/>
  <c r="AM135" i="53"/>
  <c r="AN135" i="53"/>
  <c r="AO135" i="53"/>
  <c r="AP135" i="53"/>
  <c r="AQ135" i="53"/>
  <c r="AR135" i="53"/>
  <c r="AS135" i="53"/>
  <c r="AT135" i="53"/>
  <c r="AU135" i="53"/>
  <c r="AV135" i="53"/>
  <c r="AW135" i="53"/>
  <c r="AX135" i="53"/>
  <c r="AY135" i="53"/>
  <c r="AZ135" i="53"/>
  <c r="BA135" i="53"/>
  <c r="AD136" i="53"/>
  <c r="AE136" i="53"/>
  <c r="AF136" i="53"/>
  <c r="AG136" i="53"/>
  <c r="AH136" i="53"/>
  <c r="AI136" i="53"/>
  <c r="AJ136" i="53"/>
  <c r="AK136" i="53"/>
  <c r="AL136" i="53"/>
  <c r="AM136" i="53"/>
  <c r="AN136" i="53"/>
  <c r="AO136" i="53"/>
  <c r="AP136" i="53"/>
  <c r="AQ136" i="53"/>
  <c r="AR136" i="53"/>
  <c r="AS136" i="53"/>
  <c r="AT136" i="53"/>
  <c r="AU136" i="53"/>
  <c r="AV136" i="53"/>
  <c r="AW136" i="53"/>
  <c r="AX136" i="53"/>
  <c r="AY136" i="53"/>
  <c r="AZ136" i="53"/>
  <c r="BA136" i="53"/>
  <c r="AD137" i="53"/>
  <c r="AE137" i="53"/>
  <c r="AF137" i="53"/>
  <c r="AG137" i="53"/>
  <c r="AH137" i="53"/>
  <c r="AI137" i="53"/>
  <c r="AJ137" i="53"/>
  <c r="AK137" i="53"/>
  <c r="AL137" i="53"/>
  <c r="AM137" i="53"/>
  <c r="AN137" i="53"/>
  <c r="AO137" i="53"/>
  <c r="AP137" i="53"/>
  <c r="AQ137" i="53"/>
  <c r="AR137" i="53"/>
  <c r="AS137" i="53"/>
  <c r="AT137" i="53"/>
  <c r="AU137" i="53"/>
  <c r="AV137" i="53"/>
  <c r="AW137" i="53"/>
  <c r="AX137" i="53"/>
  <c r="AY137" i="53"/>
  <c r="AZ137" i="53"/>
  <c r="BA137" i="53"/>
  <c r="AD138" i="53"/>
  <c r="AE138" i="53"/>
  <c r="AF138" i="53"/>
  <c r="AG138" i="53"/>
  <c r="AH138" i="53"/>
  <c r="AI138" i="53"/>
  <c r="AJ138" i="53"/>
  <c r="AK138" i="53"/>
  <c r="AL138" i="53"/>
  <c r="AM138" i="53"/>
  <c r="AN138" i="53"/>
  <c r="AO138" i="53"/>
  <c r="AP138" i="53"/>
  <c r="AQ138" i="53"/>
  <c r="AR138" i="53"/>
  <c r="AS138" i="53"/>
  <c r="AT138" i="53"/>
  <c r="AU138" i="53"/>
  <c r="AV138" i="53"/>
  <c r="AW138" i="53"/>
  <c r="AX138" i="53"/>
  <c r="AY138" i="53"/>
  <c r="AZ138" i="53"/>
  <c r="BA138" i="53"/>
  <c r="AD139" i="53"/>
  <c r="AE139" i="53"/>
  <c r="AF139" i="53"/>
  <c r="AG139" i="53"/>
  <c r="AH139" i="53"/>
  <c r="AI139" i="53"/>
  <c r="AJ139" i="53"/>
  <c r="AK139" i="53"/>
  <c r="AL139" i="53"/>
  <c r="AM139" i="53"/>
  <c r="AN139" i="53"/>
  <c r="AO139" i="53"/>
  <c r="AP139" i="53"/>
  <c r="AQ139" i="53"/>
  <c r="AR139" i="53"/>
  <c r="AS139" i="53"/>
  <c r="AT139" i="53"/>
  <c r="AU139" i="53"/>
  <c r="AV139" i="53"/>
  <c r="AW139" i="53"/>
  <c r="AX139" i="53"/>
  <c r="AY139" i="53"/>
  <c r="AZ139" i="53"/>
  <c r="BA139" i="53"/>
  <c r="AD140" i="53"/>
  <c r="AE140" i="53"/>
  <c r="AF140" i="53"/>
  <c r="AG140" i="53"/>
  <c r="AH140" i="53"/>
  <c r="AI140" i="53"/>
  <c r="AJ140" i="53"/>
  <c r="AK140" i="53"/>
  <c r="AL140" i="53"/>
  <c r="AM140" i="53"/>
  <c r="AN140" i="53"/>
  <c r="AO140" i="53"/>
  <c r="AP140" i="53"/>
  <c r="AQ140" i="53"/>
  <c r="AR140" i="53"/>
  <c r="AS140" i="53"/>
  <c r="AT140" i="53"/>
  <c r="AU140" i="53"/>
  <c r="AV140" i="53"/>
  <c r="AW140" i="53"/>
  <c r="AX140" i="53"/>
  <c r="AY140" i="53"/>
  <c r="AZ140" i="53"/>
  <c r="BA140" i="53"/>
  <c r="AD141" i="53"/>
  <c r="AE141" i="53"/>
  <c r="AF141" i="53"/>
  <c r="AG141" i="53"/>
  <c r="AH141" i="53"/>
  <c r="AI141" i="53"/>
  <c r="AJ141" i="53"/>
  <c r="AK141" i="53"/>
  <c r="AL141" i="53"/>
  <c r="AM141" i="53"/>
  <c r="AN141" i="53"/>
  <c r="AO141" i="53"/>
  <c r="AP141" i="53"/>
  <c r="AQ141" i="53"/>
  <c r="AR141" i="53"/>
  <c r="AS141" i="53"/>
  <c r="AT141" i="53"/>
  <c r="AU141" i="53"/>
  <c r="AV141" i="53"/>
  <c r="AW141" i="53"/>
  <c r="AX141" i="53"/>
  <c r="AY141" i="53"/>
  <c r="AZ141" i="53"/>
  <c r="BA141" i="53"/>
  <c r="AD142" i="53"/>
  <c r="AE142" i="53"/>
  <c r="AF142" i="53"/>
  <c r="AG142" i="53"/>
  <c r="AH142" i="53"/>
  <c r="AI142" i="53"/>
  <c r="AJ142" i="53"/>
  <c r="AK142" i="53"/>
  <c r="AL142" i="53"/>
  <c r="AM142" i="53"/>
  <c r="AN142" i="53"/>
  <c r="AO142" i="53"/>
  <c r="AP142" i="53"/>
  <c r="AQ142" i="53"/>
  <c r="AR142" i="53"/>
  <c r="AS142" i="53"/>
  <c r="AT142" i="53"/>
  <c r="AU142" i="53"/>
  <c r="AV142" i="53"/>
  <c r="AW142" i="53"/>
  <c r="AX142" i="53"/>
  <c r="AY142" i="53"/>
  <c r="AZ142" i="53"/>
  <c r="BA142" i="53"/>
  <c r="AD143" i="53"/>
  <c r="AE143" i="53"/>
  <c r="AF143" i="53"/>
  <c r="AG143" i="53"/>
  <c r="AH143" i="53"/>
  <c r="AI143" i="53"/>
  <c r="AJ143" i="53"/>
  <c r="AK143" i="53"/>
  <c r="AL143" i="53"/>
  <c r="AM143" i="53"/>
  <c r="AN143" i="53"/>
  <c r="AO143" i="53"/>
  <c r="AP143" i="53"/>
  <c r="AQ143" i="53"/>
  <c r="AR143" i="53"/>
  <c r="AS143" i="53"/>
  <c r="AT143" i="53"/>
  <c r="AU143" i="53"/>
  <c r="AV143" i="53"/>
  <c r="AW143" i="53"/>
  <c r="AX143" i="53"/>
  <c r="AY143" i="53"/>
  <c r="AZ143" i="53"/>
  <c r="BA143" i="53"/>
  <c r="AD144" i="53"/>
  <c r="AE144" i="53"/>
  <c r="AF144" i="53"/>
  <c r="AG144" i="53"/>
  <c r="AH144" i="53"/>
  <c r="AI144" i="53"/>
  <c r="AJ144" i="53"/>
  <c r="AK144" i="53"/>
  <c r="AL144" i="53"/>
  <c r="AM144" i="53"/>
  <c r="AN144" i="53"/>
  <c r="AO144" i="53"/>
  <c r="AP144" i="53"/>
  <c r="AQ144" i="53"/>
  <c r="AR144" i="53"/>
  <c r="AS144" i="53"/>
  <c r="AT144" i="53"/>
  <c r="AU144" i="53"/>
  <c r="AV144" i="53"/>
  <c r="AW144" i="53"/>
  <c r="AX144" i="53"/>
  <c r="AY144" i="53"/>
  <c r="AZ144" i="53"/>
  <c r="BA144" i="53"/>
  <c r="AD145" i="53"/>
  <c r="AE145" i="53"/>
  <c r="AF145" i="53"/>
  <c r="AG145" i="53"/>
  <c r="AH145" i="53"/>
  <c r="AI145" i="53"/>
  <c r="AJ145" i="53"/>
  <c r="AK145" i="53"/>
  <c r="AL145" i="53"/>
  <c r="AM145" i="53"/>
  <c r="AN145" i="53"/>
  <c r="AO145" i="53"/>
  <c r="AP145" i="53"/>
  <c r="AQ145" i="53"/>
  <c r="AR145" i="53"/>
  <c r="AS145" i="53"/>
  <c r="AT145" i="53"/>
  <c r="AU145" i="53"/>
  <c r="AV145" i="53"/>
  <c r="AW145" i="53"/>
  <c r="AX145" i="53"/>
  <c r="AY145" i="53"/>
  <c r="AZ145" i="53"/>
  <c r="BA145" i="53"/>
  <c r="AD146" i="53"/>
  <c r="AE146" i="53"/>
  <c r="AF146" i="53"/>
  <c r="AG146" i="53"/>
  <c r="AH146" i="53"/>
  <c r="AI146" i="53"/>
  <c r="AJ146" i="53"/>
  <c r="AK146" i="53"/>
  <c r="AL146" i="53"/>
  <c r="AM146" i="53"/>
  <c r="AN146" i="53"/>
  <c r="AO146" i="53"/>
  <c r="AP146" i="53"/>
  <c r="AQ146" i="53"/>
  <c r="AR146" i="53"/>
  <c r="AS146" i="53"/>
  <c r="AT146" i="53"/>
  <c r="AU146" i="53"/>
  <c r="AV146" i="53"/>
  <c r="AW146" i="53"/>
  <c r="AX146" i="53"/>
  <c r="AY146" i="53"/>
  <c r="AZ146" i="53"/>
  <c r="BA146" i="53"/>
  <c r="AD147" i="53"/>
  <c r="AE147" i="53"/>
  <c r="AF147" i="53"/>
  <c r="AG147" i="53"/>
  <c r="AH147" i="53"/>
  <c r="AI147" i="53"/>
  <c r="AJ147" i="53"/>
  <c r="AK147" i="53"/>
  <c r="AL147" i="53"/>
  <c r="AM147" i="53"/>
  <c r="AN147" i="53"/>
  <c r="AO147" i="53"/>
  <c r="AP147" i="53"/>
  <c r="AQ147" i="53"/>
  <c r="AR147" i="53"/>
  <c r="AS147" i="53"/>
  <c r="AT147" i="53"/>
  <c r="AU147" i="53"/>
  <c r="AV147" i="53"/>
  <c r="AW147" i="53"/>
  <c r="AX147" i="53"/>
  <c r="AY147" i="53"/>
  <c r="AZ147" i="53"/>
  <c r="BA147" i="53"/>
  <c r="AD148" i="53"/>
  <c r="AE148" i="53"/>
  <c r="AF148" i="53"/>
  <c r="AG148" i="53"/>
  <c r="AH148" i="53"/>
  <c r="AI148" i="53"/>
  <c r="AJ148" i="53"/>
  <c r="AK148" i="53"/>
  <c r="AL148" i="53"/>
  <c r="AM148" i="53"/>
  <c r="AN148" i="53"/>
  <c r="AO148" i="53"/>
  <c r="AP148" i="53"/>
  <c r="AQ148" i="53"/>
  <c r="AR148" i="53"/>
  <c r="AS148" i="53"/>
  <c r="AT148" i="53"/>
  <c r="AU148" i="53"/>
  <c r="AV148" i="53"/>
  <c r="AW148" i="53"/>
  <c r="AX148" i="53"/>
  <c r="AY148" i="53"/>
  <c r="AZ148" i="53"/>
  <c r="BA148" i="53"/>
  <c r="AD149" i="53"/>
  <c r="AE149" i="53"/>
  <c r="AF149" i="53"/>
  <c r="AG149" i="53"/>
  <c r="AH149" i="53"/>
  <c r="AI149" i="53"/>
  <c r="AJ149" i="53"/>
  <c r="AK149" i="53"/>
  <c r="AL149" i="53"/>
  <c r="AM149" i="53"/>
  <c r="AN149" i="53"/>
  <c r="AO149" i="53"/>
  <c r="AP149" i="53"/>
  <c r="AQ149" i="53"/>
  <c r="AR149" i="53"/>
  <c r="AS149" i="53"/>
  <c r="AT149" i="53"/>
  <c r="AU149" i="53"/>
  <c r="AV149" i="53"/>
  <c r="AW149" i="53"/>
  <c r="AX149" i="53"/>
  <c r="AY149" i="53"/>
  <c r="AZ149" i="53"/>
  <c r="BA149" i="53"/>
  <c r="AD150" i="53"/>
  <c r="AE150" i="53"/>
  <c r="AF150" i="53"/>
  <c r="AG150" i="53"/>
  <c r="AH150" i="53"/>
  <c r="AI150" i="53"/>
  <c r="AJ150" i="53"/>
  <c r="AK150" i="53"/>
  <c r="AL150" i="53"/>
  <c r="AM150" i="53"/>
  <c r="AN150" i="53"/>
  <c r="AO150" i="53"/>
  <c r="AP150" i="53"/>
  <c r="AQ150" i="53"/>
  <c r="AR150" i="53"/>
  <c r="AS150" i="53"/>
  <c r="AT150" i="53"/>
  <c r="AU150" i="53"/>
  <c r="AV150" i="53"/>
  <c r="AW150" i="53"/>
  <c r="AX150" i="53"/>
  <c r="AY150" i="53"/>
  <c r="AZ150" i="53"/>
  <c r="BA150" i="53"/>
  <c r="AD151" i="53"/>
  <c r="AE151" i="53"/>
  <c r="AF151" i="53"/>
  <c r="AG151" i="53"/>
  <c r="AH151" i="53"/>
  <c r="AI151" i="53"/>
  <c r="AJ151" i="53"/>
  <c r="AK151" i="53"/>
  <c r="AL151" i="53"/>
  <c r="AM151" i="53"/>
  <c r="AN151" i="53"/>
  <c r="AO151" i="53"/>
  <c r="AP151" i="53"/>
  <c r="AQ151" i="53"/>
  <c r="AR151" i="53"/>
  <c r="AS151" i="53"/>
  <c r="AT151" i="53"/>
  <c r="AU151" i="53"/>
  <c r="AV151" i="53"/>
  <c r="AW151" i="53"/>
  <c r="AX151" i="53"/>
  <c r="AY151" i="53"/>
  <c r="AZ151" i="53"/>
  <c r="BA151" i="53"/>
  <c r="AD152" i="53"/>
  <c r="AE152" i="53"/>
  <c r="AF152" i="53"/>
  <c r="AG152" i="53"/>
  <c r="AH152" i="53"/>
  <c r="AI152" i="53"/>
  <c r="AJ152" i="53"/>
  <c r="AK152" i="53"/>
  <c r="AL152" i="53"/>
  <c r="AM152" i="53"/>
  <c r="AN152" i="53"/>
  <c r="AO152" i="53"/>
  <c r="AP152" i="53"/>
  <c r="AQ152" i="53"/>
  <c r="AR152" i="53"/>
  <c r="AS152" i="53"/>
  <c r="AT152" i="53"/>
  <c r="AU152" i="53"/>
  <c r="AV152" i="53"/>
  <c r="AW152" i="53"/>
  <c r="AX152" i="53"/>
  <c r="AY152" i="53"/>
  <c r="AZ152" i="53"/>
  <c r="BA152" i="53"/>
  <c r="AD153" i="53"/>
  <c r="AE153" i="53"/>
  <c r="AF153" i="53"/>
  <c r="AG153" i="53"/>
  <c r="AH153" i="53"/>
  <c r="AI153" i="53"/>
  <c r="AJ153" i="53"/>
  <c r="AK153" i="53"/>
  <c r="AL153" i="53"/>
  <c r="AM153" i="53"/>
  <c r="AN153" i="53"/>
  <c r="AO153" i="53"/>
  <c r="AP153" i="53"/>
  <c r="AQ153" i="53"/>
  <c r="AR153" i="53"/>
  <c r="AS153" i="53"/>
  <c r="AT153" i="53"/>
  <c r="AU153" i="53"/>
  <c r="AV153" i="53"/>
  <c r="AW153" i="53"/>
  <c r="AX153" i="53"/>
  <c r="AY153" i="53"/>
  <c r="AZ153" i="53"/>
  <c r="BA153" i="53"/>
  <c r="AD154" i="53"/>
  <c r="AE154" i="53"/>
  <c r="AF154" i="53"/>
  <c r="AG154" i="53"/>
  <c r="AH154" i="53"/>
  <c r="AI154" i="53"/>
  <c r="AJ154" i="53"/>
  <c r="AK154" i="53"/>
  <c r="AL154" i="53"/>
  <c r="AM154" i="53"/>
  <c r="AN154" i="53"/>
  <c r="AO154" i="53"/>
  <c r="AP154" i="53"/>
  <c r="AQ154" i="53"/>
  <c r="AR154" i="53"/>
  <c r="AS154" i="53"/>
  <c r="AT154" i="53"/>
  <c r="AU154" i="53"/>
  <c r="AV154" i="53"/>
  <c r="AW154" i="53"/>
  <c r="AX154" i="53"/>
  <c r="AY154" i="53"/>
  <c r="AZ154" i="53"/>
  <c r="BA154" i="53"/>
  <c r="AD155" i="53"/>
  <c r="AE155" i="53"/>
  <c r="AF155" i="53"/>
  <c r="AG155" i="53"/>
  <c r="AH155" i="53"/>
  <c r="AI155" i="53"/>
  <c r="AJ155" i="53"/>
  <c r="AK155" i="53"/>
  <c r="AL155" i="53"/>
  <c r="AM155" i="53"/>
  <c r="AN155" i="53"/>
  <c r="AO155" i="53"/>
  <c r="AP155" i="53"/>
  <c r="AQ155" i="53"/>
  <c r="AR155" i="53"/>
  <c r="AS155" i="53"/>
  <c r="AT155" i="53"/>
  <c r="AU155" i="53"/>
  <c r="AV155" i="53"/>
  <c r="AW155" i="53"/>
  <c r="AX155" i="53"/>
  <c r="AY155" i="53"/>
  <c r="AZ155" i="53"/>
  <c r="BA155" i="53"/>
  <c r="AD156" i="53"/>
  <c r="AE156" i="53"/>
  <c r="AF156" i="53"/>
  <c r="AG156" i="53"/>
  <c r="AH156" i="53"/>
  <c r="AI156" i="53"/>
  <c r="AJ156" i="53"/>
  <c r="AK156" i="53"/>
  <c r="AL156" i="53"/>
  <c r="AM156" i="53"/>
  <c r="AN156" i="53"/>
  <c r="AO156" i="53"/>
  <c r="AP156" i="53"/>
  <c r="AQ156" i="53"/>
  <c r="AR156" i="53"/>
  <c r="AS156" i="53"/>
  <c r="AT156" i="53"/>
  <c r="AU156" i="53"/>
  <c r="AV156" i="53"/>
  <c r="AW156" i="53"/>
  <c r="AX156" i="53"/>
  <c r="AY156" i="53"/>
  <c r="AZ156" i="53"/>
  <c r="BA156" i="53"/>
  <c r="AD157" i="53"/>
  <c r="AE157" i="53"/>
  <c r="AF157" i="53"/>
  <c r="AG157" i="53"/>
  <c r="AH157" i="53"/>
  <c r="AI157" i="53"/>
  <c r="AJ157" i="53"/>
  <c r="AK157" i="53"/>
  <c r="AL157" i="53"/>
  <c r="AM157" i="53"/>
  <c r="AN157" i="53"/>
  <c r="AO157" i="53"/>
  <c r="AP157" i="53"/>
  <c r="AQ157" i="53"/>
  <c r="AR157" i="53"/>
  <c r="AS157" i="53"/>
  <c r="AT157" i="53"/>
  <c r="AU157" i="53"/>
  <c r="AV157" i="53"/>
  <c r="AW157" i="53"/>
  <c r="AX157" i="53"/>
  <c r="AY157" i="53"/>
  <c r="AZ157" i="53"/>
  <c r="BA157" i="53"/>
  <c r="AD158" i="53"/>
  <c r="AE158" i="53"/>
  <c r="AF158" i="53"/>
  <c r="AG158" i="53"/>
  <c r="AH158" i="53"/>
  <c r="AI158" i="53"/>
  <c r="AJ158" i="53"/>
  <c r="AK158" i="53"/>
  <c r="AL158" i="53"/>
  <c r="AM158" i="53"/>
  <c r="AN158" i="53"/>
  <c r="AO158" i="53"/>
  <c r="AP158" i="53"/>
  <c r="AQ158" i="53"/>
  <c r="AR158" i="53"/>
  <c r="AS158" i="53"/>
  <c r="AT158" i="53"/>
  <c r="AU158" i="53"/>
  <c r="AV158" i="53"/>
  <c r="AW158" i="53"/>
  <c r="AX158" i="53"/>
  <c r="AY158" i="53"/>
  <c r="AZ158" i="53"/>
  <c r="BA158" i="53"/>
  <c r="AD159" i="53"/>
  <c r="AE159" i="53"/>
  <c r="AF159" i="53"/>
  <c r="AG159" i="53"/>
  <c r="AH159" i="53"/>
  <c r="AI159" i="53"/>
  <c r="AJ159" i="53"/>
  <c r="AK159" i="53"/>
  <c r="AL159" i="53"/>
  <c r="AM159" i="53"/>
  <c r="AN159" i="53"/>
  <c r="AO159" i="53"/>
  <c r="AP159" i="53"/>
  <c r="AQ159" i="53"/>
  <c r="AR159" i="53"/>
  <c r="AS159" i="53"/>
  <c r="AT159" i="53"/>
  <c r="AU159" i="53"/>
  <c r="AV159" i="53"/>
  <c r="AW159" i="53"/>
  <c r="AX159" i="53"/>
  <c r="AY159" i="53"/>
  <c r="AZ159" i="53"/>
  <c r="BA159" i="53"/>
  <c r="AD160" i="53"/>
  <c r="AE160" i="53"/>
  <c r="AF160" i="53"/>
  <c r="AG160" i="53"/>
  <c r="AH160" i="53"/>
  <c r="AI160" i="53"/>
  <c r="AJ160" i="53"/>
  <c r="AK160" i="53"/>
  <c r="AL160" i="53"/>
  <c r="AM160" i="53"/>
  <c r="AN160" i="53"/>
  <c r="AO160" i="53"/>
  <c r="AP160" i="53"/>
  <c r="AQ160" i="53"/>
  <c r="AR160" i="53"/>
  <c r="AS160" i="53"/>
  <c r="AT160" i="53"/>
  <c r="AU160" i="53"/>
  <c r="AV160" i="53"/>
  <c r="AW160" i="53"/>
  <c r="AX160" i="53"/>
  <c r="AY160" i="53"/>
  <c r="AZ160" i="53"/>
  <c r="BA160" i="53"/>
  <c r="AD161" i="53"/>
  <c r="AE161" i="53"/>
  <c r="AF161" i="53"/>
  <c r="AG161" i="53"/>
  <c r="AH161" i="53"/>
  <c r="AI161" i="53"/>
  <c r="AJ161" i="53"/>
  <c r="AK161" i="53"/>
  <c r="AL161" i="53"/>
  <c r="AM161" i="53"/>
  <c r="AN161" i="53"/>
  <c r="AO161" i="53"/>
  <c r="AP161" i="53"/>
  <c r="AQ161" i="53"/>
  <c r="AR161" i="53"/>
  <c r="AS161" i="53"/>
  <c r="AT161" i="53"/>
  <c r="AU161" i="53"/>
  <c r="AV161" i="53"/>
  <c r="AW161" i="53"/>
  <c r="AX161" i="53"/>
  <c r="AY161" i="53"/>
  <c r="AZ161" i="53"/>
  <c r="BA161" i="53"/>
  <c r="AD162" i="53"/>
  <c r="AE162" i="53"/>
  <c r="AF162" i="53"/>
  <c r="AG162" i="53"/>
  <c r="AH162" i="53"/>
  <c r="AI162" i="53"/>
  <c r="AJ162" i="53"/>
  <c r="AK162" i="53"/>
  <c r="AL162" i="53"/>
  <c r="AM162" i="53"/>
  <c r="AN162" i="53"/>
  <c r="AO162" i="53"/>
  <c r="AP162" i="53"/>
  <c r="AQ162" i="53"/>
  <c r="AR162" i="53"/>
  <c r="AS162" i="53"/>
  <c r="AT162" i="53"/>
  <c r="AU162" i="53"/>
  <c r="AV162" i="53"/>
  <c r="AW162" i="53"/>
  <c r="AX162" i="53"/>
  <c r="AY162" i="53"/>
  <c r="AZ162" i="53"/>
  <c r="BA162" i="53"/>
  <c r="AD163" i="53"/>
  <c r="AE163" i="53"/>
  <c r="AF163" i="53"/>
  <c r="AG163" i="53"/>
  <c r="AH163" i="53"/>
  <c r="AI163" i="53"/>
  <c r="AJ163" i="53"/>
  <c r="AK163" i="53"/>
  <c r="AL163" i="53"/>
  <c r="AM163" i="53"/>
  <c r="AN163" i="53"/>
  <c r="AO163" i="53"/>
  <c r="AP163" i="53"/>
  <c r="AQ163" i="53"/>
  <c r="AR163" i="53"/>
  <c r="AS163" i="53"/>
  <c r="AT163" i="53"/>
  <c r="AU163" i="53"/>
  <c r="AV163" i="53"/>
  <c r="AW163" i="53"/>
  <c r="AX163" i="53"/>
  <c r="AY163" i="53"/>
  <c r="AZ163" i="53"/>
  <c r="BA163" i="53"/>
  <c r="AD164" i="53"/>
  <c r="AE164" i="53"/>
  <c r="AF164" i="53"/>
  <c r="AG164" i="53"/>
  <c r="AH164" i="53"/>
  <c r="AI164" i="53"/>
  <c r="AJ164" i="53"/>
  <c r="AK164" i="53"/>
  <c r="AL164" i="53"/>
  <c r="AM164" i="53"/>
  <c r="AN164" i="53"/>
  <c r="AO164" i="53"/>
  <c r="AP164" i="53"/>
  <c r="AQ164" i="53"/>
  <c r="AR164" i="53"/>
  <c r="AS164" i="53"/>
  <c r="AT164" i="53"/>
  <c r="AU164" i="53"/>
  <c r="AV164" i="53"/>
  <c r="AW164" i="53"/>
  <c r="AX164" i="53"/>
  <c r="AY164" i="53"/>
  <c r="AZ164" i="53"/>
  <c r="BA164" i="53"/>
  <c r="AD165" i="53"/>
  <c r="AE165" i="53"/>
  <c r="AF165" i="53"/>
  <c r="AG165" i="53"/>
  <c r="AH165" i="53"/>
  <c r="AI165" i="53"/>
  <c r="AJ165" i="53"/>
  <c r="AK165" i="53"/>
  <c r="AL165" i="53"/>
  <c r="AM165" i="53"/>
  <c r="AN165" i="53"/>
  <c r="AO165" i="53"/>
  <c r="AP165" i="53"/>
  <c r="AQ165" i="53"/>
  <c r="AR165" i="53"/>
  <c r="AS165" i="53"/>
  <c r="AT165" i="53"/>
  <c r="AU165" i="53"/>
  <c r="AV165" i="53"/>
  <c r="AW165" i="53"/>
  <c r="AX165" i="53"/>
  <c r="AY165" i="53"/>
  <c r="AZ165" i="53"/>
  <c r="BA165" i="53"/>
  <c r="AD166" i="53"/>
  <c r="AE166" i="53"/>
  <c r="AF166" i="53"/>
  <c r="AG166" i="53"/>
  <c r="AH166" i="53"/>
  <c r="AI166" i="53"/>
  <c r="AJ166" i="53"/>
  <c r="AK166" i="53"/>
  <c r="AL166" i="53"/>
  <c r="AM166" i="53"/>
  <c r="AN166" i="53"/>
  <c r="AO166" i="53"/>
  <c r="AP166" i="53"/>
  <c r="AQ166" i="53"/>
  <c r="AR166" i="53"/>
  <c r="AS166" i="53"/>
  <c r="AT166" i="53"/>
  <c r="AU166" i="53"/>
  <c r="AV166" i="53"/>
  <c r="AW166" i="53"/>
  <c r="AX166" i="53"/>
  <c r="AY166" i="53"/>
  <c r="AZ166" i="53"/>
  <c r="BA166" i="53"/>
  <c r="AD167" i="53"/>
  <c r="AE167" i="53"/>
  <c r="AF167" i="53"/>
  <c r="AG167" i="53"/>
  <c r="AH167" i="53"/>
  <c r="AI167" i="53"/>
  <c r="AJ167" i="53"/>
  <c r="AK167" i="53"/>
  <c r="AL167" i="53"/>
  <c r="AM167" i="53"/>
  <c r="AN167" i="53"/>
  <c r="AO167" i="53"/>
  <c r="AP167" i="53"/>
  <c r="AQ167" i="53"/>
  <c r="AR167" i="53"/>
  <c r="AS167" i="53"/>
  <c r="AT167" i="53"/>
  <c r="AU167" i="53"/>
  <c r="AV167" i="53"/>
  <c r="AW167" i="53"/>
  <c r="AX167" i="53"/>
  <c r="AY167" i="53"/>
  <c r="AZ167" i="53"/>
  <c r="BA167" i="53"/>
  <c r="AD168" i="53"/>
  <c r="AE168" i="53"/>
  <c r="AF168" i="53"/>
  <c r="AG168" i="53"/>
  <c r="AH168" i="53"/>
  <c r="AI168" i="53"/>
  <c r="AJ168" i="53"/>
  <c r="AK168" i="53"/>
  <c r="AL168" i="53"/>
  <c r="AM168" i="53"/>
  <c r="AN168" i="53"/>
  <c r="AO168" i="53"/>
  <c r="AP168" i="53"/>
  <c r="AQ168" i="53"/>
  <c r="AR168" i="53"/>
  <c r="AS168" i="53"/>
  <c r="AT168" i="53"/>
  <c r="AU168" i="53"/>
  <c r="AV168" i="53"/>
  <c r="AW168" i="53"/>
  <c r="AX168" i="53"/>
  <c r="AY168" i="53"/>
  <c r="AZ168" i="53"/>
  <c r="BA168" i="53"/>
  <c r="AD169" i="53"/>
  <c r="AE169" i="53"/>
  <c r="AF169" i="53"/>
  <c r="AG169" i="53"/>
  <c r="AH169" i="53"/>
  <c r="AI169" i="53"/>
  <c r="AJ169" i="53"/>
  <c r="AK169" i="53"/>
  <c r="AL169" i="53"/>
  <c r="AM169" i="53"/>
  <c r="AN169" i="53"/>
  <c r="AO169" i="53"/>
  <c r="AP169" i="53"/>
  <c r="AQ169" i="53"/>
  <c r="AR169" i="53"/>
  <c r="AS169" i="53"/>
  <c r="AT169" i="53"/>
  <c r="AU169" i="53"/>
  <c r="AV169" i="53"/>
  <c r="AW169" i="53"/>
  <c r="AX169" i="53"/>
  <c r="AY169" i="53"/>
  <c r="AZ169" i="53"/>
  <c r="BA169" i="53"/>
  <c r="AD170" i="53"/>
  <c r="AE170" i="53"/>
  <c r="AF170" i="53"/>
  <c r="AG170" i="53"/>
  <c r="AH170" i="53"/>
  <c r="AI170" i="53"/>
  <c r="AJ170" i="53"/>
  <c r="AK170" i="53"/>
  <c r="AL170" i="53"/>
  <c r="AM170" i="53"/>
  <c r="AN170" i="53"/>
  <c r="AO170" i="53"/>
  <c r="AP170" i="53"/>
  <c r="AQ170" i="53"/>
  <c r="AR170" i="53"/>
  <c r="AS170" i="53"/>
  <c r="AT170" i="53"/>
  <c r="AU170" i="53"/>
  <c r="AV170" i="53"/>
  <c r="AW170" i="53"/>
  <c r="AX170" i="53"/>
  <c r="AY170" i="53"/>
  <c r="AZ170" i="53"/>
  <c r="BA170" i="53"/>
  <c r="AD171" i="53"/>
  <c r="AE171" i="53"/>
  <c r="AF171" i="53"/>
  <c r="AG171" i="53"/>
  <c r="AH171" i="53"/>
  <c r="AI171" i="53"/>
  <c r="AJ171" i="53"/>
  <c r="AK171" i="53"/>
  <c r="AL171" i="53"/>
  <c r="AM171" i="53"/>
  <c r="AN171" i="53"/>
  <c r="AO171" i="53"/>
  <c r="AP171" i="53"/>
  <c r="AQ171" i="53"/>
  <c r="AR171" i="53"/>
  <c r="AS171" i="53"/>
  <c r="AT171" i="53"/>
  <c r="AU171" i="53"/>
  <c r="AV171" i="53"/>
  <c r="AW171" i="53"/>
  <c r="AX171" i="53"/>
  <c r="AY171" i="53"/>
  <c r="AZ171" i="53"/>
  <c r="BA171" i="53"/>
  <c r="AD172" i="53"/>
  <c r="AE172" i="53"/>
  <c r="AF172" i="53"/>
  <c r="AG172" i="53"/>
  <c r="AH172" i="53"/>
  <c r="AI172" i="53"/>
  <c r="AJ172" i="53"/>
  <c r="AK172" i="53"/>
  <c r="AL172" i="53"/>
  <c r="AM172" i="53"/>
  <c r="AN172" i="53"/>
  <c r="AO172" i="53"/>
  <c r="AP172" i="53"/>
  <c r="AQ172" i="53"/>
  <c r="AR172" i="53"/>
  <c r="AS172" i="53"/>
  <c r="AT172" i="53"/>
  <c r="AU172" i="53"/>
  <c r="AV172" i="53"/>
  <c r="AW172" i="53"/>
  <c r="AX172" i="53"/>
  <c r="AY172" i="53"/>
  <c r="AZ172" i="53"/>
  <c r="BA172" i="53"/>
  <c r="AD173" i="53"/>
  <c r="AE173" i="53"/>
  <c r="AF173" i="53"/>
  <c r="AG173" i="53"/>
  <c r="AH173" i="53"/>
  <c r="AI173" i="53"/>
  <c r="AJ173" i="53"/>
  <c r="AK173" i="53"/>
  <c r="AL173" i="53"/>
  <c r="AM173" i="53"/>
  <c r="AN173" i="53"/>
  <c r="AO173" i="53"/>
  <c r="AP173" i="53"/>
  <c r="AQ173" i="53"/>
  <c r="AR173" i="53"/>
  <c r="AS173" i="53"/>
  <c r="AT173" i="53"/>
  <c r="AU173" i="53"/>
  <c r="AV173" i="53"/>
  <c r="AW173" i="53"/>
  <c r="AX173" i="53"/>
  <c r="AY173" i="53"/>
  <c r="AZ173" i="53"/>
  <c r="BA173" i="53"/>
  <c r="AD174" i="53"/>
  <c r="AE174" i="53"/>
  <c r="AF174" i="53"/>
  <c r="AG174" i="53"/>
  <c r="AH174" i="53"/>
  <c r="AI174" i="53"/>
  <c r="AJ174" i="53"/>
  <c r="AK174" i="53"/>
  <c r="AL174" i="53"/>
  <c r="AM174" i="53"/>
  <c r="AN174" i="53"/>
  <c r="AO174" i="53"/>
  <c r="AP174" i="53"/>
  <c r="AQ174" i="53"/>
  <c r="AR174" i="53"/>
  <c r="AS174" i="53"/>
  <c r="AT174" i="53"/>
  <c r="AU174" i="53"/>
  <c r="AV174" i="53"/>
  <c r="AW174" i="53"/>
  <c r="AX174" i="53"/>
  <c r="AY174" i="53"/>
  <c r="AZ174" i="53"/>
  <c r="BA174" i="53"/>
  <c r="AD175" i="53"/>
  <c r="AE175" i="53"/>
  <c r="AF175" i="53"/>
  <c r="AG175" i="53"/>
  <c r="AH175" i="53"/>
  <c r="AI175" i="53"/>
  <c r="AJ175" i="53"/>
  <c r="AK175" i="53"/>
  <c r="AL175" i="53"/>
  <c r="AM175" i="53"/>
  <c r="AN175" i="53"/>
  <c r="AO175" i="53"/>
  <c r="AP175" i="53"/>
  <c r="AQ175" i="53"/>
  <c r="AR175" i="53"/>
  <c r="AS175" i="53"/>
  <c r="AT175" i="53"/>
  <c r="AU175" i="53"/>
  <c r="AV175" i="53"/>
  <c r="AW175" i="53"/>
  <c r="AX175" i="53"/>
  <c r="AY175" i="53"/>
  <c r="AZ175" i="53"/>
  <c r="BA175" i="53"/>
  <c r="AD176" i="53"/>
  <c r="AE176" i="53"/>
  <c r="AF176" i="53"/>
  <c r="AG176" i="53"/>
  <c r="AH176" i="53"/>
  <c r="AI176" i="53"/>
  <c r="AJ176" i="53"/>
  <c r="AK176" i="53"/>
  <c r="AL176" i="53"/>
  <c r="AM176" i="53"/>
  <c r="AN176" i="53"/>
  <c r="AO176" i="53"/>
  <c r="AP176" i="53"/>
  <c r="AQ176" i="53"/>
  <c r="AR176" i="53"/>
  <c r="AS176" i="53"/>
  <c r="AT176" i="53"/>
  <c r="AU176" i="53"/>
  <c r="AV176" i="53"/>
  <c r="AW176" i="53"/>
  <c r="AX176" i="53"/>
  <c r="AY176" i="53"/>
  <c r="AZ176" i="53"/>
  <c r="BA176" i="53"/>
  <c r="AD177" i="53"/>
  <c r="AE177" i="53"/>
  <c r="AF177" i="53"/>
  <c r="AG177" i="53"/>
  <c r="AH177" i="53"/>
  <c r="AI177" i="53"/>
  <c r="AJ177" i="53"/>
  <c r="AK177" i="53"/>
  <c r="AL177" i="53"/>
  <c r="AM177" i="53"/>
  <c r="AN177" i="53"/>
  <c r="AO177" i="53"/>
  <c r="AP177" i="53"/>
  <c r="AQ177" i="53"/>
  <c r="AR177" i="53"/>
  <c r="AS177" i="53"/>
  <c r="AT177" i="53"/>
  <c r="AU177" i="53"/>
  <c r="AV177" i="53"/>
  <c r="AW177" i="53"/>
  <c r="AX177" i="53"/>
  <c r="AY177" i="53"/>
  <c r="AZ177" i="53"/>
  <c r="BA177" i="53"/>
  <c r="AD178" i="53"/>
  <c r="AE178" i="53"/>
  <c r="AF178" i="53"/>
  <c r="AG178" i="53"/>
  <c r="AH178" i="53"/>
  <c r="AI178" i="53"/>
  <c r="AJ178" i="53"/>
  <c r="AK178" i="53"/>
  <c r="AL178" i="53"/>
  <c r="AM178" i="53"/>
  <c r="AN178" i="53"/>
  <c r="AO178" i="53"/>
  <c r="AP178" i="53"/>
  <c r="AQ178" i="53"/>
  <c r="AR178" i="53"/>
  <c r="AS178" i="53"/>
  <c r="AT178" i="53"/>
  <c r="AU178" i="53"/>
  <c r="AV178" i="53"/>
  <c r="AW178" i="53"/>
  <c r="AX178" i="53"/>
  <c r="AY178" i="53"/>
  <c r="AZ178" i="53"/>
  <c r="BA178" i="53"/>
  <c r="AD179" i="53"/>
  <c r="AE179" i="53"/>
  <c r="AF179" i="53"/>
  <c r="AG179" i="53"/>
  <c r="AH179" i="53"/>
  <c r="AI179" i="53"/>
  <c r="AJ179" i="53"/>
  <c r="AK179" i="53"/>
  <c r="AL179" i="53"/>
  <c r="AM179" i="53"/>
  <c r="AN179" i="53"/>
  <c r="AO179" i="53"/>
  <c r="AP179" i="53"/>
  <c r="AQ179" i="53"/>
  <c r="AR179" i="53"/>
  <c r="AS179" i="53"/>
  <c r="AT179" i="53"/>
  <c r="AU179" i="53"/>
  <c r="AV179" i="53"/>
  <c r="AW179" i="53"/>
  <c r="AX179" i="53"/>
  <c r="AY179" i="53"/>
  <c r="AZ179" i="53"/>
  <c r="BA179" i="53"/>
  <c r="AD180" i="53"/>
  <c r="AE180" i="53"/>
  <c r="AF180" i="53"/>
  <c r="AG180" i="53"/>
  <c r="AH180" i="53"/>
  <c r="AI180" i="53"/>
  <c r="AJ180" i="53"/>
  <c r="AK180" i="53"/>
  <c r="AL180" i="53"/>
  <c r="AM180" i="53"/>
  <c r="AN180" i="53"/>
  <c r="AO180" i="53"/>
  <c r="AP180" i="53"/>
  <c r="AQ180" i="53"/>
  <c r="AR180" i="53"/>
  <c r="AS180" i="53"/>
  <c r="AT180" i="53"/>
  <c r="AU180" i="53"/>
  <c r="AV180" i="53"/>
  <c r="AW180" i="53"/>
  <c r="AX180" i="53"/>
  <c r="AY180" i="53"/>
  <c r="AZ180" i="53"/>
  <c r="BA180" i="53"/>
  <c r="AD181" i="53"/>
  <c r="AE181" i="53"/>
  <c r="AF181" i="53"/>
  <c r="AG181" i="53"/>
  <c r="AH181" i="53"/>
  <c r="AI181" i="53"/>
  <c r="AJ181" i="53"/>
  <c r="AK181" i="53"/>
  <c r="AL181" i="53"/>
  <c r="AM181" i="53"/>
  <c r="AN181" i="53"/>
  <c r="AO181" i="53"/>
  <c r="AP181" i="53"/>
  <c r="AQ181" i="53"/>
  <c r="AR181" i="53"/>
  <c r="AS181" i="53"/>
  <c r="AT181" i="53"/>
  <c r="AU181" i="53"/>
  <c r="AV181" i="53"/>
  <c r="AW181" i="53"/>
  <c r="AX181" i="53"/>
  <c r="AY181" i="53"/>
  <c r="AZ181" i="53"/>
  <c r="BA181" i="53"/>
  <c r="AD182" i="53"/>
  <c r="AE182" i="53"/>
  <c r="AF182" i="53"/>
  <c r="AG182" i="53"/>
  <c r="AH182" i="53"/>
  <c r="AI182" i="53"/>
  <c r="AJ182" i="53"/>
  <c r="AK182" i="53"/>
  <c r="AL182" i="53"/>
  <c r="AM182" i="53"/>
  <c r="AN182" i="53"/>
  <c r="AO182" i="53"/>
  <c r="AP182" i="53"/>
  <c r="AQ182" i="53"/>
  <c r="AR182" i="53"/>
  <c r="AS182" i="53"/>
  <c r="AT182" i="53"/>
  <c r="AU182" i="53"/>
  <c r="AV182" i="53"/>
  <c r="AW182" i="53"/>
  <c r="AX182" i="53"/>
  <c r="AY182" i="53"/>
  <c r="AZ182" i="53"/>
  <c r="BA182" i="53"/>
  <c r="AD183" i="53"/>
  <c r="AE183" i="53"/>
  <c r="AF183" i="53"/>
  <c r="AG183" i="53"/>
  <c r="AH183" i="53"/>
  <c r="AI183" i="53"/>
  <c r="AJ183" i="53"/>
  <c r="AK183" i="53"/>
  <c r="AL183" i="53"/>
  <c r="AM183" i="53"/>
  <c r="AN183" i="53"/>
  <c r="AO183" i="53"/>
  <c r="AP183" i="53"/>
  <c r="AQ183" i="53"/>
  <c r="AR183" i="53"/>
  <c r="AS183" i="53"/>
  <c r="AT183" i="53"/>
  <c r="AU183" i="53"/>
  <c r="AV183" i="53"/>
  <c r="AW183" i="53"/>
  <c r="AX183" i="53"/>
  <c r="AY183" i="53"/>
  <c r="AZ183" i="53"/>
  <c r="BA183" i="53"/>
  <c r="AD184" i="53"/>
  <c r="AE184" i="53"/>
  <c r="AF184" i="53"/>
  <c r="AG184" i="53"/>
  <c r="AH184" i="53"/>
  <c r="AI184" i="53"/>
  <c r="AJ184" i="53"/>
  <c r="AK184" i="53"/>
  <c r="AL184" i="53"/>
  <c r="AM184" i="53"/>
  <c r="AN184" i="53"/>
  <c r="AO184" i="53"/>
  <c r="AP184" i="53"/>
  <c r="AQ184" i="53"/>
  <c r="AR184" i="53"/>
  <c r="AS184" i="53"/>
  <c r="AT184" i="53"/>
  <c r="AU184" i="53"/>
  <c r="AV184" i="53"/>
  <c r="AW184" i="53"/>
  <c r="AX184" i="53"/>
  <c r="AY184" i="53"/>
  <c r="AZ184" i="53"/>
  <c r="BA184" i="53"/>
  <c r="AD185" i="53"/>
  <c r="AE185" i="53"/>
  <c r="AF185" i="53"/>
  <c r="AG185" i="53"/>
  <c r="AH185" i="53"/>
  <c r="AI185" i="53"/>
  <c r="AJ185" i="53"/>
  <c r="AK185" i="53"/>
  <c r="AL185" i="53"/>
  <c r="AM185" i="53"/>
  <c r="AN185" i="53"/>
  <c r="AO185" i="53"/>
  <c r="AP185" i="53"/>
  <c r="AQ185" i="53"/>
  <c r="AR185" i="53"/>
  <c r="AS185" i="53"/>
  <c r="AT185" i="53"/>
  <c r="AU185" i="53"/>
  <c r="AV185" i="53"/>
  <c r="AW185" i="53"/>
  <c r="AX185" i="53"/>
  <c r="AY185" i="53"/>
  <c r="AZ185" i="53"/>
  <c r="BA185" i="53"/>
  <c r="AD186" i="53"/>
  <c r="AE186" i="53"/>
  <c r="AF186" i="53"/>
  <c r="AG186" i="53"/>
  <c r="AH186" i="53"/>
  <c r="AI186" i="53"/>
  <c r="AJ186" i="53"/>
  <c r="AK186" i="53"/>
  <c r="AL186" i="53"/>
  <c r="AM186" i="53"/>
  <c r="AN186" i="53"/>
  <c r="AO186" i="53"/>
  <c r="AP186" i="53"/>
  <c r="AQ186" i="53"/>
  <c r="AR186" i="53"/>
  <c r="AS186" i="53"/>
  <c r="AT186" i="53"/>
  <c r="AU186" i="53"/>
  <c r="AV186" i="53"/>
  <c r="AW186" i="53"/>
  <c r="AX186" i="53"/>
  <c r="AY186" i="53"/>
  <c r="AZ186" i="53"/>
  <c r="BA186" i="53"/>
  <c r="AD187" i="53"/>
  <c r="AE187" i="53"/>
  <c r="AF187" i="53"/>
  <c r="AG187" i="53"/>
  <c r="AH187" i="53"/>
  <c r="AI187" i="53"/>
  <c r="AJ187" i="53"/>
  <c r="AK187" i="53"/>
  <c r="AL187" i="53"/>
  <c r="AM187" i="53"/>
  <c r="AN187" i="53"/>
  <c r="AO187" i="53"/>
  <c r="AP187" i="53"/>
  <c r="AQ187" i="53"/>
  <c r="AR187" i="53"/>
  <c r="AS187" i="53"/>
  <c r="AT187" i="53"/>
  <c r="AU187" i="53"/>
  <c r="AV187" i="53"/>
  <c r="AW187" i="53"/>
  <c r="AX187" i="53"/>
  <c r="AY187" i="53"/>
  <c r="AZ187" i="53"/>
  <c r="BA187" i="53"/>
  <c r="AD188" i="53"/>
  <c r="AE188" i="53"/>
  <c r="AF188" i="53"/>
  <c r="AG188" i="53"/>
  <c r="AH188" i="53"/>
  <c r="AI188" i="53"/>
  <c r="AJ188" i="53"/>
  <c r="AK188" i="53"/>
  <c r="AL188" i="53"/>
  <c r="AM188" i="53"/>
  <c r="AN188" i="53"/>
  <c r="AO188" i="53"/>
  <c r="AP188" i="53"/>
  <c r="AQ188" i="53"/>
  <c r="AR188" i="53"/>
  <c r="AS188" i="53"/>
  <c r="AT188" i="53"/>
  <c r="AU188" i="53"/>
  <c r="AV188" i="53"/>
  <c r="AW188" i="53"/>
  <c r="AX188" i="53"/>
  <c r="AY188" i="53"/>
  <c r="AZ188" i="53"/>
  <c r="BA188" i="53"/>
  <c r="AD189" i="53"/>
  <c r="AE189" i="53"/>
  <c r="AF189" i="53"/>
  <c r="AG189" i="53"/>
  <c r="AH189" i="53"/>
  <c r="AI189" i="53"/>
  <c r="AJ189" i="53"/>
  <c r="AK189" i="53"/>
  <c r="AL189" i="53"/>
  <c r="AM189" i="53"/>
  <c r="AN189" i="53"/>
  <c r="AO189" i="53"/>
  <c r="AP189" i="53"/>
  <c r="AQ189" i="53"/>
  <c r="AR189" i="53"/>
  <c r="AS189" i="53"/>
  <c r="AT189" i="53"/>
  <c r="AU189" i="53"/>
  <c r="AV189" i="53"/>
  <c r="AW189" i="53"/>
  <c r="AX189" i="53"/>
  <c r="AY189" i="53"/>
  <c r="AZ189" i="53"/>
  <c r="BA189" i="53"/>
  <c r="AD190" i="53"/>
  <c r="AE190" i="53"/>
  <c r="AF190" i="53"/>
  <c r="AG190" i="53"/>
  <c r="AH190" i="53"/>
  <c r="AI190" i="53"/>
  <c r="AJ190" i="53"/>
  <c r="AK190" i="53"/>
  <c r="AL190" i="53"/>
  <c r="AM190" i="53"/>
  <c r="AN190" i="53"/>
  <c r="AO190" i="53"/>
  <c r="AP190" i="53"/>
  <c r="AQ190" i="53"/>
  <c r="AR190" i="53"/>
  <c r="AS190" i="53"/>
  <c r="AT190" i="53"/>
  <c r="AU190" i="53"/>
  <c r="AV190" i="53"/>
  <c r="AW190" i="53"/>
  <c r="AX190" i="53"/>
  <c r="AY190" i="53"/>
  <c r="AZ190" i="53"/>
  <c r="BA190" i="53"/>
  <c r="AD191" i="53"/>
  <c r="AE191" i="53"/>
  <c r="AF191" i="53"/>
  <c r="AG191" i="53"/>
  <c r="AH191" i="53"/>
  <c r="AI191" i="53"/>
  <c r="AJ191" i="53"/>
  <c r="AK191" i="53"/>
  <c r="AL191" i="53"/>
  <c r="AM191" i="53"/>
  <c r="AN191" i="53"/>
  <c r="AO191" i="53"/>
  <c r="AP191" i="53"/>
  <c r="AQ191" i="53"/>
  <c r="AR191" i="53"/>
  <c r="AS191" i="53"/>
  <c r="AT191" i="53"/>
  <c r="AU191" i="53"/>
  <c r="AV191" i="53"/>
  <c r="AW191" i="53"/>
  <c r="AX191" i="53"/>
  <c r="AY191" i="53"/>
  <c r="AZ191" i="53"/>
  <c r="BA191" i="53"/>
  <c r="AD192" i="53"/>
  <c r="AE192" i="53"/>
  <c r="AF192" i="53"/>
  <c r="AG192" i="53"/>
  <c r="AH192" i="53"/>
  <c r="AI192" i="53"/>
  <c r="AJ192" i="53"/>
  <c r="AK192" i="53"/>
  <c r="AL192" i="53"/>
  <c r="AM192" i="53"/>
  <c r="AN192" i="53"/>
  <c r="AO192" i="53"/>
  <c r="AP192" i="53"/>
  <c r="AQ192" i="53"/>
  <c r="AR192" i="53"/>
  <c r="AS192" i="53"/>
  <c r="AT192" i="53"/>
  <c r="AU192" i="53"/>
  <c r="AV192" i="53"/>
  <c r="AW192" i="53"/>
  <c r="AX192" i="53"/>
  <c r="AY192" i="53"/>
  <c r="AZ192" i="53"/>
  <c r="BA192" i="53"/>
  <c r="AD193" i="53"/>
  <c r="AE193" i="53"/>
  <c r="AF193" i="53"/>
  <c r="AG193" i="53"/>
  <c r="AH193" i="53"/>
  <c r="AI193" i="53"/>
  <c r="AJ193" i="53"/>
  <c r="AK193" i="53"/>
  <c r="AL193" i="53"/>
  <c r="AM193" i="53"/>
  <c r="AN193" i="53"/>
  <c r="AO193" i="53"/>
  <c r="AP193" i="53"/>
  <c r="AQ193" i="53"/>
  <c r="AR193" i="53"/>
  <c r="AS193" i="53"/>
  <c r="AT193" i="53"/>
  <c r="AU193" i="53"/>
  <c r="AV193" i="53"/>
  <c r="AW193" i="53"/>
  <c r="AX193" i="53"/>
  <c r="AY193" i="53"/>
  <c r="AZ193" i="53"/>
  <c r="BA193" i="53"/>
  <c r="AD194" i="53"/>
  <c r="AE194" i="53"/>
  <c r="AF194" i="53"/>
  <c r="AG194" i="53"/>
  <c r="AH194" i="53"/>
  <c r="AI194" i="53"/>
  <c r="AJ194" i="53"/>
  <c r="AK194" i="53"/>
  <c r="AL194" i="53"/>
  <c r="AM194" i="53"/>
  <c r="AN194" i="53"/>
  <c r="AO194" i="53"/>
  <c r="AP194" i="53"/>
  <c r="AQ194" i="53"/>
  <c r="AR194" i="53"/>
  <c r="AS194" i="53"/>
  <c r="AT194" i="53"/>
  <c r="AU194" i="53"/>
  <c r="AV194" i="53"/>
  <c r="AW194" i="53"/>
  <c r="AX194" i="53"/>
  <c r="AY194" i="53"/>
  <c r="AZ194" i="53"/>
  <c r="BA194" i="53"/>
  <c r="AD195" i="53"/>
  <c r="AE195" i="53"/>
  <c r="AF195" i="53"/>
  <c r="AG195" i="53"/>
  <c r="AH195" i="53"/>
  <c r="AI195" i="53"/>
  <c r="AJ195" i="53"/>
  <c r="AK195" i="53"/>
  <c r="AL195" i="53"/>
  <c r="AM195" i="53"/>
  <c r="AN195" i="53"/>
  <c r="AO195" i="53"/>
  <c r="AP195" i="53"/>
  <c r="AQ195" i="53"/>
  <c r="AR195" i="53"/>
  <c r="AS195" i="53"/>
  <c r="AT195" i="53"/>
  <c r="AU195" i="53"/>
  <c r="AV195" i="53"/>
  <c r="AW195" i="53"/>
  <c r="AX195" i="53"/>
  <c r="AY195" i="53"/>
  <c r="AZ195" i="53"/>
  <c r="BA195" i="53"/>
  <c r="AD196" i="53"/>
  <c r="AE196" i="53"/>
  <c r="AF196" i="53"/>
  <c r="AG196" i="53"/>
  <c r="AH196" i="53"/>
  <c r="AI196" i="53"/>
  <c r="AJ196" i="53"/>
  <c r="AK196" i="53"/>
  <c r="AL196" i="53"/>
  <c r="AM196" i="53"/>
  <c r="AN196" i="53"/>
  <c r="AO196" i="53"/>
  <c r="AP196" i="53"/>
  <c r="AQ196" i="53"/>
  <c r="AR196" i="53"/>
  <c r="AS196" i="53"/>
  <c r="AT196" i="53"/>
  <c r="AU196" i="53"/>
  <c r="AV196" i="53"/>
  <c r="AW196" i="53"/>
  <c r="AX196" i="53"/>
  <c r="AY196" i="53"/>
  <c r="AZ196" i="53"/>
  <c r="BA196" i="53"/>
  <c r="AD197" i="53"/>
  <c r="AE197" i="53"/>
  <c r="AF197" i="53"/>
  <c r="AG197" i="53"/>
  <c r="AH197" i="53"/>
  <c r="AI197" i="53"/>
  <c r="AJ197" i="53"/>
  <c r="AK197" i="53"/>
  <c r="AL197" i="53"/>
  <c r="AM197" i="53"/>
  <c r="AN197" i="53"/>
  <c r="AO197" i="53"/>
  <c r="AP197" i="53"/>
  <c r="AQ197" i="53"/>
  <c r="AR197" i="53"/>
  <c r="AS197" i="53"/>
  <c r="AT197" i="53"/>
  <c r="AU197" i="53"/>
  <c r="AV197" i="53"/>
  <c r="AW197" i="53"/>
  <c r="AX197" i="53"/>
  <c r="AY197" i="53"/>
  <c r="AZ197" i="53"/>
  <c r="BA197" i="53"/>
  <c r="AD198" i="53"/>
  <c r="AE198" i="53"/>
  <c r="AF198" i="53"/>
  <c r="AG198" i="53"/>
  <c r="AH198" i="53"/>
  <c r="AI198" i="53"/>
  <c r="AJ198" i="53"/>
  <c r="AK198" i="53"/>
  <c r="AL198" i="53"/>
  <c r="AM198" i="53"/>
  <c r="AN198" i="53"/>
  <c r="AO198" i="53"/>
  <c r="AP198" i="53"/>
  <c r="AQ198" i="53"/>
  <c r="AR198" i="53"/>
  <c r="AS198" i="53"/>
  <c r="AT198" i="53"/>
  <c r="AU198" i="53"/>
  <c r="AV198" i="53"/>
  <c r="AW198" i="53"/>
  <c r="AX198" i="53"/>
  <c r="AY198" i="53"/>
  <c r="AZ198" i="53"/>
  <c r="BA198" i="53"/>
  <c r="AD199" i="53"/>
  <c r="AE199" i="53"/>
  <c r="AF199" i="53"/>
  <c r="AG199" i="53"/>
  <c r="AH199" i="53"/>
  <c r="AI199" i="53"/>
  <c r="AJ199" i="53"/>
  <c r="AK199" i="53"/>
  <c r="AL199" i="53"/>
  <c r="AM199" i="53"/>
  <c r="AN199" i="53"/>
  <c r="AO199" i="53"/>
  <c r="AP199" i="53"/>
  <c r="AQ199" i="53"/>
  <c r="AR199" i="53"/>
  <c r="AS199" i="53"/>
  <c r="AT199" i="53"/>
  <c r="AU199" i="53"/>
  <c r="AV199" i="53"/>
  <c r="AW199" i="53"/>
  <c r="AX199" i="53"/>
  <c r="AY199" i="53"/>
  <c r="AZ199" i="53"/>
  <c r="BA199" i="53"/>
  <c r="AD200" i="53"/>
  <c r="AE200" i="53"/>
  <c r="AF200" i="53"/>
  <c r="AG200" i="53"/>
  <c r="AH200" i="53"/>
  <c r="AI200" i="53"/>
  <c r="AJ200" i="53"/>
  <c r="AK200" i="53"/>
  <c r="AL200" i="53"/>
  <c r="AM200" i="53"/>
  <c r="AN200" i="53"/>
  <c r="AO200" i="53"/>
  <c r="AP200" i="53"/>
  <c r="AQ200" i="53"/>
  <c r="AR200" i="53"/>
  <c r="AS200" i="53"/>
  <c r="AT200" i="53"/>
  <c r="AU200" i="53"/>
  <c r="AV200" i="53"/>
  <c r="AW200" i="53"/>
  <c r="AX200" i="53"/>
  <c r="AY200" i="53"/>
  <c r="AZ200" i="53"/>
  <c r="BA200" i="53"/>
  <c r="AD201" i="53"/>
  <c r="AE201" i="53"/>
  <c r="AF201" i="53"/>
  <c r="AG201" i="53"/>
  <c r="AH201" i="53"/>
  <c r="AI201" i="53"/>
  <c r="AJ201" i="53"/>
  <c r="AK201" i="53"/>
  <c r="AL201" i="53"/>
  <c r="AM201" i="53"/>
  <c r="AN201" i="53"/>
  <c r="AO201" i="53"/>
  <c r="AP201" i="53"/>
  <c r="AQ201" i="53"/>
  <c r="AR201" i="53"/>
  <c r="AS201" i="53"/>
  <c r="AT201" i="53"/>
  <c r="AU201" i="53"/>
  <c r="AV201" i="53"/>
  <c r="AW201" i="53"/>
  <c r="AX201" i="53"/>
  <c r="AY201" i="53"/>
  <c r="AZ201" i="53"/>
  <c r="BA201" i="53"/>
  <c r="AD202" i="53"/>
  <c r="AE202" i="53"/>
  <c r="AF202" i="53"/>
  <c r="AG202" i="53"/>
  <c r="AH202" i="53"/>
  <c r="AI202" i="53"/>
  <c r="AJ202" i="53"/>
  <c r="AK202" i="53"/>
  <c r="AL202" i="53"/>
  <c r="AM202" i="53"/>
  <c r="AN202" i="53"/>
  <c r="AO202" i="53"/>
  <c r="AP202" i="53"/>
  <c r="AQ202" i="53"/>
  <c r="AR202" i="53"/>
  <c r="AS202" i="53"/>
  <c r="AT202" i="53"/>
  <c r="AU202" i="53"/>
  <c r="AV202" i="53"/>
  <c r="AW202" i="53"/>
  <c r="AX202" i="53"/>
  <c r="AY202" i="53"/>
  <c r="AZ202" i="53"/>
  <c r="BA202" i="53"/>
  <c r="AD203" i="53"/>
  <c r="AE203" i="53"/>
  <c r="AF203" i="53"/>
  <c r="AG203" i="53"/>
  <c r="AH203" i="53"/>
  <c r="AI203" i="53"/>
  <c r="AJ203" i="53"/>
  <c r="AK203" i="53"/>
  <c r="AL203" i="53"/>
  <c r="AM203" i="53"/>
  <c r="AN203" i="53"/>
  <c r="AO203" i="53"/>
  <c r="AP203" i="53"/>
  <c r="AQ203" i="53"/>
  <c r="AR203" i="53"/>
  <c r="AS203" i="53"/>
  <c r="AT203" i="53"/>
  <c r="AU203" i="53"/>
  <c r="AV203" i="53"/>
  <c r="AW203" i="53"/>
  <c r="AX203" i="53"/>
  <c r="AY203" i="53"/>
  <c r="AZ203" i="53"/>
  <c r="BA203" i="53"/>
  <c r="AD204" i="53"/>
  <c r="AE204" i="53"/>
  <c r="AF204" i="53"/>
  <c r="AG204" i="53"/>
  <c r="AH204" i="53"/>
  <c r="AI204" i="53"/>
  <c r="AJ204" i="53"/>
  <c r="AK204" i="53"/>
  <c r="AL204" i="53"/>
  <c r="AM204" i="53"/>
  <c r="AN204" i="53"/>
  <c r="AO204" i="53"/>
  <c r="AP204" i="53"/>
  <c r="AQ204" i="53"/>
  <c r="AR204" i="53"/>
  <c r="AS204" i="53"/>
  <c r="AT204" i="53"/>
  <c r="AU204" i="53"/>
  <c r="AV204" i="53"/>
  <c r="AW204" i="53"/>
  <c r="AX204" i="53"/>
  <c r="AY204" i="53"/>
  <c r="AZ204" i="53"/>
  <c r="BA204" i="53"/>
  <c r="AD205" i="53"/>
  <c r="AE205" i="53"/>
  <c r="AF205" i="53"/>
  <c r="AG205" i="53"/>
  <c r="AH205" i="53"/>
  <c r="AI205" i="53"/>
  <c r="AJ205" i="53"/>
  <c r="AK205" i="53"/>
  <c r="AL205" i="53"/>
  <c r="AM205" i="53"/>
  <c r="AN205" i="53"/>
  <c r="AO205" i="53"/>
  <c r="AP205" i="53"/>
  <c r="AQ205" i="53"/>
  <c r="AR205" i="53"/>
  <c r="AS205" i="53"/>
  <c r="AT205" i="53"/>
  <c r="AU205" i="53"/>
  <c r="AV205" i="53"/>
  <c r="AW205" i="53"/>
  <c r="AX205" i="53"/>
  <c r="AY205" i="53"/>
  <c r="AZ205" i="53"/>
  <c r="BA205" i="53"/>
  <c r="AD206" i="53"/>
  <c r="AE206" i="53"/>
  <c r="AF206" i="53"/>
  <c r="AG206" i="53"/>
  <c r="AH206" i="53"/>
  <c r="AI206" i="53"/>
  <c r="AJ206" i="53"/>
  <c r="AK206" i="53"/>
  <c r="AL206" i="53"/>
  <c r="AM206" i="53"/>
  <c r="AN206" i="53"/>
  <c r="AO206" i="53"/>
  <c r="AP206" i="53"/>
  <c r="AQ206" i="53"/>
  <c r="AR206" i="53"/>
  <c r="AS206" i="53"/>
  <c r="AT206" i="53"/>
  <c r="AU206" i="53"/>
  <c r="AV206" i="53"/>
  <c r="AW206" i="53"/>
  <c r="AX206" i="53"/>
  <c r="AY206" i="53"/>
  <c r="AZ206" i="53"/>
  <c r="BA206" i="53"/>
  <c r="AD207" i="53"/>
  <c r="AE207" i="53"/>
  <c r="AF207" i="53"/>
  <c r="AG207" i="53"/>
  <c r="AH207" i="53"/>
  <c r="AI207" i="53"/>
  <c r="AJ207" i="53"/>
  <c r="AK207" i="53"/>
  <c r="AL207" i="53"/>
  <c r="AM207" i="53"/>
  <c r="AN207" i="53"/>
  <c r="AO207" i="53"/>
  <c r="AP207" i="53"/>
  <c r="AQ207" i="53"/>
  <c r="AR207" i="53"/>
  <c r="AS207" i="53"/>
  <c r="AT207" i="53"/>
  <c r="AU207" i="53"/>
  <c r="AV207" i="53"/>
  <c r="AW207" i="53"/>
  <c r="AX207" i="53"/>
  <c r="AY207" i="53"/>
  <c r="AZ207" i="53"/>
  <c r="BA207" i="53"/>
  <c r="AD208" i="53"/>
  <c r="AE208" i="53"/>
  <c r="AF208" i="53"/>
  <c r="AG208" i="53"/>
  <c r="AH208" i="53"/>
  <c r="AI208" i="53"/>
  <c r="AJ208" i="53"/>
  <c r="AK208" i="53"/>
  <c r="AL208" i="53"/>
  <c r="AM208" i="53"/>
  <c r="AN208" i="53"/>
  <c r="AO208" i="53"/>
  <c r="AP208" i="53"/>
  <c r="AQ208" i="53"/>
  <c r="AR208" i="53"/>
  <c r="AS208" i="53"/>
  <c r="AT208" i="53"/>
  <c r="AU208" i="53"/>
  <c r="AV208" i="53"/>
  <c r="AW208" i="53"/>
  <c r="AX208" i="53"/>
  <c r="AY208" i="53"/>
  <c r="AZ208" i="53"/>
  <c r="BA208" i="53"/>
  <c r="AD209" i="53"/>
  <c r="AE209" i="53"/>
  <c r="AF209" i="53"/>
  <c r="AG209" i="53"/>
  <c r="AH209" i="53"/>
  <c r="AI209" i="53"/>
  <c r="AJ209" i="53"/>
  <c r="AK209" i="53"/>
  <c r="AL209" i="53"/>
  <c r="AM209" i="53"/>
  <c r="AN209" i="53"/>
  <c r="AO209" i="53"/>
  <c r="AP209" i="53"/>
  <c r="AQ209" i="53"/>
  <c r="AR209" i="53"/>
  <c r="AS209" i="53"/>
  <c r="AT209" i="53"/>
  <c r="AU209" i="53"/>
  <c r="AV209" i="53"/>
  <c r="AW209" i="53"/>
  <c r="AX209" i="53"/>
  <c r="AY209" i="53"/>
  <c r="AZ209" i="53"/>
  <c r="BA209" i="53"/>
  <c r="AD210" i="53"/>
  <c r="AE210" i="53"/>
  <c r="AF210" i="53"/>
  <c r="AG210" i="53"/>
  <c r="AH210" i="53"/>
  <c r="AI210" i="53"/>
  <c r="AJ210" i="53"/>
  <c r="AK210" i="53"/>
  <c r="AL210" i="53"/>
  <c r="AM210" i="53"/>
  <c r="AN210" i="53"/>
  <c r="AO210" i="53"/>
  <c r="AP210" i="53"/>
  <c r="AQ210" i="53"/>
  <c r="AR210" i="53"/>
  <c r="AS210" i="53"/>
  <c r="AT210" i="53"/>
  <c r="AU210" i="53"/>
  <c r="AV210" i="53"/>
  <c r="AW210" i="53"/>
  <c r="AX210" i="53"/>
  <c r="AY210" i="53"/>
  <c r="AZ210" i="53"/>
  <c r="BA210" i="53"/>
  <c r="AD211" i="53"/>
  <c r="AE211" i="53"/>
  <c r="AF211" i="53"/>
  <c r="AG211" i="53"/>
  <c r="AH211" i="53"/>
  <c r="AI211" i="53"/>
  <c r="AJ211" i="53"/>
  <c r="AK211" i="53"/>
  <c r="AL211" i="53"/>
  <c r="AM211" i="53"/>
  <c r="AN211" i="53"/>
  <c r="AO211" i="53"/>
  <c r="AP211" i="53"/>
  <c r="AQ211" i="53"/>
  <c r="AR211" i="53"/>
  <c r="AS211" i="53"/>
  <c r="AT211" i="53"/>
  <c r="AU211" i="53"/>
  <c r="AV211" i="53"/>
  <c r="AW211" i="53"/>
  <c r="AX211" i="53"/>
  <c r="AY211" i="53"/>
  <c r="AZ211" i="53"/>
  <c r="BA211" i="53"/>
  <c r="AD212" i="53"/>
  <c r="AE212" i="53"/>
  <c r="AF212" i="53"/>
  <c r="AG212" i="53"/>
  <c r="AH212" i="53"/>
  <c r="AI212" i="53"/>
  <c r="AJ212" i="53"/>
  <c r="AK212" i="53"/>
  <c r="AL212" i="53"/>
  <c r="AM212" i="53"/>
  <c r="AN212" i="53"/>
  <c r="AO212" i="53"/>
  <c r="AP212" i="53"/>
  <c r="AQ212" i="53"/>
  <c r="AR212" i="53"/>
  <c r="AS212" i="53"/>
  <c r="AT212" i="53"/>
  <c r="AU212" i="53"/>
  <c r="AV212" i="53"/>
  <c r="AW212" i="53"/>
  <c r="AX212" i="53"/>
  <c r="AY212" i="53"/>
  <c r="AZ212" i="53"/>
  <c r="BA212" i="53"/>
  <c r="AD213" i="53"/>
  <c r="AE213" i="53"/>
  <c r="AF213" i="53"/>
  <c r="AG213" i="53"/>
  <c r="AH213" i="53"/>
  <c r="AI213" i="53"/>
  <c r="AJ213" i="53"/>
  <c r="AK213" i="53"/>
  <c r="AL213" i="53"/>
  <c r="AM213" i="53"/>
  <c r="AN213" i="53"/>
  <c r="AO213" i="53"/>
  <c r="AP213" i="53"/>
  <c r="AQ213" i="53"/>
  <c r="AR213" i="53"/>
  <c r="AS213" i="53"/>
  <c r="AT213" i="53"/>
  <c r="AU213" i="53"/>
  <c r="AV213" i="53"/>
  <c r="AW213" i="53"/>
  <c r="AX213" i="53"/>
  <c r="AY213" i="53"/>
  <c r="AZ213" i="53"/>
  <c r="BA213" i="53"/>
  <c r="AD214" i="53"/>
  <c r="AE214" i="53"/>
  <c r="AF214" i="53"/>
  <c r="AG214" i="53"/>
  <c r="AH214" i="53"/>
  <c r="AI214" i="53"/>
  <c r="AJ214" i="53"/>
  <c r="AK214" i="53"/>
  <c r="AL214" i="53"/>
  <c r="AM214" i="53"/>
  <c r="AN214" i="53"/>
  <c r="AO214" i="53"/>
  <c r="AP214" i="53"/>
  <c r="AQ214" i="53"/>
  <c r="AR214" i="53"/>
  <c r="AS214" i="53"/>
  <c r="AT214" i="53"/>
  <c r="AU214" i="53"/>
  <c r="AV214" i="53"/>
  <c r="AW214" i="53"/>
  <c r="AX214" i="53"/>
  <c r="AY214" i="53"/>
  <c r="AZ214" i="53"/>
  <c r="BA214" i="53"/>
  <c r="AD215" i="53"/>
  <c r="AE215" i="53"/>
  <c r="AF215" i="53"/>
  <c r="AG215" i="53"/>
  <c r="AH215" i="53"/>
  <c r="AI215" i="53"/>
  <c r="AJ215" i="53"/>
  <c r="AK215" i="53"/>
  <c r="AL215" i="53"/>
  <c r="AM215" i="53"/>
  <c r="AN215" i="53"/>
  <c r="AO215" i="53"/>
  <c r="AP215" i="53"/>
  <c r="AQ215" i="53"/>
  <c r="AR215" i="53"/>
  <c r="AS215" i="53"/>
  <c r="AT215" i="53"/>
  <c r="AU215" i="53"/>
  <c r="AV215" i="53"/>
  <c r="AW215" i="53"/>
  <c r="AX215" i="53"/>
  <c r="AY215" i="53"/>
  <c r="AZ215" i="53"/>
  <c r="BA215" i="53"/>
  <c r="AD216" i="53"/>
  <c r="AE216" i="53"/>
  <c r="AF216" i="53"/>
  <c r="AG216" i="53"/>
  <c r="AH216" i="53"/>
  <c r="AI216" i="53"/>
  <c r="AJ216" i="53"/>
  <c r="AK216" i="53"/>
  <c r="AL216" i="53"/>
  <c r="AM216" i="53"/>
  <c r="AN216" i="53"/>
  <c r="AO216" i="53"/>
  <c r="AP216" i="53"/>
  <c r="AQ216" i="53"/>
  <c r="AR216" i="53"/>
  <c r="AS216" i="53"/>
  <c r="AT216" i="53"/>
  <c r="AU216" i="53"/>
  <c r="AV216" i="53"/>
  <c r="AW216" i="53"/>
  <c r="AX216" i="53"/>
  <c r="AY216" i="53"/>
  <c r="AZ216" i="53"/>
  <c r="BA216" i="53"/>
  <c r="AD217" i="53"/>
  <c r="AE217" i="53"/>
  <c r="AF217" i="53"/>
  <c r="AG217" i="53"/>
  <c r="AH217" i="53"/>
  <c r="AI217" i="53"/>
  <c r="AJ217" i="53"/>
  <c r="AK217" i="53"/>
  <c r="AL217" i="53"/>
  <c r="AM217" i="53"/>
  <c r="AN217" i="53"/>
  <c r="AO217" i="53"/>
  <c r="AP217" i="53"/>
  <c r="AQ217" i="53"/>
  <c r="AR217" i="53"/>
  <c r="AS217" i="53"/>
  <c r="AT217" i="53"/>
  <c r="AU217" i="53"/>
  <c r="AV217" i="53"/>
  <c r="AW217" i="53"/>
  <c r="AX217" i="53"/>
  <c r="AY217" i="53"/>
  <c r="AZ217" i="53"/>
  <c r="BA217" i="53"/>
  <c r="AD218" i="53"/>
  <c r="AE218" i="53"/>
  <c r="AF218" i="53"/>
  <c r="AG218" i="53"/>
  <c r="AH218" i="53"/>
  <c r="AI218" i="53"/>
  <c r="AJ218" i="53"/>
  <c r="AK218" i="53"/>
  <c r="AL218" i="53"/>
  <c r="AM218" i="53"/>
  <c r="AN218" i="53"/>
  <c r="AO218" i="53"/>
  <c r="AP218" i="53"/>
  <c r="AQ218" i="53"/>
  <c r="AR218" i="53"/>
  <c r="AS218" i="53"/>
  <c r="AT218" i="53"/>
  <c r="AU218" i="53"/>
  <c r="AV218" i="53"/>
  <c r="AW218" i="53"/>
  <c r="AX218" i="53"/>
  <c r="AY218" i="53"/>
  <c r="AZ218" i="53"/>
  <c r="BA218" i="53"/>
  <c r="AD219" i="53"/>
  <c r="AE219" i="53"/>
  <c r="AF219" i="53"/>
  <c r="AG219" i="53"/>
  <c r="AH219" i="53"/>
  <c r="AI219" i="53"/>
  <c r="AJ219" i="53"/>
  <c r="AK219" i="53"/>
  <c r="AL219" i="53"/>
  <c r="AM219" i="53"/>
  <c r="AN219" i="53"/>
  <c r="AO219" i="53"/>
  <c r="AP219" i="53"/>
  <c r="AQ219" i="53"/>
  <c r="AR219" i="53"/>
  <c r="AS219" i="53"/>
  <c r="AT219" i="53"/>
  <c r="AU219" i="53"/>
  <c r="AV219" i="53"/>
  <c r="AW219" i="53"/>
  <c r="AX219" i="53"/>
  <c r="AY219" i="53"/>
  <c r="AZ219" i="53"/>
  <c r="BA219" i="53"/>
  <c r="AD220" i="53"/>
  <c r="AE220" i="53"/>
  <c r="AF220" i="53"/>
  <c r="AG220" i="53"/>
  <c r="AH220" i="53"/>
  <c r="AI220" i="53"/>
  <c r="AJ220" i="53"/>
  <c r="AK220" i="53"/>
  <c r="AL220" i="53"/>
  <c r="AM220" i="53"/>
  <c r="AN220" i="53"/>
  <c r="AO220" i="53"/>
  <c r="AP220" i="53"/>
  <c r="AQ220" i="53"/>
  <c r="AR220" i="53"/>
  <c r="AS220" i="53"/>
  <c r="AT220" i="53"/>
  <c r="AU220" i="53"/>
  <c r="AV220" i="53"/>
  <c r="AW220" i="53"/>
  <c r="AX220" i="53"/>
  <c r="AY220" i="53"/>
  <c r="AZ220" i="53"/>
  <c r="BA220" i="53"/>
  <c r="AD221" i="53"/>
  <c r="AE221" i="53"/>
  <c r="AF221" i="53"/>
  <c r="AG221" i="53"/>
  <c r="AH221" i="53"/>
  <c r="AI221" i="53"/>
  <c r="AJ221" i="53"/>
  <c r="AK221" i="53"/>
  <c r="AL221" i="53"/>
  <c r="AM221" i="53"/>
  <c r="AN221" i="53"/>
  <c r="AO221" i="53"/>
  <c r="AP221" i="53"/>
  <c r="AQ221" i="53"/>
  <c r="AR221" i="53"/>
  <c r="AS221" i="53"/>
  <c r="AT221" i="53"/>
  <c r="AU221" i="53"/>
  <c r="AV221" i="53"/>
  <c r="AW221" i="53"/>
  <c r="AX221" i="53"/>
  <c r="AY221" i="53"/>
  <c r="AZ221" i="53"/>
  <c r="BA221" i="53"/>
  <c r="AD222" i="53"/>
  <c r="AE222" i="53"/>
  <c r="AF222" i="53"/>
  <c r="AG222" i="53"/>
  <c r="AH222" i="53"/>
  <c r="AI222" i="53"/>
  <c r="AJ222" i="53"/>
  <c r="AK222" i="53"/>
  <c r="AL222" i="53"/>
  <c r="AM222" i="53"/>
  <c r="AN222" i="53"/>
  <c r="AO222" i="53"/>
  <c r="AP222" i="53"/>
  <c r="AQ222" i="53"/>
  <c r="AR222" i="53"/>
  <c r="AS222" i="53"/>
  <c r="AT222" i="53"/>
  <c r="AU222" i="53"/>
  <c r="AV222" i="53"/>
  <c r="AW222" i="53"/>
  <c r="AX222" i="53"/>
  <c r="AY222" i="53"/>
  <c r="AZ222" i="53"/>
  <c r="BA222" i="53"/>
  <c r="AD223" i="53"/>
  <c r="AE223" i="53"/>
  <c r="AF223" i="53"/>
  <c r="AG223" i="53"/>
  <c r="AH223" i="53"/>
  <c r="AI223" i="53"/>
  <c r="AJ223" i="53"/>
  <c r="AK223" i="53"/>
  <c r="AL223" i="53"/>
  <c r="AM223" i="53"/>
  <c r="AN223" i="53"/>
  <c r="AO223" i="53"/>
  <c r="AP223" i="53"/>
  <c r="AQ223" i="53"/>
  <c r="AR223" i="53"/>
  <c r="AS223" i="53"/>
  <c r="AT223" i="53"/>
  <c r="AU223" i="53"/>
  <c r="AV223" i="53"/>
  <c r="AW223" i="53"/>
  <c r="AX223" i="53"/>
  <c r="AY223" i="53"/>
  <c r="AZ223" i="53"/>
  <c r="BA223" i="53"/>
  <c r="AD224" i="53"/>
  <c r="AE224" i="53"/>
  <c r="AF224" i="53"/>
  <c r="AG224" i="53"/>
  <c r="AH224" i="53"/>
  <c r="AI224" i="53"/>
  <c r="AJ224" i="53"/>
  <c r="AK224" i="53"/>
  <c r="AL224" i="53"/>
  <c r="AM224" i="53"/>
  <c r="AN224" i="53"/>
  <c r="AO224" i="53"/>
  <c r="AP224" i="53"/>
  <c r="AQ224" i="53"/>
  <c r="AR224" i="53"/>
  <c r="AS224" i="53"/>
  <c r="AT224" i="53"/>
  <c r="AU224" i="53"/>
  <c r="AV224" i="53"/>
  <c r="AW224" i="53"/>
  <c r="AX224" i="53"/>
  <c r="AY224" i="53"/>
  <c r="AZ224" i="53"/>
  <c r="BA224" i="53"/>
  <c r="AD225" i="53"/>
  <c r="AE225" i="53"/>
  <c r="AF225" i="53"/>
  <c r="AG225" i="53"/>
  <c r="AH225" i="53"/>
  <c r="AI225" i="53"/>
  <c r="AJ225" i="53"/>
  <c r="AK225" i="53"/>
  <c r="AL225" i="53"/>
  <c r="AM225" i="53"/>
  <c r="AN225" i="53"/>
  <c r="AO225" i="53"/>
  <c r="AP225" i="53"/>
  <c r="AQ225" i="53"/>
  <c r="AR225" i="53"/>
  <c r="AS225" i="53"/>
  <c r="AT225" i="53"/>
  <c r="AU225" i="53"/>
  <c r="AV225" i="53"/>
  <c r="AW225" i="53"/>
  <c r="AX225" i="53"/>
  <c r="AY225" i="53"/>
  <c r="AZ225" i="53"/>
  <c r="BA225" i="53"/>
  <c r="AD226" i="53"/>
  <c r="AE226" i="53"/>
  <c r="AF226" i="53"/>
  <c r="AG226" i="53"/>
  <c r="AH226" i="53"/>
  <c r="AI226" i="53"/>
  <c r="AJ226" i="53"/>
  <c r="AK226" i="53"/>
  <c r="AL226" i="53"/>
  <c r="AM226" i="53"/>
  <c r="AN226" i="53"/>
  <c r="AO226" i="53"/>
  <c r="AP226" i="53"/>
  <c r="AQ226" i="53"/>
  <c r="AR226" i="53"/>
  <c r="AS226" i="53"/>
  <c r="AT226" i="53"/>
  <c r="AU226" i="53"/>
  <c r="AV226" i="53"/>
  <c r="AW226" i="53"/>
  <c r="AX226" i="53"/>
  <c r="AY226" i="53"/>
  <c r="AZ226" i="53"/>
  <c r="BA226" i="53"/>
  <c r="AD227" i="53"/>
  <c r="AE227" i="53"/>
  <c r="AF227" i="53"/>
  <c r="AG227" i="53"/>
  <c r="AH227" i="53"/>
  <c r="AI227" i="53"/>
  <c r="AJ227" i="53"/>
  <c r="AK227" i="53"/>
  <c r="AL227" i="53"/>
  <c r="AM227" i="53"/>
  <c r="AN227" i="53"/>
  <c r="AO227" i="53"/>
  <c r="AP227" i="53"/>
  <c r="AQ227" i="53"/>
  <c r="AR227" i="53"/>
  <c r="AS227" i="53"/>
  <c r="AT227" i="53"/>
  <c r="AU227" i="53"/>
  <c r="AV227" i="53"/>
  <c r="AW227" i="53"/>
  <c r="AX227" i="53"/>
  <c r="AY227" i="53"/>
  <c r="AZ227" i="53"/>
  <c r="BA227" i="53"/>
  <c r="AD228" i="53"/>
  <c r="AE228" i="53"/>
  <c r="AF228" i="53"/>
  <c r="AG228" i="53"/>
  <c r="AH228" i="53"/>
  <c r="AI228" i="53"/>
  <c r="AJ228" i="53"/>
  <c r="AK228" i="53"/>
  <c r="AL228" i="53"/>
  <c r="AM228" i="53"/>
  <c r="AN228" i="53"/>
  <c r="AO228" i="53"/>
  <c r="AP228" i="53"/>
  <c r="AQ228" i="53"/>
  <c r="AR228" i="53"/>
  <c r="AS228" i="53"/>
  <c r="AT228" i="53"/>
  <c r="AU228" i="53"/>
  <c r="AV228" i="53"/>
  <c r="AW228" i="53"/>
  <c r="AX228" i="53"/>
  <c r="AY228" i="53"/>
  <c r="AZ228" i="53"/>
  <c r="BA228" i="53"/>
  <c r="AD229" i="53"/>
  <c r="AE229" i="53"/>
  <c r="AF229" i="53"/>
  <c r="AG229" i="53"/>
  <c r="AH229" i="53"/>
  <c r="AI229" i="53"/>
  <c r="AJ229" i="53"/>
  <c r="AK229" i="53"/>
  <c r="AL229" i="53"/>
  <c r="AM229" i="53"/>
  <c r="AN229" i="53"/>
  <c r="AO229" i="53"/>
  <c r="AP229" i="53"/>
  <c r="AQ229" i="53"/>
  <c r="AR229" i="53"/>
  <c r="AS229" i="53"/>
  <c r="AT229" i="53"/>
  <c r="AU229" i="53"/>
  <c r="AV229" i="53"/>
  <c r="AW229" i="53"/>
  <c r="AX229" i="53"/>
  <c r="AY229" i="53"/>
  <c r="AZ229" i="53"/>
  <c r="BA229" i="53"/>
  <c r="AD230" i="53"/>
  <c r="AE230" i="53"/>
  <c r="AF230" i="53"/>
  <c r="AG230" i="53"/>
  <c r="AH230" i="53"/>
  <c r="AI230" i="53"/>
  <c r="AJ230" i="53"/>
  <c r="AK230" i="53"/>
  <c r="AL230" i="53"/>
  <c r="AM230" i="53"/>
  <c r="AN230" i="53"/>
  <c r="AO230" i="53"/>
  <c r="AP230" i="53"/>
  <c r="AQ230" i="53"/>
  <c r="AR230" i="53"/>
  <c r="AS230" i="53"/>
  <c r="AT230" i="53"/>
  <c r="AU230" i="53"/>
  <c r="AV230" i="53"/>
  <c r="AW230" i="53"/>
  <c r="AX230" i="53"/>
  <c r="AY230" i="53"/>
  <c r="AZ230" i="53"/>
  <c r="BA230" i="53"/>
  <c r="AD231" i="53"/>
  <c r="AE231" i="53"/>
  <c r="AF231" i="53"/>
  <c r="AG231" i="53"/>
  <c r="AH231" i="53"/>
  <c r="AI231" i="53"/>
  <c r="AJ231" i="53"/>
  <c r="AK231" i="53"/>
  <c r="AL231" i="53"/>
  <c r="AM231" i="53"/>
  <c r="AN231" i="53"/>
  <c r="AO231" i="53"/>
  <c r="AP231" i="53"/>
  <c r="AQ231" i="53"/>
  <c r="AR231" i="53"/>
  <c r="AS231" i="53"/>
  <c r="AT231" i="53"/>
  <c r="AU231" i="53"/>
  <c r="AV231" i="53"/>
  <c r="AW231" i="53"/>
  <c r="AX231" i="53"/>
  <c r="AY231" i="53"/>
  <c r="AZ231" i="53"/>
  <c r="BA231" i="53"/>
  <c r="AD232" i="53"/>
  <c r="AE232" i="53"/>
  <c r="AF232" i="53"/>
  <c r="AG232" i="53"/>
  <c r="AH232" i="53"/>
  <c r="AI232" i="53"/>
  <c r="AJ232" i="53"/>
  <c r="AK232" i="53"/>
  <c r="AL232" i="53"/>
  <c r="AM232" i="53"/>
  <c r="AN232" i="53"/>
  <c r="AO232" i="53"/>
  <c r="AP232" i="53"/>
  <c r="AQ232" i="53"/>
  <c r="AR232" i="53"/>
  <c r="AS232" i="53"/>
  <c r="AT232" i="53"/>
  <c r="AU232" i="53"/>
  <c r="AV232" i="53"/>
  <c r="AW232" i="53"/>
  <c r="AX232" i="53"/>
  <c r="AY232" i="53"/>
  <c r="AZ232" i="53"/>
  <c r="BA232" i="53"/>
  <c r="AD233" i="53"/>
  <c r="AE233" i="53"/>
  <c r="AF233" i="53"/>
  <c r="AG233" i="53"/>
  <c r="AH233" i="53"/>
  <c r="AI233" i="53"/>
  <c r="AJ233" i="53"/>
  <c r="AK233" i="53"/>
  <c r="AL233" i="53"/>
  <c r="AM233" i="53"/>
  <c r="AN233" i="53"/>
  <c r="AO233" i="53"/>
  <c r="AP233" i="53"/>
  <c r="AQ233" i="53"/>
  <c r="AR233" i="53"/>
  <c r="AS233" i="53"/>
  <c r="AT233" i="53"/>
  <c r="AU233" i="53"/>
  <c r="AV233" i="53"/>
  <c r="AW233" i="53"/>
  <c r="AX233" i="53"/>
  <c r="AY233" i="53"/>
  <c r="AZ233" i="53"/>
  <c r="BA233" i="53"/>
  <c r="AD234" i="53"/>
  <c r="AE234" i="53"/>
  <c r="AF234" i="53"/>
  <c r="AG234" i="53"/>
  <c r="AH234" i="53"/>
  <c r="AI234" i="53"/>
  <c r="AJ234" i="53"/>
  <c r="AK234" i="53"/>
  <c r="AL234" i="53"/>
  <c r="AM234" i="53"/>
  <c r="AN234" i="53"/>
  <c r="AO234" i="53"/>
  <c r="AP234" i="53"/>
  <c r="AQ234" i="53"/>
  <c r="AR234" i="53"/>
  <c r="AS234" i="53"/>
  <c r="AT234" i="53"/>
  <c r="AU234" i="53"/>
  <c r="AV234" i="53"/>
  <c r="AW234" i="53"/>
  <c r="AX234" i="53"/>
  <c r="AY234" i="53"/>
  <c r="AZ234" i="53"/>
  <c r="BA234" i="53"/>
  <c r="AD235" i="53"/>
  <c r="AE235" i="53"/>
  <c r="AF235" i="53"/>
  <c r="AG235" i="53"/>
  <c r="AH235" i="53"/>
  <c r="AI235" i="53"/>
  <c r="AJ235" i="53"/>
  <c r="AK235" i="53"/>
  <c r="AL235" i="53"/>
  <c r="AM235" i="53"/>
  <c r="AN235" i="53"/>
  <c r="AO235" i="53"/>
  <c r="AP235" i="53"/>
  <c r="AQ235" i="53"/>
  <c r="AR235" i="53"/>
  <c r="AS235" i="53"/>
  <c r="AT235" i="53"/>
  <c r="AU235" i="53"/>
  <c r="AV235" i="53"/>
  <c r="AW235" i="53"/>
  <c r="AX235" i="53"/>
  <c r="AY235" i="53"/>
  <c r="AZ235" i="53"/>
  <c r="BA235" i="53"/>
  <c r="AD236" i="53"/>
  <c r="AE236" i="53"/>
  <c r="AF236" i="53"/>
  <c r="AG236" i="53"/>
  <c r="AH236" i="53"/>
  <c r="AI236" i="53"/>
  <c r="AJ236" i="53"/>
  <c r="AK236" i="53"/>
  <c r="AL236" i="53"/>
  <c r="AM236" i="53"/>
  <c r="AN236" i="53"/>
  <c r="AO236" i="53"/>
  <c r="AP236" i="53"/>
  <c r="AQ236" i="53"/>
  <c r="AR236" i="53"/>
  <c r="AS236" i="53"/>
  <c r="AT236" i="53"/>
  <c r="AU236" i="53"/>
  <c r="AV236" i="53"/>
  <c r="AW236" i="53"/>
  <c r="AX236" i="53"/>
  <c r="AY236" i="53"/>
  <c r="AZ236" i="53"/>
  <c r="BA236" i="53"/>
  <c r="AD237" i="53"/>
  <c r="AE237" i="53"/>
  <c r="AF237" i="53"/>
  <c r="AG237" i="53"/>
  <c r="AH237" i="53"/>
  <c r="AI237" i="53"/>
  <c r="AJ237" i="53"/>
  <c r="AK237" i="53"/>
  <c r="AL237" i="53"/>
  <c r="AM237" i="53"/>
  <c r="AN237" i="53"/>
  <c r="AO237" i="53"/>
  <c r="AP237" i="53"/>
  <c r="AQ237" i="53"/>
  <c r="AR237" i="53"/>
  <c r="AS237" i="53"/>
  <c r="AT237" i="53"/>
  <c r="AU237" i="53"/>
  <c r="AV237" i="53"/>
  <c r="AW237" i="53"/>
  <c r="AX237" i="53"/>
  <c r="AY237" i="53"/>
  <c r="AZ237" i="53"/>
  <c r="BA237" i="53"/>
  <c r="AD238" i="53"/>
  <c r="AE238" i="53"/>
  <c r="AF238" i="53"/>
  <c r="AG238" i="53"/>
  <c r="AH238" i="53"/>
  <c r="AI238" i="53"/>
  <c r="AJ238" i="53"/>
  <c r="AK238" i="53"/>
  <c r="AL238" i="53"/>
  <c r="AM238" i="53"/>
  <c r="AN238" i="53"/>
  <c r="AO238" i="53"/>
  <c r="AP238" i="53"/>
  <c r="AQ238" i="53"/>
  <c r="AR238" i="53"/>
  <c r="AS238" i="53"/>
  <c r="AT238" i="53"/>
  <c r="AU238" i="53"/>
  <c r="AV238" i="53"/>
  <c r="AW238" i="53"/>
  <c r="AX238" i="53"/>
  <c r="AY238" i="53"/>
  <c r="AZ238" i="53"/>
  <c r="BA238" i="53"/>
  <c r="AD239" i="53"/>
  <c r="AE239" i="53"/>
  <c r="AF239" i="53"/>
  <c r="AG239" i="53"/>
  <c r="AH239" i="53"/>
  <c r="AI239" i="53"/>
  <c r="AJ239" i="53"/>
  <c r="AK239" i="53"/>
  <c r="AL239" i="53"/>
  <c r="AM239" i="53"/>
  <c r="AN239" i="53"/>
  <c r="AO239" i="53"/>
  <c r="AP239" i="53"/>
  <c r="AQ239" i="53"/>
  <c r="AR239" i="53"/>
  <c r="AS239" i="53"/>
  <c r="AT239" i="53"/>
  <c r="AU239" i="53"/>
  <c r="AV239" i="53"/>
  <c r="AW239" i="53"/>
  <c r="AX239" i="53"/>
  <c r="AY239" i="53"/>
  <c r="AZ239" i="53"/>
  <c r="BA239" i="53"/>
  <c r="AD240" i="53"/>
  <c r="AE240" i="53"/>
  <c r="AF240" i="53"/>
  <c r="AG240" i="53"/>
  <c r="AH240" i="53"/>
  <c r="AI240" i="53"/>
  <c r="AJ240" i="53"/>
  <c r="AK240" i="53"/>
  <c r="AL240" i="53"/>
  <c r="AM240" i="53"/>
  <c r="AN240" i="53"/>
  <c r="AO240" i="53"/>
  <c r="AP240" i="53"/>
  <c r="AQ240" i="53"/>
  <c r="AR240" i="53"/>
  <c r="AS240" i="53"/>
  <c r="AT240" i="53"/>
  <c r="AU240" i="53"/>
  <c r="AV240" i="53"/>
  <c r="AW240" i="53"/>
  <c r="AX240" i="53"/>
  <c r="AY240" i="53"/>
  <c r="AZ240" i="53"/>
  <c r="BA240" i="53"/>
  <c r="AD241" i="53"/>
  <c r="AE241" i="53"/>
  <c r="AF241" i="53"/>
  <c r="AG241" i="53"/>
  <c r="AH241" i="53"/>
  <c r="AI241" i="53"/>
  <c r="AJ241" i="53"/>
  <c r="AK241" i="53"/>
  <c r="AL241" i="53"/>
  <c r="AM241" i="53"/>
  <c r="AN241" i="53"/>
  <c r="AO241" i="53"/>
  <c r="AP241" i="53"/>
  <c r="AQ241" i="53"/>
  <c r="AR241" i="53"/>
  <c r="AS241" i="53"/>
  <c r="AT241" i="53"/>
  <c r="AU241" i="53"/>
  <c r="AV241" i="53"/>
  <c r="AW241" i="53"/>
  <c r="AX241" i="53"/>
  <c r="AY241" i="53"/>
  <c r="AZ241" i="53"/>
  <c r="BA241" i="53"/>
  <c r="AD242" i="53"/>
  <c r="AE242" i="53"/>
  <c r="AF242" i="53"/>
  <c r="AG242" i="53"/>
  <c r="AH242" i="53"/>
  <c r="AI242" i="53"/>
  <c r="AJ242" i="53"/>
  <c r="AK242" i="53"/>
  <c r="AL242" i="53"/>
  <c r="AM242" i="53"/>
  <c r="AN242" i="53"/>
  <c r="AO242" i="53"/>
  <c r="AP242" i="53"/>
  <c r="AQ242" i="53"/>
  <c r="AR242" i="53"/>
  <c r="AS242" i="53"/>
  <c r="AT242" i="53"/>
  <c r="AU242" i="53"/>
  <c r="AV242" i="53"/>
  <c r="AW242" i="53"/>
  <c r="AX242" i="53"/>
  <c r="AY242" i="53"/>
  <c r="AZ242" i="53"/>
  <c r="BA242" i="53"/>
  <c r="AD243" i="53"/>
  <c r="AE243" i="53"/>
  <c r="AF243" i="53"/>
  <c r="AG243" i="53"/>
  <c r="AH243" i="53"/>
  <c r="AI243" i="53"/>
  <c r="AJ243" i="53"/>
  <c r="AK243" i="53"/>
  <c r="AL243" i="53"/>
  <c r="AM243" i="53"/>
  <c r="AN243" i="53"/>
  <c r="AO243" i="53"/>
  <c r="AP243" i="53"/>
  <c r="AQ243" i="53"/>
  <c r="AR243" i="53"/>
  <c r="AS243" i="53"/>
  <c r="AT243" i="53"/>
  <c r="AU243" i="53"/>
  <c r="AV243" i="53"/>
  <c r="AW243" i="53"/>
  <c r="AX243" i="53"/>
  <c r="AY243" i="53"/>
  <c r="AZ243" i="53"/>
  <c r="BA243" i="53"/>
  <c r="AD244" i="53"/>
  <c r="AE244" i="53"/>
  <c r="AF244" i="53"/>
  <c r="AG244" i="53"/>
  <c r="AH244" i="53"/>
  <c r="AI244" i="53"/>
  <c r="AJ244" i="53"/>
  <c r="AK244" i="53"/>
  <c r="AL244" i="53"/>
  <c r="AM244" i="53"/>
  <c r="AN244" i="53"/>
  <c r="AO244" i="53"/>
  <c r="AP244" i="53"/>
  <c r="AQ244" i="53"/>
  <c r="AR244" i="53"/>
  <c r="AS244" i="53"/>
  <c r="AT244" i="53"/>
  <c r="AU244" i="53"/>
  <c r="AV244" i="53"/>
  <c r="AW244" i="53"/>
  <c r="AX244" i="53"/>
  <c r="AY244" i="53"/>
  <c r="AZ244" i="53"/>
  <c r="BA244" i="53"/>
  <c r="AD245" i="53"/>
  <c r="AE245" i="53"/>
  <c r="AF245" i="53"/>
  <c r="AG245" i="53"/>
  <c r="AH245" i="53"/>
  <c r="AI245" i="53"/>
  <c r="AJ245" i="53"/>
  <c r="AK245" i="53"/>
  <c r="AL245" i="53"/>
  <c r="AM245" i="53"/>
  <c r="AN245" i="53"/>
  <c r="AO245" i="53"/>
  <c r="AP245" i="53"/>
  <c r="AQ245" i="53"/>
  <c r="AR245" i="53"/>
  <c r="AS245" i="53"/>
  <c r="AT245" i="53"/>
  <c r="AU245" i="53"/>
  <c r="AV245" i="53"/>
  <c r="AW245" i="53"/>
  <c r="AX245" i="53"/>
  <c r="AY245" i="53"/>
  <c r="AZ245" i="53"/>
  <c r="BA245" i="53"/>
  <c r="AD246" i="53"/>
  <c r="AE246" i="53"/>
  <c r="AF246" i="53"/>
  <c r="AG246" i="53"/>
  <c r="AH246" i="53"/>
  <c r="AI246" i="53"/>
  <c r="AJ246" i="53"/>
  <c r="AK246" i="53"/>
  <c r="AL246" i="53"/>
  <c r="AM246" i="53"/>
  <c r="AN246" i="53"/>
  <c r="AO246" i="53"/>
  <c r="AP246" i="53"/>
  <c r="AQ246" i="53"/>
  <c r="AR246" i="53"/>
  <c r="AS246" i="53"/>
  <c r="AT246" i="53"/>
  <c r="AU246" i="53"/>
  <c r="AV246" i="53"/>
  <c r="AW246" i="53"/>
  <c r="AX246" i="53"/>
  <c r="AY246" i="53"/>
  <c r="AZ246" i="53"/>
  <c r="BA246" i="53"/>
  <c r="AD247" i="53"/>
  <c r="AE247" i="53"/>
  <c r="AF247" i="53"/>
  <c r="AG247" i="53"/>
  <c r="AH247" i="53"/>
  <c r="AI247" i="53"/>
  <c r="AJ247" i="53"/>
  <c r="AK247" i="53"/>
  <c r="AL247" i="53"/>
  <c r="AM247" i="53"/>
  <c r="AN247" i="53"/>
  <c r="AO247" i="53"/>
  <c r="AP247" i="53"/>
  <c r="AQ247" i="53"/>
  <c r="AR247" i="53"/>
  <c r="AS247" i="53"/>
  <c r="AT247" i="53"/>
  <c r="AU247" i="53"/>
  <c r="AV247" i="53"/>
  <c r="AW247" i="53"/>
  <c r="AX247" i="53"/>
  <c r="AY247" i="53"/>
  <c r="AZ247" i="53"/>
  <c r="BA247" i="53"/>
  <c r="AD248" i="53"/>
  <c r="AE248" i="53"/>
  <c r="AF248" i="53"/>
  <c r="AG248" i="53"/>
  <c r="AH248" i="53"/>
  <c r="AI248" i="53"/>
  <c r="AJ248" i="53"/>
  <c r="AK248" i="53"/>
  <c r="AL248" i="53"/>
  <c r="AM248" i="53"/>
  <c r="AN248" i="53"/>
  <c r="AO248" i="53"/>
  <c r="AP248" i="53"/>
  <c r="AQ248" i="53"/>
  <c r="AR248" i="53"/>
  <c r="AS248" i="53"/>
  <c r="AT248" i="53"/>
  <c r="AU248" i="53"/>
  <c r="AV248" i="53"/>
  <c r="AW248" i="53"/>
  <c r="AX248" i="53"/>
  <c r="AY248" i="53"/>
  <c r="AZ248" i="53"/>
  <c r="BA248" i="53"/>
  <c r="AD249" i="53"/>
  <c r="AE249" i="53"/>
  <c r="AF249" i="53"/>
  <c r="AG249" i="53"/>
  <c r="AH249" i="53"/>
  <c r="AI249" i="53"/>
  <c r="AJ249" i="53"/>
  <c r="AK249" i="53"/>
  <c r="AL249" i="53"/>
  <c r="AM249" i="53"/>
  <c r="AN249" i="53"/>
  <c r="AO249" i="53"/>
  <c r="AP249" i="53"/>
  <c r="AQ249" i="53"/>
  <c r="AR249" i="53"/>
  <c r="AS249" i="53"/>
  <c r="AT249" i="53"/>
  <c r="AU249" i="53"/>
  <c r="AV249" i="53"/>
  <c r="AW249" i="53"/>
  <c r="AX249" i="53"/>
  <c r="AY249" i="53"/>
  <c r="AZ249" i="53"/>
  <c r="BA249" i="53"/>
  <c r="AD250" i="53"/>
  <c r="AE250" i="53"/>
  <c r="AF250" i="53"/>
  <c r="AG250" i="53"/>
  <c r="AH250" i="53"/>
  <c r="AI250" i="53"/>
  <c r="AJ250" i="53"/>
  <c r="AK250" i="53"/>
  <c r="AL250" i="53"/>
  <c r="AM250" i="53"/>
  <c r="AN250" i="53"/>
  <c r="AO250" i="53"/>
  <c r="AP250" i="53"/>
  <c r="AQ250" i="53"/>
  <c r="AR250" i="53"/>
  <c r="AS250" i="53"/>
  <c r="AT250" i="53"/>
  <c r="AU250" i="53"/>
  <c r="AV250" i="53"/>
  <c r="AW250" i="53"/>
  <c r="AX250" i="53"/>
  <c r="AY250" i="53"/>
  <c r="AZ250" i="53"/>
  <c r="BA250" i="53"/>
  <c r="AD251" i="53"/>
  <c r="AE251" i="53"/>
  <c r="AF251" i="53"/>
  <c r="AG251" i="53"/>
  <c r="AH251" i="53"/>
  <c r="AI251" i="53"/>
  <c r="AJ251" i="53"/>
  <c r="AK251" i="53"/>
  <c r="AL251" i="53"/>
  <c r="AM251" i="53"/>
  <c r="AN251" i="53"/>
  <c r="AO251" i="53"/>
  <c r="AP251" i="53"/>
  <c r="AQ251" i="53"/>
  <c r="AR251" i="53"/>
  <c r="AS251" i="53"/>
  <c r="AT251" i="53"/>
  <c r="AU251" i="53"/>
  <c r="AV251" i="53"/>
  <c r="AW251" i="53"/>
  <c r="AX251" i="53"/>
  <c r="AY251" i="53"/>
  <c r="AZ251" i="53"/>
  <c r="BA251" i="53"/>
  <c r="AD252" i="53"/>
  <c r="AE252" i="53"/>
  <c r="AF252" i="53"/>
  <c r="AG252" i="53"/>
  <c r="AH252" i="53"/>
  <c r="AI252" i="53"/>
  <c r="AJ252" i="53"/>
  <c r="AK252" i="53"/>
  <c r="AL252" i="53"/>
  <c r="AM252" i="53"/>
  <c r="AN252" i="53"/>
  <c r="AO252" i="53"/>
  <c r="AP252" i="53"/>
  <c r="AQ252" i="53"/>
  <c r="AR252" i="53"/>
  <c r="AS252" i="53"/>
  <c r="AT252" i="53"/>
  <c r="AU252" i="53"/>
  <c r="AV252" i="53"/>
  <c r="AW252" i="53"/>
  <c r="AX252" i="53"/>
  <c r="AY252" i="53"/>
  <c r="AZ252" i="53"/>
  <c r="BA252" i="53"/>
  <c r="AD253" i="53"/>
  <c r="AE253" i="53"/>
  <c r="AF253" i="53"/>
  <c r="AG253" i="53"/>
  <c r="AH253" i="53"/>
  <c r="AI253" i="53"/>
  <c r="AJ253" i="53"/>
  <c r="AK253" i="53"/>
  <c r="AL253" i="53"/>
  <c r="AM253" i="53"/>
  <c r="AN253" i="53"/>
  <c r="AO253" i="53"/>
  <c r="AP253" i="53"/>
  <c r="AQ253" i="53"/>
  <c r="AR253" i="53"/>
  <c r="AS253" i="53"/>
  <c r="AT253" i="53"/>
  <c r="AU253" i="53"/>
  <c r="AV253" i="53"/>
  <c r="AW253" i="53"/>
  <c r="AX253" i="53"/>
  <c r="AY253" i="53"/>
  <c r="AZ253" i="53"/>
  <c r="BA253" i="53"/>
  <c r="AD254" i="53"/>
  <c r="AE254" i="53"/>
  <c r="AF254" i="53"/>
  <c r="AG254" i="53"/>
  <c r="AH254" i="53"/>
  <c r="AI254" i="53"/>
  <c r="AJ254" i="53"/>
  <c r="AK254" i="53"/>
  <c r="AL254" i="53"/>
  <c r="AM254" i="53"/>
  <c r="AN254" i="53"/>
  <c r="AO254" i="53"/>
  <c r="AP254" i="53"/>
  <c r="AQ254" i="53"/>
  <c r="AR254" i="53"/>
  <c r="AS254" i="53"/>
  <c r="AT254" i="53"/>
  <c r="AU254" i="53"/>
  <c r="AV254" i="53"/>
  <c r="AW254" i="53"/>
  <c r="AX254" i="53"/>
  <c r="AY254" i="53"/>
  <c r="AZ254" i="53"/>
  <c r="BA254" i="53"/>
  <c r="AD255" i="53"/>
  <c r="AE255" i="53"/>
  <c r="AF255" i="53"/>
  <c r="AG255" i="53"/>
  <c r="AH255" i="53"/>
  <c r="AI255" i="53"/>
  <c r="AJ255" i="53"/>
  <c r="AK255" i="53"/>
  <c r="AL255" i="53"/>
  <c r="AM255" i="53"/>
  <c r="AN255" i="53"/>
  <c r="AO255" i="53"/>
  <c r="AP255" i="53"/>
  <c r="AQ255" i="53"/>
  <c r="AR255" i="53"/>
  <c r="AS255" i="53"/>
  <c r="AT255" i="53"/>
  <c r="AU255" i="53"/>
  <c r="AV255" i="53"/>
  <c r="AW255" i="53"/>
  <c r="AX255" i="53"/>
  <c r="AY255" i="53"/>
  <c r="AZ255" i="53"/>
  <c r="BA255" i="53"/>
  <c r="AD256" i="53"/>
  <c r="AE256" i="53"/>
  <c r="AF256" i="53"/>
  <c r="AG256" i="53"/>
  <c r="AH256" i="53"/>
  <c r="AI256" i="53"/>
  <c r="AJ256" i="53"/>
  <c r="AK256" i="53"/>
  <c r="AL256" i="53"/>
  <c r="AM256" i="53"/>
  <c r="AN256" i="53"/>
  <c r="AO256" i="53"/>
  <c r="AP256" i="53"/>
  <c r="AQ256" i="53"/>
  <c r="AR256" i="53"/>
  <c r="AS256" i="53"/>
  <c r="AT256" i="53"/>
  <c r="AU256" i="53"/>
  <c r="AV256" i="53"/>
  <c r="AW256" i="53"/>
  <c r="AX256" i="53"/>
  <c r="AY256" i="53"/>
  <c r="AZ256" i="53"/>
  <c r="BA256" i="53"/>
  <c r="AD257" i="53"/>
  <c r="AE257" i="53"/>
  <c r="AF257" i="53"/>
  <c r="AG257" i="53"/>
  <c r="AH257" i="53"/>
  <c r="AI257" i="53"/>
  <c r="AJ257" i="53"/>
  <c r="AK257" i="53"/>
  <c r="AL257" i="53"/>
  <c r="AM257" i="53"/>
  <c r="AN257" i="53"/>
  <c r="AO257" i="53"/>
  <c r="AP257" i="53"/>
  <c r="AQ257" i="53"/>
  <c r="AR257" i="53"/>
  <c r="AS257" i="53"/>
  <c r="AT257" i="53"/>
  <c r="AU257" i="53"/>
  <c r="AV257" i="53"/>
  <c r="AW257" i="53"/>
  <c r="AX257" i="53"/>
  <c r="AY257" i="53"/>
  <c r="AZ257" i="53"/>
  <c r="BA257" i="53"/>
  <c r="AD258" i="53"/>
  <c r="AE258" i="53"/>
  <c r="AF258" i="53"/>
  <c r="AG258" i="53"/>
  <c r="AH258" i="53"/>
  <c r="AI258" i="53"/>
  <c r="AJ258" i="53"/>
  <c r="AK258" i="53"/>
  <c r="AL258" i="53"/>
  <c r="AM258" i="53"/>
  <c r="AN258" i="53"/>
  <c r="AO258" i="53"/>
  <c r="AP258" i="53"/>
  <c r="AQ258" i="53"/>
  <c r="AR258" i="53"/>
  <c r="AS258" i="53"/>
  <c r="AT258" i="53"/>
  <c r="AU258" i="53"/>
  <c r="AV258" i="53"/>
  <c r="AW258" i="53"/>
  <c r="AX258" i="53"/>
  <c r="AY258" i="53"/>
  <c r="AZ258" i="53"/>
  <c r="BA258" i="53"/>
  <c r="AD259" i="53"/>
  <c r="AE259" i="53"/>
  <c r="AF259" i="53"/>
  <c r="AG259" i="53"/>
  <c r="AH259" i="53"/>
  <c r="AI259" i="53"/>
  <c r="AJ259" i="53"/>
  <c r="AK259" i="53"/>
  <c r="AL259" i="53"/>
  <c r="AM259" i="53"/>
  <c r="AN259" i="53"/>
  <c r="AO259" i="53"/>
  <c r="AP259" i="53"/>
  <c r="AQ259" i="53"/>
  <c r="AR259" i="53"/>
  <c r="AS259" i="53"/>
  <c r="AT259" i="53"/>
  <c r="AU259" i="53"/>
  <c r="AV259" i="53"/>
  <c r="AW259" i="53"/>
  <c r="AX259" i="53"/>
  <c r="AY259" i="53"/>
  <c r="AZ259" i="53"/>
  <c r="BA259" i="53"/>
  <c r="AD260" i="53"/>
  <c r="AE260" i="53"/>
  <c r="AF260" i="53"/>
  <c r="AG260" i="53"/>
  <c r="AH260" i="53"/>
  <c r="AI260" i="53"/>
  <c r="AJ260" i="53"/>
  <c r="AK260" i="53"/>
  <c r="AL260" i="53"/>
  <c r="AM260" i="53"/>
  <c r="AN260" i="53"/>
  <c r="AO260" i="53"/>
  <c r="AP260" i="53"/>
  <c r="AQ260" i="53"/>
  <c r="AR260" i="53"/>
  <c r="AS260" i="53"/>
  <c r="AT260" i="53"/>
  <c r="AU260" i="53"/>
  <c r="AV260" i="53"/>
  <c r="AW260" i="53"/>
  <c r="AX260" i="53"/>
  <c r="AY260" i="53"/>
  <c r="AZ260" i="53"/>
  <c r="BA260" i="53"/>
  <c r="AD261" i="53"/>
  <c r="AE261" i="53"/>
  <c r="AF261" i="53"/>
  <c r="AG261" i="53"/>
  <c r="AH261" i="53"/>
  <c r="AI261" i="53"/>
  <c r="AJ261" i="53"/>
  <c r="AK261" i="53"/>
  <c r="AL261" i="53"/>
  <c r="AM261" i="53"/>
  <c r="AN261" i="53"/>
  <c r="AO261" i="53"/>
  <c r="AP261" i="53"/>
  <c r="AQ261" i="53"/>
  <c r="AR261" i="53"/>
  <c r="AS261" i="53"/>
  <c r="AT261" i="53"/>
  <c r="AU261" i="53"/>
  <c r="AV261" i="53"/>
  <c r="AW261" i="53"/>
  <c r="AX261" i="53"/>
  <c r="AY261" i="53"/>
  <c r="AZ261" i="53"/>
  <c r="BA261" i="53"/>
  <c r="AD262" i="53"/>
  <c r="AE262" i="53"/>
  <c r="AF262" i="53"/>
  <c r="AG262" i="53"/>
  <c r="AH262" i="53"/>
  <c r="AI262" i="53"/>
  <c r="AJ262" i="53"/>
  <c r="AK262" i="53"/>
  <c r="AL262" i="53"/>
  <c r="AM262" i="53"/>
  <c r="AN262" i="53"/>
  <c r="AO262" i="53"/>
  <c r="AP262" i="53"/>
  <c r="AQ262" i="53"/>
  <c r="AR262" i="53"/>
  <c r="AS262" i="53"/>
  <c r="AT262" i="53"/>
  <c r="AU262" i="53"/>
  <c r="AV262" i="53"/>
  <c r="AW262" i="53"/>
  <c r="AX262" i="53"/>
  <c r="AY262" i="53"/>
  <c r="AZ262" i="53"/>
  <c r="BA262" i="53"/>
  <c r="AD263" i="53"/>
  <c r="AE263" i="53"/>
  <c r="AF263" i="53"/>
  <c r="AG263" i="53"/>
  <c r="AH263" i="53"/>
  <c r="AI263" i="53"/>
  <c r="AJ263" i="53"/>
  <c r="AK263" i="53"/>
  <c r="AL263" i="53"/>
  <c r="AM263" i="53"/>
  <c r="AN263" i="53"/>
  <c r="AO263" i="53"/>
  <c r="AP263" i="53"/>
  <c r="AQ263" i="53"/>
  <c r="AR263" i="53"/>
  <c r="AS263" i="53"/>
  <c r="AT263" i="53"/>
  <c r="AU263" i="53"/>
  <c r="AV263" i="53"/>
  <c r="AW263" i="53"/>
  <c r="AX263" i="53"/>
  <c r="AY263" i="53"/>
  <c r="AZ263" i="53"/>
  <c r="BA263" i="53"/>
  <c r="AD264" i="53"/>
  <c r="AE264" i="53"/>
  <c r="AF264" i="53"/>
  <c r="AG264" i="53"/>
  <c r="AH264" i="53"/>
  <c r="AI264" i="53"/>
  <c r="AJ264" i="53"/>
  <c r="AK264" i="53"/>
  <c r="AL264" i="53"/>
  <c r="AM264" i="53"/>
  <c r="AN264" i="53"/>
  <c r="AO264" i="53"/>
  <c r="AP264" i="53"/>
  <c r="AQ264" i="53"/>
  <c r="AR264" i="53"/>
  <c r="AS264" i="53"/>
  <c r="AT264" i="53"/>
  <c r="AU264" i="53"/>
  <c r="AV264" i="53"/>
  <c r="AW264" i="53"/>
  <c r="AX264" i="53"/>
  <c r="AY264" i="53"/>
  <c r="AZ264" i="53"/>
  <c r="BA264" i="53"/>
  <c r="AD265" i="53"/>
  <c r="AE265" i="53"/>
  <c r="AF265" i="53"/>
  <c r="AG265" i="53"/>
  <c r="AH265" i="53"/>
  <c r="AI265" i="53"/>
  <c r="AJ265" i="53"/>
  <c r="AK265" i="53"/>
  <c r="AL265" i="53"/>
  <c r="AM265" i="53"/>
  <c r="AN265" i="53"/>
  <c r="AO265" i="53"/>
  <c r="AP265" i="53"/>
  <c r="AQ265" i="53"/>
  <c r="AR265" i="53"/>
  <c r="AS265" i="53"/>
  <c r="AT265" i="53"/>
  <c r="AU265" i="53"/>
  <c r="AV265" i="53"/>
  <c r="AW265" i="53"/>
  <c r="AX265" i="53"/>
  <c r="AY265" i="53"/>
  <c r="AZ265" i="53"/>
  <c r="BA265" i="53"/>
  <c r="AD266" i="53"/>
  <c r="AE266" i="53"/>
  <c r="AF266" i="53"/>
  <c r="AG266" i="53"/>
  <c r="AH266" i="53"/>
  <c r="AI266" i="53"/>
  <c r="AJ266" i="53"/>
  <c r="AK266" i="53"/>
  <c r="AL266" i="53"/>
  <c r="AM266" i="53"/>
  <c r="AN266" i="53"/>
  <c r="AO266" i="53"/>
  <c r="AP266" i="53"/>
  <c r="AQ266" i="53"/>
  <c r="AR266" i="53"/>
  <c r="AS266" i="53"/>
  <c r="AT266" i="53"/>
  <c r="AU266" i="53"/>
  <c r="AV266" i="53"/>
  <c r="AW266" i="53"/>
  <c r="AX266" i="53"/>
  <c r="AY266" i="53"/>
  <c r="AZ266" i="53"/>
  <c r="BA266" i="53"/>
  <c r="AD267" i="53"/>
  <c r="AE267" i="53"/>
  <c r="AF267" i="53"/>
  <c r="AG267" i="53"/>
  <c r="AH267" i="53"/>
  <c r="AI267" i="53"/>
  <c r="AJ267" i="53"/>
  <c r="AK267" i="53"/>
  <c r="AL267" i="53"/>
  <c r="AM267" i="53"/>
  <c r="AN267" i="53"/>
  <c r="AO267" i="53"/>
  <c r="AP267" i="53"/>
  <c r="AQ267" i="53"/>
  <c r="AR267" i="53"/>
  <c r="AS267" i="53"/>
  <c r="AT267" i="53"/>
  <c r="AU267" i="53"/>
  <c r="AV267" i="53"/>
  <c r="AW267" i="53"/>
  <c r="AX267" i="53"/>
  <c r="AY267" i="53"/>
  <c r="AZ267" i="53"/>
  <c r="BA267" i="53"/>
  <c r="AD268" i="53"/>
  <c r="AE268" i="53"/>
  <c r="AF268" i="53"/>
  <c r="AG268" i="53"/>
  <c r="AH268" i="53"/>
  <c r="AI268" i="53"/>
  <c r="AJ268" i="53"/>
  <c r="AK268" i="53"/>
  <c r="AL268" i="53"/>
  <c r="AM268" i="53"/>
  <c r="AN268" i="53"/>
  <c r="AO268" i="53"/>
  <c r="AP268" i="53"/>
  <c r="AQ268" i="53"/>
  <c r="AR268" i="53"/>
  <c r="AS268" i="53"/>
  <c r="AT268" i="53"/>
  <c r="AU268" i="53"/>
  <c r="AV268" i="53"/>
  <c r="AW268" i="53"/>
  <c r="AX268" i="53"/>
  <c r="AY268" i="53"/>
  <c r="AZ268" i="53"/>
  <c r="BA268" i="53"/>
  <c r="AD269" i="53"/>
  <c r="AE269" i="53"/>
  <c r="AF269" i="53"/>
  <c r="AG269" i="53"/>
  <c r="AH269" i="53"/>
  <c r="AI269" i="53"/>
  <c r="AJ269" i="53"/>
  <c r="AK269" i="53"/>
  <c r="AL269" i="53"/>
  <c r="AM269" i="53"/>
  <c r="AN269" i="53"/>
  <c r="AO269" i="53"/>
  <c r="AP269" i="53"/>
  <c r="AQ269" i="53"/>
  <c r="AR269" i="53"/>
  <c r="AS269" i="53"/>
  <c r="AT269" i="53"/>
  <c r="AU269" i="53"/>
  <c r="AV269" i="53"/>
  <c r="AW269" i="53"/>
  <c r="AX269" i="53"/>
  <c r="AY269" i="53"/>
  <c r="AZ269" i="53"/>
  <c r="BA269" i="53"/>
  <c r="AD270" i="53"/>
  <c r="AE270" i="53"/>
  <c r="AF270" i="53"/>
  <c r="AG270" i="53"/>
  <c r="AH270" i="53"/>
  <c r="AI270" i="53"/>
  <c r="AJ270" i="53"/>
  <c r="AK270" i="53"/>
  <c r="AL270" i="53"/>
  <c r="AM270" i="53"/>
  <c r="AN270" i="53"/>
  <c r="AO270" i="53"/>
  <c r="AP270" i="53"/>
  <c r="AQ270" i="53"/>
  <c r="AR270" i="53"/>
  <c r="AS270" i="53"/>
  <c r="AT270" i="53"/>
  <c r="AU270" i="53"/>
  <c r="AV270" i="53"/>
  <c r="AW270" i="53"/>
  <c r="AX270" i="53"/>
  <c r="AY270" i="53"/>
  <c r="AZ270" i="53"/>
  <c r="BA270" i="53"/>
  <c r="AD271" i="53"/>
  <c r="AE271" i="53"/>
  <c r="AF271" i="53"/>
  <c r="AG271" i="53"/>
  <c r="AH271" i="53"/>
  <c r="AI271" i="53"/>
  <c r="AJ271" i="53"/>
  <c r="AK271" i="53"/>
  <c r="AL271" i="53"/>
  <c r="AM271" i="53"/>
  <c r="AN271" i="53"/>
  <c r="AO271" i="53"/>
  <c r="AP271" i="53"/>
  <c r="AQ271" i="53"/>
  <c r="AR271" i="53"/>
  <c r="AS271" i="53"/>
  <c r="AT271" i="53"/>
  <c r="AU271" i="53"/>
  <c r="AV271" i="53"/>
  <c r="AW271" i="53"/>
  <c r="AX271" i="53"/>
  <c r="AY271" i="53"/>
  <c r="AZ271" i="53"/>
  <c r="BA271" i="53"/>
  <c r="AD272" i="53"/>
  <c r="AE272" i="53"/>
  <c r="AF272" i="53"/>
  <c r="AG272" i="53"/>
  <c r="AH272" i="53"/>
  <c r="AI272" i="53"/>
  <c r="AJ272" i="53"/>
  <c r="AK272" i="53"/>
  <c r="AL272" i="53"/>
  <c r="AM272" i="53"/>
  <c r="AN272" i="53"/>
  <c r="AO272" i="53"/>
  <c r="AP272" i="53"/>
  <c r="AQ272" i="53"/>
  <c r="AR272" i="53"/>
  <c r="AS272" i="53"/>
  <c r="AT272" i="53"/>
  <c r="AU272" i="53"/>
  <c r="AV272" i="53"/>
  <c r="AW272" i="53"/>
  <c r="AX272" i="53"/>
  <c r="AY272" i="53"/>
  <c r="AZ272" i="53"/>
  <c r="BA272" i="53"/>
  <c r="AD273" i="53"/>
  <c r="AE273" i="53"/>
  <c r="AF273" i="53"/>
  <c r="AG273" i="53"/>
  <c r="AH273" i="53"/>
  <c r="AI273" i="53"/>
  <c r="AJ273" i="53"/>
  <c r="AK273" i="53"/>
  <c r="AL273" i="53"/>
  <c r="AM273" i="53"/>
  <c r="AN273" i="53"/>
  <c r="AO273" i="53"/>
  <c r="AP273" i="53"/>
  <c r="AQ273" i="53"/>
  <c r="AR273" i="53"/>
  <c r="AS273" i="53"/>
  <c r="AT273" i="53"/>
  <c r="AU273" i="53"/>
  <c r="AV273" i="53"/>
  <c r="AW273" i="53"/>
  <c r="AX273" i="53"/>
  <c r="AY273" i="53"/>
  <c r="AZ273" i="53"/>
  <c r="BA273" i="53"/>
  <c r="AD274" i="53"/>
  <c r="AE274" i="53"/>
  <c r="AF274" i="53"/>
  <c r="AG274" i="53"/>
  <c r="AH274" i="53"/>
  <c r="AI274" i="53"/>
  <c r="AJ274" i="53"/>
  <c r="AK274" i="53"/>
  <c r="AL274" i="53"/>
  <c r="AM274" i="53"/>
  <c r="AN274" i="53"/>
  <c r="AO274" i="53"/>
  <c r="AP274" i="53"/>
  <c r="AQ274" i="53"/>
  <c r="AR274" i="53"/>
  <c r="AS274" i="53"/>
  <c r="AT274" i="53"/>
  <c r="AU274" i="53"/>
  <c r="AV274" i="53"/>
  <c r="AW274" i="53"/>
  <c r="AX274" i="53"/>
  <c r="AY274" i="53"/>
  <c r="AZ274" i="53"/>
  <c r="BA274" i="53"/>
  <c r="AD275" i="53"/>
  <c r="AE275" i="53"/>
  <c r="AF275" i="53"/>
  <c r="AG275" i="53"/>
  <c r="AH275" i="53"/>
  <c r="AI275" i="53"/>
  <c r="AJ275" i="53"/>
  <c r="AK275" i="53"/>
  <c r="AL275" i="53"/>
  <c r="AM275" i="53"/>
  <c r="AN275" i="53"/>
  <c r="AO275" i="53"/>
  <c r="AP275" i="53"/>
  <c r="AQ275" i="53"/>
  <c r="AR275" i="53"/>
  <c r="AS275" i="53"/>
  <c r="AT275" i="53"/>
  <c r="AU275" i="53"/>
  <c r="AV275" i="53"/>
  <c r="AW275" i="53"/>
  <c r="AX275" i="53"/>
  <c r="AY275" i="53"/>
  <c r="AZ275" i="53"/>
  <c r="BA275" i="53"/>
  <c r="AD276" i="53"/>
  <c r="AE276" i="53"/>
  <c r="AF276" i="53"/>
  <c r="AG276" i="53"/>
  <c r="AH276" i="53"/>
  <c r="AI276" i="53"/>
  <c r="AJ276" i="53"/>
  <c r="AK276" i="53"/>
  <c r="AL276" i="53"/>
  <c r="AM276" i="53"/>
  <c r="AN276" i="53"/>
  <c r="AO276" i="53"/>
  <c r="AP276" i="53"/>
  <c r="AQ276" i="53"/>
  <c r="AR276" i="53"/>
  <c r="AS276" i="53"/>
  <c r="AT276" i="53"/>
  <c r="AU276" i="53"/>
  <c r="AV276" i="53"/>
  <c r="AW276" i="53"/>
  <c r="AX276" i="53"/>
  <c r="AY276" i="53"/>
  <c r="AZ276" i="53"/>
  <c r="BA276" i="53"/>
  <c r="AD277" i="53"/>
  <c r="AE277" i="53"/>
  <c r="AF277" i="53"/>
  <c r="AG277" i="53"/>
  <c r="AH277" i="53"/>
  <c r="AI277" i="53"/>
  <c r="AJ277" i="53"/>
  <c r="AK277" i="53"/>
  <c r="AL277" i="53"/>
  <c r="AM277" i="53"/>
  <c r="AN277" i="53"/>
  <c r="AO277" i="53"/>
  <c r="AP277" i="53"/>
  <c r="AQ277" i="53"/>
  <c r="AR277" i="53"/>
  <c r="AS277" i="53"/>
  <c r="AT277" i="53"/>
  <c r="AU277" i="53"/>
  <c r="AV277" i="53"/>
  <c r="AW277" i="53"/>
  <c r="AX277" i="53"/>
  <c r="AY277" i="53"/>
  <c r="AZ277" i="53"/>
  <c r="BA277" i="53"/>
  <c r="AD278" i="53"/>
  <c r="AE278" i="53"/>
  <c r="AF278" i="53"/>
  <c r="AG278" i="53"/>
  <c r="AH278" i="53"/>
  <c r="AI278" i="53"/>
  <c r="AJ278" i="53"/>
  <c r="AK278" i="53"/>
  <c r="AL278" i="53"/>
  <c r="AM278" i="53"/>
  <c r="AN278" i="53"/>
  <c r="AO278" i="53"/>
  <c r="AP278" i="53"/>
  <c r="AQ278" i="53"/>
  <c r="AR278" i="53"/>
  <c r="AS278" i="53"/>
  <c r="AT278" i="53"/>
  <c r="AU278" i="53"/>
  <c r="AV278" i="53"/>
  <c r="AW278" i="53"/>
  <c r="AX278" i="53"/>
  <c r="AY278" i="53"/>
  <c r="AZ278" i="53"/>
  <c r="BA278" i="53"/>
  <c r="AD279" i="53"/>
  <c r="AE279" i="53"/>
  <c r="AF279" i="53"/>
  <c r="AG279" i="53"/>
  <c r="AH279" i="53"/>
  <c r="AI279" i="53"/>
  <c r="AJ279" i="53"/>
  <c r="AK279" i="53"/>
  <c r="AL279" i="53"/>
  <c r="AM279" i="53"/>
  <c r="AN279" i="53"/>
  <c r="AO279" i="53"/>
  <c r="AP279" i="53"/>
  <c r="AQ279" i="53"/>
  <c r="AR279" i="53"/>
  <c r="AS279" i="53"/>
  <c r="AT279" i="53"/>
  <c r="AU279" i="53"/>
  <c r="AV279" i="53"/>
  <c r="AW279" i="53"/>
  <c r="AX279" i="53"/>
  <c r="AY279" i="53"/>
  <c r="AZ279" i="53"/>
  <c r="BA279" i="53"/>
  <c r="AD280" i="53"/>
  <c r="AE280" i="53"/>
  <c r="AF280" i="53"/>
  <c r="AG280" i="53"/>
  <c r="AH280" i="53"/>
  <c r="AI280" i="53"/>
  <c r="AJ280" i="53"/>
  <c r="AK280" i="53"/>
  <c r="AL280" i="53"/>
  <c r="AM280" i="53"/>
  <c r="AN280" i="53"/>
  <c r="AO280" i="53"/>
  <c r="AP280" i="53"/>
  <c r="AQ280" i="53"/>
  <c r="AR280" i="53"/>
  <c r="AS280" i="53"/>
  <c r="AT280" i="53"/>
  <c r="AU280" i="53"/>
  <c r="AV280" i="53"/>
  <c r="AW280" i="53"/>
  <c r="AX280" i="53"/>
  <c r="AY280" i="53"/>
  <c r="AZ280" i="53"/>
  <c r="BA280" i="53"/>
  <c r="AD281" i="53"/>
  <c r="AE281" i="53"/>
  <c r="AF281" i="53"/>
  <c r="AG281" i="53"/>
  <c r="AH281" i="53"/>
  <c r="AI281" i="53"/>
  <c r="AJ281" i="53"/>
  <c r="AK281" i="53"/>
  <c r="AL281" i="53"/>
  <c r="AM281" i="53"/>
  <c r="AN281" i="53"/>
  <c r="AO281" i="53"/>
  <c r="AP281" i="53"/>
  <c r="AQ281" i="53"/>
  <c r="AR281" i="53"/>
  <c r="AS281" i="53"/>
  <c r="AT281" i="53"/>
  <c r="AU281" i="53"/>
  <c r="AV281" i="53"/>
  <c r="AW281" i="53"/>
  <c r="AX281" i="53"/>
  <c r="AY281" i="53"/>
  <c r="AZ281" i="53"/>
  <c r="BA281" i="53"/>
  <c r="AD282" i="53"/>
  <c r="AE282" i="53"/>
  <c r="AF282" i="53"/>
  <c r="AG282" i="53"/>
  <c r="AH282" i="53"/>
  <c r="AI282" i="53"/>
  <c r="AJ282" i="53"/>
  <c r="AK282" i="53"/>
  <c r="AL282" i="53"/>
  <c r="AM282" i="53"/>
  <c r="AN282" i="53"/>
  <c r="AO282" i="53"/>
  <c r="AP282" i="53"/>
  <c r="AQ282" i="53"/>
  <c r="AR282" i="53"/>
  <c r="AS282" i="53"/>
  <c r="AT282" i="53"/>
  <c r="AU282" i="53"/>
  <c r="AV282" i="53"/>
  <c r="AW282" i="53"/>
  <c r="AX282" i="53"/>
  <c r="AY282" i="53"/>
  <c r="AZ282" i="53"/>
  <c r="BA282" i="53"/>
  <c r="AD283" i="53"/>
  <c r="AE283" i="53"/>
  <c r="AF283" i="53"/>
  <c r="AG283" i="53"/>
  <c r="AH283" i="53"/>
  <c r="AI283" i="53"/>
  <c r="AJ283" i="53"/>
  <c r="AK283" i="53"/>
  <c r="AL283" i="53"/>
  <c r="AM283" i="53"/>
  <c r="AN283" i="53"/>
  <c r="AO283" i="53"/>
  <c r="AP283" i="53"/>
  <c r="AQ283" i="53"/>
  <c r="AR283" i="53"/>
  <c r="AS283" i="53"/>
  <c r="AT283" i="53"/>
  <c r="AU283" i="53"/>
  <c r="AV283" i="53"/>
  <c r="AW283" i="53"/>
  <c r="AX283" i="53"/>
  <c r="AY283" i="53"/>
  <c r="AZ283" i="53"/>
  <c r="BA283" i="53"/>
  <c r="AD284" i="53"/>
  <c r="AE284" i="53"/>
  <c r="AF284" i="53"/>
  <c r="AG284" i="53"/>
  <c r="AH284" i="53"/>
  <c r="AI284" i="53"/>
  <c r="AJ284" i="53"/>
  <c r="AK284" i="53"/>
  <c r="AL284" i="53"/>
  <c r="AM284" i="53"/>
  <c r="AN284" i="53"/>
  <c r="AO284" i="53"/>
  <c r="AP284" i="53"/>
  <c r="AQ284" i="53"/>
  <c r="AR284" i="53"/>
  <c r="AS284" i="53"/>
  <c r="AT284" i="53"/>
  <c r="AU284" i="53"/>
  <c r="AV284" i="53"/>
  <c r="AW284" i="53"/>
  <c r="AX284" i="53"/>
  <c r="AY284" i="53"/>
  <c r="AZ284" i="53"/>
  <c r="BA284" i="53"/>
  <c r="AD285" i="53"/>
  <c r="AE285" i="53"/>
  <c r="AF285" i="53"/>
  <c r="AG285" i="53"/>
  <c r="AH285" i="53"/>
  <c r="AI285" i="53"/>
  <c r="AJ285" i="53"/>
  <c r="AK285" i="53"/>
  <c r="AL285" i="53"/>
  <c r="AM285" i="53"/>
  <c r="AN285" i="53"/>
  <c r="AO285" i="53"/>
  <c r="AP285" i="53"/>
  <c r="AQ285" i="53"/>
  <c r="AR285" i="53"/>
  <c r="AS285" i="53"/>
  <c r="AT285" i="53"/>
  <c r="AU285" i="53"/>
  <c r="AV285" i="53"/>
  <c r="AW285" i="53"/>
  <c r="AX285" i="53"/>
  <c r="AY285" i="53"/>
  <c r="AZ285" i="53"/>
  <c r="BA285" i="53"/>
  <c r="AD286" i="53"/>
  <c r="AE286" i="53"/>
  <c r="AF286" i="53"/>
  <c r="AG286" i="53"/>
  <c r="AH286" i="53"/>
  <c r="AI286" i="53"/>
  <c r="AJ286" i="53"/>
  <c r="AK286" i="53"/>
  <c r="AL286" i="53"/>
  <c r="AM286" i="53"/>
  <c r="AN286" i="53"/>
  <c r="AO286" i="53"/>
  <c r="AP286" i="53"/>
  <c r="AQ286" i="53"/>
  <c r="AR286" i="53"/>
  <c r="AS286" i="53"/>
  <c r="AT286" i="53"/>
  <c r="AU286" i="53"/>
  <c r="AV286" i="53"/>
  <c r="AW286" i="53"/>
  <c r="AX286" i="53"/>
  <c r="AY286" i="53"/>
  <c r="AZ286" i="53"/>
  <c r="BA286" i="53"/>
  <c r="AD287" i="53"/>
  <c r="AE287" i="53"/>
  <c r="AF287" i="53"/>
  <c r="AG287" i="53"/>
  <c r="AH287" i="53"/>
  <c r="AI287" i="53"/>
  <c r="AJ287" i="53"/>
  <c r="AK287" i="53"/>
  <c r="AL287" i="53"/>
  <c r="AM287" i="53"/>
  <c r="AN287" i="53"/>
  <c r="AO287" i="53"/>
  <c r="AP287" i="53"/>
  <c r="AQ287" i="53"/>
  <c r="AR287" i="53"/>
  <c r="AS287" i="53"/>
  <c r="AT287" i="53"/>
  <c r="AU287" i="53"/>
  <c r="AV287" i="53"/>
  <c r="AW287" i="53"/>
  <c r="AX287" i="53"/>
  <c r="AY287" i="53"/>
  <c r="AZ287" i="53"/>
  <c r="BA287" i="53"/>
  <c r="AD288" i="53"/>
  <c r="AE288" i="53"/>
  <c r="AF288" i="53"/>
  <c r="AG288" i="53"/>
  <c r="AH288" i="53"/>
  <c r="AI288" i="53"/>
  <c r="AJ288" i="53"/>
  <c r="AK288" i="53"/>
  <c r="AL288" i="53"/>
  <c r="AM288" i="53"/>
  <c r="AN288" i="53"/>
  <c r="AO288" i="53"/>
  <c r="AP288" i="53"/>
  <c r="AQ288" i="53"/>
  <c r="AR288" i="53"/>
  <c r="AS288" i="53"/>
  <c r="AT288" i="53"/>
  <c r="AU288" i="53"/>
  <c r="AV288" i="53"/>
  <c r="AW288" i="53"/>
  <c r="AX288" i="53"/>
  <c r="AY288" i="53"/>
  <c r="AZ288" i="53"/>
  <c r="BA288" i="53"/>
  <c r="AD289" i="53"/>
  <c r="AE289" i="53"/>
  <c r="AF289" i="53"/>
  <c r="AG289" i="53"/>
  <c r="AH289" i="53"/>
  <c r="AI289" i="53"/>
  <c r="AJ289" i="53"/>
  <c r="AK289" i="53"/>
  <c r="AL289" i="53"/>
  <c r="AM289" i="53"/>
  <c r="AN289" i="53"/>
  <c r="AO289" i="53"/>
  <c r="AP289" i="53"/>
  <c r="AQ289" i="53"/>
  <c r="AR289" i="53"/>
  <c r="AS289" i="53"/>
  <c r="AT289" i="53"/>
  <c r="AU289" i="53"/>
  <c r="AV289" i="53"/>
  <c r="AW289" i="53"/>
  <c r="AX289" i="53"/>
  <c r="AY289" i="53"/>
  <c r="AZ289" i="53"/>
  <c r="BA289" i="53"/>
  <c r="AD290" i="53"/>
  <c r="AE290" i="53"/>
  <c r="AF290" i="53"/>
  <c r="AG290" i="53"/>
  <c r="AH290" i="53"/>
  <c r="AI290" i="53"/>
  <c r="AJ290" i="53"/>
  <c r="AK290" i="53"/>
  <c r="AL290" i="53"/>
  <c r="AM290" i="53"/>
  <c r="AN290" i="53"/>
  <c r="AO290" i="53"/>
  <c r="AP290" i="53"/>
  <c r="AQ290" i="53"/>
  <c r="AR290" i="53"/>
  <c r="AS290" i="53"/>
  <c r="AT290" i="53"/>
  <c r="AU290" i="53"/>
  <c r="AV290" i="53"/>
  <c r="AW290" i="53"/>
  <c r="AX290" i="53"/>
  <c r="AY290" i="53"/>
  <c r="AZ290" i="53"/>
  <c r="BA290" i="53"/>
  <c r="AD291" i="53"/>
  <c r="AE291" i="53"/>
  <c r="AF291" i="53"/>
  <c r="AG291" i="53"/>
  <c r="AH291" i="53"/>
  <c r="AI291" i="53"/>
  <c r="AJ291" i="53"/>
  <c r="AK291" i="53"/>
  <c r="AL291" i="53"/>
  <c r="AM291" i="53"/>
  <c r="AN291" i="53"/>
  <c r="AO291" i="53"/>
  <c r="AP291" i="53"/>
  <c r="AQ291" i="53"/>
  <c r="AR291" i="53"/>
  <c r="AS291" i="53"/>
  <c r="AT291" i="53"/>
  <c r="AU291" i="53"/>
  <c r="AV291" i="53"/>
  <c r="AW291" i="53"/>
  <c r="AX291" i="53"/>
  <c r="AY291" i="53"/>
  <c r="AZ291" i="53"/>
  <c r="BA291" i="53"/>
  <c r="AD292" i="53"/>
  <c r="AE292" i="53"/>
  <c r="AF292" i="53"/>
  <c r="AG292" i="53"/>
  <c r="AH292" i="53"/>
  <c r="AI292" i="53"/>
  <c r="AJ292" i="53"/>
  <c r="AK292" i="53"/>
  <c r="AL292" i="53"/>
  <c r="AM292" i="53"/>
  <c r="AN292" i="53"/>
  <c r="AO292" i="53"/>
  <c r="AP292" i="53"/>
  <c r="AQ292" i="53"/>
  <c r="AR292" i="53"/>
  <c r="AS292" i="53"/>
  <c r="AT292" i="53"/>
  <c r="AU292" i="53"/>
  <c r="AV292" i="53"/>
  <c r="AW292" i="53"/>
  <c r="AX292" i="53"/>
  <c r="AY292" i="53"/>
  <c r="AZ292" i="53"/>
  <c r="BA292" i="53"/>
  <c r="AD293" i="53"/>
  <c r="AE293" i="53"/>
  <c r="AF293" i="53"/>
  <c r="AG293" i="53"/>
  <c r="AH293" i="53"/>
  <c r="AI293" i="53"/>
  <c r="AJ293" i="53"/>
  <c r="AK293" i="53"/>
  <c r="AL293" i="53"/>
  <c r="AM293" i="53"/>
  <c r="AN293" i="53"/>
  <c r="AO293" i="53"/>
  <c r="AP293" i="53"/>
  <c r="AQ293" i="53"/>
  <c r="AR293" i="53"/>
  <c r="AS293" i="53"/>
  <c r="AT293" i="53"/>
  <c r="AU293" i="53"/>
  <c r="AV293" i="53"/>
  <c r="AW293" i="53"/>
  <c r="AX293" i="53"/>
  <c r="AY293" i="53"/>
  <c r="AZ293" i="53"/>
  <c r="BA293" i="53"/>
  <c r="AD294" i="53"/>
  <c r="AE294" i="53"/>
  <c r="AF294" i="53"/>
  <c r="AG294" i="53"/>
  <c r="AH294" i="53"/>
  <c r="AI294" i="53"/>
  <c r="AJ294" i="53"/>
  <c r="AK294" i="53"/>
  <c r="AL294" i="53"/>
  <c r="AM294" i="53"/>
  <c r="AN294" i="53"/>
  <c r="AO294" i="53"/>
  <c r="AP294" i="53"/>
  <c r="AQ294" i="53"/>
  <c r="AR294" i="53"/>
  <c r="AS294" i="53"/>
  <c r="AT294" i="53"/>
  <c r="AU294" i="53"/>
  <c r="AV294" i="53"/>
  <c r="AW294" i="53"/>
  <c r="AX294" i="53"/>
  <c r="AY294" i="53"/>
  <c r="AZ294" i="53"/>
  <c r="BA294" i="53"/>
  <c r="AD295" i="53"/>
  <c r="AE295" i="53"/>
  <c r="AF295" i="53"/>
  <c r="AG295" i="53"/>
  <c r="AH295" i="53"/>
  <c r="AI295" i="53"/>
  <c r="AJ295" i="53"/>
  <c r="AK295" i="53"/>
  <c r="AL295" i="53"/>
  <c r="AM295" i="53"/>
  <c r="AN295" i="53"/>
  <c r="AO295" i="53"/>
  <c r="AP295" i="53"/>
  <c r="AQ295" i="53"/>
  <c r="AR295" i="53"/>
  <c r="AS295" i="53"/>
  <c r="AT295" i="53"/>
  <c r="AU295" i="53"/>
  <c r="AV295" i="53"/>
  <c r="AW295" i="53"/>
  <c r="AX295" i="53"/>
  <c r="AY295" i="53"/>
  <c r="AZ295" i="53"/>
  <c r="BA295" i="53"/>
  <c r="AD296" i="53"/>
  <c r="AE296" i="53"/>
  <c r="AF296" i="53"/>
  <c r="AG296" i="53"/>
  <c r="AH296" i="53"/>
  <c r="AI296" i="53"/>
  <c r="AJ296" i="53"/>
  <c r="AK296" i="53"/>
  <c r="AL296" i="53"/>
  <c r="AM296" i="53"/>
  <c r="AN296" i="53"/>
  <c r="AO296" i="53"/>
  <c r="AP296" i="53"/>
  <c r="AQ296" i="53"/>
  <c r="AR296" i="53"/>
  <c r="AS296" i="53"/>
  <c r="AT296" i="53"/>
  <c r="AU296" i="53"/>
  <c r="AV296" i="53"/>
  <c r="AW296" i="53"/>
  <c r="AX296" i="53"/>
  <c r="AY296" i="53"/>
  <c r="AZ296" i="53"/>
  <c r="BA296" i="53"/>
  <c r="AD297" i="53"/>
  <c r="AE297" i="53"/>
  <c r="AF297" i="53"/>
  <c r="AG297" i="53"/>
  <c r="AH297" i="53"/>
  <c r="AI297" i="53"/>
  <c r="AJ297" i="53"/>
  <c r="AK297" i="53"/>
  <c r="AL297" i="53"/>
  <c r="AM297" i="53"/>
  <c r="AN297" i="53"/>
  <c r="AO297" i="53"/>
  <c r="AP297" i="53"/>
  <c r="AQ297" i="53"/>
  <c r="AR297" i="53"/>
  <c r="AS297" i="53"/>
  <c r="AT297" i="53"/>
  <c r="AU297" i="53"/>
  <c r="AV297" i="53"/>
  <c r="AW297" i="53"/>
  <c r="AX297" i="53"/>
  <c r="AY297" i="53"/>
  <c r="AZ297" i="53"/>
  <c r="BA297" i="53"/>
  <c r="AD298" i="53"/>
  <c r="AE298" i="53"/>
  <c r="AF298" i="53"/>
  <c r="AG298" i="53"/>
  <c r="AH298" i="53"/>
  <c r="AI298" i="53"/>
  <c r="AJ298" i="53"/>
  <c r="AK298" i="53"/>
  <c r="AL298" i="53"/>
  <c r="AM298" i="53"/>
  <c r="AN298" i="53"/>
  <c r="AO298" i="53"/>
  <c r="AP298" i="53"/>
  <c r="AQ298" i="53"/>
  <c r="AR298" i="53"/>
  <c r="AS298" i="53"/>
  <c r="AT298" i="53"/>
  <c r="AU298" i="53"/>
  <c r="AV298" i="53"/>
  <c r="AW298" i="53"/>
  <c r="AX298" i="53"/>
  <c r="AY298" i="53"/>
  <c r="AZ298" i="53"/>
  <c r="BA298" i="53"/>
  <c r="AD299" i="53"/>
  <c r="AE299" i="53"/>
  <c r="AF299" i="53"/>
  <c r="AG299" i="53"/>
  <c r="AH299" i="53"/>
  <c r="AI299" i="53"/>
  <c r="AJ299" i="53"/>
  <c r="AK299" i="53"/>
  <c r="AL299" i="53"/>
  <c r="AM299" i="53"/>
  <c r="AN299" i="53"/>
  <c r="AO299" i="53"/>
  <c r="AP299" i="53"/>
  <c r="AQ299" i="53"/>
  <c r="AR299" i="53"/>
  <c r="AS299" i="53"/>
  <c r="AT299" i="53"/>
  <c r="AU299" i="53"/>
  <c r="AV299" i="53"/>
  <c r="AW299" i="53"/>
  <c r="AX299" i="53"/>
  <c r="AY299" i="53"/>
  <c r="AZ299" i="53"/>
  <c r="BA299" i="53"/>
  <c r="AD300" i="53"/>
  <c r="AE300" i="53"/>
  <c r="AF300" i="53"/>
  <c r="AG300" i="53"/>
  <c r="AH300" i="53"/>
  <c r="AI300" i="53"/>
  <c r="AJ300" i="53"/>
  <c r="AK300" i="53"/>
  <c r="AL300" i="53"/>
  <c r="AM300" i="53"/>
  <c r="AN300" i="53"/>
  <c r="AO300" i="53"/>
  <c r="AP300" i="53"/>
  <c r="AQ300" i="53"/>
  <c r="AR300" i="53"/>
  <c r="AS300" i="53"/>
  <c r="AT300" i="53"/>
  <c r="AU300" i="53"/>
  <c r="AV300" i="53"/>
  <c r="AW300" i="53"/>
  <c r="AX300" i="53"/>
  <c r="AY300" i="53"/>
  <c r="AZ300" i="53"/>
  <c r="BA300" i="53"/>
  <c r="AD301" i="53"/>
  <c r="AE301" i="53"/>
  <c r="AF301" i="53"/>
  <c r="AG301" i="53"/>
  <c r="AH301" i="53"/>
  <c r="AI301" i="53"/>
  <c r="AJ301" i="53"/>
  <c r="AK301" i="53"/>
  <c r="AL301" i="53"/>
  <c r="AM301" i="53"/>
  <c r="AN301" i="53"/>
  <c r="AO301" i="53"/>
  <c r="AP301" i="53"/>
  <c r="AQ301" i="53"/>
  <c r="AR301" i="53"/>
  <c r="AS301" i="53"/>
  <c r="AT301" i="53"/>
  <c r="AU301" i="53"/>
  <c r="AV301" i="53"/>
  <c r="AW301" i="53"/>
  <c r="AX301" i="53"/>
  <c r="AY301" i="53"/>
  <c r="AZ301" i="53"/>
  <c r="BA301" i="53"/>
  <c r="AD302" i="53"/>
  <c r="AE302" i="53"/>
  <c r="AF302" i="53"/>
  <c r="AG302" i="53"/>
  <c r="AH302" i="53"/>
  <c r="AI302" i="53"/>
  <c r="AJ302" i="53"/>
  <c r="AK302" i="53"/>
  <c r="AL302" i="53"/>
  <c r="AM302" i="53"/>
  <c r="AN302" i="53"/>
  <c r="AO302" i="53"/>
  <c r="AP302" i="53"/>
  <c r="AQ302" i="53"/>
  <c r="AR302" i="53"/>
  <c r="AS302" i="53"/>
  <c r="AT302" i="53"/>
  <c r="AU302" i="53"/>
  <c r="AV302" i="53"/>
  <c r="AW302" i="53"/>
  <c r="AX302" i="53"/>
  <c r="AY302" i="53"/>
  <c r="AZ302" i="53"/>
  <c r="BA302" i="53"/>
  <c r="AD303" i="53"/>
  <c r="AE303" i="53"/>
  <c r="AF303" i="53"/>
  <c r="AG303" i="53"/>
  <c r="AH303" i="53"/>
  <c r="AI303" i="53"/>
  <c r="AJ303" i="53"/>
  <c r="AK303" i="53"/>
  <c r="AL303" i="53"/>
  <c r="AM303" i="53"/>
  <c r="AN303" i="53"/>
  <c r="AO303" i="53"/>
  <c r="AP303" i="53"/>
  <c r="AQ303" i="53"/>
  <c r="AR303" i="53"/>
  <c r="AS303" i="53"/>
  <c r="AT303" i="53"/>
  <c r="AU303" i="53"/>
  <c r="AV303" i="53"/>
  <c r="AW303" i="53"/>
  <c r="AX303" i="53"/>
  <c r="AY303" i="53"/>
  <c r="AZ303" i="53"/>
  <c r="BA303" i="53"/>
  <c r="AD304" i="53"/>
  <c r="AE304" i="53"/>
  <c r="AF304" i="53"/>
  <c r="AG304" i="53"/>
  <c r="AH304" i="53"/>
  <c r="AI304" i="53"/>
  <c r="AJ304" i="53"/>
  <c r="AK304" i="53"/>
  <c r="AL304" i="53"/>
  <c r="AM304" i="53"/>
  <c r="AN304" i="53"/>
  <c r="AO304" i="53"/>
  <c r="AP304" i="53"/>
  <c r="AQ304" i="53"/>
  <c r="AR304" i="53"/>
  <c r="AS304" i="53"/>
  <c r="AT304" i="53"/>
  <c r="AU304" i="53"/>
  <c r="AV304" i="53"/>
  <c r="AW304" i="53"/>
  <c r="AX304" i="53"/>
  <c r="AY304" i="53"/>
  <c r="AZ304" i="53"/>
  <c r="BA304" i="53"/>
  <c r="AD305" i="53"/>
  <c r="AE305" i="53"/>
  <c r="AF305" i="53"/>
  <c r="AG305" i="53"/>
  <c r="AH305" i="53"/>
  <c r="AI305" i="53"/>
  <c r="AJ305" i="53"/>
  <c r="AK305" i="53"/>
  <c r="AL305" i="53"/>
  <c r="AM305" i="53"/>
  <c r="AN305" i="53"/>
  <c r="AO305" i="53"/>
  <c r="AP305" i="53"/>
  <c r="AQ305" i="53"/>
  <c r="AR305" i="53"/>
  <c r="AS305" i="53"/>
  <c r="AT305" i="53"/>
  <c r="AU305" i="53"/>
  <c r="AV305" i="53"/>
  <c r="AW305" i="53"/>
  <c r="AX305" i="53"/>
  <c r="AY305" i="53"/>
  <c r="AZ305" i="53"/>
  <c r="BA305" i="53"/>
  <c r="AD306" i="53"/>
  <c r="AE306" i="53"/>
  <c r="AF306" i="53"/>
  <c r="AG306" i="53"/>
  <c r="AH306" i="53"/>
  <c r="AI306" i="53"/>
  <c r="AJ306" i="53"/>
  <c r="AK306" i="53"/>
  <c r="AL306" i="53"/>
  <c r="AM306" i="53"/>
  <c r="AN306" i="53"/>
  <c r="AO306" i="53"/>
  <c r="AP306" i="53"/>
  <c r="AQ306" i="53"/>
  <c r="AR306" i="53"/>
  <c r="AS306" i="53"/>
  <c r="AT306" i="53"/>
  <c r="AU306" i="53"/>
  <c r="AV306" i="53"/>
  <c r="AW306" i="53"/>
  <c r="AX306" i="53"/>
  <c r="AY306" i="53"/>
  <c r="AZ306" i="53"/>
  <c r="BA306" i="53"/>
  <c r="AD307" i="53"/>
  <c r="AE307" i="53"/>
  <c r="AF307" i="53"/>
  <c r="AG307" i="53"/>
  <c r="AH307" i="53"/>
  <c r="AI307" i="53"/>
  <c r="AJ307" i="53"/>
  <c r="AK307" i="53"/>
  <c r="AL307" i="53"/>
  <c r="AM307" i="53"/>
  <c r="AN307" i="53"/>
  <c r="AO307" i="53"/>
  <c r="AP307" i="53"/>
  <c r="AQ307" i="53"/>
  <c r="AR307" i="53"/>
  <c r="AS307" i="53"/>
  <c r="AT307" i="53"/>
  <c r="AU307" i="53"/>
  <c r="AV307" i="53"/>
  <c r="AW307" i="53"/>
  <c r="AX307" i="53"/>
  <c r="AY307" i="53"/>
  <c r="AZ307" i="53"/>
  <c r="BA307" i="53"/>
  <c r="AD308" i="53"/>
  <c r="AE308" i="53"/>
  <c r="AF308" i="53"/>
  <c r="AG308" i="53"/>
  <c r="AH308" i="53"/>
  <c r="AI308" i="53"/>
  <c r="AJ308" i="53"/>
  <c r="AK308" i="53"/>
  <c r="AL308" i="53"/>
  <c r="AM308" i="53"/>
  <c r="AN308" i="53"/>
  <c r="AO308" i="53"/>
  <c r="AP308" i="53"/>
  <c r="AQ308" i="53"/>
  <c r="AR308" i="53"/>
  <c r="AS308" i="53"/>
  <c r="AT308" i="53"/>
  <c r="AU308" i="53"/>
  <c r="AV308" i="53"/>
  <c r="AW308" i="53"/>
  <c r="AX308" i="53"/>
  <c r="AY308" i="53"/>
  <c r="AZ308" i="53"/>
  <c r="BA308" i="53"/>
  <c r="AD309" i="53"/>
  <c r="AE309" i="53"/>
  <c r="AF309" i="53"/>
  <c r="AG309" i="53"/>
  <c r="AH309" i="53"/>
  <c r="AI309" i="53"/>
  <c r="AJ309" i="53"/>
  <c r="AK309" i="53"/>
  <c r="AL309" i="53"/>
  <c r="AM309" i="53"/>
  <c r="AN309" i="53"/>
  <c r="AO309" i="53"/>
  <c r="AP309" i="53"/>
  <c r="AQ309" i="53"/>
  <c r="AR309" i="53"/>
  <c r="AS309" i="53"/>
  <c r="AT309" i="53"/>
  <c r="AU309" i="53"/>
  <c r="AV309" i="53"/>
  <c r="AW309" i="53"/>
  <c r="AX309" i="53"/>
  <c r="AY309" i="53"/>
  <c r="AZ309" i="53"/>
  <c r="BA309" i="53"/>
  <c r="AD310" i="53"/>
  <c r="AE310" i="53"/>
  <c r="AF310" i="53"/>
  <c r="AG310" i="53"/>
  <c r="AH310" i="53"/>
  <c r="AI310" i="53"/>
  <c r="AJ310" i="53"/>
  <c r="AK310" i="53"/>
  <c r="AL310" i="53"/>
  <c r="AM310" i="53"/>
  <c r="AN310" i="53"/>
  <c r="AO310" i="53"/>
  <c r="AP310" i="53"/>
  <c r="AQ310" i="53"/>
  <c r="AR310" i="53"/>
  <c r="AS310" i="53"/>
  <c r="AT310" i="53"/>
  <c r="AU310" i="53"/>
  <c r="AV310" i="53"/>
  <c r="AW310" i="53"/>
  <c r="AX310" i="53"/>
  <c r="AY310" i="53"/>
  <c r="AZ310" i="53"/>
  <c r="BA310" i="53"/>
  <c r="AD311" i="53"/>
  <c r="AE311" i="53"/>
  <c r="AF311" i="53"/>
  <c r="AG311" i="53"/>
  <c r="AH311" i="53"/>
  <c r="AI311" i="53"/>
  <c r="AJ311" i="53"/>
  <c r="AK311" i="53"/>
  <c r="AL311" i="53"/>
  <c r="AM311" i="53"/>
  <c r="AN311" i="53"/>
  <c r="AO311" i="53"/>
  <c r="AP311" i="53"/>
  <c r="AQ311" i="53"/>
  <c r="AR311" i="53"/>
  <c r="AS311" i="53"/>
  <c r="AT311" i="53"/>
  <c r="AU311" i="53"/>
  <c r="AV311" i="53"/>
  <c r="AW311" i="53"/>
  <c r="AX311" i="53"/>
  <c r="AY311" i="53"/>
  <c r="AZ311" i="53"/>
  <c r="BA311" i="53"/>
  <c r="AD312" i="53"/>
  <c r="AE312" i="53"/>
  <c r="AF312" i="53"/>
  <c r="AG312" i="53"/>
  <c r="AH312" i="53"/>
  <c r="AI312" i="53"/>
  <c r="AJ312" i="53"/>
  <c r="AK312" i="53"/>
  <c r="AL312" i="53"/>
  <c r="AM312" i="53"/>
  <c r="AN312" i="53"/>
  <c r="AO312" i="53"/>
  <c r="AP312" i="53"/>
  <c r="AQ312" i="53"/>
  <c r="AR312" i="53"/>
  <c r="AS312" i="53"/>
  <c r="AT312" i="53"/>
  <c r="AU312" i="53"/>
  <c r="AV312" i="53"/>
  <c r="AW312" i="53"/>
  <c r="AX312" i="53"/>
  <c r="AY312" i="53"/>
  <c r="AZ312" i="53"/>
  <c r="BA312" i="53"/>
  <c r="AD313" i="53"/>
  <c r="AE313" i="53"/>
  <c r="AF313" i="53"/>
  <c r="AG313" i="53"/>
  <c r="AH313" i="53"/>
  <c r="AI313" i="53"/>
  <c r="AJ313" i="53"/>
  <c r="AK313" i="53"/>
  <c r="AL313" i="53"/>
  <c r="AM313" i="53"/>
  <c r="AN313" i="53"/>
  <c r="AO313" i="53"/>
  <c r="AP313" i="53"/>
  <c r="AQ313" i="53"/>
  <c r="AR313" i="53"/>
  <c r="AS313" i="53"/>
  <c r="AT313" i="53"/>
  <c r="AU313" i="53"/>
  <c r="AV313" i="53"/>
  <c r="AW313" i="53"/>
  <c r="AX313" i="53"/>
  <c r="AY313" i="53"/>
  <c r="AZ313" i="53"/>
  <c r="BA313" i="53"/>
  <c r="AD314" i="53"/>
  <c r="AE314" i="53"/>
  <c r="AF314" i="53"/>
  <c r="AG314" i="53"/>
  <c r="AH314" i="53"/>
  <c r="AI314" i="53"/>
  <c r="AJ314" i="53"/>
  <c r="AK314" i="53"/>
  <c r="AL314" i="53"/>
  <c r="AM314" i="53"/>
  <c r="AN314" i="53"/>
  <c r="AO314" i="53"/>
  <c r="AP314" i="53"/>
  <c r="AQ314" i="53"/>
  <c r="AR314" i="53"/>
  <c r="AS314" i="53"/>
  <c r="AT314" i="53"/>
  <c r="AU314" i="53"/>
  <c r="AV314" i="53"/>
  <c r="AW314" i="53"/>
  <c r="AX314" i="53"/>
  <c r="AY314" i="53"/>
  <c r="AZ314" i="53"/>
  <c r="BA314" i="53"/>
  <c r="AD315" i="53"/>
  <c r="AE315" i="53"/>
  <c r="AF315" i="53"/>
  <c r="AG315" i="53"/>
  <c r="AH315" i="53"/>
  <c r="AI315" i="53"/>
  <c r="AJ315" i="53"/>
  <c r="AK315" i="53"/>
  <c r="AL315" i="53"/>
  <c r="AM315" i="53"/>
  <c r="AN315" i="53"/>
  <c r="AO315" i="53"/>
  <c r="AP315" i="53"/>
  <c r="AQ315" i="53"/>
  <c r="AR315" i="53"/>
  <c r="AS315" i="53"/>
  <c r="AT315" i="53"/>
  <c r="AU315" i="53"/>
  <c r="AV315" i="53"/>
  <c r="AW315" i="53"/>
  <c r="AX315" i="53"/>
  <c r="AY315" i="53"/>
  <c r="AZ315" i="53"/>
  <c r="BA315" i="53"/>
  <c r="AD316" i="53"/>
  <c r="AE316" i="53"/>
  <c r="AF316" i="53"/>
  <c r="AG316" i="53"/>
  <c r="AH316" i="53"/>
  <c r="AI316" i="53"/>
  <c r="AJ316" i="53"/>
  <c r="AK316" i="53"/>
  <c r="AL316" i="53"/>
  <c r="AM316" i="53"/>
  <c r="AN316" i="53"/>
  <c r="AO316" i="53"/>
  <c r="AP316" i="53"/>
  <c r="AQ316" i="53"/>
  <c r="AR316" i="53"/>
  <c r="AS316" i="53"/>
  <c r="AT316" i="53"/>
  <c r="AU316" i="53"/>
  <c r="AV316" i="53"/>
  <c r="AW316" i="53"/>
  <c r="AX316" i="53"/>
  <c r="AY316" i="53"/>
  <c r="AZ316" i="53"/>
  <c r="BA316" i="53"/>
  <c r="AD317" i="53"/>
  <c r="AE317" i="53"/>
  <c r="AF317" i="53"/>
  <c r="AG317" i="53"/>
  <c r="AH317" i="53"/>
  <c r="AI317" i="53"/>
  <c r="AJ317" i="53"/>
  <c r="AK317" i="53"/>
  <c r="AL317" i="53"/>
  <c r="AM317" i="53"/>
  <c r="AN317" i="53"/>
  <c r="AO317" i="53"/>
  <c r="AP317" i="53"/>
  <c r="AQ317" i="53"/>
  <c r="AR317" i="53"/>
  <c r="AS317" i="53"/>
  <c r="AT317" i="53"/>
  <c r="AU317" i="53"/>
  <c r="AV317" i="53"/>
  <c r="AW317" i="53"/>
  <c r="AX317" i="53"/>
  <c r="AY317" i="53"/>
  <c r="AZ317" i="53"/>
  <c r="BA317" i="53"/>
  <c r="AD318" i="53"/>
  <c r="AE318" i="53"/>
  <c r="AF318" i="53"/>
  <c r="AG318" i="53"/>
  <c r="AH318" i="53"/>
  <c r="AI318" i="53"/>
  <c r="AJ318" i="53"/>
  <c r="AK318" i="53"/>
  <c r="AL318" i="53"/>
  <c r="AM318" i="53"/>
  <c r="AN318" i="53"/>
  <c r="AO318" i="53"/>
  <c r="AP318" i="53"/>
  <c r="AQ318" i="53"/>
  <c r="AR318" i="53"/>
  <c r="AS318" i="53"/>
  <c r="AT318" i="53"/>
  <c r="AU318" i="53"/>
  <c r="AV318" i="53"/>
  <c r="AW318" i="53"/>
  <c r="AX318" i="53"/>
  <c r="AY318" i="53"/>
  <c r="AZ318" i="53"/>
  <c r="BA318" i="53"/>
  <c r="AD319" i="53"/>
  <c r="AE319" i="53"/>
  <c r="AF319" i="53"/>
  <c r="AG319" i="53"/>
  <c r="AH319" i="53"/>
  <c r="AI319" i="53"/>
  <c r="AJ319" i="53"/>
  <c r="AK319" i="53"/>
  <c r="AL319" i="53"/>
  <c r="AM319" i="53"/>
  <c r="AN319" i="53"/>
  <c r="AO319" i="53"/>
  <c r="AP319" i="53"/>
  <c r="AQ319" i="53"/>
  <c r="AR319" i="53"/>
  <c r="AS319" i="53"/>
  <c r="AT319" i="53"/>
  <c r="AU319" i="53"/>
  <c r="AV319" i="53"/>
  <c r="AW319" i="53"/>
  <c r="AX319" i="53"/>
  <c r="AY319" i="53"/>
  <c r="AZ319" i="53"/>
  <c r="BA319" i="53"/>
  <c r="AD320" i="53"/>
  <c r="AE320" i="53"/>
  <c r="AF320" i="53"/>
  <c r="AG320" i="53"/>
  <c r="AH320" i="53"/>
  <c r="AI320" i="53"/>
  <c r="AJ320" i="53"/>
  <c r="AK320" i="53"/>
  <c r="AL320" i="53"/>
  <c r="AM320" i="53"/>
  <c r="AN320" i="53"/>
  <c r="AO320" i="53"/>
  <c r="AP320" i="53"/>
  <c r="AQ320" i="53"/>
  <c r="AR320" i="53"/>
  <c r="AS320" i="53"/>
  <c r="AT320" i="53"/>
  <c r="AU320" i="53"/>
  <c r="AV320" i="53"/>
  <c r="AW320" i="53"/>
  <c r="AX320" i="53"/>
  <c r="AY320" i="53"/>
  <c r="AZ320" i="53"/>
  <c r="BA320" i="53"/>
  <c r="AD321" i="53"/>
  <c r="AE321" i="53"/>
  <c r="AF321" i="53"/>
  <c r="AG321" i="53"/>
  <c r="AH321" i="53"/>
  <c r="AI321" i="53"/>
  <c r="AJ321" i="53"/>
  <c r="AK321" i="53"/>
  <c r="AL321" i="53"/>
  <c r="AM321" i="53"/>
  <c r="AN321" i="53"/>
  <c r="AO321" i="53"/>
  <c r="AP321" i="53"/>
  <c r="AQ321" i="53"/>
  <c r="AR321" i="53"/>
  <c r="AS321" i="53"/>
  <c r="AT321" i="53"/>
  <c r="AU321" i="53"/>
  <c r="AV321" i="53"/>
  <c r="AW321" i="53"/>
  <c r="AX321" i="53"/>
  <c r="AY321" i="53"/>
  <c r="AZ321" i="53"/>
  <c r="BA321" i="53"/>
  <c r="AD322" i="53"/>
  <c r="AE322" i="53"/>
  <c r="AF322" i="53"/>
  <c r="AG322" i="53"/>
  <c r="AH322" i="53"/>
  <c r="AI322" i="53"/>
  <c r="AJ322" i="53"/>
  <c r="AK322" i="53"/>
  <c r="AL322" i="53"/>
  <c r="AM322" i="53"/>
  <c r="AN322" i="53"/>
  <c r="AO322" i="53"/>
  <c r="AP322" i="53"/>
  <c r="AQ322" i="53"/>
  <c r="AR322" i="53"/>
  <c r="AS322" i="53"/>
  <c r="AT322" i="53"/>
  <c r="AU322" i="53"/>
  <c r="AV322" i="53"/>
  <c r="AW322" i="53"/>
  <c r="AX322" i="53"/>
  <c r="AY322" i="53"/>
  <c r="AZ322" i="53"/>
  <c r="BA322" i="53"/>
  <c r="AD323" i="53"/>
  <c r="AE323" i="53"/>
  <c r="AF323" i="53"/>
  <c r="AG323" i="53"/>
  <c r="AH323" i="53"/>
  <c r="AI323" i="53"/>
  <c r="AJ323" i="53"/>
  <c r="AK323" i="53"/>
  <c r="AL323" i="53"/>
  <c r="AM323" i="53"/>
  <c r="AN323" i="53"/>
  <c r="AO323" i="53"/>
  <c r="AP323" i="53"/>
  <c r="AQ323" i="53"/>
  <c r="AR323" i="53"/>
  <c r="AS323" i="53"/>
  <c r="AT323" i="53"/>
  <c r="AU323" i="53"/>
  <c r="AV323" i="53"/>
  <c r="AW323" i="53"/>
  <c r="AX323" i="53"/>
  <c r="AY323" i="53"/>
  <c r="AZ323" i="53"/>
  <c r="BA323" i="53"/>
  <c r="AD324" i="53"/>
  <c r="AE324" i="53"/>
  <c r="AF324" i="53"/>
  <c r="AG324" i="53"/>
  <c r="AH324" i="53"/>
  <c r="AI324" i="53"/>
  <c r="AJ324" i="53"/>
  <c r="AK324" i="53"/>
  <c r="AL324" i="53"/>
  <c r="AM324" i="53"/>
  <c r="AN324" i="53"/>
  <c r="AO324" i="53"/>
  <c r="AP324" i="53"/>
  <c r="AQ324" i="53"/>
  <c r="AR324" i="53"/>
  <c r="AS324" i="53"/>
  <c r="AT324" i="53"/>
  <c r="AU324" i="53"/>
  <c r="AV324" i="53"/>
  <c r="AW324" i="53"/>
  <c r="AX324" i="53"/>
  <c r="AY324" i="53"/>
  <c r="AZ324" i="53"/>
  <c r="BA324" i="53"/>
  <c r="AD325" i="53"/>
  <c r="AE325" i="53"/>
  <c r="AF325" i="53"/>
  <c r="AG325" i="53"/>
  <c r="AH325" i="53"/>
  <c r="AI325" i="53"/>
  <c r="AJ325" i="53"/>
  <c r="AK325" i="53"/>
  <c r="AL325" i="53"/>
  <c r="AM325" i="53"/>
  <c r="AN325" i="53"/>
  <c r="AO325" i="53"/>
  <c r="AP325" i="53"/>
  <c r="AQ325" i="53"/>
  <c r="AR325" i="53"/>
  <c r="AS325" i="53"/>
  <c r="AT325" i="53"/>
  <c r="AU325" i="53"/>
  <c r="AV325" i="53"/>
  <c r="AW325" i="53"/>
  <c r="AX325" i="53"/>
  <c r="AY325" i="53"/>
  <c r="AZ325" i="53"/>
  <c r="BA325" i="53"/>
  <c r="AD326" i="53"/>
  <c r="AE326" i="53"/>
  <c r="AF326" i="53"/>
  <c r="AG326" i="53"/>
  <c r="AH326" i="53"/>
  <c r="AI326" i="53"/>
  <c r="AJ326" i="53"/>
  <c r="AK326" i="53"/>
  <c r="AL326" i="53"/>
  <c r="AM326" i="53"/>
  <c r="AN326" i="53"/>
  <c r="AO326" i="53"/>
  <c r="AP326" i="53"/>
  <c r="AQ326" i="53"/>
  <c r="AR326" i="53"/>
  <c r="AS326" i="53"/>
  <c r="AT326" i="53"/>
  <c r="AU326" i="53"/>
  <c r="AV326" i="53"/>
  <c r="AW326" i="53"/>
  <c r="AX326" i="53"/>
  <c r="AY326" i="53"/>
  <c r="AZ326" i="53"/>
  <c r="BA326" i="53"/>
  <c r="AD327" i="53"/>
  <c r="AE327" i="53"/>
  <c r="AF327" i="53"/>
  <c r="AG327" i="53"/>
  <c r="AH327" i="53"/>
  <c r="AI327" i="53"/>
  <c r="AJ327" i="53"/>
  <c r="AK327" i="53"/>
  <c r="AL327" i="53"/>
  <c r="AM327" i="53"/>
  <c r="AN327" i="53"/>
  <c r="AO327" i="53"/>
  <c r="AP327" i="53"/>
  <c r="AQ327" i="53"/>
  <c r="AR327" i="53"/>
  <c r="AS327" i="53"/>
  <c r="AT327" i="53"/>
  <c r="AU327" i="53"/>
  <c r="AV327" i="53"/>
  <c r="AW327" i="53"/>
  <c r="AX327" i="53"/>
  <c r="AY327" i="53"/>
  <c r="AZ327" i="53"/>
  <c r="BA327" i="53"/>
  <c r="AD328" i="53"/>
  <c r="AE328" i="53"/>
  <c r="AF328" i="53"/>
  <c r="AG328" i="53"/>
  <c r="AH328" i="53"/>
  <c r="AI328" i="53"/>
  <c r="AJ328" i="53"/>
  <c r="AK328" i="53"/>
  <c r="AL328" i="53"/>
  <c r="AM328" i="53"/>
  <c r="AN328" i="53"/>
  <c r="AO328" i="53"/>
  <c r="AP328" i="53"/>
  <c r="AQ328" i="53"/>
  <c r="AR328" i="53"/>
  <c r="AS328" i="53"/>
  <c r="AT328" i="53"/>
  <c r="AU328" i="53"/>
  <c r="AV328" i="53"/>
  <c r="AW328" i="53"/>
  <c r="AX328" i="53"/>
  <c r="AY328" i="53"/>
  <c r="AZ328" i="53"/>
  <c r="BA328" i="53"/>
  <c r="AD329" i="53"/>
  <c r="AE329" i="53"/>
  <c r="AF329" i="53"/>
  <c r="AG329" i="53"/>
  <c r="AH329" i="53"/>
  <c r="AI329" i="53"/>
  <c r="AJ329" i="53"/>
  <c r="AK329" i="53"/>
  <c r="AL329" i="53"/>
  <c r="AM329" i="53"/>
  <c r="AN329" i="53"/>
  <c r="AO329" i="53"/>
  <c r="AP329" i="53"/>
  <c r="AQ329" i="53"/>
  <c r="AR329" i="53"/>
  <c r="AS329" i="53"/>
  <c r="AT329" i="53"/>
  <c r="AU329" i="53"/>
  <c r="AV329" i="53"/>
  <c r="AW329" i="53"/>
  <c r="AX329" i="53"/>
  <c r="AY329" i="53"/>
  <c r="AZ329" i="53"/>
  <c r="BA329" i="53"/>
  <c r="AD330" i="53"/>
  <c r="AE330" i="53"/>
  <c r="AF330" i="53"/>
  <c r="AG330" i="53"/>
  <c r="AH330" i="53"/>
  <c r="AI330" i="53"/>
  <c r="AJ330" i="53"/>
  <c r="AK330" i="53"/>
  <c r="AL330" i="53"/>
  <c r="AM330" i="53"/>
  <c r="AN330" i="53"/>
  <c r="AO330" i="53"/>
  <c r="AP330" i="53"/>
  <c r="AQ330" i="53"/>
  <c r="AR330" i="53"/>
  <c r="AS330" i="53"/>
  <c r="AT330" i="53"/>
  <c r="AU330" i="53"/>
  <c r="AV330" i="53"/>
  <c r="AW330" i="53"/>
  <c r="AX330" i="53"/>
  <c r="AY330" i="53"/>
  <c r="AZ330" i="53"/>
  <c r="BA330" i="53"/>
  <c r="AD331" i="53"/>
  <c r="AE331" i="53"/>
  <c r="AF331" i="53"/>
  <c r="AG331" i="53"/>
  <c r="AH331" i="53"/>
  <c r="AI331" i="53"/>
  <c r="AJ331" i="53"/>
  <c r="AK331" i="53"/>
  <c r="AL331" i="53"/>
  <c r="AM331" i="53"/>
  <c r="AN331" i="53"/>
  <c r="AO331" i="53"/>
  <c r="AP331" i="53"/>
  <c r="AQ331" i="53"/>
  <c r="AR331" i="53"/>
  <c r="AS331" i="53"/>
  <c r="AT331" i="53"/>
  <c r="AU331" i="53"/>
  <c r="AV331" i="53"/>
  <c r="AW331" i="53"/>
  <c r="AX331" i="53"/>
  <c r="AY331" i="53"/>
  <c r="AZ331" i="53"/>
  <c r="BA331" i="53"/>
  <c r="AD332" i="53"/>
  <c r="AE332" i="53"/>
  <c r="AF332" i="53"/>
  <c r="AG332" i="53"/>
  <c r="AH332" i="53"/>
  <c r="AI332" i="53"/>
  <c r="AJ332" i="53"/>
  <c r="AK332" i="53"/>
  <c r="AL332" i="53"/>
  <c r="AM332" i="53"/>
  <c r="AN332" i="53"/>
  <c r="AO332" i="53"/>
  <c r="AP332" i="53"/>
  <c r="AQ332" i="53"/>
  <c r="AR332" i="53"/>
  <c r="AS332" i="53"/>
  <c r="AT332" i="53"/>
  <c r="AU332" i="53"/>
  <c r="AV332" i="53"/>
  <c r="AW332" i="53"/>
  <c r="AX332" i="53"/>
  <c r="AY332" i="53"/>
  <c r="AZ332" i="53"/>
  <c r="BA332" i="53"/>
  <c r="AD333" i="53"/>
  <c r="AE333" i="53"/>
  <c r="AF333" i="53"/>
  <c r="AG333" i="53"/>
  <c r="AH333" i="53"/>
  <c r="AI333" i="53"/>
  <c r="AJ333" i="53"/>
  <c r="AK333" i="53"/>
  <c r="AL333" i="53"/>
  <c r="AM333" i="53"/>
  <c r="AN333" i="53"/>
  <c r="AO333" i="53"/>
  <c r="AP333" i="53"/>
  <c r="AQ333" i="53"/>
  <c r="AR333" i="53"/>
  <c r="AS333" i="53"/>
  <c r="AT333" i="53"/>
  <c r="AU333" i="53"/>
  <c r="AV333" i="53"/>
  <c r="AW333" i="53"/>
  <c r="AX333" i="53"/>
  <c r="AY333" i="53"/>
  <c r="AZ333" i="53"/>
  <c r="BA333" i="53"/>
  <c r="AE334" i="53"/>
  <c r="AF334" i="53"/>
  <c r="AG334" i="53"/>
  <c r="AH334" i="53"/>
  <c r="AI334" i="53"/>
  <c r="AJ334" i="53"/>
  <c r="AK334" i="53"/>
  <c r="AL334" i="53"/>
  <c r="AM334" i="53"/>
  <c r="AN334" i="53"/>
  <c r="AO334" i="53"/>
  <c r="AP334" i="53"/>
  <c r="AQ334" i="53"/>
  <c r="AR334" i="53"/>
  <c r="AS334" i="53"/>
  <c r="AT334" i="53"/>
  <c r="AU334" i="53"/>
  <c r="AV334" i="53"/>
  <c r="AW334" i="53"/>
  <c r="AX334" i="53"/>
  <c r="AY334" i="53"/>
  <c r="AZ334" i="53"/>
  <c r="BA334" i="53"/>
  <c r="AE335" i="53"/>
  <c r="AF335" i="53"/>
  <c r="AG335" i="53"/>
  <c r="AH335" i="53"/>
  <c r="AI335" i="53"/>
  <c r="AJ335" i="53"/>
  <c r="AK335" i="53"/>
  <c r="AL335" i="53"/>
  <c r="AM335" i="53"/>
  <c r="AN335" i="53"/>
  <c r="AO335" i="53"/>
  <c r="AP335" i="53"/>
  <c r="AQ335" i="53"/>
  <c r="AR335" i="53"/>
  <c r="AS335" i="53"/>
  <c r="AT335" i="53"/>
  <c r="AU335" i="53"/>
  <c r="AV335" i="53"/>
  <c r="AW335" i="53"/>
  <c r="AX335" i="53"/>
  <c r="AY335" i="53"/>
  <c r="AZ335" i="53"/>
  <c r="BA335" i="53"/>
  <c r="AE336" i="53"/>
  <c r="AF336" i="53"/>
  <c r="AG336" i="53"/>
  <c r="AH336" i="53"/>
  <c r="AI336" i="53"/>
  <c r="AJ336" i="53"/>
  <c r="AK336" i="53"/>
  <c r="AL336" i="53"/>
  <c r="AM336" i="53"/>
  <c r="AN336" i="53"/>
  <c r="AO336" i="53"/>
  <c r="AP336" i="53"/>
  <c r="AQ336" i="53"/>
  <c r="AR336" i="53"/>
  <c r="AS336" i="53"/>
  <c r="AT336" i="53"/>
  <c r="AU336" i="53"/>
  <c r="AV336" i="53"/>
  <c r="AW336" i="53"/>
  <c r="AX336" i="53"/>
  <c r="AY336" i="53"/>
  <c r="AZ336" i="53"/>
  <c r="BA336" i="53"/>
  <c r="AE337" i="53"/>
  <c r="AF337" i="53"/>
  <c r="AG337" i="53"/>
  <c r="AH337" i="53"/>
  <c r="AI337" i="53"/>
  <c r="AJ337" i="53"/>
  <c r="AK337" i="53"/>
  <c r="AL337" i="53"/>
  <c r="AM337" i="53"/>
  <c r="AN337" i="53"/>
  <c r="AO337" i="53"/>
  <c r="AP337" i="53"/>
  <c r="AQ337" i="53"/>
  <c r="AR337" i="53"/>
  <c r="AS337" i="53"/>
  <c r="AT337" i="53"/>
  <c r="AU337" i="53"/>
  <c r="AV337" i="53"/>
  <c r="AW337" i="53"/>
  <c r="AX337" i="53"/>
  <c r="AY337" i="53"/>
  <c r="AZ337" i="53"/>
  <c r="BA337" i="53"/>
  <c r="AE338" i="53"/>
  <c r="AF338" i="53"/>
  <c r="AG338" i="53"/>
  <c r="AH338" i="53"/>
  <c r="AI338" i="53"/>
  <c r="AJ338" i="53"/>
  <c r="AK338" i="53"/>
  <c r="AL338" i="53"/>
  <c r="AM338" i="53"/>
  <c r="AN338" i="53"/>
  <c r="AO338" i="53"/>
  <c r="AP338" i="53"/>
  <c r="AQ338" i="53"/>
  <c r="AR338" i="53"/>
  <c r="AS338" i="53"/>
  <c r="AT338" i="53"/>
  <c r="AU338" i="53"/>
  <c r="AV338" i="53"/>
  <c r="AW338" i="53"/>
  <c r="AX338" i="53"/>
  <c r="AY338" i="53"/>
  <c r="AZ338" i="53"/>
  <c r="BA338" i="53"/>
  <c r="AE339" i="53"/>
  <c r="AF339" i="53"/>
  <c r="AG339" i="53"/>
  <c r="AH339" i="53"/>
  <c r="AI339" i="53"/>
  <c r="AJ339" i="53"/>
  <c r="AK339" i="53"/>
  <c r="AL339" i="53"/>
  <c r="AM339" i="53"/>
  <c r="AN339" i="53"/>
  <c r="AO339" i="53"/>
  <c r="AP339" i="53"/>
  <c r="AQ339" i="53"/>
  <c r="AR339" i="53"/>
  <c r="AS339" i="53"/>
  <c r="AT339" i="53"/>
  <c r="AU339" i="53"/>
  <c r="AV339" i="53"/>
  <c r="AW339" i="53"/>
  <c r="AX339" i="53"/>
  <c r="AY339" i="53"/>
  <c r="AZ339" i="53"/>
  <c r="BA339" i="53"/>
  <c r="AE340" i="53"/>
  <c r="AF340" i="53"/>
  <c r="AG340" i="53"/>
  <c r="AH340" i="53"/>
  <c r="AI340" i="53"/>
  <c r="AJ340" i="53"/>
  <c r="AK340" i="53"/>
  <c r="AL340" i="53"/>
  <c r="AM340" i="53"/>
  <c r="AN340" i="53"/>
  <c r="AO340" i="53"/>
  <c r="AP340" i="53"/>
  <c r="AQ340" i="53"/>
  <c r="AR340" i="53"/>
  <c r="AS340" i="53"/>
  <c r="AT340" i="53"/>
  <c r="AU340" i="53"/>
  <c r="AV340" i="53"/>
  <c r="AW340" i="53"/>
  <c r="AX340" i="53"/>
  <c r="AY340" i="53"/>
  <c r="AZ340" i="53"/>
  <c r="BA340" i="53"/>
  <c r="AE341" i="53"/>
  <c r="AF341" i="53"/>
  <c r="AG341" i="53"/>
  <c r="AH341" i="53"/>
  <c r="AI341" i="53"/>
  <c r="AJ341" i="53"/>
  <c r="AK341" i="53"/>
  <c r="AL341" i="53"/>
  <c r="AM341" i="53"/>
  <c r="AN341" i="53"/>
  <c r="AO341" i="53"/>
  <c r="AP341" i="53"/>
  <c r="AQ341" i="53"/>
  <c r="AR341" i="53"/>
  <c r="AS341" i="53"/>
  <c r="AT341" i="53"/>
  <c r="AU341" i="53"/>
  <c r="AV341" i="53"/>
  <c r="AW341" i="53"/>
  <c r="AX341" i="53"/>
  <c r="AY341" i="53"/>
  <c r="AZ341" i="53"/>
  <c r="BA341" i="53"/>
  <c r="AE342" i="53"/>
  <c r="AF342" i="53"/>
  <c r="AG342" i="53"/>
  <c r="AH342" i="53"/>
  <c r="AI342" i="53"/>
  <c r="AJ342" i="53"/>
  <c r="AK342" i="53"/>
  <c r="AL342" i="53"/>
  <c r="AM342" i="53"/>
  <c r="AN342" i="53"/>
  <c r="AO342" i="53"/>
  <c r="AP342" i="53"/>
  <c r="AQ342" i="53"/>
  <c r="AR342" i="53"/>
  <c r="AS342" i="53"/>
  <c r="AT342" i="53"/>
  <c r="AU342" i="53"/>
  <c r="AV342" i="53"/>
  <c r="AW342" i="53"/>
  <c r="AX342" i="53"/>
  <c r="AY342" i="53"/>
  <c r="AZ342" i="53"/>
  <c r="BA342" i="53"/>
  <c r="AE343" i="53"/>
  <c r="AF343" i="53"/>
  <c r="AG343" i="53"/>
  <c r="AH343" i="53"/>
  <c r="AI343" i="53"/>
  <c r="AJ343" i="53"/>
  <c r="AK343" i="53"/>
  <c r="AL343" i="53"/>
  <c r="AM343" i="53"/>
  <c r="AN343" i="53"/>
  <c r="AO343" i="53"/>
  <c r="AP343" i="53"/>
  <c r="AQ343" i="53"/>
  <c r="AR343" i="53"/>
  <c r="AS343" i="53"/>
  <c r="AT343" i="53"/>
  <c r="AU343" i="53"/>
  <c r="AV343" i="53"/>
  <c r="AW343" i="53"/>
  <c r="AX343" i="53"/>
  <c r="AY343" i="53"/>
  <c r="AZ343" i="53"/>
  <c r="BA343" i="53"/>
  <c r="AE344" i="53"/>
  <c r="AF344" i="53"/>
  <c r="AG344" i="53"/>
  <c r="AH344" i="53"/>
  <c r="AI344" i="53"/>
  <c r="AJ344" i="53"/>
  <c r="AK344" i="53"/>
  <c r="AL344" i="53"/>
  <c r="AM344" i="53"/>
  <c r="AN344" i="53"/>
  <c r="AO344" i="53"/>
  <c r="AP344" i="53"/>
  <c r="AQ344" i="53"/>
  <c r="AR344" i="53"/>
  <c r="AS344" i="53"/>
  <c r="AT344" i="53"/>
  <c r="AU344" i="53"/>
  <c r="AV344" i="53"/>
  <c r="AW344" i="53"/>
  <c r="AX344" i="53"/>
  <c r="AY344" i="53"/>
  <c r="AZ344" i="53"/>
  <c r="BA344" i="53"/>
  <c r="AE345" i="53"/>
  <c r="AF345" i="53"/>
  <c r="AG345" i="53"/>
  <c r="AH345" i="53"/>
  <c r="AI345" i="53"/>
  <c r="AJ345" i="53"/>
  <c r="AK345" i="53"/>
  <c r="AL345" i="53"/>
  <c r="AM345" i="53"/>
  <c r="AN345" i="53"/>
  <c r="AO345" i="53"/>
  <c r="AP345" i="53"/>
  <c r="AQ345" i="53"/>
  <c r="AR345" i="53"/>
  <c r="AS345" i="53"/>
  <c r="AT345" i="53"/>
  <c r="AU345" i="53"/>
  <c r="AV345" i="53"/>
  <c r="AW345" i="53"/>
  <c r="AX345" i="53"/>
  <c r="AY345" i="53"/>
  <c r="AZ345" i="53"/>
  <c r="BA345" i="53"/>
  <c r="AE346" i="53"/>
  <c r="AF346" i="53"/>
  <c r="AG346" i="53"/>
  <c r="AH346" i="53"/>
  <c r="AI346" i="53"/>
  <c r="AJ346" i="53"/>
  <c r="AK346" i="53"/>
  <c r="AL346" i="53"/>
  <c r="AM346" i="53"/>
  <c r="AN346" i="53"/>
  <c r="AO346" i="53"/>
  <c r="AP346" i="53"/>
  <c r="AQ346" i="53"/>
  <c r="AR346" i="53"/>
  <c r="AS346" i="53"/>
  <c r="AT346" i="53"/>
  <c r="AU346" i="53"/>
  <c r="AV346" i="53"/>
  <c r="AW346" i="53"/>
  <c r="AX346" i="53"/>
  <c r="AY346" i="53"/>
  <c r="AZ346" i="53"/>
  <c r="BA346" i="53"/>
  <c r="AE347" i="53"/>
  <c r="AF347" i="53"/>
  <c r="AG347" i="53"/>
  <c r="AH347" i="53"/>
  <c r="AI347" i="53"/>
  <c r="AJ347" i="53"/>
  <c r="AK347" i="53"/>
  <c r="AL347" i="53"/>
  <c r="AM347" i="53"/>
  <c r="AN347" i="53"/>
  <c r="AO347" i="53"/>
  <c r="AP347" i="53"/>
  <c r="AQ347" i="53"/>
  <c r="AR347" i="53"/>
  <c r="AS347" i="53"/>
  <c r="AT347" i="53"/>
  <c r="AU347" i="53"/>
  <c r="AV347" i="53"/>
  <c r="AW347" i="53"/>
  <c r="AX347" i="53"/>
  <c r="AY347" i="53"/>
  <c r="AZ347" i="53"/>
  <c r="BA347" i="53"/>
  <c r="AE348" i="53"/>
  <c r="AF348" i="53"/>
  <c r="AG348" i="53"/>
  <c r="AH348" i="53"/>
  <c r="AI348" i="53"/>
  <c r="AJ348" i="53"/>
  <c r="AK348" i="53"/>
  <c r="AL348" i="53"/>
  <c r="AM348" i="53"/>
  <c r="AN348" i="53"/>
  <c r="AO348" i="53"/>
  <c r="AP348" i="53"/>
  <c r="AQ348" i="53"/>
  <c r="AR348" i="53"/>
  <c r="AS348" i="53"/>
  <c r="AT348" i="53"/>
  <c r="AU348" i="53"/>
  <c r="AV348" i="53"/>
  <c r="AW348" i="53"/>
  <c r="AX348" i="53"/>
  <c r="AY348" i="53"/>
  <c r="AZ348" i="53"/>
  <c r="BA348" i="53"/>
  <c r="AE349" i="53"/>
  <c r="AF349" i="53"/>
  <c r="AG349" i="53"/>
  <c r="AH349" i="53"/>
  <c r="AI349" i="53"/>
  <c r="AJ349" i="53"/>
  <c r="AK349" i="53"/>
  <c r="AL349" i="53"/>
  <c r="AM349" i="53"/>
  <c r="AN349" i="53"/>
  <c r="AO349" i="53"/>
  <c r="AP349" i="53"/>
  <c r="AQ349" i="53"/>
  <c r="AR349" i="53"/>
  <c r="AS349" i="53"/>
  <c r="AT349" i="53"/>
  <c r="AU349" i="53"/>
  <c r="AV349" i="53"/>
  <c r="AW349" i="53"/>
  <c r="AX349" i="53"/>
  <c r="AY349" i="53"/>
  <c r="AZ349" i="53"/>
  <c r="BA349" i="53"/>
  <c r="AE350" i="53"/>
  <c r="AF350" i="53"/>
  <c r="AG350" i="53"/>
  <c r="AH350" i="53"/>
  <c r="AI350" i="53"/>
  <c r="AJ350" i="53"/>
  <c r="AK350" i="53"/>
  <c r="AL350" i="53"/>
  <c r="AM350" i="53"/>
  <c r="AN350" i="53"/>
  <c r="AO350" i="53"/>
  <c r="AP350" i="53"/>
  <c r="AQ350" i="53"/>
  <c r="AR350" i="53"/>
  <c r="AS350" i="53"/>
  <c r="AT350" i="53"/>
  <c r="AU350" i="53"/>
  <c r="AV350" i="53"/>
  <c r="AW350" i="53"/>
  <c r="AX350" i="53"/>
  <c r="AY350" i="53"/>
  <c r="AZ350" i="53"/>
  <c r="BA350" i="53"/>
  <c r="AE351" i="53"/>
  <c r="AF351" i="53"/>
  <c r="AG351" i="53"/>
  <c r="AH351" i="53"/>
  <c r="AI351" i="53"/>
  <c r="AJ351" i="53"/>
  <c r="AK351" i="53"/>
  <c r="AL351" i="53"/>
  <c r="AM351" i="53"/>
  <c r="AN351" i="53"/>
  <c r="AO351" i="53"/>
  <c r="AP351" i="53"/>
  <c r="AQ351" i="53"/>
  <c r="AR351" i="53"/>
  <c r="AS351" i="53"/>
  <c r="AT351" i="53"/>
  <c r="AU351" i="53"/>
  <c r="AV351" i="53"/>
  <c r="AW351" i="53"/>
  <c r="AX351" i="53"/>
  <c r="AY351" i="53"/>
  <c r="AZ351" i="53"/>
  <c r="BA351" i="53"/>
  <c r="AE352" i="53"/>
  <c r="AF352" i="53"/>
  <c r="AG352" i="53"/>
  <c r="AH352" i="53"/>
  <c r="AI352" i="53"/>
  <c r="AJ352" i="53"/>
  <c r="AK352" i="53"/>
  <c r="AL352" i="53"/>
  <c r="AM352" i="53"/>
  <c r="AN352" i="53"/>
  <c r="AO352" i="53"/>
  <c r="AP352" i="53"/>
  <c r="AQ352" i="53"/>
  <c r="AR352" i="53"/>
  <c r="AS352" i="53"/>
  <c r="AT352" i="53"/>
  <c r="AU352" i="53"/>
  <c r="AV352" i="53"/>
  <c r="AW352" i="53"/>
  <c r="AX352" i="53"/>
  <c r="AY352" i="53"/>
  <c r="AZ352" i="53"/>
  <c r="BA352" i="53"/>
  <c r="AE353" i="53"/>
  <c r="AF353" i="53"/>
  <c r="AG353" i="53"/>
  <c r="AH353" i="53"/>
  <c r="AI353" i="53"/>
  <c r="AJ353" i="53"/>
  <c r="AK353" i="53"/>
  <c r="AL353" i="53"/>
  <c r="AM353" i="53"/>
  <c r="AN353" i="53"/>
  <c r="AO353" i="53"/>
  <c r="AP353" i="53"/>
  <c r="AQ353" i="53"/>
  <c r="AR353" i="53"/>
  <c r="AS353" i="53"/>
  <c r="AT353" i="53"/>
  <c r="AU353" i="53"/>
  <c r="AV353" i="53"/>
  <c r="AW353" i="53"/>
  <c r="AX353" i="53"/>
  <c r="AY353" i="53"/>
  <c r="AZ353" i="53"/>
  <c r="BA353" i="53"/>
  <c r="AE354" i="53"/>
  <c r="AF354" i="53"/>
  <c r="AG354" i="53"/>
  <c r="AH354" i="53"/>
  <c r="AI354" i="53"/>
  <c r="AJ354" i="53"/>
  <c r="AK354" i="53"/>
  <c r="AL354" i="53"/>
  <c r="AM354" i="53"/>
  <c r="AN354" i="53"/>
  <c r="AO354" i="53"/>
  <c r="AP354" i="53"/>
  <c r="AQ354" i="53"/>
  <c r="AR354" i="53"/>
  <c r="AS354" i="53"/>
  <c r="AT354" i="53"/>
  <c r="AU354" i="53"/>
  <c r="AV354" i="53"/>
  <c r="AW354" i="53"/>
  <c r="AX354" i="53"/>
  <c r="AY354" i="53"/>
  <c r="AZ354" i="53"/>
  <c r="BA354" i="53"/>
  <c r="AE355" i="53"/>
  <c r="AF355" i="53"/>
  <c r="AG355" i="53"/>
  <c r="AH355" i="53"/>
  <c r="AI355" i="53"/>
  <c r="AJ355" i="53"/>
  <c r="AK355" i="53"/>
  <c r="AL355" i="53"/>
  <c r="AM355" i="53"/>
  <c r="AN355" i="53"/>
  <c r="AO355" i="53"/>
  <c r="AP355" i="53"/>
  <c r="AQ355" i="53"/>
  <c r="AR355" i="53"/>
  <c r="AS355" i="53"/>
  <c r="AT355" i="53"/>
  <c r="AU355" i="53"/>
  <c r="AV355" i="53"/>
  <c r="AW355" i="53"/>
  <c r="AX355" i="53"/>
  <c r="AY355" i="53"/>
  <c r="AZ355" i="53"/>
  <c r="BA355" i="53"/>
  <c r="AE356" i="53"/>
  <c r="AF356" i="53"/>
  <c r="AG356" i="53"/>
  <c r="AH356" i="53"/>
  <c r="AI356" i="53"/>
  <c r="AJ356" i="53"/>
  <c r="AK356" i="53"/>
  <c r="AL356" i="53"/>
  <c r="AM356" i="53"/>
  <c r="AN356" i="53"/>
  <c r="AO356" i="53"/>
  <c r="AP356" i="53"/>
  <c r="AQ356" i="53"/>
  <c r="AR356" i="53"/>
  <c r="AS356" i="53"/>
  <c r="AT356" i="53"/>
  <c r="AU356" i="53"/>
  <c r="AV356" i="53"/>
  <c r="AW356" i="53"/>
  <c r="AX356" i="53"/>
  <c r="AY356" i="53"/>
  <c r="AZ356" i="53"/>
  <c r="BA356" i="53"/>
  <c r="AE357" i="53"/>
  <c r="AF357" i="53"/>
  <c r="AG357" i="53"/>
  <c r="AH357" i="53"/>
  <c r="AI357" i="53"/>
  <c r="AJ357" i="53"/>
  <c r="AK357" i="53"/>
  <c r="AL357" i="53"/>
  <c r="AM357" i="53"/>
  <c r="AN357" i="53"/>
  <c r="AO357" i="53"/>
  <c r="AP357" i="53"/>
  <c r="AQ357" i="53"/>
  <c r="AR357" i="53"/>
  <c r="AS357" i="53"/>
  <c r="AT357" i="53"/>
  <c r="AU357" i="53"/>
  <c r="AV357" i="53"/>
  <c r="AW357" i="53"/>
  <c r="AX357" i="53"/>
  <c r="AY357" i="53"/>
  <c r="AZ357" i="53"/>
  <c r="BA357" i="53"/>
  <c r="AE358" i="53"/>
  <c r="AF358" i="53"/>
  <c r="AG358" i="53"/>
  <c r="AH358" i="53"/>
  <c r="AI358" i="53"/>
  <c r="AJ358" i="53"/>
  <c r="AK358" i="53"/>
  <c r="AL358" i="53"/>
  <c r="AM358" i="53"/>
  <c r="AN358" i="53"/>
  <c r="AO358" i="53"/>
  <c r="AP358" i="53"/>
  <c r="AQ358" i="53"/>
  <c r="AR358" i="53"/>
  <c r="AS358" i="53"/>
  <c r="AT358" i="53"/>
  <c r="AU358" i="53"/>
  <c r="AV358" i="53"/>
  <c r="AW358" i="53"/>
  <c r="AX358" i="53"/>
  <c r="AY358" i="53"/>
  <c r="AZ358" i="53"/>
  <c r="BA358" i="53"/>
  <c r="AE359" i="53"/>
  <c r="AF359" i="53"/>
  <c r="AG359" i="53"/>
  <c r="AH359" i="53"/>
  <c r="AI359" i="53"/>
  <c r="AJ359" i="53"/>
  <c r="AK359" i="53"/>
  <c r="AL359" i="53"/>
  <c r="AM359" i="53"/>
  <c r="AN359" i="53"/>
  <c r="AO359" i="53"/>
  <c r="AP359" i="53"/>
  <c r="AQ359" i="53"/>
  <c r="AR359" i="53"/>
  <c r="AS359" i="53"/>
  <c r="AT359" i="53"/>
  <c r="AU359" i="53"/>
  <c r="AV359" i="53"/>
  <c r="AW359" i="53"/>
  <c r="AX359" i="53"/>
  <c r="AY359" i="53"/>
  <c r="AZ359" i="53"/>
  <c r="BA359" i="53"/>
  <c r="AE360" i="53"/>
  <c r="AF360" i="53"/>
  <c r="AG360" i="53"/>
  <c r="AH360" i="53"/>
  <c r="AI360" i="53"/>
  <c r="AJ360" i="53"/>
  <c r="AK360" i="53"/>
  <c r="AL360" i="53"/>
  <c r="AM360" i="53"/>
  <c r="AN360" i="53"/>
  <c r="AO360" i="53"/>
  <c r="AP360" i="53"/>
  <c r="AQ360" i="53"/>
  <c r="AR360" i="53"/>
  <c r="AS360" i="53"/>
  <c r="AT360" i="53"/>
  <c r="AU360" i="53"/>
  <c r="AV360" i="53"/>
  <c r="AW360" i="53"/>
  <c r="AX360" i="53"/>
  <c r="AY360" i="53"/>
  <c r="AZ360" i="53"/>
  <c r="BA360" i="53"/>
  <c r="AE361" i="53"/>
  <c r="AF361" i="53"/>
  <c r="AG361" i="53"/>
  <c r="AH361" i="53"/>
  <c r="AI361" i="53"/>
  <c r="AJ361" i="53"/>
  <c r="AK361" i="53"/>
  <c r="AL361" i="53"/>
  <c r="AM361" i="53"/>
  <c r="AN361" i="53"/>
  <c r="AO361" i="53"/>
  <c r="AP361" i="53"/>
  <c r="AQ361" i="53"/>
  <c r="AR361" i="53"/>
  <c r="AS361" i="53"/>
  <c r="AT361" i="53"/>
  <c r="AU361" i="53"/>
  <c r="AV361" i="53"/>
  <c r="AW361" i="53"/>
  <c r="AX361" i="53"/>
  <c r="AY361" i="53"/>
  <c r="AZ361" i="53"/>
  <c r="BA361" i="53"/>
  <c r="AE362" i="53"/>
  <c r="AF362" i="53"/>
  <c r="AG362" i="53"/>
  <c r="AH362" i="53"/>
  <c r="AI362" i="53"/>
  <c r="AJ362" i="53"/>
  <c r="AK362" i="53"/>
  <c r="AL362" i="53"/>
  <c r="AM362" i="53"/>
  <c r="AN362" i="53"/>
  <c r="AO362" i="53"/>
  <c r="AP362" i="53"/>
  <c r="AQ362" i="53"/>
  <c r="AR362" i="53"/>
  <c r="AS362" i="53"/>
  <c r="AT362" i="53"/>
  <c r="AU362" i="53"/>
  <c r="AV362" i="53"/>
  <c r="AW362" i="53"/>
  <c r="AX362" i="53"/>
  <c r="AY362" i="53"/>
  <c r="AZ362" i="53"/>
  <c r="BA362" i="53"/>
  <c r="AE363" i="53"/>
  <c r="AF363" i="53"/>
  <c r="AG363" i="53"/>
  <c r="AH363" i="53"/>
  <c r="AI363" i="53"/>
  <c r="AJ363" i="53"/>
  <c r="AK363" i="53"/>
  <c r="AL363" i="53"/>
  <c r="AM363" i="53"/>
  <c r="AN363" i="53"/>
  <c r="AO363" i="53"/>
  <c r="AP363" i="53"/>
  <c r="AQ363" i="53"/>
  <c r="AR363" i="53"/>
  <c r="AS363" i="53"/>
  <c r="AT363" i="53"/>
  <c r="AU363" i="53"/>
  <c r="AV363" i="53"/>
  <c r="AW363" i="53"/>
  <c r="AX363" i="53"/>
  <c r="AY363" i="53"/>
  <c r="AZ363" i="53"/>
  <c r="BA363" i="53"/>
  <c r="AE364" i="53"/>
  <c r="AF364" i="53"/>
  <c r="AG364" i="53"/>
  <c r="AH364" i="53"/>
  <c r="AI364" i="53"/>
  <c r="AJ364" i="53"/>
  <c r="AK364" i="53"/>
  <c r="AL364" i="53"/>
  <c r="AM364" i="53"/>
  <c r="AN364" i="53"/>
  <c r="AO364" i="53"/>
  <c r="AP364" i="53"/>
  <c r="AQ364" i="53"/>
  <c r="AR364" i="53"/>
  <c r="AS364" i="53"/>
  <c r="AT364" i="53"/>
  <c r="AU364" i="53"/>
  <c r="AV364" i="53"/>
  <c r="AW364" i="53"/>
  <c r="AX364" i="53"/>
  <c r="AY364" i="53"/>
  <c r="AZ364" i="53"/>
  <c r="BA364" i="53"/>
  <c r="AE365" i="53"/>
  <c r="AF365" i="53"/>
  <c r="AG365" i="53"/>
  <c r="AH365" i="53"/>
  <c r="AI365" i="53"/>
  <c r="AJ365" i="53"/>
  <c r="AK365" i="53"/>
  <c r="AL365" i="53"/>
  <c r="AM365" i="53"/>
  <c r="AN365" i="53"/>
  <c r="AO365" i="53"/>
  <c r="AP365" i="53"/>
  <c r="AQ365" i="53"/>
  <c r="AR365" i="53"/>
  <c r="AS365" i="53"/>
  <c r="AT365" i="53"/>
  <c r="AU365" i="53"/>
  <c r="AV365" i="53"/>
  <c r="AW365" i="53"/>
  <c r="AX365" i="53"/>
  <c r="AY365" i="53"/>
  <c r="AZ365" i="53"/>
  <c r="BA365" i="53"/>
  <c r="AE366" i="53"/>
  <c r="AF366" i="53"/>
  <c r="AG366" i="53"/>
  <c r="AH366" i="53"/>
  <c r="AI366" i="53"/>
  <c r="AJ366" i="53"/>
  <c r="AK366" i="53"/>
  <c r="AL366" i="53"/>
  <c r="AM366" i="53"/>
  <c r="AN366" i="53"/>
  <c r="AO366" i="53"/>
  <c r="AP366" i="53"/>
  <c r="AQ366" i="53"/>
  <c r="AR366" i="53"/>
  <c r="AS366" i="53"/>
  <c r="AT366" i="53"/>
  <c r="AU366" i="53"/>
  <c r="AV366" i="53"/>
  <c r="AW366" i="53"/>
  <c r="AX366" i="53"/>
  <c r="AY366" i="53"/>
  <c r="AZ366" i="53"/>
  <c r="BA366" i="53"/>
  <c r="AE367" i="53"/>
  <c r="AF367" i="53"/>
  <c r="AG367" i="53"/>
  <c r="AH367" i="53"/>
  <c r="AI367" i="53"/>
  <c r="AJ367" i="53"/>
  <c r="AK367" i="53"/>
  <c r="AL367" i="53"/>
  <c r="AM367" i="53"/>
  <c r="AN367" i="53"/>
  <c r="AO367" i="53"/>
  <c r="AP367" i="53"/>
  <c r="AQ367" i="53"/>
  <c r="AR367" i="53"/>
  <c r="AS367" i="53"/>
  <c r="AT367" i="53"/>
  <c r="AU367" i="53"/>
  <c r="AV367" i="53"/>
  <c r="AW367" i="53"/>
  <c r="AX367" i="53"/>
  <c r="AY367" i="53"/>
  <c r="AZ367" i="53"/>
  <c r="BA367" i="53"/>
  <c r="AE368" i="53"/>
  <c r="AF368" i="53"/>
  <c r="AG368" i="53"/>
  <c r="AH368" i="53"/>
  <c r="AI368" i="53"/>
  <c r="AJ368" i="53"/>
  <c r="AK368" i="53"/>
  <c r="AL368" i="53"/>
  <c r="AM368" i="53"/>
  <c r="AN368" i="53"/>
  <c r="AO368" i="53"/>
  <c r="AP368" i="53"/>
  <c r="AQ368" i="53"/>
  <c r="AR368" i="53"/>
  <c r="AS368" i="53"/>
  <c r="AT368" i="53"/>
  <c r="AU368" i="53"/>
  <c r="AV368" i="53"/>
  <c r="AW368" i="53"/>
  <c r="AX368" i="53"/>
  <c r="AY368" i="53"/>
  <c r="AZ368" i="53"/>
  <c r="BA368" i="53"/>
  <c r="AE369" i="53"/>
  <c r="AF369" i="53"/>
  <c r="AG369" i="53"/>
  <c r="AH369" i="53"/>
  <c r="AI369" i="53"/>
  <c r="AJ369" i="53"/>
  <c r="AK369" i="53"/>
  <c r="AL369" i="53"/>
  <c r="AM369" i="53"/>
  <c r="AN369" i="53"/>
  <c r="AO369" i="53"/>
  <c r="AP369" i="53"/>
  <c r="AQ369" i="53"/>
  <c r="AR369" i="53"/>
  <c r="AS369" i="53"/>
  <c r="AT369" i="53"/>
  <c r="AU369" i="53"/>
  <c r="AV369" i="53"/>
  <c r="AW369" i="53"/>
  <c r="AX369" i="53"/>
  <c r="AY369" i="53"/>
  <c r="AZ369" i="53"/>
  <c r="BA369" i="53"/>
  <c r="AE370" i="53"/>
  <c r="AF370" i="53"/>
  <c r="AG370" i="53"/>
  <c r="AH370" i="53"/>
  <c r="AI370" i="53"/>
  <c r="AJ370" i="53"/>
  <c r="AK370" i="53"/>
  <c r="AL370" i="53"/>
  <c r="AM370" i="53"/>
  <c r="AN370" i="53"/>
  <c r="AO370" i="53"/>
  <c r="AP370" i="53"/>
  <c r="AQ370" i="53"/>
  <c r="AR370" i="53"/>
  <c r="AS370" i="53"/>
  <c r="AT370" i="53"/>
  <c r="AU370" i="53"/>
  <c r="AV370" i="53"/>
  <c r="AW370" i="53"/>
  <c r="AX370" i="53"/>
  <c r="AY370" i="53"/>
  <c r="AZ370" i="53"/>
  <c r="BA370" i="53"/>
  <c r="AE371" i="53"/>
  <c r="AF371" i="53"/>
  <c r="AG371" i="53"/>
  <c r="AH371" i="53"/>
  <c r="AI371" i="53"/>
  <c r="AJ371" i="53"/>
  <c r="AK371" i="53"/>
  <c r="AL371" i="53"/>
  <c r="AM371" i="53"/>
  <c r="AN371" i="53"/>
  <c r="AO371" i="53"/>
  <c r="AP371" i="53"/>
  <c r="AQ371" i="53"/>
  <c r="AR371" i="53"/>
  <c r="AS371" i="53"/>
  <c r="AT371" i="53"/>
  <c r="AU371" i="53"/>
  <c r="AV371" i="53"/>
  <c r="AW371" i="53"/>
  <c r="AX371" i="53"/>
  <c r="AY371" i="53"/>
  <c r="AZ371" i="53"/>
  <c r="BA371" i="53"/>
  <c r="AE372" i="53"/>
  <c r="AF372" i="53"/>
  <c r="AG372" i="53"/>
  <c r="AH372" i="53"/>
  <c r="AI372" i="53"/>
  <c r="AJ372" i="53"/>
  <c r="AK372" i="53"/>
  <c r="AL372" i="53"/>
  <c r="AM372" i="53"/>
  <c r="AN372" i="53"/>
  <c r="AO372" i="53"/>
  <c r="AP372" i="53"/>
  <c r="AQ372" i="53"/>
  <c r="AR372" i="53"/>
  <c r="AS372" i="53"/>
  <c r="AT372" i="53"/>
  <c r="AU372" i="53"/>
  <c r="AV372" i="53"/>
  <c r="AW372" i="53"/>
  <c r="AX372" i="53"/>
  <c r="AY372" i="53"/>
  <c r="AZ372" i="53"/>
  <c r="BA372" i="53"/>
  <c r="AE373" i="53"/>
  <c r="AF373" i="53"/>
  <c r="AG373" i="53"/>
  <c r="AH373" i="53"/>
  <c r="AI373" i="53"/>
  <c r="AJ373" i="53"/>
  <c r="AK373" i="53"/>
  <c r="AL373" i="53"/>
  <c r="AM373" i="53"/>
  <c r="AN373" i="53"/>
  <c r="AO373" i="53"/>
  <c r="AP373" i="53"/>
  <c r="AQ373" i="53"/>
  <c r="AR373" i="53"/>
  <c r="AS373" i="53"/>
  <c r="AT373" i="53"/>
  <c r="AU373" i="53"/>
  <c r="AV373" i="53"/>
  <c r="AW373" i="53"/>
  <c r="AX373" i="53"/>
  <c r="AY373" i="53"/>
  <c r="AZ373" i="53"/>
  <c r="BA373" i="53"/>
  <c r="AE374" i="53"/>
  <c r="AF374" i="53"/>
  <c r="AG374" i="53"/>
  <c r="AH374" i="53"/>
  <c r="AI374" i="53"/>
  <c r="AJ374" i="53"/>
  <c r="AK374" i="53"/>
  <c r="AL374" i="53"/>
  <c r="AM374" i="53"/>
  <c r="AN374" i="53"/>
  <c r="AO374" i="53"/>
  <c r="AP374" i="53"/>
  <c r="AQ374" i="53"/>
  <c r="AR374" i="53"/>
  <c r="AS374" i="53"/>
  <c r="AT374" i="53"/>
  <c r="AU374" i="53"/>
  <c r="AV374" i="53"/>
  <c r="AW374" i="53"/>
  <c r="AX374" i="53"/>
  <c r="AY374" i="53"/>
  <c r="AZ374" i="53"/>
  <c r="BA374" i="53"/>
  <c r="A2" i="53"/>
  <c r="AC2" i="53"/>
  <c r="AC3" i="53"/>
  <c r="AC13" i="53"/>
  <c r="AC14" i="53" s="1"/>
  <c r="AC15" i="53" s="1"/>
  <c r="AC16" i="53" s="1"/>
  <c r="AC17" i="53" s="1"/>
  <c r="AC18" i="53" s="1"/>
  <c r="AC19" i="53" s="1"/>
  <c r="AC20" i="53" s="1"/>
  <c r="AC21" i="53" s="1"/>
  <c r="AC22" i="53" s="1"/>
  <c r="AC23" i="53" s="1"/>
  <c r="AC24" i="53" s="1"/>
  <c r="AC25" i="53" s="1"/>
  <c r="AC26" i="53" s="1"/>
  <c r="AC27" i="53" s="1"/>
  <c r="AC28" i="53" s="1"/>
  <c r="AC29" i="53" s="1"/>
  <c r="AC30" i="53" s="1"/>
  <c r="AC31" i="53" s="1"/>
  <c r="AC32" i="53" s="1"/>
  <c r="AC33" i="53" s="1"/>
  <c r="AC34" i="53" s="1"/>
  <c r="AC35" i="53" s="1"/>
  <c r="AC36" i="53" s="1"/>
  <c r="AC37" i="53" s="1"/>
  <c r="AC38" i="53" s="1"/>
  <c r="AC39" i="53" s="1"/>
  <c r="AC40" i="53" s="1"/>
  <c r="AC41" i="53" s="1"/>
  <c r="AC42" i="53" s="1"/>
  <c r="AC43" i="53" s="1"/>
  <c r="AC44" i="53" s="1"/>
  <c r="AC45" i="53" s="1"/>
  <c r="AC46" i="53" s="1"/>
  <c r="AC47" i="53" s="1"/>
  <c r="AC48" i="53" s="1"/>
  <c r="AC49" i="53" s="1"/>
  <c r="AC50" i="53" s="1"/>
  <c r="AC51" i="53" s="1"/>
  <c r="AC52" i="53" s="1"/>
  <c r="AC53" i="53" s="1"/>
  <c r="AC54" i="53" s="1"/>
  <c r="AC55" i="53" s="1"/>
  <c r="AC56" i="53" s="1"/>
  <c r="AC57" i="53" s="1"/>
  <c r="AC58" i="53" s="1"/>
  <c r="AC59" i="53" s="1"/>
  <c r="AC60" i="53" s="1"/>
  <c r="AC61" i="53" s="1"/>
  <c r="AC62" i="53" s="1"/>
  <c r="AC63" i="53" s="1"/>
  <c r="AC64" i="53" s="1"/>
  <c r="AC65" i="53" s="1"/>
  <c r="AC66" i="53" s="1"/>
  <c r="AC67" i="53" s="1"/>
  <c r="AC68" i="53" s="1"/>
  <c r="AC69" i="53" s="1"/>
  <c r="AC70" i="53" s="1"/>
  <c r="AC71" i="53" s="1"/>
  <c r="AC72" i="53" s="1"/>
  <c r="AC73" i="53" s="1"/>
  <c r="AC74" i="53" s="1"/>
  <c r="AC75" i="53" s="1"/>
  <c r="AC76" i="53" s="1"/>
  <c r="AC77" i="53" s="1"/>
  <c r="AC78" i="53" s="1"/>
  <c r="AC79" i="53" s="1"/>
  <c r="AC80" i="53" s="1"/>
  <c r="AC81" i="53" s="1"/>
  <c r="AC82" i="53" s="1"/>
  <c r="AC83" i="53" s="1"/>
  <c r="AC84" i="53" s="1"/>
  <c r="AC85" i="53" s="1"/>
  <c r="AC86" i="53" s="1"/>
  <c r="AC87" i="53" s="1"/>
  <c r="AC88" i="53" s="1"/>
  <c r="AC89" i="53" s="1"/>
  <c r="AC90" i="53" s="1"/>
  <c r="AC91" i="53" s="1"/>
  <c r="AC92" i="53" s="1"/>
  <c r="AC93" i="53" s="1"/>
  <c r="AC94" i="53" s="1"/>
  <c r="AC95" i="53" s="1"/>
  <c r="AC96" i="53" s="1"/>
  <c r="AC97" i="53" s="1"/>
  <c r="AC98" i="53" s="1"/>
  <c r="AC99" i="53" s="1"/>
  <c r="AC100" i="53" s="1"/>
  <c r="AC101" i="53" s="1"/>
  <c r="AC102" i="53" s="1"/>
  <c r="AC103" i="53" s="1"/>
  <c r="AC104" i="53" s="1"/>
  <c r="AC105" i="53" s="1"/>
  <c r="AC106" i="53" s="1"/>
  <c r="AC107" i="53" s="1"/>
  <c r="AC108" i="53" s="1"/>
  <c r="AC109" i="53" s="1"/>
  <c r="AC110" i="53" s="1"/>
  <c r="AC111" i="53" s="1"/>
  <c r="AC112" i="53" s="1"/>
  <c r="AC113" i="53" s="1"/>
  <c r="AC114" i="53" s="1"/>
  <c r="AC115" i="53" s="1"/>
  <c r="AC116" i="53" s="1"/>
  <c r="AC117" i="53" s="1"/>
  <c r="AC118" i="53" s="1"/>
  <c r="AC119" i="53" s="1"/>
  <c r="AC120" i="53" s="1"/>
  <c r="AC121" i="53" s="1"/>
  <c r="AC122" i="53" s="1"/>
  <c r="AC123" i="53" s="1"/>
  <c r="AC124" i="53" s="1"/>
  <c r="AC125" i="53" s="1"/>
  <c r="AC126" i="53" s="1"/>
  <c r="AC127" i="53" s="1"/>
  <c r="AC128" i="53" s="1"/>
  <c r="AC129" i="53" s="1"/>
  <c r="AC130" i="53" s="1"/>
  <c r="AC131" i="53" s="1"/>
  <c r="AC132" i="53" s="1"/>
  <c r="AC133" i="53" s="1"/>
  <c r="AC134" i="53" s="1"/>
  <c r="AC135" i="53" s="1"/>
  <c r="AC136" i="53" s="1"/>
  <c r="AC137" i="53" s="1"/>
  <c r="AC138" i="53" s="1"/>
  <c r="AC139" i="53" s="1"/>
  <c r="AC140" i="53" s="1"/>
  <c r="AC141" i="53" s="1"/>
  <c r="AC142" i="53" s="1"/>
  <c r="AC143" i="53" s="1"/>
  <c r="AC144" i="53" s="1"/>
  <c r="AC145" i="53" s="1"/>
  <c r="AC146" i="53" s="1"/>
  <c r="AC147" i="53" s="1"/>
  <c r="AC148" i="53" s="1"/>
  <c r="AC149" i="53" s="1"/>
  <c r="AC150" i="53" s="1"/>
  <c r="AC151" i="53" s="1"/>
  <c r="AC152" i="53" s="1"/>
  <c r="AC153" i="53" s="1"/>
  <c r="AC154" i="53" s="1"/>
  <c r="AC155" i="53" s="1"/>
  <c r="AC156" i="53" s="1"/>
  <c r="AC157" i="53" s="1"/>
  <c r="AC158" i="53" s="1"/>
  <c r="AC159" i="53" s="1"/>
  <c r="AC160" i="53" s="1"/>
  <c r="AC161" i="53" s="1"/>
  <c r="AC162" i="53" s="1"/>
  <c r="AC163" i="53" s="1"/>
  <c r="AC164" i="53" s="1"/>
  <c r="AC165" i="53" s="1"/>
  <c r="AC166" i="53" s="1"/>
  <c r="AC167" i="53" s="1"/>
  <c r="AC168" i="53" s="1"/>
  <c r="AC169" i="53" s="1"/>
  <c r="AC170" i="53" s="1"/>
  <c r="AC171" i="53" s="1"/>
  <c r="AC172" i="53" s="1"/>
  <c r="AC173" i="53" s="1"/>
  <c r="AC174" i="53" s="1"/>
  <c r="AC175" i="53" s="1"/>
  <c r="AC176" i="53" s="1"/>
  <c r="AC177" i="53" s="1"/>
  <c r="AC178" i="53" s="1"/>
  <c r="AC179" i="53" s="1"/>
  <c r="AC180" i="53" s="1"/>
  <c r="AC181" i="53" s="1"/>
  <c r="AC182" i="53" s="1"/>
  <c r="AC183" i="53" s="1"/>
  <c r="AC184" i="53" s="1"/>
  <c r="AC185" i="53" s="1"/>
  <c r="AC186" i="53" s="1"/>
  <c r="AC187" i="53" s="1"/>
  <c r="AC188" i="53" s="1"/>
  <c r="AC189" i="53" s="1"/>
  <c r="AC190" i="53" s="1"/>
  <c r="AC191" i="53" s="1"/>
  <c r="AC192" i="53" s="1"/>
  <c r="AC193" i="53" s="1"/>
  <c r="AC194" i="53" s="1"/>
  <c r="AC195" i="53" s="1"/>
  <c r="AC196" i="53" s="1"/>
  <c r="AC197" i="53" s="1"/>
  <c r="AC198" i="53" s="1"/>
  <c r="AC199" i="53" s="1"/>
  <c r="AC200" i="53" s="1"/>
  <c r="AC201" i="53" s="1"/>
  <c r="AC202" i="53" s="1"/>
  <c r="AC203" i="53" s="1"/>
  <c r="AC204" i="53" s="1"/>
  <c r="AC205" i="53" s="1"/>
  <c r="AC206" i="53" s="1"/>
  <c r="AC207" i="53" s="1"/>
  <c r="AC208" i="53" s="1"/>
  <c r="AC209" i="53" s="1"/>
  <c r="AC210" i="53" s="1"/>
  <c r="AC211" i="53" s="1"/>
  <c r="AC212" i="53" s="1"/>
  <c r="AC213" i="53" s="1"/>
  <c r="AC214" i="53" s="1"/>
  <c r="AC215" i="53" s="1"/>
  <c r="AC216" i="53" s="1"/>
  <c r="AC217" i="53" s="1"/>
  <c r="AC218" i="53" s="1"/>
  <c r="AC219" i="53" s="1"/>
  <c r="AC220" i="53" s="1"/>
  <c r="AC221" i="53" s="1"/>
  <c r="AC222" i="53" s="1"/>
  <c r="AC223" i="53" s="1"/>
  <c r="AC224" i="53" s="1"/>
  <c r="AC225" i="53" s="1"/>
  <c r="AC226" i="53" s="1"/>
  <c r="AC227" i="53" s="1"/>
  <c r="AC228" i="53" s="1"/>
  <c r="AC229" i="53" s="1"/>
  <c r="AC230" i="53" s="1"/>
  <c r="AC231" i="53" s="1"/>
  <c r="AC232" i="53" s="1"/>
  <c r="AC233" i="53" s="1"/>
  <c r="AC234" i="53" s="1"/>
  <c r="AC235" i="53" s="1"/>
  <c r="AC236" i="53" s="1"/>
  <c r="AC237" i="53" s="1"/>
  <c r="AC238" i="53" s="1"/>
  <c r="AC239" i="53" s="1"/>
  <c r="AC240" i="53" s="1"/>
  <c r="AC241" i="53" s="1"/>
  <c r="AC242" i="53" s="1"/>
  <c r="AC243" i="53" s="1"/>
  <c r="AC244" i="53" s="1"/>
  <c r="AC245" i="53" s="1"/>
  <c r="AC246" i="53" s="1"/>
  <c r="AC247" i="53" s="1"/>
  <c r="AC248" i="53" s="1"/>
  <c r="AC249" i="53" s="1"/>
  <c r="AC250" i="53" s="1"/>
  <c r="AC251" i="53" s="1"/>
  <c r="AC252" i="53" s="1"/>
  <c r="AC253" i="53" s="1"/>
  <c r="AC254" i="53" s="1"/>
  <c r="AC255" i="53" s="1"/>
  <c r="AC256" i="53" s="1"/>
  <c r="AC257" i="53" s="1"/>
  <c r="AC258" i="53" s="1"/>
  <c r="AC259" i="53" s="1"/>
  <c r="AC260" i="53" s="1"/>
  <c r="AC261" i="53" s="1"/>
  <c r="AC262" i="53" s="1"/>
  <c r="AC263" i="53" s="1"/>
  <c r="AC264" i="53" s="1"/>
  <c r="AC265" i="53" s="1"/>
  <c r="AC266" i="53" s="1"/>
  <c r="AC267" i="53" s="1"/>
  <c r="AC268" i="53" s="1"/>
  <c r="AC269" i="53" s="1"/>
  <c r="AC270" i="53" s="1"/>
  <c r="AC271" i="53" s="1"/>
  <c r="AC272" i="53" s="1"/>
  <c r="AC273" i="53" s="1"/>
  <c r="AC274" i="53" s="1"/>
  <c r="AC275" i="53" s="1"/>
  <c r="AC276" i="53" s="1"/>
  <c r="AC277" i="53" s="1"/>
  <c r="AC278" i="53" s="1"/>
  <c r="AC279" i="53" s="1"/>
  <c r="AC280" i="53" s="1"/>
  <c r="AC281" i="53" s="1"/>
  <c r="AC282" i="53" s="1"/>
  <c r="AC283" i="53" s="1"/>
  <c r="AC284" i="53" s="1"/>
  <c r="AC285" i="53" s="1"/>
  <c r="AC286" i="53" s="1"/>
  <c r="AC287" i="53" s="1"/>
  <c r="AC288" i="53" s="1"/>
  <c r="AC289" i="53" s="1"/>
  <c r="AC290" i="53" s="1"/>
  <c r="AC291" i="53" s="1"/>
  <c r="AC292" i="53" s="1"/>
  <c r="AC293" i="53" s="1"/>
  <c r="AC294" i="53" s="1"/>
  <c r="AC295" i="53" s="1"/>
  <c r="AC296" i="53" s="1"/>
  <c r="AC297" i="53" s="1"/>
  <c r="AC298" i="53" s="1"/>
  <c r="AC299" i="53" s="1"/>
  <c r="AC300" i="53" s="1"/>
  <c r="AC301" i="53" s="1"/>
  <c r="AC302" i="53" s="1"/>
  <c r="AC303" i="53" s="1"/>
  <c r="AC304" i="53" s="1"/>
  <c r="AC305" i="53" s="1"/>
  <c r="AC306" i="53" s="1"/>
  <c r="AC307" i="53" s="1"/>
  <c r="AC308" i="53" s="1"/>
  <c r="AC309" i="53" s="1"/>
  <c r="AC310" i="53" s="1"/>
  <c r="AC311" i="53" s="1"/>
  <c r="AC312" i="53" s="1"/>
  <c r="AC313" i="53" s="1"/>
  <c r="AC314" i="53" s="1"/>
  <c r="AC315" i="53" s="1"/>
  <c r="AC316" i="53" s="1"/>
  <c r="AC317" i="53" s="1"/>
  <c r="AC318" i="53" s="1"/>
  <c r="AC319" i="53" s="1"/>
  <c r="AC320" i="53" s="1"/>
  <c r="AC321" i="53" s="1"/>
  <c r="AC322" i="53" s="1"/>
  <c r="AC323" i="53" s="1"/>
  <c r="AC324" i="53" s="1"/>
  <c r="AC325" i="53" s="1"/>
  <c r="AC326" i="53" s="1"/>
  <c r="AC327" i="53" s="1"/>
  <c r="AC328" i="53" s="1"/>
  <c r="AC329" i="53" s="1"/>
  <c r="AC330" i="53" s="1"/>
  <c r="AC331" i="53" s="1"/>
  <c r="AC332" i="53" s="1"/>
  <c r="AC333" i="53" s="1"/>
  <c r="AC334" i="53" s="1"/>
  <c r="AC335" i="53" s="1"/>
  <c r="AC336" i="53" s="1"/>
  <c r="AC337" i="53" s="1"/>
  <c r="AC338" i="53" s="1"/>
  <c r="AC339" i="53" s="1"/>
  <c r="AC340" i="53" s="1"/>
  <c r="AC341" i="53" s="1"/>
  <c r="AC342" i="53" s="1"/>
  <c r="AC343" i="53" s="1"/>
  <c r="AC344" i="53" s="1"/>
  <c r="AC345" i="53" s="1"/>
  <c r="AC346" i="53" s="1"/>
  <c r="AC347" i="53" s="1"/>
  <c r="AC348" i="53" s="1"/>
  <c r="AC349" i="53" s="1"/>
  <c r="AC350" i="53" s="1"/>
  <c r="AC351" i="53" s="1"/>
  <c r="AC352" i="53" s="1"/>
  <c r="AC353" i="53" s="1"/>
  <c r="AC354" i="53" s="1"/>
  <c r="AC355" i="53" s="1"/>
  <c r="AC356" i="53" s="1"/>
  <c r="AC357" i="53" s="1"/>
  <c r="AC358" i="53" s="1"/>
  <c r="AC359" i="53" s="1"/>
  <c r="AC360" i="53" s="1"/>
  <c r="AC361" i="53" s="1"/>
  <c r="AC362" i="53" s="1"/>
  <c r="AC363" i="53" s="1"/>
  <c r="AC364" i="53" s="1"/>
  <c r="AC365" i="53" s="1"/>
  <c r="AC366" i="53" s="1"/>
  <c r="AC367" i="53" s="1"/>
  <c r="AC368" i="53" s="1"/>
  <c r="AC369" i="53" s="1"/>
  <c r="AC370" i="53" s="1"/>
  <c r="AC371" i="53" s="1"/>
  <c r="AC372" i="53" s="1"/>
  <c r="AC373" i="53" s="1"/>
  <c r="AC374" i="53" s="1"/>
  <c r="AC375" i="53" s="1"/>
  <c r="AC376" i="53" s="1"/>
  <c r="AC10" i="53"/>
  <c r="A28" i="53"/>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251" i="53" s="1"/>
  <c r="A252" i="53" s="1"/>
  <c r="A253" i="53" s="1"/>
  <c r="A254" i="53" s="1"/>
  <c r="A255" i="53" s="1"/>
  <c r="A256" i="53" s="1"/>
  <c r="A257" i="53" s="1"/>
  <c r="A258" i="53" s="1"/>
  <c r="A259" i="53" s="1"/>
  <c r="A260" i="53" s="1"/>
  <c r="A261" i="53" s="1"/>
  <c r="A262" i="53" s="1"/>
  <c r="A263" i="53" s="1"/>
  <c r="A264" i="53" s="1"/>
  <c r="A265" i="53" s="1"/>
  <c r="A266" i="53" s="1"/>
  <c r="A267" i="53" s="1"/>
  <c r="A268" i="53" s="1"/>
  <c r="A269" i="53" s="1"/>
  <c r="A270" i="53" s="1"/>
  <c r="A271" i="53" s="1"/>
  <c r="A272" i="53" s="1"/>
  <c r="A273" i="53" s="1"/>
  <c r="A274" i="53" s="1"/>
  <c r="A275" i="53" s="1"/>
  <c r="A276" i="53" s="1"/>
  <c r="A277" i="53" s="1"/>
  <c r="A278" i="53" s="1"/>
  <c r="A279" i="53" s="1"/>
  <c r="A280" i="53" s="1"/>
  <c r="A281" i="53" s="1"/>
  <c r="A282" i="53" s="1"/>
  <c r="A283" i="53" s="1"/>
  <c r="A284" i="53" s="1"/>
  <c r="A285" i="53" s="1"/>
  <c r="A286" i="53" s="1"/>
  <c r="A287" i="53" s="1"/>
  <c r="A288" i="53" s="1"/>
  <c r="A289" i="53" s="1"/>
  <c r="A290" i="53" s="1"/>
  <c r="A291" i="53" s="1"/>
  <c r="A292" i="53" s="1"/>
  <c r="A293" i="53" s="1"/>
  <c r="A294" i="53" s="1"/>
  <c r="A295" i="53" s="1"/>
  <c r="A296" i="53" s="1"/>
  <c r="A297" i="53" s="1"/>
  <c r="A298" i="53" s="1"/>
  <c r="A299" i="53" s="1"/>
  <c r="A300" i="53" s="1"/>
  <c r="A301" i="53" s="1"/>
  <c r="A302" i="53" s="1"/>
  <c r="A303" i="53" s="1"/>
  <c r="A304" i="53" s="1"/>
  <c r="A305" i="53" s="1"/>
  <c r="A306" i="53" s="1"/>
  <c r="A307" i="53" s="1"/>
  <c r="A308" i="53" s="1"/>
  <c r="A309" i="53" s="1"/>
  <c r="A310" i="53" s="1"/>
  <c r="A311" i="53" s="1"/>
  <c r="A312" i="53" s="1"/>
  <c r="A313" i="53" s="1"/>
  <c r="A314" i="53" s="1"/>
  <c r="A315" i="53" s="1"/>
  <c r="A316" i="53" s="1"/>
  <c r="A317" i="53" s="1"/>
  <c r="A318" i="53" s="1"/>
  <c r="A319" i="53" s="1"/>
  <c r="A320" i="53" s="1"/>
  <c r="A321" i="53" s="1"/>
  <c r="A322" i="53" s="1"/>
  <c r="A323" i="53" s="1"/>
  <c r="A324" i="53" s="1"/>
  <c r="A325" i="53" s="1"/>
  <c r="A326" i="53" s="1"/>
  <c r="A327" i="53" s="1"/>
  <c r="A328" i="53" s="1"/>
  <c r="A329" i="53" s="1"/>
  <c r="A330" i="53" s="1"/>
  <c r="A331" i="53" s="1"/>
  <c r="A332" i="53" s="1"/>
  <c r="A333" i="53" s="1"/>
  <c r="A334" i="53" s="1"/>
  <c r="A335" i="53" s="1"/>
  <c r="A336" i="53" s="1"/>
  <c r="A337" i="53" s="1"/>
  <c r="A338" i="53" s="1"/>
  <c r="A339" i="53" s="1"/>
  <c r="A340" i="53" s="1"/>
  <c r="A341" i="53" s="1"/>
  <c r="A342" i="53" s="1"/>
  <c r="A343" i="53" s="1"/>
  <c r="A344" i="53" s="1"/>
  <c r="A345" i="53" s="1"/>
  <c r="A346" i="53" s="1"/>
  <c r="A347" i="53" s="1"/>
  <c r="A348" i="53" s="1"/>
  <c r="A349" i="53" s="1"/>
  <c r="A350" i="53" s="1"/>
  <c r="A351" i="53" s="1"/>
  <c r="A352" i="53" s="1"/>
  <c r="A353" i="53" s="1"/>
  <c r="A354" i="53" s="1"/>
  <c r="A355" i="53" s="1"/>
  <c r="A356" i="53" s="1"/>
  <c r="A357" i="53" s="1"/>
  <c r="A358" i="53" s="1"/>
  <c r="A359" i="53" s="1"/>
  <c r="A360" i="53" s="1"/>
  <c r="A361" i="53" s="1"/>
  <c r="A362" i="53" s="1"/>
  <c r="A363" i="53" s="1"/>
  <c r="A364" i="53" s="1"/>
  <c r="A365" i="53" s="1"/>
  <c r="A366" i="53" s="1"/>
  <c r="A367" i="53" s="1"/>
  <c r="A368" i="53" s="1"/>
  <c r="A369" i="53" s="1"/>
  <c r="A370" i="53" s="1"/>
  <c r="A371" i="53" s="1"/>
  <c r="A372" i="53" s="1"/>
  <c r="A373" i="53" s="1"/>
  <c r="A374" i="53" s="1"/>
  <c r="A375" i="53" s="1"/>
  <c r="A376" i="53" s="1"/>
  <c r="A13" i="53"/>
  <c r="A14" i="53"/>
  <c r="A15" i="53" s="1"/>
  <c r="A16" i="53" s="1"/>
  <c r="A17" i="53" s="1"/>
  <c r="A18" i="53" s="1"/>
  <c r="A19" i="53" s="1"/>
  <c r="A20" i="53" s="1"/>
  <c r="A21" i="53" s="1"/>
  <c r="A22" i="53" s="1"/>
  <c r="A23" i="53" s="1"/>
  <c r="A24" i="53" s="1"/>
  <c r="A25" i="53" s="1"/>
  <c r="A26" i="53" s="1"/>
  <c r="A27" i="53" s="1"/>
  <c r="D124" i="3"/>
  <c r="D128" i="3" s="1"/>
  <c r="D132" i="3" s="1"/>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9" i="44"/>
  <c r="A10" i="44"/>
  <c r="A18" i="40"/>
  <c r="E137" i="44"/>
  <c r="I18" i="40"/>
  <c r="I14" i="40"/>
  <c r="D47" i="45"/>
  <c r="A10" i="25"/>
  <c r="A11" i="25" s="1"/>
  <c r="A12" i="25" s="1"/>
  <c r="A13" i="25" s="1"/>
  <c r="A14" i="25" s="1"/>
  <c r="A15" i="25" s="1"/>
  <c r="A16" i="25" s="1"/>
  <c r="A17" i="25" s="1"/>
  <c r="A18" i="25" s="1"/>
  <c r="A19" i="25" s="1"/>
  <c r="A20" i="25" s="1"/>
  <c r="A21" i="25" s="1"/>
  <c r="A45" i="13"/>
  <c r="A15" i="43"/>
  <c r="A17" i="43" s="1"/>
  <c r="A19" i="43"/>
  <c r="A21" i="43"/>
  <c r="A23" i="43" s="1"/>
  <c r="A25" i="43" s="1"/>
  <c r="A27" i="43"/>
  <c r="A29" i="43" s="1"/>
  <c r="A31" i="43" s="1"/>
  <c r="A33" i="43" s="1"/>
  <c r="A35" i="43" s="1"/>
  <c r="A37" i="43"/>
  <c r="A39" i="43" s="1"/>
  <c r="A41" i="43" s="1"/>
  <c r="A43" i="43" s="1"/>
  <c r="A45" i="43" s="1"/>
  <c r="A47" i="43" s="1"/>
  <c r="A49" i="43" s="1"/>
  <c r="A51" i="43" s="1"/>
  <c r="A53" i="43" s="1"/>
  <c r="A55" i="43" s="1"/>
  <c r="A57" i="43" s="1"/>
  <c r="A59" i="43" s="1"/>
  <c r="A60" i="43" s="1"/>
  <c r="A62" i="43" s="1"/>
  <c r="A63" i="43" s="1"/>
  <c r="A65" i="43" s="1"/>
  <c r="A15" i="42"/>
  <c r="A17" i="42"/>
  <c r="A19" i="42" s="1"/>
  <c r="A21" i="42" s="1"/>
  <c r="A23" i="42" s="1"/>
  <c r="A25" i="42" s="1"/>
  <c r="A27" i="42" s="1"/>
  <c r="A29" i="42" s="1"/>
  <c r="A31" i="42" s="1"/>
  <c r="A33" i="42" s="1"/>
  <c r="A35" i="42" s="1"/>
  <c r="A37" i="42" s="1"/>
  <c r="A39" i="42" s="1"/>
  <c r="A41" i="42" s="1"/>
  <c r="A43" i="42" s="1"/>
  <c r="A45" i="42" s="1"/>
  <c r="A47" i="42" s="1"/>
  <c r="A49" i="42" s="1"/>
  <c r="A51" i="42" s="1"/>
  <c r="A53" i="42" s="1"/>
  <c r="A55" i="42" s="1"/>
  <c r="A57" i="42" s="1"/>
  <c r="A59" i="42" s="1"/>
  <c r="A60" i="42" s="1"/>
  <c r="A62" i="42" s="1"/>
  <c r="A63" i="42" s="1"/>
  <c r="A65" i="42" s="1"/>
  <c r="I55" i="47"/>
  <c r="H55" i="47"/>
  <c r="F55" i="47"/>
  <c r="D54" i="25" s="1"/>
  <c r="G54" i="25" s="1"/>
  <c r="I25" i="47"/>
  <c r="H25" i="47"/>
  <c r="F25" i="47"/>
  <c r="D54" i="3"/>
  <c r="G54" i="3"/>
  <c r="L57" i="47"/>
  <c r="D107" i="25" s="1"/>
  <c r="G107" i="25" s="1"/>
  <c r="E57" i="47"/>
  <c r="K56" i="47"/>
  <c r="E56" i="47"/>
  <c r="J41" i="47"/>
  <c r="J42" i="47"/>
  <c r="J43" i="47"/>
  <c r="J44" i="47"/>
  <c r="J45" i="47"/>
  <c r="J46" i="47"/>
  <c r="J47" i="47"/>
  <c r="J48" i="47"/>
  <c r="J49" i="47"/>
  <c r="J50" i="47"/>
  <c r="J51" i="47"/>
  <c r="J52" i="47"/>
  <c r="J53" i="47"/>
  <c r="J55" i="47"/>
  <c r="D55" i="25" s="1"/>
  <c r="G55" i="25" s="1"/>
  <c r="E55" i="47"/>
  <c r="E27" i="47"/>
  <c r="E26" i="47"/>
  <c r="E25" i="47"/>
  <c r="L27" i="47"/>
  <c r="D107" i="3"/>
  <c r="G107" i="3" s="1"/>
  <c r="K26" i="47"/>
  <c r="J12" i="47"/>
  <c r="J13" i="47"/>
  <c r="J14" i="47"/>
  <c r="J15" i="47"/>
  <c r="J16" i="47"/>
  <c r="J17" i="47"/>
  <c r="J18" i="47"/>
  <c r="J19" i="47"/>
  <c r="J20" i="47"/>
  <c r="J21" i="47"/>
  <c r="J22" i="47"/>
  <c r="J23" i="47"/>
  <c r="J25" i="47"/>
  <c r="D55" i="3"/>
  <c r="G55" i="3" s="1"/>
  <c r="J11" i="47"/>
  <c r="F2" i="48"/>
  <c r="A13" i="48"/>
  <c r="C21" i="2"/>
  <c r="L1" i="47"/>
  <c r="F1" i="48"/>
  <c r="A29" i="21"/>
  <c r="A30" i="21" s="1"/>
  <c r="A31" i="21" s="1"/>
  <c r="E17" i="21"/>
  <c r="F17" i="21" s="1"/>
  <c r="A11" i="21"/>
  <c r="A12" i="21" s="1"/>
  <c r="A13" i="21" s="1"/>
  <c r="A14" i="21" s="1"/>
  <c r="A15" i="21" s="1"/>
  <c r="A16" i="21" s="1"/>
  <c r="A17" i="21" s="1"/>
  <c r="A18" i="21" s="1"/>
  <c r="A2" i="48"/>
  <c r="A3" i="48"/>
  <c r="A37" i="48"/>
  <c r="A2" i="47"/>
  <c r="A3" i="47"/>
  <c r="M47" i="27"/>
  <c r="M48" i="27"/>
  <c r="M49" i="27"/>
  <c r="M51" i="27"/>
  <c r="M52" i="27"/>
  <c r="M53" i="27"/>
  <c r="A11" i="23"/>
  <c r="A12" i="23"/>
  <c r="A13" i="23" s="1"/>
  <c r="A14" i="23" s="1"/>
  <c r="A15" i="23" s="1"/>
  <c r="A16" i="23" s="1"/>
  <c r="A17" i="23" s="1"/>
  <c r="A18" i="23" s="1"/>
  <c r="A19" i="23" s="1"/>
  <c r="A20" i="23" s="1"/>
  <c r="A21" i="23" s="1"/>
  <c r="A22" i="23" s="1"/>
  <c r="A23" i="23" s="1"/>
  <c r="A24" i="23" s="1"/>
  <c r="A25" i="23" s="1"/>
  <c r="A26" i="23" s="1"/>
  <c r="A27" i="23" s="1"/>
  <c r="A28" i="23" s="1"/>
  <c r="B45" i="43"/>
  <c r="B43" i="43"/>
  <c r="B41" i="43"/>
  <c r="B39" i="43"/>
  <c r="B37" i="43"/>
  <c r="B35" i="43"/>
  <c r="B33" i="43"/>
  <c r="B31" i="43"/>
  <c r="B29" i="43"/>
  <c r="B27" i="43"/>
  <c r="B25" i="43"/>
  <c r="B23" i="43"/>
  <c r="B21" i="43"/>
  <c r="B19" i="43"/>
  <c r="B17" i="43"/>
  <c r="B15" i="43"/>
  <c r="B13" i="43"/>
  <c r="B45" i="42"/>
  <c r="B43" i="42"/>
  <c r="B41" i="42"/>
  <c r="B39" i="42"/>
  <c r="B37" i="42"/>
  <c r="B35" i="42"/>
  <c r="B33" i="42"/>
  <c r="B31" i="42"/>
  <c r="B29" i="42"/>
  <c r="B27" i="42"/>
  <c r="B25" i="42"/>
  <c r="B23" i="42"/>
  <c r="B21" i="42"/>
  <c r="B19" i="42"/>
  <c r="B17" i="42"/>
  <c r="B15" i="42"/>
  <c r="B13" i="42"/>
  <c r="L2" i="45"/>
  <c r="B41" i="2" s="1"/>
  <c r="C41" i="2"/>
  <c r="C40" i="2"/>
  <c r="C39" i="2"/>
  <c r="C38" i="2"/>
  <c r="C37" i="2"/>
  <c r="C36" i="2"/>
  <c r="A2" i="44"/>
  <c r="A17" i="45"/>
  <c r="A19" i="45" s="1"/>
  <c r="A21" i="45" s="1"/>
  <c r="A23" i="45" s="1"/>
  <c r="A25" i="45" s="1"/>
  <c r="A27" i="45"/>
  <c r="A29" i="45" s="1"/>
  <c r="A31" i="45" s="1"/>
  <c r="A33" i="45"/>
  <c r="A35" i="45" s="1"/>
  <c r="A37" i="45" s="1"/>
  <c r="A39" i="45" s="1"/>
  <c r="A41" i="45" s="1"/>
  <c r="A43" i="45"/>
  <c r="A45" i="45" s="1"/>
  <c r="A47" i="45" s="1"/>
  <c r="A49" i="45" s="1"/>
  <c r="A51" i="45" s="1"/>
  <c r="A53" i="45" s="1"/>
  <c r="A13" i="45"/>
  <c r="A15" i="45" s="1"/>
  <c r="L1" i="45"/>
  <c r="A2" i="45"/>
  <c r="Q1" i="43"/>
  <c r="A2" i="43"/>
  <c r="A2" i="42"/>
  <c r="I1" i="41"/>
  <c r="A2" i="41"/>
  <c r="A2" i="40"/>
  <c r="C33" i="2"/>
  <c r="A9" i="28"/>
  <c r="A10" i="28" s="1"/>
  <c r="A11" i="28" s="1"/>
  <c r="A13" i="28" s="1"/>
  <c r="A14" i="28" s="1"/>
  <c r="A15" i="28" s="1"/>
  <c r="C35" i="2"/>
  <c r="C34" i="2"/>
  <c r="C32" i="2"/>
  <c r="C31" i="2"/>
  <c r="C30" i="2"/>
  <c r="C29" i="2"/>
  <c r="C27" i="2"/>
  <c r="C26" i="2"/>
  <c r="C19" i="2"/>
  <c r="C18" i="2"/>
  <c r="C15" i="2"/>
  <c r="C14" i="2"/>
  <c r="C11" i="2"/>
  <c r="C13" i="2"/>
  <c r="C12" i="2"/>
  <c r="C10" i="2"/>
  <c r="F47" i="37"/>
  <c r="F37" i="37"/>
  <c r="A2" i="37"/>
  <c r="A3" i="37"/>
  <c r="A2" i="2"/>
  <c r="A2" i="27"/>
  <c r="A3" i="27"/>
  <c r="R1" i="29"/>
  <c r="I111" i="29"/>
  <c r="Q111" i="29"/>
  <c r="A2" i="29"/>
  <c r="S1" i="27"/>
  <c r="Q1" i="20"/>
  <c r="M1" i="15"/>
  <c r="U1" i="13"/>
  <c r="G1" i="9"/>
  <c r="A2" i="28"/>
  <c r="A3" i="28"/>
  <c r="A3" i="2"/>
  <c r="A2" i="24"/>
  <c r="A3" i="24"/>
  <c r="A2" i="25"/>
  <c r="A3" i="25"/>
  <c r="A12" i="16"/>
  <c r="A13" i="16"/>
  <c r="A14" i="16"/>
  <c r="A15" i="16" s="1"/>
  <c r="A16" i="16" s="1"/>
  <c r="A17" i="16" s="1"/>
  <c r="A18" i="16" s="1"/>
  <c r="A19" i="16" s="1"/>
  <c r="A20" i="16" s="1"/>
  <c r="A21" i="16" s="1"/>
  <c r="A22" i="16" s="1"/>
  <c r="A23" i="16" s="1"/>
  <c r="A24" i="16" s="1"/>
  <c r="A25" i="16" s="1"/>
  <c r="A11" i="18"/>
  <c r="A12" i="18"/>
  <c r="A13" i="18" s="1"/>
  <c r="A14" i="18" s="1"/>
  <c r="A2" i="15"/>
  <c r="A3" i="15"/>
  <c r="A2" i="23"/>
  <c r="A3" i="23"/>
  <c r="A2" i="9"/>
  <c r="A3" i="9"/>
  <c r="A3" i="14"/>
  <c r="A2" i="21"/>
  <c r="A3" i="21"/>
  <c r="A2" i="20"/>
  <c r="A3" i="20"/>
  <c r="P42" i="20"/>
  <c r="A2" i="18"/>
  <c r="A3" i="18"/>
  <c r="A2" i="16"/>
  <c r="A3" i="16"/>
  <c r="A43" i="16"/>
  <c r="A44" i="16"/>
  <c r="A45" i="16" s="1"/>
  <c r="A46" i="16" s="1"/>
  <c r="A47" i="16" s="1"/>
  <c r="A48" i="16" s="1"/>
  <c r="A49" i="16" s="1"/>
  <c r="A50" i="16" s="1"/>
  <c r="A51" i="16" s="1"/>
  <c r="A52" i="16" s="1"/>
  <c r="A53" i="16" s="1"/>
  <c r="A54" i="16" s="1"/>
  <c r="A55" i="16" s="1"/>
  <c r="A56" i="16" s="1"/>
  <c r="A2" i="14"/>
  <c r="A2" i="13"/>
  <c r="A3" i="13"/>
  <c r="A2" i="7"/>
  <c r="A2" i="5"/>
  <c r="A3" i="5"/>
  <c r="A2" i="3"/>
  <c r="A3" i="3"/>
  <c r="A13" i="9"/>
  <c r="B25" i="13"/>
  <c r="B24" i="58"/>
  <c r="A24" i="58"/>
  <c r="A25" i="58"/>
  <c r="A26" i="58"/>
  <c r="A27" i="58"/>
  <c r="A28" i="58" s="1"/>
  <c r="A29" i="58" s="1"/>
  <c r="A30" i="58"/>
  <c r="A31" i="58" s="1"/>
  <c r="A32" i="58" s="1"/>
  <c r="A33" i="58" s="1"/>
  <c r="A34" i="58" s="1"/>
  <c r="A35" i="58"/>
  <c r="A36" i="58" s="1"/>
  <c r="A37" i="58" s="1"/>
  <c r="A38" i="58"/>
  <c r="A39" i="58" s="1"/>
  <c r="A40" i="58" s="1"/>
  <c r="A41" i="58" s="1"/>
  <c r="A66" i="58"/>
  <c r="A67" i="58"/>
  <c r="A68" i="58" s="1"/>
  <c r="A69" i="58" s="1"/>
  <c r="A70" i="58"/>
  <c r="A71" i="58" s="1"/>
  <c r="A72" i="58" s="1"/>
  <c r="A73" i="58" s="1"/>
  <c r="A74" i="58" s="1"/>
  <c r="A75" i="58"/>
  <c r="A76" i="58" s="1"/>
  <c r="A77" i="58" s="1"/>
  <c r="A78" i="58" s="1"/>
  <c r="A79" i="58" s="1"/>
  <c r="A80" i="58" s="1"/>
  <c r="A81" i="58" s="1"/>
  <c r="A82" i="58" s="1"/>
  <c r="B66" i="58"/>
  <c r="A15" i="24"/>
  <c r="A16" i="24" s="1"/>
  <c r="A17" i="24" s="1"/>
  <c r="C17" i="24"/>
  <c r="A11" i="44"/>
  <c r="A12" i="44" s="1"/>
  <c r="A13" i="44" s="1"/>
  <c r="A14" i="44"/>
  <c r="A56" i="9"/>
  <c r="A57" i="9" s="1"/>
  <c r="A58" i="9" s="1"/>
  <c r="A59" i="9" s="1"/>
  <c r="A60" i="9" s="1"/>
  <c r="C16" i="20"/>
  <c r="C61" i="20"/>
  <c r="A61" i="20"/>
  <c r="A62" i="20" s="1"/>
  <c r="A63" i="20" s="1"/>
  <c r="A64" i="20" s="1"/>
  <c r="A65" i="20" s="1"/>
  <c r="F49" i="48"/>
  <c r="D52" i="25" s="1"/>
  <c r="C19" i="24"/>
  <c r="A14" i="9"/>
  <c r="A15" i="9" s="1"/>
  <c r="A15" i="44"/>
  <c r="A16" i="44" s="1"/>
  <c r="A17" i="44" s="1"/>
  <c r="A18" i="44" s="1"/>
  <c r="A83" i="58"/>
  <c r="A16" i="9"/>
  <c r="A17" i="9" s="1"/>
  <c r="P37" i="42"/>
  <c r="P29" i="42"/>
  <c r="P41" i="42"/>
  <c r="P33" i="42"/>
  <c r="P25" i="42"/>
  <c r="P17" i="42"/>
  <c r="F47" i="45"/>
  <c r="H43" i="45" s="1"/>
  <c r="J43" i="45" s="1"/>
  <c r="L43" i="45" s="1"/>
  <c r="H13" i="45"/>
  <c r="J13" i="45"/>
  <c r="L13" i="45" s="1"/>
  <c r="E41" i="21"/>
  <c r="H44" i="15"/>
  <c r="D92" i="3"/>
  <c r="A11" i="3"/>
  <c r="A12" i="3"/>
  <c r="A13" i="3" s="1"/>
  <c r="E51" i="28"/>
  <c r="E57" i="28"/>
  <c r="E69" i="28"/>
  <c r="E74" i="28"/>
  <c r="D35" i="43"/>
  <c r="D17" i="43"/>
  <c r="D47" i="43"/>
  <c r="D41" i="43"/>
  <c r="D33" i="43"/>
  <c r="A87" i="5"/>
  <c r="A88" i="5"/>
  <c r="A89" i="5" s="1"/>
  <c r="A90" i="5" s="1"/>
  <c r="A91" i="5" s="1"/>
  <c r="A92" i="5" s="1"/>
  <c r="A93" i="5"/>
  <c r="A94" i="5" s="1"/>
  <c r="G18" i="16"/>
  <c r="G14" i="16"/>
  <c r="H124" i="44"/>
  <c r="H126" i="44"/>
  <c r="G136" i="44"/>
  <c r="L15" i="65"/>
  <c r="G11" i="16"/>
  <c r="E12" i="21"/>
  <c r="E13" i="21"/>
  <c r="E18" i="23"/>
  <c r="E13" i="48"/>
  <c r="F21" i="16"/>
  <c r="G21" i="16" s="1"/>
  <c r="M16" i="13"/>
  <c r="P16" i="13"/>
  <c r="N22" i="13"/>
  <c r="H18" i="15"/>
  <c r="D14" i="7"/>
  <c r="A1" i="18"/>
  <c r="A1" i="25"/>
  <c r="A1" i="45"/>
  <c r="A1" i="27"/>
  <c r="A1" i="41"/>
  <c r="A1" i="5"/>
  <c r="A1" i="20"/>
  <c r="A1" i="9"/>
  <c r="A1" i="28"/>
  <c r="A1" i="48"/>
  <c r="A1" i="64"/>
  <c r="A1" i="24"/>
  <c r="A1" i="42"/>
  <c r="A1" i="21"/>
  <c r="A1" i="2"/>
  <c r="A1" i="23"/>
  <c r="A1" i="13"/>
  <c r="A1" i="43"/>
  <c r="A1" i="16"/>
  <c r="A1" i="65"/>
  <c r="A1" i="66"/>
  <c r="A1" i="53"/>
  <c r="AC1" i="53" s="1"/>
  <c r="A1" i="44"/>
  <c r="A1" i="40"/>
  <c r="A1" i="63"/>
  <c r="A1" i="15"/>
  <c r="A1" i="37"/>
  <c r="A1" i="29"/>
  <c r="A1" i="58"/>
  <c r="A1" i="47"/>
  <c r="A1" i="7"/>
  <c r="A1" i="14"/>
  <c r="D25" i="43"/>
  <c r="O23" i="13"/>
  <c r="E138" i="44"/>
  <c r="E139" i="44" s="1"/>
  <c r="F136" i="44" s="1"/>
  <c r="H116" i="29"/>
  <c r="O115" i="29"/>
  <c r="Q116" i="29"/>
  <c r="F117" i="29"/>
  <c r="M117" i="29"/>
  <c r="G117" i="29"/>
  <c r="G115" i="29"/>
  <c r="O117" i="29"/>
  <c r="I117" i="29"/>
  <c r="M114" i="29"/>
  <c r="M116" i="29"/>
  <c r="N117" i="29"/>
  <c r="H117" i="29"/>
  <c r="D31" i="21"/>
  <c r="G112" i="75"/>
  <c r="G113" i="75" s="1"/>
  <c r="E113" i="75"/>
  <c r="B23" i="76"/>
  <c r="A23" i="76"/>
  <c r="A24" i="76" s="1"/>
  <c r="A26" i="76" s="1"/>
  <c r="A27" i="76"/>
  <c r="C14" i="9"/>
  <c r="F39" i="74"/>
  <c r="F40" i="74" s="1"/>
  <c r="C59" i="9"/>
  <c r="D493" i="78"/>
  <c r="D172" i="78"/>
  <c r="F173" i="78"/>
  <c r="D328" i="78"/>
  <c r="F174" i="78"/>
  <c r="D266" i="78"/>
  <c r="D237" i="78"/>
  <c r="D421" i="78"/>
  <c r="D420" i="78" s="1"/>
  <c r="D419" i="78" s="1"/>
  <c r="D431" i="78" s="1"/>
  <c r="D515" i="78"/>
  <c r="D514" i="78" s="1"/>
  <c r="D513" i="78" s="1"/>
  <c r="D512" i="78" s="1"/>
  <c r="D392" i="78"/>
  <c r="D365" i="78"/>
  <c r="D301" i="78"/>
  <c r="D300" i="78" s="1"/>
  <c r="D299" i="78" s="1"/>
  <c r="D457" i="78"/>
  <c r="F33" i="78"/>
  <c r="N33" i="78"/>
  <c r="A16" i="78"/>
  <c r="A17" i="78"/>
  <c r="A18" i="78" s="1"/>
  <c r="A19" i="78" s="1"/>
  <c r="A20" i="78"/>
  <c r="A21" i="78"/>
  <c r="A22" i="78" s="1"/>
  <c r="A23" i="78" s="1"/>
  <c r="A24" i="78" s="1"/>
  <c r="A25" i="78" s="1"/>
  <c r="A26" i="78" s="1"/>
  <c r="A27" i="78" s="1"/>
  <c r="E111" i="78"/>
  <c r="E112" i="78"/>
  <c r="D146" i="78"/>
  <c r="D28" i="78"/>
  <c r="F17" i="78"/>
  <c r="E18" i="78"/>
  <c r="E31" i="21"/>
  <c r="E79" i="58"/>
  <c r="F111" i="78"/>
  <c r="D265" i="78"/>
  <c r="F266" i="78"/>
  <c r="F172" i="78"/>
  <c r="D171" i="78"/>
  <c r="F171" i="78" s="1"/>
  <c r="F34" i="78"/>
  <c r="D456" i="78"/>
  <c r="D364" i="78"/>
  <c r="D391" i="78"/>
  <c r="D327" i="78"/>
  <c r="D145" i="78"/>
  <c r="D144" i="78" s="1"/>
  <c r="D236" i="78"/>
  <c r="E19" i="78"/>
  <c r="F18" i="78"/>
  <c r="D235" i="78"/>
  <c r="D390" i="78"/>
  <c r="D389" i="78" s="1"/>
  <c r="D388" i="78" s="1"/>
  <c r="F388" i="78" s="1"/>
  <c r="D183" i="78"/>
  <c r="D363" i="78"/>
  <c r="D326" i="78"/>
  <c r="D455" i="78"/>
  <c r="E20" i="78"/>
  <c r="F19" i="78"/>
  <c r="D338" i="78"/>
  <c r="D298" i="78"/>
  <c r="D362" i="78"/>
  <c r="F513" i="78"/>
  <c r="D234" i="78"/>
  <c r="D361" i="78"/>
  <c r="D360" i="78" s="1"/>
  <c r="D297" i="78"/>
  <c r="D296" i="78" s="1"/>
  <c r="D400" i="78"/>
  <c r="D359" i="78"/>
  <c r="H41" i="45"/>
  <c r="J41" i="45" s="1"/>
  <c r="L41" i="45" s="1"/>
  <c r="H37" i="45"/>
  <c r="J37" i="45"/>
  <c r="L37" i="45"/>
  <c r="H29" i="45"/>
  <c r="H15" i="45"/>
  <c r="J15" i="45"/>
  <c r="L15" i="45"/>
  <c r="H21" i="45"/>
  <c r="J21" i="45"/>
  <c r="L21" i="45"/>
  <c r="H19" i="45"/>
  <c r="J19" i="45" s="1"/>
  <c r="L19" i="45" s="1"/>
  <c r="D49" i="42"/>
  <c r="H47" i="42" s="1"/>
  <c r="H148" i="44"/>
  <c r="H150" i="44"/>
  <c r="H152" i="44"/>
  <c r="J29" i="45"/>
  <c r="L29" i="45" s="1"/>
  <c r="J11" i="45"/>
  <c r="L11" i="45"/>
  <c r="G181" i="74"/>
  <c r="G154" i="74"/>
  <c r="H17" i="45"/>
  <c r="J17" i="45"/>
  <c r="L17" i="45"/>
  <c r="H25" i="45"/>
  <c r="J25" i="45"/>
  <c r="L25" i="45"/>
  <c r="H23" i="45"/>
  <c r="J23" i="45"/>
  <c r="L23" i="45"/>
  <c r="H33" i="45"/>
  <c r="J33" i="45" s="1"/>
  <c r="L33" i="45" s="1"/>
  <c r="H35" i="45"/>
  <c r="J35" i="45" s="1"/>
  <c r="L35" i="45" s="1"/>
  <c r="H39" i="45"/>
  <c r="J39" i="45"/>
  <c r="L39" i="45"/>
  <c r="H45" i="45"/>
  <c r="J45" i="45"/>
  <c r="L45" i="45"/>
  <c r="H27" i="45"/>
  <c r="J27" i="45" s="1"/>
  <c r="L27" i="45" s="1"/>
  <c r="H31" i="45"/>
  <c r="J31" i="45" s="1"/>
  <c r="L31" i="45" s="1"/>
  <c r="D49" i="43"/>
  <c r="H47" i="43" s="1"/>
  <c r="H43" i="42"/>
  <c r="H35" i="42"/>
  <c r="H17" i="42"/>
  <c r="H39" i="42"/>
  <c r="H37" i="42"/>
  <c r="H21" i="42"/>
  <c r="H25" i="42"/>
  <c r="H23" i="42"/>
  <c r="H13" i="42"/>
  <c r="P49" i="43"/>
  <c r="P49" i="42"/>
  <c r="I37" i="28"/>
  <c r="I39" i="28"/>
  <c r="I83" i="28" s="1"/>
  <c r="I85" i="28" s="1"/>
  <c r="I89" i="28" s="1"/>
  <c r="B14" i="28"/>
  <c r="E81" i="28"/>
  <c r="I84" i="28"/>
  <c r="F137" i="44"/>
  <c r="H137" i="44" s="1"/>
  <c r="H63" i="44"/>
  <c r="F8" i="44"/>
  <c r="H190" i="44"/>
  <c r="H178" i="44"/>
  <c r="H204" i="44"/>
  <c r="K85" i="76"/>
  <c r="H450" i="78"/>
  <c r="H460" i="78" s="1"/>
  <c r="M12" i="13"/>
  <c r="O14" i="13"/>
  <c r="M20" i="13"/>
  <c r="M15" i="13"/>
  <c r="H39" i="43"/>
  <c r="H31" i="43"/>
  <c r="H23" i="43"/>
  <c r="H35" i="43"/>
  <c r="H19" i="43"/>
  <c r="H33" i="43"/>
  <c r="H45" i="43"/>
  <c r="H37" i="43"/>
  <c r="H29" i="43"/>
  <c r="H13" i="43"/>
  <c r="H43" i="43"/>
  <c r="H27" i="43"/>
  <c r="H25" i="43"/>
  <c r="A16" i="28"/>
  <c r="B17" i="28" s="1"/>
  <c r="B16" i="28"/>
  <c r="H136" i="44"/>
  <c r="A28" i="65"/>
  <c r="A29" i="65"/>
  <c r="A30" i="65" s="1"/>
  <c r="A31" i="65" s="1"/>
  <c r="A26" i="65"/>
  <c r="A27" i="65" s="1"/>
  <c r="F11" i="63"/>
  <c r="C24" i="65"/>
  <c r="C24" i="66"/>
  <c r="I16" i="64"/>
  <c r="A27" i="64"/>
  <c r="A28" i="64" s="1"/>
  <c r="A29" i="64" s="1"/>
  <c r="A30" i="64"/>
  <c r="A31" i="64"/>
  <c r="F10" i="63"/>
  <c r="C9" i="65"/>
  <c r="C9" i="66"/>
  <c r="D9" i="66"/>
  <c r="C13" i="65"/>
  <c r="C13" i="66"/>
  <c r="C17" i="65"/>
  <c r="C17" i="66" s="1"/>
  <c r="F16" i="63"/>
  <c r="C21" i="65"/>
  <c r="C21" i="66"/>
  <c r="C25" i="65"/>
  <c r="F22" i="63"/>
  <c r="C14" i="65"/>
  <c r="C18" i="65"/>
  <c r="F17" i="63"/>
  <c r="C22" i="65"/>
  <c r="C26" i="65"/>
  <c r="C27" i="66"/>
  <c r="I11" i="64"/>
  <c r="F12" i="63"/>
  <c r="F27" i="41"/>
  <c r="M11" i="65"/>
  <c r="F23" i="63"/>
  <c r="F19" i="63"/>
  <c r="F15" i="63"/>
  <c r="M30" i="65"/>
  <c r="F29" i="41" s="1"/>
  <c r="M23" i="65"/>
  <c r="F22" i="41"/>
  <c r="M24" i="65"/>
  <c r="F23" i="41" s="1"/>
  <c r="M12" i="65"/>
  <c r="F11" i="41" s="1"/>
  <c r="M26" i="65"/>
  <c r="F25" i="41"/>
  <c r="M20" i="65"/>
  <c r="F19" i="41" s="1"/>
  <c r="M16" i="65"/>
  <c r="F15" i="41"/>
  <c r="M15" i="65"/>
  <c r="F14" i="41" s="1"/>
  <c r="M10" i="65"/>
  <c r="F10" i="41"/>
  <c r="G11" i="64"/>
  <c r="G12" i="64"/>
  <c r="G13" i="64"/>
  <c r="G14" i="64"/>
  <c r="G15" i="64" s="1"/>
  <c r="G16" i="64" s="1"/>
  <c r="G17" i="64" s="1"/>
  <c r="G18" i="64" s="1"/>
  <c r="G19" i="64" s="1"/>
  <c r="G20" i="64" s="1"/>
  <c r="G21" i="64" s="1"/>
  <c r="G22" i="64"/>
  <c r="G23" i="64" s="1"/>
  <c r="G24" i="64" s="1"/>
  <c r="G25" i="64" s="1"/>
  <c r="G26" i="64" s="1"/>
  <c r="G27" i="64" s="1"/>
  <c r="G28" i="64" s="1"/>
  <c r="G29" i="64" s="1"/>
  <c r="G30" i="64" s="1"/>
  <c r="G31" i="64" s="1"/>
  <c r="I23" i="76"/>
  <c r="I27" i="76"/>
  <c r="D14" i="9" s="1"/>
  <c r="G14" i="9" s="1"/>
  <c r="D13" i="3" s="1"/>
  <c r="E108" i="76"/>
  <c r="N15" i="13"/>
  <c r="M23" i="13"/>
  <c r="P23" i="13" s="1"/>
  <c r="J46" i="76"/>
  <c r="J50" i="76"/>
  <c r="D26" i="9"/>
  <c r="D23" i="76"/>
  <c r="D27" i="76"/>
  <c r="N14" i="13"/>
  <c r="P14" i="13"/>
  <c r="M22" i="13"/>
  <c r="M9" i="65"/>
  <c r="F9" i="41"/>
  <c r="M21" i="65"/>
  <c r="F20" i="41" s="1"/>
  <c r="F20" i="63"/>
  <c r="F25" i="63"/>
  <c r="M18" i="65"/>
  <c r="F17" i="41" s="1"/>
  <c r="F13" i="63"/>
  <c r="G12" i="16"/>
  <c r="H34" i="15"/>
  <c r="H36" i="15"/>
  <c r="H37" i="15"/>
  <c r="F39" i="15"/>
  <c r="E29" i="23"/>
  <c r="F17" i="16"/>
  <c r="G17" i="16" s="1"/>
  <c r="G25" i="16" s="1"/>
  <c r="D29" i="23"/>
  <c r="D52" i="23"/>
  <c r="D18" i="23"/>
  <c r="C29" i="23"/>
  <c r="C52" i="23"/>
  <c r="A29" i="23"/>
  <c r="F27" i="9"/>
  <c r="H419" i="78"/>
  <c r="I25" i="13"/>
  <c r="O12" i="13"/>
  <c r="F14" i="13"/>
  <c r="F19" i="13"/>
  <c r="N24" i="13"/>
  <c r="K14" i="13"/>
  <c r="K23" i="13"/>
  <c r="N23" i="13"/>
  <c r="E57" i="74"/>
  <c r="G57" i="74" s="1"/>
  <c r="C46" i="76"/>
  <c r="C50" i="76"/>
  <c r="D25" i="9"/>
  <c r="D27" i="9"/>
  <c r="G27" i="9" s="1"/>
  <c r="K75" i="76"/>
  <c r="S16" i="27"/>
  <c r="E33" i="74"/>
  <c r="G33" i="74" s="1"/>
  <c r="S18" i="27"/>
  <c r="F50" i="76"/>
  <c r="F13" i="13"/>
  <c r="O20" i="13"/>
  <c r="M24" i="20"/>
  <c r="G15" i="16"/>
  <c r="D96" i="3"/>
  <c r="D98" i="3"/>
  <c r="D13" i="9"/>
  <c r="E64" i="76"/>
  <c r="K16" i="13"/>
  <c r="H20" i="15"/>
  <c r="S20" i="27"/>
  <c r="J27" i="76"/>
  <c r="D16" i="9"/>
  <c r="E70" i="76"/>
  <c r="E72" i="76"/>
  <c r="E77" i="76" s="1"/>
  <c r="F15" i="9" s="1"/>
  <c r="H31" i="15"/>
  <c r="S24" i="27"/>
  <c r="H425" i="78"/>
  <c r="H430" i="78"/>
  <c r="F11" i="21"/>
  <c r="F13" i="21" s="1"/>
  <c r="D137" i="3" s="1"/>
  <c r="G137" i="3" s="1"/>
  <c r="N19" i="14"/>
  <c r="E27" i="14"/>
  <c r="I27" i="14"/>
  <c r="K19" i="14"/>
  <c r="K52" i="14" s="1"/>
  <c r="K59" i="14" s="1"/>
  <c r="P27" i="14"/>
  <c r="G27" i="14"/>
  <c r="M19" i="14"/>
  <c r="M52" i="14" s="1"/>
  <c r="M59" i="14" s="1"/>
  <c r="Q19" i="14"/>
  <c r="H19" i="14"/>
  <c r="H52" i="14" s="1"/>
  <c r="H59" i="14" s="1"/>
  <c r="R32" i="14"/>
  <c r="R33" i="14" s="1"/>
  <c r="D68" i="3" s="1"/>
  <c r="R17" i="14"/>
  <c r="R18" i="14"/>
  <c r="K27" i="14"/>
  <c r="R26" i="14"/>
  <c r="Q27" i="14"/>
  <c r="F19" i="14"/>
  <c r="P19" i="14"/>
  <c r="G19" i="14"/>
  <c r="G52" i="14" s="1"/>
  <c r="G59" i="14" s="1"/>
  <c r="R16" i="14"/>
  <c r="N27" i="14"/>
  <c r="E19" i="14"/>
  <c r="E52" i="14" s="1"/>
  <c r="E59" i="14" s="1"/>
  <c r="F33" i="14"/>
  <c r="R14" i="14"/>
  <c r="R36" i="14"/>
  <c r="R13" i="14"/>
  <c r="E390" i="78"/>
  <c r="F389" i="78"/>
  <c r="E268" i="78"/>
  <c r="F267" i="78"/>
  <c r="E142" i="78"/>
  <c r="E296" i="78"/>
  <c r="E359" i="78"/>
  <c r="E49" i="78"/>
  <c r="F48" i="78"/>
  <c r="E79" i="78"/>
  <c r="E80" i="78" s="1"/>
  <c r="E81" i="78" s="1"/>
  <c r="F78" i="78"/>
  <c r="F514" i="78"/>
  <c r="E515" i="78"/>
  <c r="F235" i="78"/>
  <c r="E236" i="78"/>
  <c r="E205" i="78"/>
  <c r="E176" i="78"/>
  <c r="F175" i="78"/>
  <c r="E420" i="78"/>
  <c r="F419" i="78"/>
  <c r="E451" i="78"/>
  <c r="E482" i="78"/>
  <c r="F482" i="78" s="1"/>
  <c r="F481" i="78"/>
  <c r="E327" i="78"/>
  <c r="F326" i="78"/>
  <c r="E47" i="74"/>
  <c r="F47" i="74" s="1"/>
  <c r="D96" i="74"/>
  <c r="C69" i="74"/>
  <c r="E24" i="74"/>
  <c r="F24" i="74" s="1"/>
  <c r="E452" i="78"/>
  <c r="E177" i="78"/>
  <c r="E178" i="78" s="1"/>
  <c r="E50" i="78"/>
  <c r="F49" i="78"/>
  <c r="F79" i="78"/>
  <c r="E269" i="78"/>
  <c r="F269" i="78" s="1"/>
  <c r="E483" i="78"/>
  <c r="E421" i="78"/>
  <c r="F420" i="78"/>
  <c r="F205" i="78"/>
  <c r="E206" i="78"/>
  <c r="E516" i="78"/>
  <c r="F515" i="78"/>
  <c r="E360" i="78"/>
  <c r="E361" i="78" s="1"/>
  <c r="E328" i="78"/>
  <c r="E329" i="78" s="1"/>
  <c r="F327" i="78"/>
  <c r="F236" i="78"/>
  <c r="E237" i="78"/>
  <c r="E297" i="78"/>
  <c r="E143" i="78"/>
  <c r="E391" i="78"/>
  <c r="F390" i="78"/>
  <c r="E517" i="78"/>
  <c r="F517" i="78" s="1"/>
  <c r="F516" i="78"/>
  <c r="E207" i="78"/>
  <c r="F206" i="78"/>
  <c r="E422" i="78"/>
  <c r="F421" i="78"/>
  <c r="F80" i="78"/>
  <c r="F177" i="78"/>
  <c r="E298" i="78"/>
  <c r="E144" i="78"/>
  <c r="E145" i="78" s="1"/>
  <c r="F328" i="78"/>
  <c r="E270" i="78"/>
  <c r="E51" i="78"/>
  <c r="F50" i="78"/>
  <c r="E453" i="78"/>
  <c r="F422" i="78"/>
  <c r="E423" i="78"/>
  <c r="E454" i="78"/>
  <c r="F329" i="78"/>
  <c r="E330" i="78"/>
  <c r="E52" i="78"/>
  <c r="F51" i="78"/>
  <c r="F207" i="78"/>
  <c r="E208" i="78"/>
  <c r="E424" i="78"/>
  <c r="F423" i="78"/>
  <c r="E146" i="78"/>
  <c r="F145" i="78"/>
  <c r="E425" i="78"/>
  <c r="F424" i="78"/>
  <c r="F425" i="78"/>
  <c r="E426" i="78"/>
  <c r="E427" i="78" s="1"/>
  <c r="F427" i="78" s="1"/>
  <c r="F426" i="78"/>
  <c r="E428" i="78"/>
  <c r="F428" i="78"/>
  <c r="E429" i="78"/>
  <c r="F429" i="78"/>
  <c r="E430" i="78"/>
  <c r="F430" i="78" s="1"/>
  <c r="E431" i="78"/>
  <c r="E433" i="78"/>
  <c r="E48" i="74"/>
  <c r="F48" i="74"/>
  <c r="D35" i="74"/>
  <c r="E76" i="74"/>
  <c r="G76" i="74" s="1"/>
  <c r="E59" i="74"/>
  <c r="G59" i="74" s="1"/>
  <c r="E60" i="74"/>
  <c r="Q21" i="20"/>
  <c r="E24" i="20"/>
  <c r="H461" i="78"/>
  <c r="H453" i="78"/>
  <c r="H459" i="78"/>
  <c r="H451" i="78"/>
  <c r="H457" i="78"/>
  <c r="F13" i="9"/>
  <c r="J77" i="76"/>
  <c r="E84" i="76"/>
  <c r="D13" i="74"/>
  <c r="H109" i="78" s="1"/>
  <c r="H115" i="78" s="1"/>
  <c r="C77" i="76"/>
  <c r="E65" i="76"/>
  <c r="I77" i="76"/>
  <c r="K65" i="76"/>
  <c r="K77" i="76" s="1"/>
  <c r="F16" i="9" s="1"/>
  <c r="K66" i="76"/>
  <c r="H77" i="76"/>
  <c r="E95" i="76"/>
  <c r="K83" i="76"/>
  <c r="K96" i="76" s="1"/>
  <c r="F26" i="9" s="1"/>
  <c r="E107" i="76"/>
  <c r="J294" i="78"/>
  <c r="J356" i="78"/>
  <c r="J374" i="78"/>
  <c r="H357" i="78"/>
  <c r="H481" i="78"/>
  <c r="J480" i="78"/>
  <c r="J498" i="78" s="1"/>
  <c r="K108" i="76"/>
  <c r="H129" i="76"/>
  <c r="E24" i="9" s="1"/>
  <c r="G24" i="9" s="1"/>
  <c r="E33" i="9"/>
  <c r="G33" i="9"/>
  <c r="E32" i="9"/>
  <c r="N12" i="13"/>
  <c r="P12" i="13" s="1"/>
  <c r="N17" i="13"/>
  <c r="F17" i="13"/>
  <c r="D114" i="3"/>
  <c r="G114" i="3"/>
  <c r="I24" i="20"/>
  <c r="Q20" i="20"/>
  <c r="D27" i="3"/>
  <c r="M24" i="13"/>
  <c r="K24" i="13"/>
  <c r="U16" i="13"/>
  <c r="E32" i="74"/>
  <c r="R47" i="14"/>
  <c r="R46" i="14"/>
  <c r="R45" i="14"/>
  <c r="R42" i="14"/>
  <c r="O49" i="14"/>
  <c r="R40" i="14"/>
  <c r="R38" i="14"/>
  <c r="N49" i="14"/>
  <c r="J49" i="14"/>
  <c r="J52" i="14"/>
  <c r="J59" i="14" s="1"/>
  <c r="F49" i="14"/>
  <c r="R37" i="14"/>
  <c r="D86" i="3"/>
  <c r="E23" i="76"/>
  <c r="E27" i="76"/>
  <c r="H46" i="76"/>
  <c r="H50" i="76" s="1"/>
  <c r="D23" i="9" s="1"/>
  <c r="G32" i="9"/>
  <c r="D39" i="9"/>
  <c r="H16" i="15"/>
  <c r="D87" i="3"/>
  <c r="G46" i="15"/>
  <c r="E27" i="37"/>
  <c r="F11" i="37"/>
  <c r="J436" i="78"/>
  <c r="K23" i="76"/>
  <c r="K27" i="76"/>
  <c r="D17" i="9" s="1"/>
  <c r="K71" i="76"/>
  <c r="K76" i="76"/>
  <c r="E91" i="76"/>
  <c r="E96" i="76" s="1"/>
  <c r="E93" i="76"/>
  <c r="G22" i="16"/>
  <c r="I24" i="81"/>
  <c r="I39" i="81"/>
  <c r="J405" i="78"/>
  <c r="F23" i="76"/>
  <c r="F27" i="76"/>
  <c r="D11" i="9" s="1"/>
  <c r="K68" i="76"/>
  <c r="E83" i="76"/>
  <c r="K86" i="76"/>
  <c r="H295" i="78"/>
  <c r="H301" i="78" s="1"/>
  <c r="K107" i="76"/>
  <c r="H388" i="78"/>
  <c r="I129" i="76"/>
  <c r="O17" i="13"/>
  <c r="G26" i="15"/>
  <c r="H11" i="15"/>
  <c r="E25" i="16"/>
  <c r="O28" i="27"/>
  <c r="O30" i="27" s="1"/>
  <c r="I39" i="84"/>
  <c r="F91" i="84"/>
  <c r="C25" i="13"/>
  <c r="F22" i="13"/>
  <c r="S19" i="27"/>
  <c r="S23" i="27"/>
  <c r="S22" i="27"/>
  <c r="Q49" i="14"/>
  <c r="I49" i="14"/>
  <c r="R43" i="14"/>
  <c r="G49" i="14"/>
  <c r="K70" i="76"/>
  <c r="H512" i="78"/>
  <c r="N18" i="13"/>
  <c r="F18" i="13"/>
  <c r="U14" i="13"/>
  <c r="U25" i="13" s="1"/>
  <c r="U18" i="13"/>
  <c r="F26" i="37"/>
  <c r="S21" i="27"/>
  <c r="S25" i="27"/>
  <c r="F23" i="13"/>
  <c r="R25" i="13"/>
  <c r="E49" i="14"/>
  <c r="E23" i="74"/>
  <c r="F23" i="74" s="1"/>
  <c r="G23" i="74" s="1"/>
  <c r="D69" i="74"/>
  <c r="I24" i="83"/>
  <c r="I39" i="83"/>
  <c r="I83" i="83"/>
  <c r="I85" i="83"/>
  <c r="I89" i="83" s="1"/>
  <c r="F92" i="83" s="1"/>
  <c r="K49" i="14"/>
  <c r="R41" i="14"/>
  <c r="R48" i="14"/>
  <c r="H399" i="78"/>
  <c r="H397" i="78"/>
  <c r="H491" i="78"/>
  <c r="H488" i="78"/>
  <c r="H484" i="78"/>
  <c r="H482" i="78"/>
  <c r="I481" i="78"/>
  <c r="J481" i="78" s="1"/>
  <c r="J482" i="78" s="1"/>
  <c r="E102" i="76"/>
  <c r="F36" i="9" s="1"/>
  <c r="H520" i="78"/>
  <c r="H516" i="78"/>
  <c r="I516" i="78" s="1"/>
  <c r="H513" i="78"/>
  <c r="H519" i="78"/>
  <c r="H514" i="78"/>
  <c r="H521" i="78"/>
  <c r="H523" i="78"/>
  <c r="H515" i="78"/>
  <c r="I515" i="78"/>
  <c r="H517" i="78"/>
  <c r="H518" i="78"/>
  <c r="H522" i="78"/>
  <c r="D12" i="7"/>
  <c r="E39" i="9"/>
  <c r="H367" i="78"/>
  <c r="H362" i="78"/>
  <c r="H360" i="78"/>
  <c r="H358" i="78"/>
  <c r="H364" i="78"/>
  <c r="H368" i="78"/>
  <c r="H366" i="78"/>
  <c r="H359" i="78"/>
  <c r="H361" i="78"/>
  <c r="H363" i="78"/>
  <c r="H365" i="78"/>
  <c r="F91" i="83"/>
  <c r="I83" i="84"/>
  <c r="I85" i="84"/>
  <c r="I89" i="84"/>
  <c r="F92" i="84"/>
  <c r="H302" i="78"/>
  <c r="J312" i="78"/>
  <c r="I482" i="78"/>
  <c r="I517" i="78"/>
  <c r="I514" i="78"/>
  <c r="H18" i="40"/>
  <c r="F12" i="21"/>
  <c r="H22" i="40"/>
  <c r="H24" i="40"/>
  <c r="H34" i="40"/>
  <c r="H36" i="40" s="1"/>
  <c r="C13" i="5"/>
  <c r="A12" i="5"/>
  <c r="A13" i="5"/>
  <c r="I28" i="63"/>
  <c r="I26" i="63"/>
  <c r="I27" i="63"/>
  <c r="I30" i="63"/>
  <c r="I29" i="63"/>
  <c r="F18" i="63"/>
  <c r="M19" i="65"/>
  <c r="F18" i="41"/>
  <c r="C18" i="66"/>
  <c r="M17" i="65"/>
  <c r="F16" i="41"/>
  <c r="F14" i="63"/>
  <c r="M13" i="65"/>
  <c r="F12" i="41"/>
  <c r="D23" i="18"/>
  <c r="D190" i="25"/>
  <c r="D193" i="25" s="1"/>
  <c r="R76" i="14" s="1"/>
  <c r="R84" i="14" s="1"/>
  <c r="R110" i="14" s="1"/>
  <c r="D121" i="3"/>
  <c r="A14" i="3"/>
  <c r="F88" i="74"/>
  <c r="G88" i="74" s="1"/>
  <c r="F90" i="74"/>
  <c r="G67" i="74"/>
  <c r="D91" i="74"/>
  <c r="E89" i="74"/>
  <c r="G89" i="74" s="1"/>
  <c r="E55" i="75"/>
  <c r="G55" i="75" s="1"/>
  <c r="E11" i="74"/>
  <c r="F11" i="74" s="1"/>
  <c r="F13" i="74" s="1"/>
  <c r="J263" i="78"/>
  <c r="J281" i="78" s="1"/>
  <c r="J139" i="78"/>
  <c r="E20" i="74"/>
  <c r="E31" i="74"/>
  <c r="G31" i="74" s="1"/>
  <c r="E58" i="74"/>
  <c r="E25" i="74"/>
  <c r="F25" i="74" s="1"/>
  <c r="G25" i="74" s="1"/>
  <c r="E22" i="74"/>
  <c r="F22" i="74" s="1"/>
  <c r="E21" i="74"/>
  <c r="F21" i="74" s="1"/>
  <c r="F91" i="28"/>
  <c r="F92" i="28"/>
  <c r="E88" i="76"/>
  <c r="D96" i="76"/>
  <c r="K87" i="76"/>
  <c r="G26" i="9"/>
  <c r="D26" i="3" s="1"/>
  <c r="H96" i="76"/>
  <c r="H24" i="20"/>
  <c r="Q22" i="20"/>
  <c r="H12" i="15"/>
  <c r="F46" i="15"/>
  <c r="F26" i="15"/>
  <c r="J126" i="78"/>
  <c r="E17" i="74"/>
  <c r="F17" i="74" s="1"/>
  <c r="C27" i="74"/>
  <c r="E30" i="74"/>
  <c r="C35" i="74"/>
  <c r="J170" i="78" s="1"/>
  <c r="J188" i="78" s="1"/>
  <c r="E77" i="74"/>
  <c r="G77" i="74"/>
  <c r="D79" i="74"/>
  <c r="E87" i="74"/>
  <c r="F87" i="74" s="1"/>
  <c r="G87" i="74" s="1"/>
  <c r="C91" i="74"/>
  <c r="I513" i="78"/>
  <c r="I425" i="78"/>
  <c r="H369" i="78"/>
  <c r="H392" i="78"/>
  <c r="H398" i="78"/>
  <c r="H390" i="78"/>
  <c r="H391" i="78"/>
  <c r="H389" i="78"/>
  <c r="I388" i="78"/>
  <c r="H394" i="78"/>
  <c r="H396" i="78"/>
  <c r="H393" i="78"/>
  <c r="H395" i="78"/>
  <c r="F25" i="9"/>
  <c r="G25" i="9" s="1"/>
  <c r="D25" i="3" s="1"/>
  <c r="D24" i="3"/>
  <c r="H303" i="78"/>
  <c r="H304" i="78"/>
  <c r="H296" i="78"/>
  <c r="H305" i="78"/>
  <c r="H299" i="78"/>
  <c r="H306" i="78"/>
  <c r="H298" i="78"/>
  <c r="H300" i="78"/>
  <c r="H483" i="78"/>
  <c r="H492" i="78"/>
  <c r="H489" i="78"/>
  <c r="H485" i="78"/>
  <c r="H486" i="78"/>
  <c r="H487" i="78"/>
  <c r="H490" i="78"/>
  <c r="H426" i="78"/>
  <c r="I426" i="78" s="1"/>
  <c r="H423" i="78"/>
  <c r="I423" i="78" s="1"/>
  <c r="H428" i="78"/>
  <c r="H427" i="78"/>
  <c r="H429" i="78"/>
  <c r="H420" i="78"/>
  <c r="H421" i="78"/>
  <c r="I419" i="78"/>
  <c r="H454" i="78"/>
  <c r="H455" i="78"/>
  <c r="H458" i="78"/>
  <c r="H452" i="78"/>
  <c r="H456" i="78"/>
  <c r="F19" i="16"/>
  <c r="F25" i="16"/>
  <c r="D99" i="3"/>
  <c r="G99" i="3" s="1"/>
  <c r="E41" i="58"/>
  <c r="D65" i="3" s="1"/>
  <c r="E39" i="58"/>
  <c r="D64" i="3"/>
  <c r="F95" i="74"/>
  <c r="C96" i="76"/>
  <c r="D129" i="76"/>
  <c r="E13" i="9" s="1"/>
  <c r="D25" i="13"/>
  <c r="F12" i="13"/>
  <c r="O18" i="13"/>
  <c r="P18" i="13"/>
  <c r="E25" i="13"/>
  <c r="G154" i="3" s="1"/>
  <c r="O21" i="13"/>
  <c r="P21" i="13" s="1"/>
  <c r="F21" i="13"/>
  <c r="K13" i="13"/>
  <c r="M13" i="13"/>
  <c r="S17" i="27"/>
  <c r="G28" i="27"/>
  <c r="G30" i="27" s="1"/>
  <c r="I39" i="80"/>
  <c r="H17" i="15"/>
  <c r="F96" i="76"/>
  <c r="F23" i="9" s="1"/>
  <c r="I16" i="20"/>
  <c r="Q12" i="20"/>
  <c r="L27" i="14"/>
  <c r="R24" i="14"/>
  <c r="R27" i="14"/>
  <c r="D89" i="3"/>
  <c r="P20" i="13"/>
  <c r="G46" i="76"/>
  <c r="G50" i="76"/>
  <c r="D22" i="9"/>
  <c r="G22" i="9"/>
  <c r="D22" i="3" s="1"/>
  <c r="G22" i="3" s="1"/>
  <c r="G39" i="15"/>
  <c r="G41" i="15"/>
  <c r="D162" i="3" s="1"/>
  <c r="R25" i="14"/>
  <c r="I39" i="82"/>
  <c r="I83" i="82" s="1"/>
  <c r="I85" i="82" s="1"/>
  <c r="I89" i="82" s="1"/>
  <c r="R44" i="14"/>
  <c r="C23" i="76"/>
  <c r="C27" i="76"/>
  <c r="D15" i="9"/>
  <c r="G15" i="9"/>
  <c r="D14" i="3" s="1"/>
  <c r="G23" i="76"/>
  <c r="G27" i="76"/>
  <c r="D12" i="9"/>
  <c r="D77" i="76"/>
  <c r="K89" i="76"/>
  <c r="E129" i="76"/>
  <c r="E14" i="9"/>
  <c r="M17" i="13"/>
  <c r="P17" i="13"/>
  <c r="O22" i="13"/>
  <c r="O25" i="13" s="1"/>
  <c r="D33" i="3" s="1"/>
  <c r="G33" i="3" s="1"/>
  <c r="F24" i="13"/>
  <c r="F25" i="13" s="1"/>
  <c r="H73" i="44" s="1"/>
  <c r="H74" i="44" s="1"/>
  <c r="H76" i="44" s="1"/>
  <c r="F10" i="44" s="1"/>
  <c r="K15" i="13"/>
  <c r="Q23" i="20"/>
  <c r="Q28" i="27"/>
  <c r="Q30" i="27" s="1"/>
  <c r="S27" i="27"/>
  <c r="D27" i="74"/>
  <c r="E46" i="76"/>
  <c r="E50" i="76" s="1"/>
  <c r="D21" i="9" s="1"/>
  <c r="L77" i="76"/>
  <c r="F17" i="9"/>
  <c r="M19" i="13"/>
  <c r="P19" i="13"/>
  <c r="K19" i="13"/>
  <c r="U15" i="13"/>
  <c r="K24" i="20"/>
  <c r="H30" i="15"/>
  <c r="H32" i="15"/>
  <c r="K28" i="27"/>
  <c r="K30" i="27" s="1"/>
  <c r="E18" i="74"/>
  <c r="H49" i="14"/>
  <c r="G35" i="9"/>
  <c r="K88" i="76"/>
  <c r="J129" i="76"/>
  <c r="C129" i="76"/>
  <c r="G129" i="76"/>
  <c r="K12" i="13"/>
  <c r="K25" i="13"/>
  <c r="S25" i="13"/>
  <c r="F24" i="20"/>
  <c r="H19" i="15"/>
  <c r="H21" i="15"/>
  <c r="H35" i="15"/>
  <c r="I19" i="14"/>
  <c r="I52" i="14" s="1"/>
  <c r="I59" i="14" s="1"/>
  <c r="L19" i="14"/>
  <c r="R15" i="14"/>
  <c r="O19" i="14"/>
  <c r="M27" i="14"/>
  <c r="S26" i="27"/>
  <c r="H264" i="78"/>
  <c r="H272" i="78" s="1"/>
  <c r="K90" i="76"/>
  <c r="J325" i="78"/>
  <c r="H326" i="78"/>
  <c r="K22" i="13"/>
  <c r="O24" i="20"/>
  <c r="H22" i="15"/>
  <c r="I28" i="27"/>
  <c r="I30" i="27" s="1"/>
  <c r="E19" i="74"/>
  <c r="G19" i="74" s="1"/>
  <c r="D13" i="21"/>
  <c r="R39" i="14"/>
  <c r="A14" i="5"/>
  <c r="A15" i="5" s="1"/>
  <c r="A16" i="5" s="1"/>
  <c r="A17" i="5" s="1"/>
  <c r="A18" i="5" s="1"/>
  <c r="A19" i="5" s="1"/>
  <c r="A15" i="3"/>
  <c r="F20" i="74"/>
  <c r="H191" i="44"/>
  <c r="H199" i="44" s="1"/>
  <c r="H337" i="78"/>
  <c r="H333" i="78"/>
  <c r="H328" i="78"/>
  <c r="H336" i="78"/>
  <c r="H335" i="78"/>
  <c r="H327" i="78"/>
  <c r="H329" i="78"/>
  <c r="I326" i="78"/>
  <c r="H330" i="78"/>
  <c r="H331" i="78"/>
  <c r="H332" i="78"/>
  <c r="H334" i="78"/>
  <c r="E12" i="9"/>
  <c r="G156" i="3"/>
  <c r="E11" i="9"/>
  <c r="I83" i="80"/>
  <c r="I85" i="80" s="1"/>
  <c r="I89" i="80" s="1"/>
  <c r="F92" i="80" s="1"/>
  <c r="F91" i="80"/>
  <c r="I427" i="78"/>
  <c r="J388" i="78"/>
  <c r="I389" i="78"/>
  <c r="H400" i="78"/>
  <c r="F18" i="74"/>
  <c r="G18" i="74" s="1"/>
  <c r="J419" i="78"/>
  <c r="I429" i="78"/>
  <c r="I428" i="78"/>
  <c r="H26" i="15"/>
  <c r="E23" i="9"/>
  <c r="G23" i="9"/>
  <c r="D23" i="3" s="1"/>
  <c r="G23" i="3" s="1"/>
  <c r="E21" i="9"/>
  <c r="E28" i="9"/>
  <c r="D110" i="3"/>
  <c r="F91" i="82"/>
  <c r="F92" i="82"/>
  <c r="D88" i="3"/>
  <c r="G19" i="16"/>
  <c r="D95" i="3"/>
  <c r="D97" i="3" s="1"/>
  <c r="D100" i="3" s="1"/>
  <c r="I421" i="78"/>
  <c r="I390" i="78"/>
  <c r="E18" i="9"/>
  <c r="J389" i="78"/>
  <c r="J390" i="78"/>
  <c r="I329" i="78"/>
  <c r="I328" i="78"/>
  <c r="A20" i="14"/>
  <c r="A21" i="14"/>
  <c r="A22" i="14" s="1"/>
  <c r="A23" i="14" s="1"/>
  <c r="A24" i="14" s="1"/>
  <c r="A25" i="14" s="1"/>
  <c r="A26" i="14" s="1"/>
  <c r="A27" i="14" s="1"/>
  <c r="D20" i="75"/>
  <c r="D35" i="75"/>
  <c r="E31" i="75"/>
  <c r="F31" i="75" s="1"/>
  <c r="G31" i="75" s="1"/>
  <c r="D45" i="75"/>
  <c r="D57" i="75"/>
  <c r="H78" i="78" s="1"/>
  <c r="H85" i="78" s="1"/>
  <c r="D72" i="75"/>
  <c r="D86" i="75"/>
  <c r="D95" i="75" s="1"/>
  <c r="D92" i="75"/>
  <c r="E41" i="75"/>
  <c r="G41" i="75" s="1"/>
  <c r="E78" i="75"/>
  <c r="F78" i="75"/>
  <c r="G78" i="75" s="1"/>
  <c r="E80" i="75"/>
  <c r="F80" i="75" s="1"/>
  <c r="G80" i="75" s="1"/>
  <c r="L112" i="78"/>
  <c r="P112" i="78" s="1"/>
  <c r="L113" i="78"/>
  <c r="P113" i="78" s="1"/>
  <c r="L115" i="78"/>
  <c r="P115" i="78" s="1"/>
  <c r="L117" i="78"/>
  <c r="P117" i="78" s="1"/>
  <c r="L118" i="78"/>
  <c r="P118" i="78" s="1"/>
  <c r="L116" i="78"/>
  <c r="P116" i="78" s="1"/>
  <c r="L119" i="78"/>
  <c r="P119" i="78" s="1"/>
  <c r="L114" i="78"/>
  <c r="L120" i="78"/>
  <c r="P120" i="78" s="1"/>
  <c r="E19" i="75"/>
  <c r="G19" i="75" s="1"/>
  <c r="F19" i="75"/>
  <c r="E28" i="75"/>
  <c r="F28" i="75" s="1"/>
  <c r="E30" i="75"/>
  <c r="F30" i="75" s="1"/>
  <c r="E32" i="75"/>
  <c r="F32" i="75" s="1"/>
  <c r="G32" i="75" s="1"/>
  <c r="E40" i="75"/>
  <c r="G40" i="75" s="1"/>
  <c r="E42" i="75"/>
  <c r="G42" i="75" s="1"/>
  <c r="E52" i="75"/>
  <c r="G52" i="75" s="1"/>
  <c r="E54" i="75"/>
  <c r="G54" i="75" s="1"/>
  <c r="C72" i="75"/>
  <c r="E64" i="75"/>
  <c r="G64" i="75" s="1"/>
  <c r="E66" i="75"/>
  <c r="G66" i="75" s="1"/>
  <c r="E68" i="75"/>
  <c r="G68" i="75" s="1"/>
  <c r="E70" i="75"/>
  <c r="G70" i="75" s="1"/>
  <c r="E79" i="75"/>
  <c r="F79" i="75" s="1"/>
  <c r="E81" i="75"/>
  <c r="F81" i="75" s="1"/>
  <c r="E83" i="75"/>
  <c r="F83" i="75" s="1"/>
  <c r="E85" i="75"/>
  <c r="F85" i="75" s="1"/>
  <c r="G85" i="75" s="1"/>
  <c r="E17" i="75"/>
  <c r="E20" i="75" s="1"/>
  <c r="C20" i="75"/>
  <c r="E24" i="75"/>
  <c r="F24" i="75" s="1"/>
  <c r="C35" i="75"/>
  <c r="J15" i="78"/>
  <c r="J33" i="78" s="1"/>
  <c r="E26" i="75"/>
  <c r="G26" i="75" s="1"/>
  <c r="E38" i="75"/>
  <c r="G38" i="75" s="1"/>
  <c r="C45" i="75"/>
  <c r="H47" i="78" s="1"/>
  <c r="E77" i="75"/>
  <c r="C86" i="75"/>
  <c r="E50" i="75"/>
  <c r="G50" i="75" s="1"/>
  <c r="C57" i="75"/>
  <c r="J77" i="78" s="1"/>
  <c r="J95" i="78" s="1"/>
  <c r="E62" i="75"/>
  <c r="G62" i="75" s="1"/>
  <c r="E90" i="75"/>
  <c r="G90" i="75" s="1"/>
  <c r="C92" i="75"/>
  <c r="H16" i="78"/>
  <c r="H22" i="78" s="1"/>
  <c r="G89" i="75"/>
  <c r="F18" i="75"/>
  <c r="G18" i="75" s="1"/>
  <c r="F25" i="75"/>
  <c r="G25" i="75" s="1"/>
  <c r="L210" i="78"/>
  <c r="P210" i="78" s="1"/>
  <c r="L211" i="78"/>
  <c r="P211" i="78" s="1"/>
  <c r="L213" i="78"/>
  <c r="P213" i="78" s="1"/>
  <c r="L204" i="78"/>
  <c r="P204" i="78" s="1"/>
  <c r="L209" i="78"/>
  <c r="P209" i="78" s="1"/>
  <c r="L207" i="78"/>
  <c r="P207" i="78" s="1"/>
  <c r="L212" i="78"/>
  <c r="P212" i="78" s="1"/>
  <c r="L203" i="78"/>
  <c r="L205" i="78"/>
  <c r="P205" i="78" s="1"/>
  <c r="L206" i="78"/>
  <c r="P206" i="78" s="1"/>
  <c r="L208" i="78"/>
  <c r="P208" i="78" s="1"/>
  <c r="F17" i="75"/>
  <c r="F20" i="75" s="1"/>
  <c r="G17" i="75"/>
  <c r="B14" i="87"/>
  <c r="A14" i="87"/>
  <c r="A15" i="87" s="1"/>
  <c r="M34" i="15"/>
  <c r="G114" i="29"/>
  <c r="G111" i="29"/>
  <c r="F114" i="29"/>
  <c r="D140" i="25" s="1"/>
  <c r="G140" i="25" s="1"/>
  <c r="J114" i="29"/>
  <c r="K115" i="29"/>
  <c r="G116" i="29"/>
  <c r="M46" i="27"/>
  <c r="M42" i="27"/>
  <c r="H46" i="15" l="1"/>
  <c r="D85" i="3" s="1"/>
  <c r="H39" i="15"/>
  <c r="F31" i="21"/>
  <c r="D137" i="25" s="1"/>
  <c r="G142" i="25" s="1"/>
  <c r="E18" i="21"/>
  <c r="G199" i="74"/>
  <c r="R29" i="14"/>
  <c r="D67" i="3" s="1"/>
  <c r="R49" i="14"/>
  <c r="R51" i="14" s="1"/>
  <c r="D69" i="3" s="1"/>
  <c r="G69" i="3" s="1"/>
  <c r="G20" i="75"/>
  <c r="H49" i="78"/>
  <c r="I49" i="78" s="1"/>
  <c r="H58" i="78"/>
  <c r="C95" i="75"/>
  <c r="J46" i="78"/>
  <c r="J64" i="78" s="1"/>
  <c r="E14" i="75"/>
  <c r="H17" i="78"/>
  <c r="I17" i="78" s="1"/>
  <c r="G92" i="75"/>
  <c r="E86" i="75"/>
  <c r="H18" i="78"/>
  <c r="I18" i="78" s="1"/>
  <c r="A14" i="74"/>
  <c r="A15" i="74" s="1"/>
  <c r="A16" i="74" s="1"/>
  <c r="A17" i="74" s="1"/>
  <c r="A18" i="74" s="1"/>
  <c r="A19" i="74" s="1"/>
  <c r="A20" i="74" s="1"/>
  <c r="A21" i="74" s="1"/>
  <c r="A22"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C48" i="3"/>
  <c r="G47" i="74"/>
  <c r="E96" i="74"/>
  <c r="G94" i="74"/>
  <c r="F96" i="74"/>
  <c r="C48" i="25"/>
  <c r="A119" i="74"/>
  <c r="A120" i="74" s="1"/>
  <c r="A121" i="74" s="1"/>
  <c r="A122" i="74" s="1"/>
  <c r="A123" i="74" s="1"/>
  <c r="A124" i="74" s="1"/>
  <c r="A125" i="74" s="1"/>
  <c r="A126" i="74" s="1"/>
  <c r="A127" i="74" s="1"/>
  <c r="A128" i="74" s="1"/>
  <c r="A129" i="74" s="1"/>
  <c r="A130" i="74" s="1"/>
  <c r="A131" i="74" s="1"/>
  <c r="A132" i="74" s="1"/>
  <c r="A133" i="74" s="1"/>
  <c r="A134" i="74" s="1"/>
  <c r="A135" i="74" s="1"/>
  <c r="A136" i="74" s="1"/>
  <c r="A137" i="74" s="1"/>
  <c r="A138" i="74" s="1"/>
  <c r="A139" i="74" s="1"/>
  <c r="A140" i="74" s="1"/>
  <c r="A141" i="74" s="1"/>
  <c r="A142" i="74" s="1"/>
  <c r="A143" i="74" s="1"/>
  <c r="A144" i="74" s="1"/>
  <c r="A145" i="74" s="1"/>
  <c r="A146" i="74" s="1"/>
  <c r="A147" i="74" s="1"/>
  <c r="A148" i="74" s="1"/>
  <c r="A149" i="74" s="1"/>
  <c r="A150" i="74" s="1"/>
  <c r="A151" i="74" s="1"/>
  <c r="A152" i="74" s="1"/>
  <c r="A153" i="74" s="1"/>
  <c r="A154" i="74" s="1"/>
  <c r="A155" i="74" s="1"/>
  <c r="A156" i="74" s="1"/>
  <c r="A157" i="74" s="1"/>
  <c r="A159" i="74" s="1"/>
  <c r="A160" i="74" s="1"/>
  <c r="A161" i="74" s="1"/>
  <c r="A162" i="74" s="1"/>
  <c r="A163" i="74" s="1"/>
  <c r="A164" i="74" s="1"/>
  <c r="A165" i="74" s="1"/>
  <c r="A166" i="74" s="1"/>
  <c r="A167" i="74" s="1"/>
  <c r="A168" i="74" s="1"/>
  <c r="A172" i="74" s="1"/>
  <c r="A173" i="74" s="1"/>
  <c r="A174" i="74" s="1"/>
  <c r="A175" i="74" s="1"/>
  <c r="A176" i="74" s="1"/>
  <c r="A177" i="74" s="1"/>
  <c r="A178" i="74" s="1"/>
  <c r="A179" i="74" s="1"/>
  <c r="A180" i="74" s="1"/>
  <c r="A181" i="74" s="1"/>
  <c r="A182" i="74" s="1"/>
  <c r="A183" i="74" s="1"/>
  <c r="A184" i="74" s="1"/>
  <c r="A185" i="74" s="1"/>
  <c r="A186" i="74" s="1"/>
  <c r="A187" i="74" s="1"/>
  <c r="A188" i="74" s="1"/>
  <c r="A189" i="74" s="1"/>
  <c r="A190" i="74" s="1"/>
  <c r="A191" i="74" s="1"/>
  <c r="A192" i="74" s="1"/>
  <c r="A193" i="74" s="1"/>
  <c r="A194" i="74" s="1"/>
  <c r="A195" i="74" s="1"/>
  <c r="A196" i="74" s="1"/>
  <c r="A197" i="74" s="1"/>
  <c r="A198" i="74" s="1"/>
  <c r="A199" i="74" s="1"/>
  <c r="A200" i="74" s="1"/>
  <c r="A201" i="74" s="1"/>
  <c r="A202" i="74" s="1"/>
  <c r="A203" i="74" s="1"/>
  <c r="A204" i="74" s="1"/>
  <c r="A205" i="74" s="1"/>
  <c r="C50" i="25" s="1"/>
  <c r="G20" i="74"/>
  <c r="C53" i="23"/>
  <c r="Q222" i="78"/>
  <c r="D53" i="23"/>
  <c r="F41" i="21"/>
  <c r="D138" i="25" s="1"/>
  <c r="G137" i="25"/>
  <c r="A32" i="21"/>
  <c r="A33" i="21" s="1"/>
  <c r="A34" i="21" s="1"/>
  <c r="A35" i="21" s="1"/>
  <c r="A36" i="21" s="1"/>
  <c r="A37" i="21" s="1"/>
  <c r="A38" i="21" s="1"/>
  <c r="A39" i="21" s="1"/>
  <c r="A40" i="21" s="1"/>
  <c r="A41" i="21" s="1"/>
  <c r="D41" i="21"/>
  <c r="E53" i="23"/>
  <c r="G48" i="16" s="1"/>
  <c r="Q129" i="78"/>
  <c r="H24" i="78"/>
  <c r="H23" i="78"/>
  <c r="I78" i="78"/>
  <c r="H50" i="78"/>
  <c r="I50" i="78" s="1"/>
  <c r="H25" i="78"/>
  <c r="J26" i="20"/>
  <c r="L26" i="20"/>
  <c r="I26" i="20"/>
  <c r="D26" i="20"/>
  <c r="H26" i="20"/>
  <c r="Q24" i="20"/>
  <c r="D178" i="3" s="1"/>
  <c r="O26" i="20"/>
  <c r="E26" i="20"/>
  <c r="P26" i="20"/>
  <c r="M26" i="20"/>
  <c r="K26" i="20"/>
  <c r="F26" i="20"/>
  <c r="Q16" i="20"/>
  <c r="D176" i="3" s="1"/>
  <c r="D179" i="3" s="1"/>
  <c r="E177" i="3" s="1"/>
  <c r="G177" i="3" s="1"/>
  <c r="J78" i="78"/>
  <c r="I16" i="78"/>
  <c r="J16" i="78" s="1"/>
  <c r="J17" i="78" s="1"/>
  <c r="J18" i="78" s="1"/>
  <c r="F77" i="75"/>
  <c r="G77" i="75" s="1"/>
  <c r="A153" i="75"/>
  <c r="A154" i="75" s="1"/>
  <c r="A155" i="75" s="1"/>
  <c r="A156" i="75" s="1"/>
  <c r="A157" i="75" s="1"/>
  <c r="A158" i="75" s="1"/>
  <c r="A159" i="75" s="1"/>
  <c r="A160" i="75" s="1"/>
  <c r="A161" i="75" s="1"/>
  <c r="A162" i="75" s="1"/>
  <c r="A163" i="75" s="1"/>
  <c r="A164" i="75" s="1"/>
  <c r="A165" i="75" s="1"/>
  <c r="A166" i="75" s="1"/>
  <c r="A167" i="75" s="1"/>
  <c r="A168" i="75" s="1"/>
  <c r="A169" i="75" s="1"/>
  <c r="A170" i="75" s="1"/>
  <c r="A171" i="75" s="1"/>
  <c r="A172" i="75" s="1"/>
  <c r="A173" i="75" s="1"/>
  <c r="A174" i="75" s="1"/>
  <c r="A175" i="75" s="1"/>
  <c r="A176" i="75" s="1"/>
  <c r="A177" i="75" s="1"/>
  <c r="A178" i="75" s="1"/>
  <c r="A179" i="75" s="1"/>
  <c r="A180" i="75" s="1"/>
  <c r="A181" i="75" s="1"/>
  <c r="A182" i="75" s="1"/>
  <c r="A183" i="75" s="1"/>
  <c r="A184" i="75" s="1"/>
  <c r="A185" i="75" s="1"/>
  <c r="A186" i="75" s="1"/>
  <c r="A187" i="75" s="1"/>
  <c r="A188" i="75" s="1"/>
  <c r="A189" i="75" s="1"/>
  <c r="A190" i="75" s="1"/>
  <c r="A191" i="75" s="1"/>
  <c r="A192" i="75" s="1"/>
  <c r="H84" i="78"/>
  <c r="F82" i="75"/>
  <c r="G82" i="75" s="1"/>
  <c r="H79" i="78"/>
  <c r="I79" i="78" s="1"/>
  <c r="H52" i="78"/>
  <c r="H20" i="78"/>
  <c r="H27" i="78"/>
  <c r="H26" i="78"/>
  <c r="E72" i="75"/>
  <c r="G79" i="75"/>
  <c r="G201" i="74"/>
  <c r="S30" i="27"/>
  <c r="E16" i="5" s="1"/>
  <c r="L118" i="29"/>
  <c r="M56" i="27"/>
  <c r="D47" i="7" s="1"/>
  <c r="F129" i="74"/>
  <c r="G129" i="74" s="1"/>
  <c r="F193" i="74"/>
  <c r="G193" i="74" s="1"/>
  <c r="F41" i="15"/>
  <c r="F52" i="14"/>
  <c r="F59" i="14" s="1"/>
  <c r="R19" i="14"/>
  <c r="R21" i="14" s="1"/>
  <c r="D66" i="3" s="1"/>
  <c r="P52" i="14"/>
  <c r="P59" i="14" s="1"/>
  <c r="N52" i="14"/>
  <c r="N59" i="14" s="1"/>
  <c r="Q52" i="14"/>
  <c r="Q59" i="14" s="1"/>
  <c r="D70" i="3"/>
  <c r="G22" i="74"/>
  <c r="H149" i="78"/>
  <c r="H202" i="78"/>
  <c r="H203" i="78" s="1"/>
  <c r="M203" i="78" s="1"/>
  <c r="N203" i="78" s="1"/>
  <c r="O203" i="78" s="1"/>
  <c r="H271" i="78"/>
  <c r="H274" i="78"/>
  <c r="H268" i="78"/>
  <c r="H269" i="78"/>
  <c r="I269" i="78" s="1"/>
  <c r="H265" i="78"/>
  <c r="H270" i="78"/>
  <c r="H273" i="78"/>
  <c r="H266" i="78"/>
  <c r="I266" i="78" s="1"/>
  <c r="G95" i="74"/>
  <c r="G96" i="74" s="1"/>
  <c r="G90" i="74"/>
  <c r="G85" i="74"/>
  <c r="E91" i="74"/>
  <c r="G84" i="74"/>
  <c r="F91" i="74"/>
  <c r="H275" i="78"/>
  <c r="H267" i="78"/>
  <c r="I267" i="78" s="1"/>
  <c r="F69" i="74"/>
  <c r="G68" i="74"/>
  <c r="G69" i="74" s="1"/>
  <c r="E69" i="74"/>
  <c r="D98" i="74"/>
  <c r="H233" i="78"/>
  <c r="H205" i="78"/>
  <c r="I205" i="78" s="1"/>
  <c r="H204" i="78"/>
  <c r="M204" i="78" s="1"/>
  <c r="N204" i="78" s="1"/>
  <c r="O204" i="78" s="1"/>
  <c r="H210" i="78"/>
  <c r="M210" i="78" s="1"/>
  <c r="N210" i="78" s="1"/>
  <c r="O210" i="78" s="1"/>
  <c r="G39" i="74"/>
  <c r="G40" i="74" s="1"/>
  <c r="H171" i="78"/>
  <c r="H174" i="78" s="1"/>
  <c r="I174" i="78" s="1"/>
  <c r="C42" i="74"/>
  <c r="D42" i="74"/>
  <c r="O47" i="13"/>
  <c r="M49" i="13"/>
  <c r="H145" i="78"/>
  <c r="I145" i="78" s="1"/>
  <c r="N45" i="13"/>
  <c r="O46" i="13"/>
  <c r="M48" i="13"/>
  <c r="H150" i="78"/>
  <c r="H142" i="78"/>
  <c r="H148" i="78"/>
  <c r="G24" i="74"/>
  <c r="H143" i="78"/>
  <c r="H144" i="78"/>
  <c r="H146" i="78"/>
  <c r="H147" i="78"/>
  <c r="H151" i="78"/>
  <c r="F27" i="74"/>
  <c r="G17" i="74"/>
  <c r="G11" i="74"/>
  <c r="M46" i="13"/>
  <c r="M50" i="13"/>
  <c r="M54" i="27"/>
  <c r="O45" i="13"/>
  <c r="N48" i="13"/>
  <c r="O49" i="13"/>
  <c r="M45" i="13"/>
  <c r="E56" i="16"/>
  <c r="K47" i="13"/>
  <c r="K55" i="13"/>
  <c r="M12" i="15"/>
  <c r="M16" i="15"/>
  <c r="D87" i="25" s="1"/>
  <c r="M18" i="15"/>
  <c r="D38" i="7" s="1"/>
  <c r="M20" i="15"/>
  <c r="M22" i="15"/>
  <c r="M32" i="15"/>
  <c r="N50" i="13"/>
  <c r="O51" i="13"/>
  <c r="M53" i="13"/>
  <c r="N54" i="13"/>
  <c r="O55" i="13"/>
  <c r="M35" i="15"/>
  <c r="M23" i="15"/>
  <c r="D91" i="25" s="1"/>
  <c r="M37" i="15"/>
  <c r="K46" i="15"/>
  <c r="M36" i="15"/>
  <c r="J69" i="20"/>
  <c r="J71" i="20" s="1"/>
  <c r="G118" i="29"/>
  <c r="M118" i="29"/>
  <c r="R117" i="29"/>
  <c r="J118" i="29"/>
  <c r="R116" i="29"/>
  <c r="R114" i="29"/>
  <c r="R115" i="29"/>
  <c r="F118" i="29"/>
  <c r="R111" i="29"/>
  <c r="M57" i="27"/>
  <c r="E53" i="29"/>
  <c r="S31" i="27" s="1"/>
  <c r="L58" i="29"/>
  <c r="R51" i="29"/>
  <c r="K58" i="29"/>
  <c r="Q58" i="29"/>
  <c r="M58" i="29"/>
  <c r="R56" i="29"/>
  <c r="I58" i="29"/>
  <c r="F58" i="29"/>
  <c r="R54" i="29"/>
  <c r="H58" i="29"/>
  <c r="R57" i="29"/>
  <c r="O58" i="29"/>
  <c r="G58" i="29"/>
  <c r="J58" i="29"/>
  <c r="D18" i="7"/>
  <c r="N58" i="29"/>
  <c r="D39" i="7"/>
  <c r="D90" i="25"/>
  <c r="F49" i="13"/>
  <c r="N49" i="13"/>
  <c r="L295" i="78"/>
  <c r="L302" i="78" s="1"/>
  <c r="M302" i="78" s="1"/>
  <c r="N302" i="78" s="1"/>
  <c r="F52" i="16"/>
  <c r="G52" i="16" s="1"/>
  <c r="G61" i="20"/>
  <c r="Q57" i="20"/>
  <c r="Q61" i="20" s="1"/>
  <c r="D177" i="25" s="1"/>
  <c r="D121" i="25"/>
  <c r="N53" i="13"/>
  <c r="O54" i="13"/>
  <c r="U49" i="13"/>
  <c r="E124" i="75"/>
  <c r="F124" i="75" s="1"/>
  <c r="E126" i="75"/>
  <c r="F126" i="75" s="1"/>
  <c r="G126" i="75" s="1"/>
  <c r="M13" i="15"/>
  <c r="K54" i="13"/>
  <c r="K26" i="15"/>
  <c r="E123" i="74"/>
  <c r="F123" i="74" s="1"/>
  <c r="G123" i="74" s="1"/>
  <c r="M25" i="15"/>
  <c r="M38" i="15"/>
  <c r="E69" i="20"/>
  <c r="E71" i="20" s="1"/>
  <c r="I69" i="20"/>
  <c r="I71" i="20" s="1"/>
  <c r="M69" i="20"/>
  <c r="M71" i="20" s="1"/>
  <c r="D69" i="20"/>
  <c r="D71" i="20" s="1"/>
  <c r="H69" i="20"/>
  <c r="H71" i="20" s="1"/>
  <c r="L69" i="20"/>
  <c r="L71" i="20" s="1"/>
  <c r="P69" i="20"/>
  <c r="P71" i="20" s="1"/>
  <c r="G69" i="20"/>
  <c r="K69" i="20"/>
  <c r="K71" i="20" s="1"/>
  <c r="O69" i="20"/>
  <c r="O71" i="20" s="1"/>
  <c r="Q68" i="20"/>
  <c r="P80" i="20"/>
  <c r="P82" i="20" s="1"/>
  <c r="F177" i="25" s="1"/>
  <c r="G72" i="75"/>
  <c r="F35" i="75"/>
  <c r="A84" i="14"/>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8" i="14" s="1"/>
  <c r="A109" i="14" s="1"/>
  <c r="A110" i="14" s="1"/>
  <c r="A111" i="14" s="1"/>
  <c r="A112" i="14" s="1"/>
  <c r="A113" i="14" s="1"/>
  <c r="A114" i="14" s="1"/>
  <c r="A115" i="14" s="1"/>
  <c r="A116" i="14" s="1"/>
  <c r="A117" i="14" s="1"/>
  <c r="A118" i="14" s="1"/>
  <c r="A119" i="14" s="1"/>
  <c r="A28" i="14"/>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20" i="5"/>
  <c r="A21" i="5" s="1"/>
  <c r="A22" i="5" s="1"/>
  <c r="A23" i="5" s="1"/>
  <c r="C23" i="5"/>
  <c r="C21" i="5"/>
  <c r="M115" i="78"/>
  <c r="N115" i="78" s="1"/>
  <c r="G16" i="9"/>
  <c r="D15" i="3" s="1"/>
  <c r="F18" i="9"/>
  <c r="D40" i="3"/>
  <c r="J79" i="78"/>
  <c r="B16" i="87"/>
  <c r="A16" i="87"/>
  <c r="A22" i="25"/>
  <c r="H338" i="78"/>
  <c r="I327" i="78"/>
  <c r="A16" i="3"/>
  <c r="P13" i="13"/>
  <c r="M25" i="13"/>
  <c r="D31" i="3" s="1"/>
  <c r="F50" i="74"/>
  <c r="G48" i="74"/>
  <c r="E271" i="78"/>
  <c r="F270" i="78"/>
  <c r="F237" i="78"/>
  <c r="E238" i="78"/>
  <c r="E484" i="78"/>
  <c r="F483" i="78"/>
  <c r="I483" i="78" s="1"/>
  <c r="D295" i="78"/>
  <c r="F296" i="78"/>
  <c r="H82" i="78"/>
  <c r="H83" i="78"/>
  <c r="H86" i="78"/>
  <c r="H57" i="78"/>
  <c r="H54" i="78"/>
  <c r="P203" i="78"/>
  <c r="P214" i="78" s="1"/>
  <c r="P114" i="78"/>
  <c r="P121" i="78" s="1"/>
  <c r="G24" i="75"/>
  <c r="G81" i="75"/>
  <c r="G28" i="75"/>
  <c r="D166" i="3"/>
  <c r="C19" i="5"/>
  <c r="G17" i="9"/>
  <c r="D16" i="3" s="1"/>
  <c r="F27" i="37"/>
  <c r="D106" i="3"/>
  <c r="J377" i="78"/>
  <c r="E392" i="78"/>
  <c r="F391" i="78"/>
  <c r="I391" i="78" s="1"/>
  <c r="J391" i="78" s="1"/>
  <c r="I430" i="78"/>
  <c r="G13" i="9"/>
  <c r="D12" i="3" s="1"/>
  <c r="S28" i="27"/>
  <c r="H139" i="44"/>
  <c r="M109" i="78"/>
  <c r="H110" i="78"/>
  <c r="H114" i="78"/>
  <c r="H120" i="78"/>
  <c r="H118" i="78"/>
  <c r="H112" i="78"/>
  <c r="H111" i="78"/>
  <c r="H113" i="78"/>
  <c r="H117" i="78"/>
  <c r="D141" i="25"/>
  <c r="G141" i="25" s="1"/>
  <c r="C17" i="25"/>
  <c r="H89" i="78"/>
  <c r="H88" i="78"/>
  <c r="H80" i="78"/>
  <c r="H48" i="78"/>
  <c r="H56" i="78"/>
  <c r="H51" i="78"/>
  <c r="I51" i="78" s="1"/>
  <c r="L214" i="78"/>
  <c r="I153" i="74" s="1"/>
  <c r="H21" i="78"/>
  <c r="H19" i="78"/>
  <c r="I19" i="78" s="1"/>
  <c r="L121" i="78"/>
  <c r="I117" i="74" s="1"/>
  <c r="G30" i="75"/>
  <c r="I270" i="78"/>
  <c r="H119" i="78"/>
  <c r="H41" i="15"/>
  <c r="D84" i="3" s="1"/>
  <c r="D41" i="3"/>
  <c r="I420" i="78"/>
  <c r="G11" i="9"/>
  <c r="D18" i="9"/>
  <c r="I83" i="81"/>
  <c r="I85" i="81" s="1"/>
  <c r="I89" i="81" s="1"/>
  <c r="F92" i="81" s="1"/>
  <c r="E11" i="5" s="1"/>
  <c r="F91" i="81"/>
  <c r="E455" i="78"/>
  <c r="E456" i="78" s="1"/>
  <c r="J47" i="45"/>
  <c r="G36" i="9"/>
  <c r="D111" i="3" s="1"/>
  <c r="F39" i="9"/>
  <c r="J470" i="78"/>
  <c r="H462" i="78"/>
  <c r="C49" i="3"/>
  <c r="A43" i="74"/>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A81" i="74" s="1"/>
  <c r="A82" i="74" s="1"/>
  <c r="A83" i="74" s="1"/>
  <c r="A84" i="74" s="1"/>
  <c r="A85" i="74" s="1"/>
  <c r="A86" i="74" s="1"/>
  <c r="A87" i="74" s="1"/>
  <c r="A88" i="74" s="1"/>
  <c r="A89" i="74" s="1"/>
  <c r="A90" i="74" s="1"/>
  <c r="A91" i="74" s="1"/>
  <c r="A92" i="74" s="1"/>
  <c r="A93" i="74" s="1"/>
  <c r="A94" i="74" s="1"/>
  <c r="A95" i="74" s="1"/>
  <c r="A96" i="74" s="1"/>
  <c r="A97" i="74" s="1"/>
  <c r="A98" i="74" s="1"/>
  <c r="C50" i="3" s="1"/>
  <c r="C49" i="25"/>
  <c r="H81" i="78"/>
  <c r="H87" i="78"/>
  <c r="H55" i="78"/>
  <c r="H53" i="78"/>
  <c r="G83" i="75"/>
  <c r="E92" i="75"/>
  <c r="G21" i="74"/>
  <c r="H116" i="78"/>
  <c r="J326" i="78"/>
  <c r="J346" i="78"/>
  <c r="J343" i="78"/>
  <c r="D90" i="3"/>
  <c r="D15" i="7"/>
  <c r="D28" i="9"/>
  <c r="G21" i="9"/>
  <c r="G12" i="9"/>
  <c r="D11" i="3" s="1"/>
  <c r="G153" i="3"/>
  <c r="G155" i="3" s="1"/>
  <c r="G157" i="3" s="1"/>
  <c r="G158" i="3" s="1"/>
  <c r="F28" i="9"/>
  <c r="J501" i="78"/>
  <c r="H493" i="78"/>
  <c r="I296" i="78"/>
  <c r="J408" i="78"/>
  <c r="J157" i="78"/>
  <c r="J532" i="78"/>
  <c r="H524" i="78"/>
  <c r="F298" i="78"/>
  <c r="I298" i="78" s="1"/>
  <c r="E299" i="78"/>
  <c r="N25" i="13"/>
  <c r="D32" i="3" s="1"/>
  <c r="G32" i="3" s="1"/>
  <c r="P24" i="13"/>
  <c r="C22" i="66"/>
  <c r="M22" i="65"/>
  <c r="F21" i="41" s="1"/>
  <c r="F21" i="63"/>
  <c r="L47" i="45"/>
  <c r="E113" i="78"/>
  <c r="F112" i="78"/>
  <c r="E147" i="78"/>
  <c r="F146" i="78"/>
  <c r="I146" i="78" s="1"/>
  <c r="F52" i="78"/>
  <c r="E53" i="78"/>
  <c r="E362" i="78"/>
  <c r="F361" i="78"/>
  <c r="I361" i="78" s="1"/>
  <c r="E179" i="78"/>
  <c r="F178" i="78"/>
  <c r="H424" i="78"/>
  <c r="I424" i="78" s="1"/>
  <c r="H422" i="78"/>
  <c r="I422" i="78" s="1"/>
  <c r="F24" i="63"/>
  <c r="C25" i="66"/>
  <c r="M25" i="65"/>
  <c r="F24" i="41" s="1"/>
  <c r="P15" i="13"/>
  <c r="D358" i="78"/>
  <c r="F359" i="78"/>
  <c r="I359" i="78" s="1"/>
  <c r="F234" i="78"/>
  <c r="D233" i="78"/>
  <c r="A18" i="9"/>
  <c r="A19" i="9" s="1"/>
  <c r="A20" i="9" s="1"/>
  <c r="A21" i="9" s="1"/>
  <c r="C18" i="9"/>
  <c r="A66" i="20"/>
  <c r="A67" i="20" s="1"/>
  <c r="A68" i="20" s="1"/>
  <c r="A69" i="20" s="1"/>
  <c r="C69" i="20"/>
  <c r="A61" i="9"/>
  <c r="A62" i="9" s="1"/>
  <c r="A63" i="9" s="1"/>
  <c r="A64" i="9" s="1"/>
  <c r="C61" i="9"/>
  <c r="A15" i="18"/>
  <c r="A16" i="18" s="1"/>
  <c r="A17" i="18" s="1"/>
  <c r="A18" i="18" s="1"/>
  <c r="A19" i="18" s="1"/>
  <c r="A20" i="18" s="1"/>
  <c r="A21" i="18" s="1"/>
  <c r="A22" i="18" s="1"/>
  <c r="A23" i="18" s="1"/>
  <c r="C23" i="18"/>
  <c r="D13" i="7"/>
  <c r="D16" i="7" s="1"/>
  <c r="P22" i="13"/>
  <c r="H297" i="78"/>
  <c r="E209" i="78"/>
  <c r="F208" i="78"/>
  <c r="F330" i="78"/>
  <c r="I330" i="78" s="1"/>
  <c r="E331" i="78"/>
  <c r="F360" i="78"/>
  <c r="I360" i="78" s="1"/>
  <c r="A30" i="23"/>
  <c r="A31" i="23" s="1"/>
  <c r="A32" i="23" s="1"/>
  <c r="A33" i="23" s="1"/>
  <c r="A34" i="23" s="1"/>
  <c r="A35" i="23" s="1"/>
  <c r="A36" i="23" s="1"/>
  <c r="A37" i="23" s="1"/>
  <c r="A38" i="23" s="1"/>
  <c r="A39" i="23" s="1"/>
  <c r="A40" i="23" s="1"/>
  <c r="A41" i="23" s="1"/>
  <c r="A42" i="23" s="1"/>
  <c r="A43" i="23" s="1"/>
  <c r="A44" i="23" s="1"/>
  <c r="A45" i="23" s="1"/>
  <c r="A46" i="23" s="1"/>
  <c r="A47" i="23" s="1"/>
  <c r="A48" i="23" s="1"/>
  <c r="A49" i="23" s="1"/>
  <c r="B52" i="23"/>
  <c r="A17" i="28"/>
  <c r="D143" i="78"/>
  <c r="F144" i="78"/>
  <c r="I144" i="78" s="1"/>
  <c r="A28" i="78"/>
  <c r="A29" i="78" s="1"/>
  <c r="A30" i="78" s="1"/>
  <c r="A31" i="78" s="1"/>
  <c r="A32" i="78" s="1"/>
  <c r="A33" i="78" s="1"/>
  <c r="N34" i="78"/>
  <c r="A19" i="44"/>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F202" i="44"/>
  <c r="O52" i="14"/>
  <c r="O59" i="14" s="1"/>
  <c r="E518" i="78"/>
  <c r="F176" i="78"/>
  <c r="F81" i="78"/>
  <c r="E82" i="78"/>
  <c r="F268" i="78"/>
  <c r="C14" i="66"/>
  <c r="M14" i="65"/>
  <c r="F13" i="41" s="1"/>
  <c r="F13" i="42" s="1"/>
  <c r="H27" i="42"/>
  <c r="H31" i="42"/>
  <c r="H41" i="42"/>
  <c r="H45" i="42"/>
  <c r="H19" i="42"/>
  <c r="H15" i="42"/>
  <c r="H49" i="42" s="1"/>
  <c r="H33" i="42"/>
  <c r="H29" i="42"/>
  <c r="F297" i="78"/>
  <c r="D454" i="78"/>
  <c r="F455" i="78"/>
  <c r="I455" i="78" s="1"/>
  <c r="F265" i="78"/>
  <c r="I265" i="78" s="1"/>
  <c r="D264" i="78"/>
  <c r="F139" i="44"/>
  <c r="H47" i="45"/>
  <c r="A21" i="20"/>
  <c r="A22" i="20" s="1"/>
  <c r="A23" i="20" s="1"/>
  <c r="A24" i="20" s="1"/>
  <c r="C24" i="20"/>
  <c r="C17" i="9"/>
  <c r="C13" i="9"/>
  <c r="C16" i="9"/>
  <c r="C15" i="9"/>
  <c r="C12" i="9"/>
  <c r="A28" i="76"/>
  <c r="A29" i="76" s="1"/>
  <c r="A30" i="76" s="1"/>
  <c r="A31" i="76" s="1"/>
  <c r="A32" i="76" s="1"/>
  <c r="A33" i="76" s="1"/>
  <c r="C11" i="9"/>
  <c r="C57" i="9"/>
  <c r="C58" i="9"/>
  <c r="C54" i="9"/>
  <c r="C60" i="9"/>
  <c r="C56" i="9"/>
  <c r="C21" i="24"/>
  <c r="A18" i="24"/>
  <c r="A19" i="24" s="1"/>
  <c r="A20" i="24" s="1"/>
  <c r="A21" i="24" s="1"/>
  <c r="F138" i="44"/>
  <c r="H138" i="44" s="1"/>
  <c r="F512" i="78"/>
  <c r="I512" i="78" s="1"/>
  <c r="D524" i="78"/>
  <c r="F13" i="48"/>
  <c r="E14" i="48"/>
  <c r="H41" i="43"/>
  <c r="H21" i="43"/>
  <c r="H17" i="43"/>
  <c r="H15" i="43"/>
  <c r="F20" i="78"/>
  <c r="E21" i="78"/>
  <c r="C55" i="9"/>
  <c r="A38" i="48"/>
  <c r="A39" i="48" s="1"/>
  <c r="A40" i="48" s="1"/>
  <c r="A41" i="48" s="1"/>
  <c r="A42" i="48" s="1"/>
  <c r="A43" i="48" s="1"/>
  <c r="A44" i="48" s="1"/>
  <c r="A45" i="48" s="1"/>
  <c r="A46" i="48" s="1"/>
  <c r="A47" i="48" s="1"/>
  <c r="A48" i="48" s="1"/>
  <c r="B50" i="48" s="1"/>
  <c r="A20" i="40"/>
  <c r="A22" i="40" s="1"/>
  <c r="A24" i="40" s="1"/>
  <c r="I22" i="40"/>
  <c r="A14" i="48"/>
  <c r="A15" i="48" s="1"/>
  <c r="A16" i="48" s="1"/>
  <c r="A17" i="48" s="1"/>
  <c r="A18" i="48" s="1"/>
  <c r="A19" i="48" s="1"/>
  <c r="A20" i="48" s="1"/>
  <c r="A21" i="48" s="1"/>
  <c r="A22" i="48" s="1"/>
  <c r="A23" i="48" s="1"/>
  <c r="A24" i="48" s="1"/>
  <c r="B26" i="48"/>
  <c r="A46" i="13"/>
  <c r="A47" i="13" s="1"/>
  <c r="A48" i="13" s="1"/>
  <c r="A49" i="13" s="1"/>
  <c r="A50" i="13" s="1"/>
  <c r="A51" i="13" s="1"/>
  <c r="A52" i="13" s="1"/>
  <c r="A53" i="13" s="1"/>
  <c r="A54" i="13" s="1"/>
  <c r="A55" i="13" s="1"/>
  <c r="A56" i="13" s="1"/>
  <c r="A57" i="13" s="1"/>
  <c r="A58" i="13" s="1"/>
  <c r="B58" i="13"/>
  <c r="F176" i="44"/>
  <c r="H6" i="53"/>
  <c r="H7" i="53" s="1"/>
  <c r="C139" i="3"/>
  <c r="F110" i="78"/>
  <c r="D109" i="78"/>
  <c r="C96" i="25"/>
  <c r="C12" i="25"/>
  <c r="A11" i="7"/>
  <c r="A12" i="7" s="1"/>
  <c r="A13" i="7" s="1"/>
  <c r="A14" i="7" s="1"/>
  <c r="A15" i="7" s="1"/>
  <c r="A16" i="7" s="1"/>
  <c r="C16" i="7"/>
  <c r="F59" i="44"/>
  <c r="C66" i="3"/>
  <c r="H5" i="53"/>
  <c r="C137" i="3"/>
  <c r="F204" i="78"/>
  <c r="D203" i="78"/>
  <c r="C118" i="3"/>
  <c r="C178" i="3"/>
  <c r="C32" i="3"/>
  <c r="H173" i="44"/>
  <c r="H175" i="44" s="1"/>
  <c r="C87" i="3"/>
  <c r="F47" i="78"/>
  <c r="I47" i="78" s="1"/>
  <c r="D59" i="78"/>
  <c r="I118" i="29"/>
  <c r="C81" i="5"/>
  <c r="B16" i="84"/>
  <c r="A16" i="84"/>
  <c r="B14" i="82"/>
  <c r="A14" i="82"/>
  <c r="A15" i="82" s="1"/>
  <c r="C67" i="5"/>
  <c r="R55" i="29"/>
  <c r="R58" i="29" s="1"/>
  <c r="D132" i="25"/>
  <c r="P58" i="29"/>
  <c r="A14" i="81"/>
  <c r="A15" i="81" s="1"/>
  <c r="B14" i="81"/>
  <c r="L52" i="14"/>
  <c r="L59" i="14" s="1"/>
  <c r="C98" i="74"/>
  <c r="B14" i="83"/>
  <c r="A14" i="83"/>
  <c r="A15" i="83" s="1"/>
  <c r="A16" i="80"/>
  <c r="B16" i="80"/>
  <c r="D98" i="25"/>
  <c r="G46" i="16"/>
  <c r="N118" i="29"/>
  <c r="Q118" i="29"/>
  <c r="M29" i="65"/>
  <c r="F28" i="41" s="1"/>
  <c r="G202" i="74"/>
  <c r="G75" i="74"/>
  <c r="O118" i="29"/>
  <c r="M31" i="65"/>
  <c r="F30" i="41" s="1"/>
  <c r="G33" i="75"/>
  <c r="K114" i="29"/>
  <c r="K118" i="29" s="1"/>
  <c r="H114" i="29"/>
  <c r="G23" i="18"/>
  <c r="L26" i="15"/>
  <c r="L46" i="15"/>
  <c r="M17" i="15"/>
  <c r="G50" i="16"/>
  <c r="N51" i="13"/>
  <c r="O52" i="13"/>
  <c r="P114" i="29"/>
  <c r="P118" i="29" s="1"/>
  <c r="Q66" i="20"/>
  <c r="N52" i="13"/>
  <c r="O53" i="13"/>
  <c r="M55" i="13"/>
  <c r="F56" i="13"/>
  <c r="O57" i="13"/>
  <c r="K48" i="13"/>
  <c r="U48" i="13"/>
  <c r="L39" i="15"/>
  <c r="D35" i="7"/>
  <c r="D86" i="25"/>
  <c r="F69" i="20"/>
  <c r="F71" i="20" s="1"/>
  <c r="N69" i="20"/>
  <c r="N71" i="20" s="1"/>
  <c r="Q67" i="20"/>
  <c r="Q65" i="20"/>
  <c r="G157" i="25"/>
  <c r="E66" i="9"/>
  <c r="M30" i="15"/>
  <c r="K39" i="15"/>
  <c r="E57" i="9"/>
  <c r="E142" i="75"/>
  <c r="G142" i="75" s="1"/>
  <c r="N55" i="13"/>
  <c r="O56" i="13"/>
  <c r="U46" i="13"/>
  <c r="U47" i="13"/>
  <c r="R58" i="13"/>
  <c r="U50" i="13"/>
  <c r="U55" i="13"/>
  <c r="J58" i="13"/>
  <c r="K52" i="13"/>
  <c r="K56" i="13"/>
  <c r="E65" i="9"/>
  <c r="D59" i="9"/>
  <c r="D57" i="9"/>
  <c r="N46" i="13"/>
  <c r="F46" i="13"/>
  <c r="K45" i="13"/>
  <c r="I58" i="13"/>
  <c r="L481" i="78"/>
  <c r="L492" i="78" s="1"/>
  <c r="Q480" i="78"/>
  <c r="Q498" i="78" s="1"/>
  <c r="L450" i="78"/>
  <c r="L455" i="78" s="1"/>
  <c r="F47" i="13"/>
  <c r="N47" i="13"/>
  <c r="E67" i="9"/>
  <c r="E130" i="74"/>
  <c r="O50" i="13"/>
  <c r="S58" i="13"/>
  <c r="T58" i="13"/>
  <c r="D114" i="25" s="1"/>
  <c r="G114" i="25" s="1"/>
  <c r="F55" i="13"/>
  <c r="M56" i="13"/>
  <c r="K49" i="13"/>
  <c r="K51" i="13"/>
  <c r="K53" i="13"/>
  <c r="U54" i="13"/>
  <c r="U56" i="13"/>
  <c r="D68" i="9"/>
  <c r="F53" i="13"/>
  <c r="K50" i="13"/>
  <c r="U53" i="13"/>
  <c r="F80" i="9"/>
  <c r="E132" i="75"/>
  <c r="F132" i="75" s="1"/>
  <c r="G132" i="75" s="1"/>
  <c r="C69" i="3"/>
  <c r="C67" i="25"/>
  <c r="C70" i="5"/>
  <c r="F127" i="75"/>
  <c r="G127" i="75" s="1"/>
  <c r="F52" i="13"/>
  <c r="M52" i="13"/>
  <c r="E77" i="9"/>
  <c r="E75" i="9"/>
  <c r="O48" i="13"/>
  <c r="F48" i="13"/>
  <c r="E58" i="13"/>
  <c r="G155" i="25" s="1"/>
  <c r="F51" i="13"/>
  <c r="M51" i="13"/>
  <c r="C58" i="13"/>
  <c r="L419" i="78"/>
  <c r="Q418" i="78"/>
  <c r="D58" i="9"/>
  <c r="M54" i="13"/>
  <c r="F54" i="13"/>
  <c r="N56" i="13"/>
  <c r="D58" i="13"/>
  <c r="F57" i="13"/>
  <c r="M57" i="13"/>
  <c r="K57" i="13"/>
  <c r="N57" i="13"/>
  <c r="E56" i="9"/>
  <c r="F45" i="13"/>
  <c r="H58" i="13"/>
  <c r="U51" i="13"/>
  <c r="U52" i="13"/>
  <c r="U57" i="13"/>
  <c r="E66" i="58"/>
  <c r="M47" i="13"/>
  <c r="F50" i="13"/>
  <c r="K46" i="13"/>
  <c r="E128" i="75"/>
  <c r="G128" i="75" s="1"/>
  <c r="C68" i="25"/>
  <c r="B13" i="2"/>
  <c r="C71" i="5"/>
  <c r="C69" i="5"/>
  <c r="B19" i="2"/>
  <c r="C64" i="5"/>
  <c r="C69" i="25"/>
  <c r="B38" i="2"/>
  <c r="C68" i="5"/>
  <c r="C114" i="25"/>
  <c r="C177" i="3"/>
  <c r="C162" i="3"/>
  <c r="C99" i="25"/>
  <c r="C65" i="5"/>
  <c r="C84" i="3"/>
  <c r="B32" i="2"/>
  <c r="B31" i="2"/>
  <c r="B35" i="2"/>
  <c r="C10" i="7"/>
  <c r="C90" i="25"/>
  <c r="C90" i="3"/>
  <c r="C35" i="7"/>
  <c r="C92" i="25"/>
  <c r="C99" i="3"/>
  <c r="C85" i="3"/>
  <c r="C36" i="7"/>
  <c r="C163" i="25"/>
  <c r="C47" i="7"/>
  <c r="B53" i="43"/>
  <c r="C66" i="25"/>
  <c r="C66" i="5"/>
  <c r="C179" i="25"/>
  <c r="C34" i="7"/>
  <c r="C95" i="25"/>
  <c r="B26" i="2"/>
  <c r="C88" i="3"/>
  <c r="C89" i="3"/>
  <c r="C24" i="7"/>
  <c r="B14" i="2"/>
  <c r="C13" i="25"/>
  <c r="C176" i="3"/>
  <c r="C138" i="25"/>
  <c r="C141" i="25"/>
  <c r="C16" i="5"/>
  <c r="C140" i="25"/>
  <c r="B55" i="43"/>
  <c r="B53" i="42"/>
  <c r="F73" i="44"/>
  <c r="C18" i="7"/>
  <c r="C118" i="25"/>
  <c r="C137" i="25"/>
  <c r="C42" i="7"/>
  <c r="C138" i="3"/>
  <c r="B34" i="2"/>
  <c r="C140" i="3"/>
  <c r="C114" i="3"/>
  <c r="B55" i="42"/>
  <c r="B36" i="2"/>
  <c r="C119" i="3"/>
  <c r="B30" i="2"/>
  <c r="C96" i="3"/>
  <c r="C55" i="3"/>
  <c r="B25" i="2"/>
  <c r="C87" i="25"/>
  <c r="C91" i="3"/>
  <c r="C91" i="25"/>
  <c r="C86" i="3"/>
  <c r="C11" i="7"/>
  <c r="C37" i="7"/>
  <c r="C11" i="25"/>
  <c r="B21" i="2"/>
  <c r="C95" i="3"/>
  <c r="C92" i="3"/>
  <c r="C85" i="25"/>
  <c r="C15" i="7"/>
  <c r="C88" i="25"/>
  <c r="C84" i="25"/>
  <c r="C38" i="7"/>
  <c r="C177" i="25"/>
  <c r="C178" i="25"/>
  <c r="C89" i="25"/>
  <c r="C21" i="3"/>
  <c r="B42" i="2"/>
  <c r="C86" i="25"/>
  <c r="C39" i="7"/>
  <c r="C12" i="7"/>
  <c r="C14" i="7"/>
  <c r="C13" i="7"/>
  <c r="C155" i="25"/>
  <c r="B18" i="2"/>
  <c r="I26" i="40"/>
  <c r="C64" i="3"/>
  <c r="C154" i="3"/>
  <c r="C31" i="25"/>
  <c r="C33" i="25"/>
  <c r="C32" i="25"/>
  <c r="C31" i="3"/>
  <c r="C33" i="3"/>
  <c r="I38" i="40"/>
  <c r="B40" i="2"/>
  <c r="C65" i="25"/>
  <c r="C120" i="3"/>
  <c r="C120" i="25"/>
  <c r="C10" i="25"/>
  <c r="C21" i="25"/>
  <c r="C153" i="3"/>
  <c r="C10" i="3"/>
  <c r="C14" i="3"/>
  <c r="C55" i="25"/>
  <c r="C79" i="5"/>
  <c r="B39" i="2"/>
  <c r="C80" i="5"/>
  <c r="C82" i="5"/>
  <c r="C154" i="25"/>
  <c r="C15" i="3"/>
  <c r="C13" i="3"/>
  <c r="C119" i="25"/>
  <c r="C54" i="25"/>
  <c r="C54" i="3"/>
  <c r="C64" i="25"/>
  <c r="C65" i="3"/>
  <c r="B15" i="2"/>
  <c r="C12" i="3"/>
  <c r="C78" i="5"/>
  <c r="C75" i="5"/>
  <c r="C16" i="3"/>
  <c r="B29" i="2"/>
  <c r="C107" i="25"/>
  <c r="C11" i="3"/>
  <c r="C15" i="25"/>
  <c r="C14" i="25"/>
  <c r="C16" i="25"/>
  <c r="B22" i="2"/>
  <c r="C77" i="5"/>
  <c r="C76" i="5"/>
  <c r="G156" i="25" l="1"/>
  <c r="C68" i="3"/>
  <c r="C67" i="3"/>
  <c r="A193" i="75"/>
  <c r="A200" i="75" s="1"/>
  <c r="A201" i="75" s="1"/>
  <c r="C51" i="25" s="1"/>
  <c r="H152" i="78"/>
  <c r="H207" i="78"/>
  <c r="M207" i="78" s="1"/>
  <c r="N207" i="78" s="1"/>
  <c r="O207" i="78" s="1"/>
  <c r="H211" i="78"/>
  <c r="M211" i="78" s="1"/>
  <c r="N211" i="78" s="1"/>
  <c r="O211" i="78" s="1"/>
  <c r="H212" i="78"/>
  <c r="M212" i="78" s="1"/>
  <c r="N212" i="78" s="1"/>
  <c r="O212" i="78" s="1"/>
  <c r="J160" i="78"/>
  <c r="H208" i="78"/>
  <c r="M208" i="78" s="1"/>
  <c r="N208" i="78" s="1"/>
  <c r="O208" i="78" s="1"/>
  <c r="H206" i="78"/>
  <c r="M202" i="78"/>
  <c r="N202" i="78" s="1"/>
  <c r="O202" i="78" s="1"/>
  <c r="H213" i="78"/>
  <c r="M213" i="78" s="1"/>
  <c r="N213" i="78" s="1"/>
  <c r="O213" i="78" s="1"/>
  <c r="H209" i="78"/>
  <c r="M209" i="78" s="1"/>
  <c r="N209" i="78" s="1"/>
  <c r="O209" i="78" s="1"/>
  <c r="M58" i="27"/>
  <c r="I52" i="78"/>
  <c r="E176" i="3"/>
  <c r="E178" i="3"/>
  <c r="G178" i="3" s="1"/>
  <c r="Q26" i="20"/>
  <c r="P37" i="20"/>
  <c r="F176" i="3" s="1"/>
  <c r="J19" i="78"/>
  <c r="H28" i="78"/>
  <c r="J36" i="78"/>
  <c r="F86" i="75"/>
  <c r="I20" i="78"/>
  <c r="J20" i="78" s="1"/>
  <c r="S32" i="27"/>
  <c r="D24" i="7"/>
  <c r="E14" i="24"/>
  <c r="D89" i="25"/>
  <c r="D36" i="7"/>
  <c r="K41" i="15"/>
  <c r="G71" i="20"/>
  <c r="G56" i="16"/>
  <c r="D95" i="25" s="1"/>
  <c r="D97" i="25" s="1"/>
  <c r="D100" i="25" s="1"/>
  <c r="I208" i="78"/>
  <c r="H276" i="78"/>
  <c r="I268" i="78"/>
  <c r="G91" i="74"/>
  <c r="J284" i="78"/>
  <c r="H237" i="78"/>
  <c r="I237" i="78" s="1"/>
  <c r="H235" i="78"/>
  <c r="I235" i="78" s="1"/>
  <c r="H243" i="78"/>
  <c r="H242" i="78"/>
  <c r="H238" i="78"/>
  <c r="H236" i="78"/>
  <c r="I236" i="78" s="1"/>
  <c r="H244" i="78"/>
  <c r="H234" i="78"/>
  <c r="H240" i="78"/>
  <c r="H241" i="78"/>
  <c r="H239" i="78"/>
  <c r="I204" i="78"/>
  <c r="M205" i="78"/>
  <c r="N205" i="78" s="1"/>
  <c r="O205" i="78" s="1"/>
  <c r="H172" i="78"/>
  <c r="I172" i="78" s="1"/>
  <c r="H180" i="78"/>
  <c r="H176" i="78"/>
  <c r="I176" i="78" s="1"/>
  <c r="H178" i="78"/>
  <c r="I178" i="78" s="1"/>
  <c r="H179" i="78"/>
  <c r="I171" i="78"/>
  <c r="J171" i="78" s="1"/>
  <c r="H181" i="78"/>
  <c r="H182" i="78"/>
  <c r="H177" i="78"/>
  <c r="I177" i="78" s="1"/>
  <c r="H173" i="78"/>
  <c r="H175" i="78"/>
  <c r="I175" i="78" s="1"/>
  <c r="P52" i="13"/>
  <c r="P46" i="13"/>
  <c r="P49" i="13"/>
  <c r="P45" i="13"/>
  <c r="P50" i="13"/>
  <c r="P48" i="13"/>
  <c r="P53" i="13"/>
  <c r="F56" i="16"/>
  <c r="L300" i="78"/>
  <c r="M300" i="78" s="1"/>
  <c r="N300" i="78" s="1"/>
  <c r="O300" i="78" s="1"/>
  <c r="P481" i="78"/>
  <c r="L296" i="78"/>
  <c r="M296" i="78" s="1"/>
  <c r="N296" i="78" s="1"/>
  <c r="O296" i="78" s="1"/>
  <c r="L298" i="78"/>
  <c r="M298" i="78" s="1"/>
  <c r="N298" i="78" s="1"/>
  <c r="O298" i="78" s="1"/>
  <c r="M295" i="78"/>
  <c r="N295" i="78" s="1"/>
  <c r="P295" i="78"/>
  <c r="L303" i="78"/>
  <c r="M303" i="78" s="1"/>
  <c r="N303" i="78" s="1"/>
  <c r="L306" i="78"/>
  <c r="P306" i="78" s="1"/>
  <c r="P302" i="78"/>
  <c r="G124" i="75"/>
  <c r="R118" i="29"/>
  <c r="D143" i="25"/>
  <c r="D20" i="7"/>
  <c r="P51" i="13"/>
  <c r="P55" i="13"/>
  <c r="L301" i="78"/>
  <c r="M301" i="78" s="1"/>
  <c r="N301" i="78" s="1"/>
  <c r="L299" i="78"/>
  <c r="P299" i="78" s="1"/>
  <c r="L489" i="78"/>
  <c r="P489" i="78" s="1"/>
  <c r="L41" i="15"/>
  <c r="D163" i="25" s="1"/>
  <c r="M46" i="15"/>
  <c r="D85" i="25" s="1"/>
  <c r="P54" i="13"/>
  <c r="L304" i="78"/>
  <c r="M304" i="78" s="1"/>
  <c r="N304" i="78" s="1"/>
  <c r="L297" i="78"/>
  <c r="P297" i="78" s="1"/>
  <c r="L305" i="78"/>
  <c r="P305" i="78" s="1"/>
  <c r="L491" i="78"/>
  <c r="P491" i="78" s="1"/>
  <c r="M39" i="15"/>
  <c r="J47" i="78"/>
  <c r="D37" i="7"/>
  <c r="D88" i="25"/>
  <c r="H307" i="78"/>
  <c r="I297" i="78"/>
  <c r="D245" i="78"/>
  <c r="F233" i="78"/>
  <c r="I233" i="78" s="1"/>
  <c r="F113" i="78"/>
  <c r="E114" i="78"/>
  <c r="H431" i="78"/>
  <c r="I112" i="78"/>
  <c r="M112" i="78"/>
  <c r="N112" i="78" s="1"/>
  <c r="O112" i="78" s="1"/>
  <c r="M114" i="78"/>
  <c r="N114" i="78" s="1"/>
  <c r="O114" i="78" s="1"/>
  <c r="F158" i="74"/>
  <c r="L490" i="78"/>
  <c r="P490" i="78" s="1"/>
  <c r="L482" i="78"/>
  <c r="M482" i="78" s="1"/>
  <c r="L486" i="78"/>
  <c r="P486" i="78" s="1"/>
  <c r="H118" i="29"/>
  <c r="D42" i="7"/>
  <c r="A17" i="80"/>
  <c r="B17" i="80"/>
  <c r="A16" i="82"/>
  <c r="B16" i="82"/>
  <c r="D202" i="78"/>
  <c r="F203" i="78"/>
  <c r="I203" i="78" s="1"/>
  <c r="A17" i="7"/>
  <c r="A18" i="7" s="1"/>
  <c r="A19" i="7" s="1"/>
  <c r="A20" i="7" s="1"/>
  <c r="C20" i="7"/>
  <c r="B25" i="48"/>
  <c r="A25" i="48"/>
  <c r="H49" i="43"/>
  <c r="E15" i="48"/>
  <c r="E16" i="48" s="1"/>
  <c r="E17" i="48" s="1"/>
  <c r="E18" i="48" s="1"/>
  <c r="E19" i="48" s="1"/>
  <c r="E20" i="48" s="1"/>
  <c r="E21" i="48" s="1"/>
  <c r="E22" i="48" s="1"/>
  <c r="E23" i="48" s="1"/>
  <c r="E26" i="48"/>
  <c r="D16" i="21" s="1"/>
  <c r="F264" i="78"/>
  <c r="I264" i="78" s="1"/>
  <c r="D276" i="78"/>
  <c r="B53" i="23"/>
  <c r="A50" i="23"/>
  <c r="A51" i="23" s="1"/>
  <c r="A52" i="23" s="1"/>
  <c r="A53" i="23" s="1"/>
  <c r="A70" i="20"/>
  <c r="A71" i="20" s="1"/>
  <c r="A72" i="20" s="1"/>
  <c r="A73" i="20" s="1"/>
  <c r="A74" i="20" s="1"/>
  <c r="B71" i="20"/>
  <c r="E363" i="78"/>
  <c r="F362" i="78"/>
  <c r="I362" i="78" s="1"/>
  <c r="E148" i="78"/>
  <c r="F147" i="78"/>
  <c r="I147" i="78" s="1"/>
  <c r="E300" i="78"/>
  <c r="F299" i="78"/>
  <c r="I299" i="78" s="1"/>
  <c r="D21" i="3"/>
  <c r="G28" i="9"/>
  <c r="G86" i="75"/>
  <c r="I81" i="78"/>
  <c r="J439" i="78"/>
  <c r="H121" i="78"/>
  <c r="I80" i="78"/>
  <c r="H90" i="78"/>
  <c r="M118" i="78"/>
  <c r="N118" i="78" s="1"/>
  <c r="I110" i="78"/>
  <c r="M110" i="78"/>
  <c r="N110" i="78" s="1"/>
  <c r="O110" i="78" s="1"/>
  <c r="G39" i="9"/>
  <c r="D43" i="3"/>
  <c r="E239" i="78"/>
  <c r="F238" i="78"/>
  <c r="A17" i="3"/>
  <c r="A18" i="3" s="1"/>
  <c r="A19" i="3" s="1"/>
  <c r="A20" i="3" s="1"/>
  <c r="A21" i="3" s="1"/>
  <c r="C17" i="3"/>
  <c r="G14" i="24"/>
  <c r="D52" i="14"/>
  <c r="D121" i="78"/>
  <c r="F109" i="78"/>
  <c r="I109" i="78" s="1"/>
  <c r="B49" i="48"/>
  <c r="A49" i="48"/>
  <c r="A50" i="48" s="1"/>
  <c r="J512" i="78"/>
  <c r="J513" i="78" s="1"/>
  <c r="J514" i="78" s="1"/>
  <c r="J515" i="78" s="1"/>
  <c r="J516" i="78" s="1"/>
  <c r="J517" i="78" s="1"/>
  <c r="D453" i="78"/>
  <c r="F454" i="78"/>
  <c r="I454" i="78" s="1"/>
  <c r="A34" i="78"/>
  <c r="A35" i="78" s="1"/>
  <c r="A36" i="78" s="1"/>
  <c r="A37" i="78" s="1"/>
  <c r="A38" i="78" s="1"/>
  <c r="A39" i="78" s="1"/>
  <c r="A40" i="78" s="1"/>
  <c r="A41" i="78" s="1"/>
  <c r="A42" i="78" s="1"/>
  <c r="A43" i="78" s="1"/>
  <c r="A44" i="78" s="1"/>
  <c r="A45" i="78" s="1"/>
  <c r="A46" i="78" s="1"/>
  <c r="G11" i="3"/>
  <c r="G38" i="3" s="1"/>
  <c r="D38" i="3"/>
  <c r="M116" i="78"/>
  <c r="N116" i="78" s="1"/>
  <c r="M119" i="78"/>
  <c r="N119" i="78" s="1"/>
  <c r="H154" i="44"/>
  <c r="F16" i="44" s="1"/>
  <c r="F14" i="44"/>
  <c r="H213" i="44"/>
  <c r="H214" i="44" s="1"/>
  <c r="H219" i="44" s="1"/>
  <c r="F26" i="44" s="1"/>
  <c r="F295" i="78"/>
  <c r="I295" i="78" s="1"/>
  <c r="D307" i="78"/>
  <c r="F271" i="78"/>
  <c r="I271" i="78" s="1"/>
  <c r="E272" i="78"/>
  <c r="D42" i="3"/>
  <c r="L485" i="78"/>
  <c r="M485" i="78" s="1"/>
  <c r="N485" i="78" s="1"/>
  <c r="O485" i="78" s="1"/>
  <c r="L484" i="78"/>
  <c r="M484" i="78" s="1"/>
  <c r="N484" i="78" s="1"/>
  <c r="O484" i="78" s="1"/>
  <c r="A16" i="83"/>
  <c r="B16" i="83"/>
  <c r="D14" i="48"/>
  <c r="A22" i="24"/>
  <c r="C24" i="24"/>
  <c r="C22" i="24"/>
  <c r="A25" i="20"/>
  <c r="A26" i="20" s="1"/>
  <c r="A27" i="20" s="1"/>
  <c r="A28" i="20" s="1"/>
  <c r="A29" i="20" s="1"/>
  <c r="B26" i="20"/>
  <c r="F27" i="42"/>
  <c r="F15" i="42"/>
  <c r="J13" i="42"/>
  <c r="F31" i="42"/>
  <c r="F23" i="42"/>
  <c r="F37" i="42"/>
  <c r="F17" i="42"/>
  <c r="F29" i="42"/>
  <c r="F41" i="42"/>
  <c r="F39" i="42"/>
  <c r="F25" i="42"/>
  <c r="F43" i="42"/>
  <c r="F19" i="42"/>
  <c r="F21" i="42"/>
  <c r="F35" i="42"/>
  <c r="F45" i="42"/>
  <c r="F47" i="42"/>
  <c r="F13" i="43"/>
  <c r="J13" i="43" s="1"/>
  <c r="F33" i="42"/>
  <c r="E83" i="78"/>
  <c r="F82" i="78"/>
  <c r="E519" i="78"/>
  <c r="F518" i="78"/>
  <c r="I518" i="78" s="1"/>
  <c r="J518" i="78" s="1"/>
  <c r="A42" i="44"/>
  <c r="A43" i="44" s="1"/>
  <c r="A44" i="44" s="1"/>
  <c r="A45" i="44" s="1"/>
  <c r="A46" i="44" s="1"/>
  <c r="A47" i="44" s="1"/>
  <c r="A48" i="44" s="1"/>
  <c r="A49" i="44" s="1"/>
  <c r="A50" i="44" s="1"/>
  <c r="A51" i="44" s="1"/>
  <c r="A52" i="44" s="1"/>
  <c r="A53" i="44" s="1"/>
  <c r="A54" i="44" s="1"/>
  <c r="A55" i="44" s="1"/>
  <c r="A56" i="44" s="1"/>
  <c r="A57" i="44" s="1"/>
  <c r="F143" i="78"/>
  <c r="I143" i="78" s="1"/>
  <c r="D142" i="78"/>
  <c r="E210" i="78"/>
  <c r="F209" i="78"/>
  <c r="I209" i="78" s="1"/>
  <c r="J315" i="78"/>
  <c r="F53" i="78"/>
  <c r="E54" i="78"/>
  <c r="I53" i="78"/>
  <c r="H59" i="78"/>
  <c r="E457" i="78"/>
  <c r="F456" i="78"/>
  <c r="I456" i="78" s="1"/>
  <c r="G18" i="9"/>
  <c r="D10" i="3"/>
  <c r="I21" i="78"/>
  <c r="J21" i="78" s="1"/>
  <c r="I113" i="78"/>
  <c r="M113" i="78"/>
  <c r="N113" i="78" s="1"/>
  <c r="O113" i="78" s="1"/>
  <c r="J129" i="78"/>
  <c r="N109" i="78"/>
  <c r="D39" i="3"/>
  <c r="G12" i="3"/>
  <c r="G39" i="3" s="1"/>
  <c r="E393" i="78"/>
  <c r="F392" i="78"/>
  <c r="I392" i="78" s="1"/>
  <c r="G106" i="3"/>
  <c r="D115" i="3"/>
  <c r="J483" i="78"/>
  <c r="D34" i="3"/>
  <c r="G31" i="3"/>
  <c r="G34" i="3" s="1"/>
  <c r="J327" i="78"/>
  <c r="J328" i="78" s="1"/>
  <c r="J329" i="78" s="1"/>
  <c r="J330" i="78" s="1"/>
  <c r="A23" i="25"/>
  <c r="C24" i="5"/>
  <c r="C26" i="5"/>
  <c r="A24" i="5"/>
  <c r="D112" i="14"/>
  <c r="L487" i="78"/>
  <c r="M487" i="78" s="1"/>
  <c r="N487" i="78" s="1"/>
  <c r="O487" i="78" s="1"/>
  <c r="L488" i="78"/>
  <c r="P488" i="78" s="1"/>
  <c r="M26" i="15"/>
  <c r="D34" i="7"/>
  <c r="A16" i="81"/>
  <c r="B16" i="81"/>
  <c r="B17" i="84"/>
  <c r="A17" i="84"/>
  <c r="A26" i="40"/>
  <c r="A28" i="40" s="1"/>
  <c r="I34" i="40"/>
  <c r="E22" i="78"/>
  <c r="F21" i="78"/>
  <c r="A34" i="76"/>
  <c r="A35" i="76" s="1"/>
  <c r="A36" i="76" s="1"/>
  <c r="A37" i="76" s="1"/>
  <c r="A38" i="76" s="1"/>
  <c r="A39" i="76" s="1"/>
  <c r="A40" i="76" s="1"/>
  <c r="A41" i="76" s="1"/>
  <c r="A42" i="76" s="1"/>
  <c r="A43" i="76" s="1"/>
  <c r="A44" i="76" s="1"/>
  <c r="A45" i="76" s="1"/>
  <c r="A46" i="76" s="1"/>
  <c r="A47" i="76" s="1"/>
  <c r="A48" i="76" s="1"/>
  <c r="A49" i="76" s="1"/>
  <c r="A50" i="76" s="1"/>
  <c r="B46" i="76"/>
  <c r="D14" i="66"/>
  <c r="C29" i="66"/>
  <c r="D22" i="66" s="1"/>
  <c r="B87" i="28"/>
  <c r="A19" i="28"/>
  <c r="A20" i="28" s="1"/>
  <c r="E332" i="78"/>
  <c r="F331" i="78"/>
  <c r="I331" i="78" s="1"/>
  <c r="A65" i="9"/>
  <c r="A66" i="9" s="1"/>
  <c r="A67" i="9" s="1"/>
  <c r="A68" i="9" s="1"/>
  <c r="A69" i="9" s="1"/>
  <c r="A70" i="9" s="1"/>
  <c r="A71" i="9" s="1"/>
  <c r="A72" i="9" s="1"/>
  <c r="A73" i="9" s="1"/>
  <c r="A74" i="9" s="1"/>
  <c r="A75" i="9" s="1"/>
  <c r="A22" i="9"/>
  <c r="D357" i="78"/>
  <c r="F358" i="78"/>
  <c r="I358" i="78" s="1"/>
  <c r="E180" i="78"/>
  <c r="F179" i="78"/>
  <c r="P25" i="13"/>
  <c r="F162" i="3"/>
  <c r="G162" i="3" s="1"/>
  <c r="G166" i="3" s="1"/>
  <c r="G168" i="3" s="1"/>
  <c r="F68" i="3"/>
  <c r="G68" i="3" s="1"/>
  <c r="F60" i="3"/>
  <c r="G60" i="3" s="1"/>
  <c r="F93" i="3"/>
  <c r="F64" i="3"/>
  <c r="G64" i="3" s="1"/>
  <c r="J98" i="78"/>
  <c r="J420" i="78"/>
  <c r="J421" i="78" s="1"/>
  <c r="J422" i="78" s="1"/>
  <c r="J423" i="78" s="1"/>
  <c r="J424" i="78" s="1"/>
  <c r="J425" i="78" s="1"/>
  <c r="J426" i="78" s="1"/>
  <c r="J427" i="78" s="1"/>
  <c r="J428" i="78" s="1"/>
  <c r="J429" i="78" s="1"/>
  <c r="J430" i="78" s="1"/>
  <c r="J437" i="78" s="1"/>
  <c r="J438" i="78" s="1"/>
  <c r="J440" i="78" s="1"/>
  <c r="H109" i="76" s="1"/>
  <c r="I431" i="78"/>
  <c r="D93" i="3"/>
  <c r="J67" i="78"/>
  <c r="I48" i="78"/>
  <c r="I111" i="78"/>
  <c r="M111" i="78"/>
  <c r="N111" i="78" s="1"/>
  <c r="O111" i="78" s="1"/>
  <c r="M120" i="78"/>
  <c r="N120" i="78" s="1"/>
  <c r="M117" i="78"/>
  <c r="N117" i="78" s="1"/>
  <c r="I82" i="78"/>
  <c r="F484" i="78"/>
  <c r="I484" i="78" s="1"/>
  <c r="J484" i="78" s="1"/>
  <c r="E485" i="78"/>
  <c r="B17" i="87"/>
  <c r="A17" i="87"/>
  <c r="A19" i="87" s="1"/>
  <c r="A20" i="87" s="1"/>
  <c r="P47" i="13"/>
  <c r="E55" i="9"/>
  <c r="G55" i="9" s="1"/>
  <c r="D11" i="25" s="1"/>
  <c r="G11" i="25" s="1"/>
  <c r="E64" i="9"/>
  <c r="E71" i="9" s="1"/>
  <c r="Q69" i="20"/>
  <c r="N58" i="13"/>
  <c r="D32" i="25" s="1"/>
  <c r="G32" i="25" s="1"/>
  <c r="L451" i="78"/>
  <c r="M451" i="78" s="1"/>
  <c r="P56" i="13"/>
  <c r="O58" i="13"/>
  <c r="D33" i="25" s="1"/>
  <c r="G33" i="25" s="1"/>
  <c r="U58" i="13"/>
  <c r="L457" i="78"/>
  <c r="P457" i="78" s="1"/>
  <c r="L459" i="78"/>
  <c r="P459" i="78" s="1"/>
  <c r="F130" i="74"/>
  <c r="G130" i="74" s="1"/>
  <c r="L454" i="78"/>
  <c r="P454" i="78" s="1"/>
  <c r="E54" i="9"/>
  <c r="L483" i="78"/>
  <c r="M481" i="78"/>
  <c r="N481" i="78" s="1"/>
  <c r="O481" i="78" s="1"/>
  <c r="Q481" i="78" s="1"/>
  <c r="L453" i="78"/>
  <c r="M453" i="78" s="1"/>
  <c r="N453" i="78" s="1"/>
  <c r="O453" i="78" s="1"/>
  <c r="G158" i="25"/>
  <c r="F69" i="9"/>
  <c r="L452" i="78"/>
  <c r="M450" i="78"/>
  <c r="N450" i="78" s="1"/>
  <c r="L460" i="78"/>
  <c r="L456" i="78"/>
  <c r="P450" i="78"/>
  <c r="L458" i="78"/>
  <c r="L461" i="78"/>
  <c r="L420" i="78"/>
  <c r="L424" i="78"/>
  <c r="L428" i="78"/>
  <c r="L423" i="78"/>
  <c r="L430" i="78"/>
  <c r="M419" i="78"/>
  <c r="L429" i="78"/>
  <c r="L425" i="78"/>
  <c r="L421" i="78"/>
  <c r="P419" i="78"/>
  <c r="L422" i="78"/>
  <c r="L427" i="78"/>
  <c r="L426" i="78"/>
  <c r="P57" i="13"/>
  <c r="M58" i="13"/>
  <c r="D31" i="25" s="1"/>
  <c r="E82" i="9"/>
  <c r="F59" i="9"/>
  <c r="G59" i="9" s="1"/>
  <c r="D15" i="25" s="1"/>
  <c r="P492" i="78"/>
  <c r="M492" i="78"/>
  <c r="N492" i="78" s="1"/>
  <c r="O492" i="78" s="1"/>
  <c r="E83" i="58"/>
  <c r="D65" i="25" s="1"/>
  <c r="E81" i="58"/>
  <c r="D64" i="25" s="1"/>
  <c r="K58" i="13"/>
  <c r="F58" i="13"/>
  <c r="M455" i="78"/>
  <c r="N455" i="78" s="1"/>
  <c r="O455" i="78" s="1"/>
  <c r="P455" i="78"/>
  <c r="Q436" i="78"/>
  <c r="H158" i="44" l="1"/>
  <c r="F18" i="44" s="1"/>
  <c r="D28" i="7"/>
  <c r="E36" i="5" s="1"/>
  <c r="G32" i="24" s="1"/>
  <c r="G159" i="25"/>
  <c r="F163" i="25" s="1"/>
  <c r="G163" i="25" s="1"/>
  <c r="P296" i="78"/>
  <c r="D167" i="25"/>
  <c r="M41" i="15"/>
  <c r="J222" i="78"/>
  <c r="I207" i="78"/>
  <c r="I206" i="78"/>
  <c r="M206" i="78"/>
  <c r="N206" i="78" s="1"/>
  <c r="O206" i="78" s="1"/>
  <c r="O214" i="78" s="1"/>
  <c r="H214" i="78"/>
  <c r="G176" i="3"/>
  <c r="G179" i="3" s="1"/>
  <c r="G74" i="3" s="1"/>
  <c r="J48" i="78"/>
  <c r="J49" i="78" s="1"/>
  <c r="J50" i="78" s="1"/>
  <c r="J51" i="78" s="1"/>
  <c r="J52" i="78" s="1"/>
  <c r="M489" i="78"/>
  <c r="N489" i="78" s="1"/>
  <c r="O489" i="78" s="1"/>
  <c r="M454" i="78"/>
  <c r="N454" i="78" s="1"/>
  <c r="O454" i="78" s="1"/>
  <c r="D29" i="7"/>
  <c r="E37" i="5" s="1"/>
  <c r="G33" i="24" s="1"/>
  <c r="D26" i="7"/>
  <c r="E34" i="5" s="1"/>
  <c r="E39" i="5" s="1"/>
  <c r="G35" i="24" s="1"/>
  <c r="I14" i="24"/>
  <c r="P485" i="78"/>
  <c r="M486" i="78"/>
  <c r="N486" i="78" s="1"/>
  <c r="O486" i="78" s="1"/>
  <c r="M491" i="78"/>
  <c r="N491" i="78" s="1"/>
  <c r="O491" i="78" s="1"/>
  <c r="M306" i="78"/>
  <c r="N306" i="78" s="1"/>
  <c r="I238" i="78"/>
  <c r="H245" i="78"/>
  <c r="J253" i="78"/>
  <c r="I234" i="78"/>
  <c r="J172" i="78"/>
  <c r="I179" i="78"/>
  <c r="J191" i="78"/>
  <c r="I173" i="78"/>
  <c r="H183" i="78"/>
  <c r="M490" i="78"/>
  <c r="N490" i="78" s="1"/>
  <c r="O490" i="78" s="1"/>
  <c r="P484" i="78"/>
  <c r="P300" i="78"/>
  <c r="P298" i="78"/>
  <c r="D40" i="7"/>
  <c r="D44" i="7" s="1"/>
  <c r="D50" i="7" s="1"/>
  <c r="E31" i="24" s="1"/>
  <c r="P451" i="78"/>
  <c r="E61" i="9"/>
  <c r="P303" i="78"/>
  <c r="P304" i="78"/>
  <c r="P301" i="78"/>
  <c r="M297" i="78"/>
  <c r="N297" i="78" s="1"/>
  <c r="O297" i="78" s="1"/>
  <c r="P487" i="78"/>
  <c r="M305" i="78"/>
  <c r="N305" i="78" s="1"/>
  <c r="M488" i="78"/>
  <c r="N488" i="78" s="1"/>
  <c r="O488" i="78" s="1"/>
  <c r="D27" i="7"/>
  <c r="E35" i="5" s="1"/>
  <c r="G31" i="24" s="1"/>
  <c r="Q315" i="78"/>
  <c r="L307" i="78"/>
  <c r="M299" i="78"/>
  <c r="N299" i="78" s="1"/>
  <c r="O299" i="78" s="1"/>
  <c r="H110" i="76"/>
  <c r="J47" i="42"/>
  <c r="L47" i="42" s="1"/>
  <c r="F47" i="43"/>
  <c r="J47" i="43" s="1"/>
  <c r="L47" i="43" s="1"/>
  <c r="J109" i="78"/>
  <c r="J110" i="78" s="1"/>
  <c r="J111" i="78" s="1"/>
  <c r="J112" i="78" s="1"/>
  <c r="J113" i="78" s="1"/>
  <c r="E240" i="78"/>
  <c r="F239" i="78"/>
  <c r="I239" i="78" s="1"/>
  <c r="C68" i="9"/>
  <c r="C65" i="9"/>
  <c r="C64" i="9"/>
  <c r="C70" i="9"/>
  <c r="C67" i="9"/>
  <c r="C69" i="9"/>
  <c r="C66" i="9"/>
  <c r="M459" i="78"/>
  <c r="N459" i="78" s="1"/>
  <c r="P453" i="78"/>
  <c r="A22" i="87"/>
  <c r="E181" i="78"/>
  <c r="F180" i="78"/>
  <c r="I180" i="78" s="1"/>
  <c r="A23" i="9"/>
  <c r="C22" i="25"/>
  <c r="C22" i="3"/>
  <c r="I28" i="40"/>
  <c r="J392" i="78"/>
  <c r="M121" i="78"/>
  <c r="D37" i="3"/>
  <c r="D44" i="3" s="1"/>
  <c r="D17" i="3"/>
  <c r="G10" i="3"/>
  <c r="F54" i="78"/>
  <c r="I54" i="78" s="1"/>
  <c r="E55" i="78"/>
  <c r="D141" i="78"/>
  <c r="F142" i="78"/>
  <c r="I142" i="78" s="1"/>
  <c r="F45" i="43"/>
  <c r="J45" i="43" s="1"/>
  <c r="L45" i="43" s="1"/>
  <c r="J45" i="42"/>
  <c r="L45" i="42" s="1"/>
  <c r="F43" i="43"/>
  <c r="J43" i="43" s="1"/>
  <c r="L43" i="43" s="1"/>
  <c r="J43" i="42"/>
  <c r="L43" i="42" s="1"/>
  <c r="F29" i="43"/>
  <c r="J29" i="43" s="1"/>
  <c r="L29" i="43" s="1"/>
  <c r="J29" i="42"/>
  <c r="L29" i="42" s="1"/>
  <c r="J31" i="42"/>
  <c r="L31" i="42" s="1"/>
  <c r="F31" i="43"/>
  <c r="J31" i="43" s="1"/>
  <c r="L31" i="43" s="1"/>
  <c r="C23" i="24"/>
  <c r="A23" i="24"/>
  <c r="A24" i="24" s="1"/>
  <c r="A25" i="24" s="1"/>
  <c r="A26" i="24" s="1"/>
  <c r="A27" i="24" s="1"/>
  <c r="A28" i="24" s="1"/>
  <c r="A29" i="24" s="1"/>
  <c r="A30" i="24" s="1"/>
  <c r="A31" i="24" s="1"/>
  <c r="A32" i="24" s="1"/>
  <c r="A33" i="24" s="1"/>
  <c r="A34" i="24" s="1"/>
  <c r="A35" i="24" s="1"/>
  <c r="B17" i="83"/>
  <c r="A17" i="83"/>
  <c r="N35" i="78"/>
  <c r="F300" i="78"/>
  <c r="I300" i="78" s="1"/>
  <c r="E301" i="78"/>
  <c r="F16" i="21"/>
  <c r="F18" i="21" s="1"/>
  <c r="D138" i="3" s="1"/>
  <c r="D18" i="21"/>
  <c r="F202" i="78"/>
  <c r="I202" i="78" s="1"/>
  <c r="D214" i="78"/>
  <c r="B87" i="80"/>
  <c r="A19" i="80"/>
  <c r="A20" i="80" s="1"/>
  <c r="F114" i="78"/>
  <c r="I114" i="78" s="1"/>
  <c r="E115" i="78"/>
  <c r="A22" i="28"/>
  <c r="A30" i="40"/>
  <c r="A32" i="40" s="1"/>
  <c r="E458" i="78"/>
  <c r="F457" i="78"/>
  <c r="I457" i="78" s="1"/>
  <c r="E211" i="78"/>
  <c r="F210" i="78"/>
  <c r="I210" i="78" s="1"/>
  <c r="F83" i="78"/>
  <c r="I83" i="78" s="1"/>
  <c r="E84" i="78"/>
  <c r="F19" i="43"/>
  <c r="J19" i="43" s="1"/>
  <c r="L19" i="43" s="1"/>
  <c r="J19" i="42"/>
  <c r="L19" i="42" s="1"/>
  <c r="J23" i="42"/>
  <c r="L23" i="42" s="1"/>
  <c r="F23" i="43"/>
  <c r="J23" i="43" s="1"/>
  <c r="L23" i="43" s="1"/>
  <c r="F27" i="43"/>
  <c r="J27" i="43" s="1"/>
  <c r="L27" i="43" s="1"/>
  <c r="J27" i="42"/>
  <c r="L27" i="42" s="1"/>
  <c r="A47" i="78"/>
  <c r="A48" i="78" s="1"/>
  <c r="A49" i="78" s="1"/>
  <c r="A50" i="78" s="1"/>
  <c r="A51" i="78" s="1"/>
  <c r="A52" i="78" s="1"/>
  <c r="A53" i="78" s="1"/>
  <c r="A54" i="78" s="1"/>
  <c r="A55" i="78" s="1"/>
  <c r="A56" i="78" s="1"/>
  <c r="A57" i="78" s="1"/>
  <c r="A58" i="78" s="1"/>
  <c r="F64" i="78"/>
  <c r="N64" i="78"/>
  <c r="A26" i="48"/>
  <c r="C52" i="25"/>
  <c r="C52" i="3"/>
  <c r="P482" i="78"/>
  <c r="O301" i="78"/>
  <c r="Q501" i="78"/>
  <c r="F67" i="3"/>
  <c r="G67" i="3" s="1"/>
  <c r="F14" i="3"/>
  <c r="G14" i="3" s="1"/>
  <c r="F138" i="3"/>
  <c r="F110" i="3"/>
  <c r="G110" i="3" s="1"/>
  <c r="F111" i="3"/>
  <c r="G111" i="3" s="1"/>
  <c r="G171" i="3"/>
  <c r="G172" i="3" s="1"/>
  <c r="F118" i="3"/>
  <c r="G118" i="3" s="1"/>
  <c r="G46" i="75"/>
  <c r="G36" i="74"/>
  <c r="G63" i="74" s="1"/>
  <c r="F25" i="3"/>
  <c r="G25" i="3" s="1"/>
  <c r="F52" i="3"/>
  <c r="F13" i="3"/>
  <c r="G13" i="3" s="1"/>
  <c r="G40" i="3" s="1"/>
  <c r="F97" i="3"/>
  <c r="G97" i="3" s="1"/>
  <c r="G70" i="74"/>
  <c r="G71" i="74" s="1"/>
  <c r="F24" i="3"/>
  <c r="G24" i="3" s="1"/>
  <c r="G73" i="75"/>
  <c r="G74" i="75" s="1"/>
  <c r="C71" i="9"/>
  <c r="J331" i="78"/>
  <c r="C23" i="9"/>
  <c r="C25" i="9"/>
  <c r="C24" i="9"/>
  <c r="C22" i="9"/>
  <c r="C21" i="9"/>
  <c r="C26" i="9"/>
  <c r="C27" i="9"/>
  <c r="A51" i="76"/>
  <c r="A52" i="76" s="1"/>
  <c r="A53" i="76" s="1"/>
  <c r="A54" i="76" s="1"/>
  <c r="A55" i="76" s="1"/>
  <c r="A56" i="76" s="1"/>
  <c r="F22" i="78"/>
  <c r="I22" i="78" s="1"/>
  <c r="E23" i="78"/>
  <c r="B17" i="81"/>
  <c r="A17" i="81"/>
  <c r="C25" i="5"/>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C39" i="25"/>
  <c r="A24" i="25"/>
  <c r="E394" i="78"/>
  <c r="F393" i="78"/>
  <c r="I393" i="78" s="1"/>
  <c r="O109" i="78"/>
  <c r="N121" i="78"/>
  <c r="F519" i="78"/>
  <c r="I519" i="78" s="1"/>
  <c r="E520" i="78"/>
  <c r="J33" i="42"/>
  <c r="L33" i="42" s="1"/>
  <c r="F33" i="43"/>
  <c r="J33" i="43" s="1"/>
  <c r="L33" i="43" s="1"/>
  <c r="J35" i="42"/>
  <c r="L35" i="42" s="1"/>
  <c r="F35" i="43"/>
  <c r="J35" i="43" s="1"/>
  <c r="L35" i="43" s="1"/>
  <c r="J25" i="42"/>
  <c r="L25" i="42" s="1"/>
  <c r="F25" i="43"/>
  <c r="J25" i="43" s="1"/>
  <c r="L25" i="43" s="1"/>
  <c r="F17" i="43"/>
  <c r="J17" i="43" s="1"/>
  <c r="L17" i="43" s="1"/>
  <c r="J17" i="42"/>
  <c r="L17" i="42" s="1"/>
  <c r="L13" i="42"/>
  <c r="A30" i="20"/>
  <c r="A31" i="20" s="1"/>
  <c r="A32" i="20" s="1"/>
  <c r="A33" i="20" s="1"/>
  <c r="A34" i="20" s="1"/>
  <c r="A35" i="20" s="1"/>
  <c r="J295" i="78"/>
  <c r="J296" i="78" s="1"/>
  <c r="H202" i="44"/>
  <c r="H206" i="44" s="1"/>
  <c r="F24" i="44" s="1"/>
  <c r="H176" i="44" s="1"/>
  <c r="H177" i="44" s="1"/>
  <c r="H179" i="44" s="1"/>
  <c r="F20" i="44" s="1"/>
  <c r="F28" i="44" s="1"/>
  <c r="A22" i="3"/>
  <c r="J80" i="78"/>
  <c r="J81" i="78" s="1"/>
  <c r="J82" i="78" s="1"/>
  <c r="G21" i="3"/>
  <c r="D28" i="3"/>
  <c r="E364" i="78"/>
  <c r="F363" i="78"/>
  <c r="I363" i="78" s="1"/>
  <c r="A75" i="20"/>
  <c r="A76" i="20" s="1"/>
  <c r="A77" i="20" s="1"/>
  <c r="A78" i="20" s="1"/>
  <c r="A79" i="20" s="1"/>
  <c r="A80" i="20" s="1"/>
  <c r="J264" i="78"/>
  <c r="J265" i="78" s="1"/>
  <c r="J266" i="78" s="1"/>
  <c r="J267" i="78" s="1"/>
  <c r="J268" i="78" s="1"/>
  <c r="J269" i="78" s="1"/>
  <c r="J270" i="78" s="1"/>
  <c r="J271" i="78" s="1"/>
  <c r="J297" i="78"/>
  <c r="J298" i="78" s="1"/>
  <c r="J299" i="78" s="1"/>
  <c r="D102" i="3"/>
  <c r="G93" i="3"/>
  <c r="F215" i="44"/>
  <c r="A58" i="44"/>
  <c r="A59" i="44" s="1"/>
  <c r="A60" i="44" s="1"/>
  <c r="A61" i="44" s="1"/>
  <c r="F178" i="44"/>
  <c r="I32" i="40"/>
  <c r="J41" i="42"/>
  <c r="L41" i="42" s="1"/>
  <c r="F41" i="43"/>
  <c r="J41" i="43" s="1"/>
  <c r="L41" i="43" s="1"/>
  <c r="J233" i="78"/>
  <c r="L462" i="78"/>
  <c r="E486" i="78"/>
  <c r="F485" i="78"/>
  <c r="I485" i="78" s="1"/>
  <c r="J485" i="78" s="1"/>
  <c r="F357" i="78"/>
  <c r="I357" i="78" s="1"/>
  <c r="D369" i="78"/>
  <c r="A76" i="9"/>
  <c r="F332" i="78"/>
  <c r="I332" i="78" s="1"/>
  <c r="J332" i="78" s="1"/>
  <c r="E333" i="78"/>
  <c r="D16" i="66"/>
  <c r="D15" i="66"/>
  <c r="D17" i="66"/>
  <c r="D18" i="66"/>
  <c r="D27" i="66"/>
  <c r="D12" i="66"/>
  <c r="D10" i="66"/>
  <c r="D23" i="66"/>
  <c r="D20" i="66"/>
  <c r="D11" i="66"/>
  <c r="D19" i="66"/>
  <c r="D21" i="66"/>
  <c r="D26" i="66"/>
  <c r="D13" i="66"/>
  <c r="D24" i="66"/>
  <c r="B87" i="84"/>
  <c r="A19" i="84"/>
  <c r="A20" i="84" s="1"/>
  <c r="J53" i="78"/>
  <c r="D25" i="66"/>
  <c r="F54" i="44"/>
  <c r="L13" i="43"/>
  <c r="F21" i="43"/>
  <c r="J21" i="43" s="1"/>
  <c r="L21" i="43" s="1"/>
  <c r="J21" i="42"/>
  <c r="L21" i="42" s="1"/>
  <c r="J39" i="42"/>
  <c r="L39" i="42" s="1"/>
  <c r="F39" i="43"/>
  <c r="J39" i="43" s="1"/>
  <c r="L39" i="43" s="1"/>
  <c r="F37" i="43"/>
  <c r="J37" i="43" s="1"/>
  <c r="L37" i="43" s="1"/>
  <c r="J37" i="42"/>
  <c r="L37" i="42" s="1"/>
  <c r="F15" i="43"/>
  <c r="J15" i="43" s="1"/>
  <c r="L15" i="43" s="1"/>
  <c r="J15" i="42"/>
  <c r="L15" i="42" s="1"/>
  <c r="F14" i="48"/>
  <c r="F272" i="78"/>
  <c r="I272" i="78" s="1"/>
  <c r="E273" i="78"/>
  <c r="F35" i="78"/>
  <c r="D452" i="78"/>
  <c r="F453" i="78"/>
  <c r="I453" i="78" s="1"/>
  <c r="E149" i="78"/>
  <c r="F148" i="78"/>
  <c r="I148" i="78" s="1"/>
  <c r="A21" i="7"/>
  <c r="A22" i="7" s="1"/>
  <c r="A23" i="7" s="1"/>
  <c r="A24" i="7" s="1"/>
  <c r="A25" i="7" s="1"/>
  <c r="A26" i="7" s="1"/>
  <c r="C28" i="7"/>
  <c r="C29" i="7"/>
  <c r="A17" i="82"/>
  <c r="B17" i="82"/>
  <c r="F68" i="25"/>
  <c r="M457" i="78"/>
  <c r="N457" i="78" s="1"/>
  <c r="O457" i="78" s="1"/>
  <c r="D179" i="25"/>
  <c r="Q71" i="20"/>
  <c r="P58" i="13"/>
  <c r="Q439" i="78"/>
  <c r="M456" i="78"/>
  <c r="N456" i="78" s="1"/>
  <c r="O456" i="78" s="1"/>
  <c r="P456" i="78"/>
  <c r="M461" i="78"/>
  <c r="N461" i="78" s="1"/>
  <c r="P461" i="78"/>
  <c r="P460" i="78"/>
  <c r="M460" i="78"/>
  <c r="N460" i="78" s="1"/>
  <c r="P483" i="78"/>
  <c r="M483" i="78"/>
  <c r="N483" i="78" s="1"/>
  <c r="O483" i="78" s="1"/>
  <c r="L493" i="78"/>
  <c r="P452" i="78"/>
  <c r="M452" i="78"/>
  <c r="N452" i="78" s="1"/>
  <c r="O452" i="78" s="1"/>
  <c r="Q470" i="78"/>
  <c r="M458" i="78"/>
  <c r="N458" i="78" s="1"/>
  <c r="O458" i="78" s="1"/>
  <c r="P458" i="78"/>
  <c r="O295" i="78"/>
  <c r="M426" i="78"/>
  <c r="N426" i="78" s="1"/>
  <c r="O426" i="78" s="1"/>
  <c r="P426" i="78"/>
  <c r="M429" i="78"/>
  <c r="N429" i="78" s="1"/>
  <c r="O429" i="78" s="1"/>
  <c r="P429" i="78"/>
  <c r="P428" i="78"/>
  <c r="M428" i="78"/>
  <c r="N428" i="78" s="1"/>
  <c r="O428" i="78" s="1"/>
  <c r="L431" i="78"/>
  <c r="N419" i="78"/>
  <c r="M424" i="78"/>
  <c r="N424" i="78" s="1"/>
  <c r="O424" i="78" s="1"/>
  <c r="P424" i="78"/>
  <c r="N451" i="78"/>
  <c r="P427" i="78"/>
  <c r="M427" i="78"/>
  <c r="N427" i="78" s="1"/>
  <c r="O427" i="78" s="1"/>
  <c r="P421" i="78"/>
  <c r="M421" i="78"/>
  <c r="N421" i="78" s="1"/>
  <c r="O421" i="78" s="1"/>
  <c r="P430" i="78"/>
  <c r="M430" i="78"/>
  <c r="N430" i="78" s="1"/>
  <c r="O430" i="78" s="1"/>
  <c r="M420" i="78"/>
  <c r="N420" i="78" s="1"/>
  <c r="O420" i="78" s="1"/>
  <c r="P420" i="78"/>
  <c r="N482" i="78"/>
  <c r="G31" i="25"/>
  <c r="D34" i="25"/>
  <c r="M422" i="78"/>
  <c r="N422" i="78" s="1"/>
  <c r="O422" i="78" s="1"/>
  <c r="P422" i="78"/>
  <c r="P425" i="78"/>
  <c r="M425" i="78"/>
  <c r="N425" i="78" s="1"/>
  <c r="O425" i="78" s="1"/>
  <c r="P423" i="78"/>
  <c r="M423" i="78"/>
  <c r="N423" i="78" s="1"/>
  <c r="O423" i="78" s="1"/>
  <c r="F60" i="25" l="1"/>
  <c r="G60" i="25" s="1"/>
  <c r="F64" i="25"/>
  <c r="G64" i="25" s="1"/>
  <c r="G34" i="25"/>
  <c r="F93" i="25"/>
  <c r="G167" i="25"/>
  <c r="N214" i="78"/>
  <c r="D84" i="25"/>
  <c r="M214" i="78"/>
  <c r="D51" i="7"/>
  <c r="E32" i="24" s="1"/>
  <c r="I32" i="24" s="1"/>
  <c r="C35" i="20"/>
  <c r="D125" i="3"/>
  <c r="D74" i="3"/>
  <c r="E38" i="5"/>
  <c r="G34" i="24" s="1"/>
  <c r="D49" i="7"/>
  <c r="E34" i="24" s="1"/>
  <c r="G30" i="24"/>
  <c r="I31" i="24"/>
  <c r="D52" i="7"/>
  <c r="E33" i="24" s="1"/>
  <c r="I33" i="24" s="1"/>
  <c r="J234" i="78"/>
  <c r="J235" i="78" s="1"/>
  <c r="J236" i="78" s="1"/>
  <c r="J237" i="78" s="1"/>
  <c r="J238" i="78" s="1"/>
  <c r="J239" i="78" s="1"/>
  <c r="J173" i="78"/>
  <c r="J174" i="78" s="1"/>
  <c r="J175" i="78" s="1"/>
  <c r="J176" i="78" s="1"/>
  <c r="J177" i="78" s="1"/>
  <c r="J178" i="78" s="1"/>
  <c r="J179" i="78" s="1"/>
  <c r="J180" i="78" s="1"/>
  <c r="P307" i="78"/>
  <c r="P493" i="78"/>
  <c r="N307" i="78"/>
  <c r="M307" i="78"/>
  <c r="G9" i="41"/>
  <c r="G9" i="63"/>
  <c r="G12" i="41"/>
  <c r="G25" i="41"/>
  <c r="G25" i="63"/>
  <c r="G14" i="41"/>
  <c r="N33" i="42"/>
  <c r="O33" i="42" s="1"/>
  <c r="N31" i="42"/>
  <c r="O31" i="42" s="1"/>
  <c r="G13" i="41"/>
  <c r="N43" i="42"/>
  <c r="O43" i="42" s="1"/>
  <c r="H38" i="40"/>
  <c r="H40" i="40" s="1"/>
  <c r="H44" i="40" s="1"/>
  <c r="N15" i="42"/>
  <c r="O15" i="42" s="1"/>
  <c r="N47" i="42"/>
  <c r="G14" i="63"/>
  <c r="G11" i="41"/>
  <c r="G23" i="63"/>
  <c r="N19" i="42"/>
  <c r="N27" i="42"/>
  <c r="O27" i="42" s="1"/>
  <c r="G18" i="41"/>
  <c r="G19" i="63"/>
  <c r="N25" i="42"/>
  <c r="G17" i="41"/>
  <c r="G17" i="63"/>
  <c r="G15" i="41"/>
  <c r="G22" i="41"/>
  <c r="G18" i="63"/>
  <c r="G24" i="41"/>
  <c r="N37" i="42"/>
  <c r="O37" i="42" s="1"/>
  <c r="N13" i="42"/>
  <c r="O13" i="42" s="1"/>
  <c r="N17" i="42"/>
  <c r="O17" i="42" s="1"/>
  <c r="G22" i="63"/>
  <c r="N21" i="42"/>
  <c r="O21" i="42" s="1"/>
  <c r="G13" i="63"/>
  <c r="N45" i="42"/>
  <c r="O45" i="42" s="1"/>
  <c r="N13" i="43"/>
  <c r="N15" i="43" s="1"/>
  <c r="N17" i="43" s="1"/>
  <c r="N19" i="43" s="1"/>
  <c r="N21" i="43" s="1"/>
  <c r="N23" i="43" s="1"/>
  <c r="N25" i="43" s="1"/>
  <c r="N27" i="43" s="1"/>
  <c r="N29" i="43" s="1"/>
  <c r="N31" i="43" s="1"/>
  <c r="N33" i="43" s="1"/>
  <c r="N35" i="43" s="1"/>
  <c r="N37" i="43" s="1"/>
  <c r="N39" i="43" s="1"/>
  <c r="O39" i="43" s="1"/>
  <c r="H26" i="40"/>
  <c r="H28" i="40" s="1"/>
  <c r="G24" i="63"/>
  <c r="N29" i="42"/>
  <c r="O29" i="42" s="1"/>
  <c r="N39" i="42"/>
  <c r="G10" i="41"/>
  <c r="G12" i="63"/>
  <c r="G11" i="63"/>
  <c r="G23" i="41"/>
  <c r="N23" i="42"/>
  <c r="G16" i="41"/>
  <c r="G10" i="63"/>
  <c r="G20" i="41"/>
  <c r="G20" i="63"/>
  <c r="G19" i="41"/>
  <c r="G15" i="63"/>
  <c r="G21" i="63"/>
  <c r="N41" i="42"/>
  <c r="O41" i="42" s="1"/>
  <c r="G21" i="41"/>
  <c r="G16" i="63"/>
  <c r="N35" i="42"/>
  <c r="B87" i="82"/>
  <c r="A19" i="82"/>
  <c r="A20" i="82" s="1"/>
  <c r="J357" i="78"/>
  <c r="J358" i="78" s="1"/>
  <c r="J359" i="78" s="1"/>
  <c r="J360" i="78" s="1"/>
  <c r="J361" i="78" s="1"/>
  <c r="J362" i="78" s="1"/>
  <c r="A25" i="25"/>
  <c r="C40" i="25"/>
  <c r="B87" i="81"/>
  <c r="A19" i="81"/>
  <c r="A20" i="81" s="1"/>
  <c r="E56" i="78"/>
  <c r="F55" i="78"/>
  <c r="I55" i="78" s="1"/>
  <c r="A27" i="7"/>
  <c r="C39" i="5"/>
  <c r="C38" i="5"/>
  <c r="C34" i="5"/>
  <c r="F149" i="78"/>
  <c r="I149" i="78" s="1"/>
  <c r="E150" i="78"/>
  <c r="D15" i="48"/>
  <c r="O21" i="43"/>
  <c r="A77" i="9"/>
  <c r="A78" i="9" s="1"/>
  <c r="A79" i="9" s="1"/>
  <c r="A80" i="9" s="1"/>
  <c r="A81" i="9" s="1"/>
  <c r="C106" i="25"/>
  <c r="J363" i="78"/>
  <c r="A23" i="3"/>
  <c r="J49" i="42"/>
  <c r="O25" i="43"/>
  <c r="O27" i="43"/>
  <c r="F211" i="78"/>
  <c r="I211" i="78" s="1"/>
  <c r="E212" i="78"/>
  <c r="A24" i="28"/>
  <c r="B24" i="28"/>
  <c r="A22" i="80"/>
  <c r="E302" i="78"/>
  <c r="F301" i="78"/>
  <c r="I301" i="78" s="1"/>
  <c r="J54" i="78"/>
  <c r="C80" i="9"/>
  <c r="C76" i="9"/>
  <c r="C78" i="9"/>
  <c r="C81" i="9"/>
  <c r="C77" i="9"/>
  <c r="C79" i="9"/>
  <c r="C75" i="9"/>
  <c r="D29" i="66"/>
  <c r="A81" i="20"/>
  <c r="A82" i="20" s="1"/>
  <c r="A83" i="20" s="1"/>
  <c r="A84" i="20" s="1"/>
  <c r="A85" i="20" s="1"/>
  <c r="B82" i="20"/>
  <c r="O35" i="42"/>
  <c r="A24" i="9"/>
  <c r="C23" i="25"/>
  <c r="C23" i="3"/>
  <c r="C27" i="7"/>
  <c r="E274" i="78"/>
  <c r="F273" i="78"/>
  <c r="I273" i="78" s="1"/>
  <c r="L49" i="43"/>
  <c r="O13" i="43"/>
  <c r="A22" i="84"/>
  <c r="F61" i="44"/>
  <c r="E365" i="78"/>
  <c r="F364" i="78"/>
  <c r="I364" i="78" s="1"/>
  <c r="J364" i="78" s="1"/>
  <c r="L49" i="42"/>
  <c r="O25" i="42"/>
  <c r="J393" i="78"/>
  <c r="E24" i="78"/>
  <c r="F23" i="78"/>
  <c r="I23" i="78" s="1"/>
  <c r="F113" i="3"/>
  <c r="G113" i="3" s="1"/>
  <c r="F15" i="3"/>
  <c r="G15" i="3" s="1"/>
  <c r="F112" i="3"/>
  <c r="G112" i="3" s="1"/>
  <c r="F27" i="3"/>
  <c r="G27" i="3" s="1"/>
  <c r="F16" i="3"/>
  <c r="G16" i="3" s="1"/>
  <c r="F26" i="3"/>
  <c r="G26" i="3" s="1"/>
  <c r="G41" i="3"/>
  <c r="O23" i="43"/>
  <c r="E85" i="78"/>
  <c r="F84" i="78"/>
  <c r="I84" i="78" s="1"/>
  <c r="E116" i="78"/>
  <c r="F115" i="78"/>
  <c r="I115" i="78" s="1"/>
  <c r="O115" i="78"/>
  <c r="D142" i="3"/>
  <c r="G138" i="3"/>
  <c r="G142" i="3" s="1"/>
  <c r="J300" i="78"/>
  <c r="A19" i="83"/>
  <c r="A20" i="83" s="1"/>
  <c r="B87" i="83"/>
  <c r="G37" i="3"/>
  <c r="B24" i="87"/>
  <c r="A24" i="87"/>
  <c r="Q109" i="78"/>
  <c r="Q110" i="78" s="1"/>
  <c r="Q111" i="78" s="1"/>
  <c r="Q112" i="78" s="1"/>
  <c r="Q113" i="78" s="1"/>
  <c r="Q114" i="78" s="1"/>
  <c r="O47" i="42"/>
  <c r="F486" i="78"/>
  <c r="I486" i="78" s="1"/>
  <c r="J486" i="78" s="1"/>
  <c r="E487" i="78"/>
  <c r="F88" i="44"/>
  <c r="A62" i="44"/>
  <c r="A63" i="44" s="1"/>
  <c r="F190" i="44"/>
  <c r="F148" i="44"/>
  <c r="O17" i="43"/>
  <c r="J519" i="78"/>
  <c r="C32" i="9"/>
  <c r="C37" i="9"/>
  <c r="C38" i="9"/>
  <c r="C36" i="9"/>
  <c r="C35" i="9"/>
  <c r="C34" i="9"/>
  <c r="C33" i="9"/>
  <c r="A57" i="76"/>
  <c r="A58" i="76" s="1"/>
  <c r="A59" i="76" s="1"/>
  <c r="A60" i="76" s="1"/>
  <c r="A61" i="76" s="1"/>
  <c r="A62" i="76" s="1"/>
  <c r="A63" i="76" s="1"/>
  <c r="A64" i="76" s="1"/>
  <c r="O19" i="42"/>
  <c r="E459" i="78"/>
  <c r="O459" i="78" s="1"/>
  <c r="F458" i="78"/>
  <c r="I458" i="78" s="1"/>
  <c r="Q202" i="78"/>
  <c r="Q203" i="78" s="1"/>
  <c r="Q204" i="78" s="1"/>
  <c r="Q205" i="78" s="1"/>
  <c r="Q206" i="78" s="1"/>
  <c r="Q207" i="78" s="1"/>
  <c r="Q208" i="78" s="1"/>
  <c r="Q209" i="78" s="1"/>
  <c r="Q210" i="78" s="1"/>
  <c r="J202" i="78"/>
  <c r="J203" i="78" s="1"/>
  <c r="J204" i="78" s="1"/>
  <c r="J205" i="78" s="1"/>
  <c r="J206" i="78" s="1"/>
  <c r="J207" i="78" s="1"/>
  <c r="J208" i="78" s="1"/>
  <c r="J209" i="78" s="1"/>
  <c r="J210" i="78" s="1"/>
  <c r="P462" i="78"/>
  <c r="C26" i="7"/>
  <c r="D451" i="78"/>
  <c r="F452" i="78"/>
  <c r="I452" i="78" s="1"/>
  <c r="J272" i="78"/>
  <c r="O15" i="43"/>
  <c r="O39" i="42"/>
  <c r="J49" i="43"/>
  <c r="E334" i="78"/>
  <c r="F333" i="78"/>
  <c r="I333" i="78" s="1"/>
  <c r="J333" i="78" s="1"/>
  <c r="C80" i="20"/>
  <c r="A36" i="20"/>
  <c r="A37" i="20" s="1"/>
  <c r="A38" i="20" s="1"/>
  <c r="A39" i="20" s="1"/>
  <c r="A40" i="20" s="1"/>
  <c r="B37" i="20"/>
  <c r="O35" i="43"/>
  <c r="F520" i="78"/>
  <c r="I520" i="78" s="1"/>
  <c r="J520" i="78" s="1"/>
  <c r="E521" i="78"/>
  <c r="E395" i="78"/>
  <c r="F394" i="78"/>
  <c r="I394" i="78" s="1"/>
  <c r="J394" i="78" s="1"/>
  <c r="J22" i="78"/>
  <c r="N65" i="78"/>
  <c r="F65" i="78"/>
  <c r="A59" i="78"/>
  <c r="A60" i="78" s="1"/>
  <c r="A61" i="78" s="1"/>
  <c r="A62" i="78" s="1"/>
  <c r="A63" i="78" s="1"/>
  <c r="A64" i="78" s="1"/>
  <c r="O23" i="42"/>
  <c r="J83" i="78"/>
  <c r="A34" i="40"/>
  <c r="A36" i="40" s="1"/>
  <c r="J114" i="78"/>
  <c r="D140" i="78"/>
  <c r="F141" i="78"/>
  <c r="I141" i="78" s="1"/>
  <c r="F181" i="78"/>
  <c r="I181" i="78" s="1"/>
  <c r="E182" i="78"/>
  <c r="F240" i="78"/>
  <c r="I240" i="78" s="1"/>
  <c r="E241" i="78"/>
  <c r="D180" i="25"/>
  <c r="E177" i="25" s="1"/>
  <c r="G177" i="25" s="1"/>
  <c r="M462" i="78"/>
  <c r="P431" i="78"/>
  <c r="M493" i="78"/>
  <c r="Q295" i="78"/>
  <c r="Q296" i="78" s="1"/>
  <c r="Q297" i="78" s="1"/>
  <c r="Q298" i="78" s="1"/>
  <c r="Q299" i="78" s="1"/>
  <c r="Q300" i="78" s="1"/>
  <c r="Q301" i="78" s="1"/>
  <c r="O419" i="78"/>
  <c r="O431" i="78" s="1"/>
  <c r="N431" i="78"/>
  <c r="O482" i="78"/>
  <c r="O493" i="78" s="1"/>
  <c r="N493" i="78"/>
  <c r="O451" i="78"/>
  <c r="N462" i="78"/>
  <c r="M431" i="78"/>
  <c r="G43" i="3" l="1"/>
  <c r="O33" i="43"/>
  <c r="O37" i="43"/>
  <c r="O31" i="43"/>
  <c r="O29" i="43"/>
  <c r="O19" i="43"/>
  <c r="H46" i="40"/>
  <c r="H52" i="40" s="1"/>
  <c r="G28" i="3"/>
  <c r="G115" i="3"/>
  <c r="D93" i="25"/>
  <c r="G169" i="25"/>
  <c r="E30" i="24"/>
  <c r="E35" i="24" s="1"/>
  <c r="I35" i="24" s="1"/>
  <c r="I34" i="24"/>
  <c r="Q115" i="78"/>
  <c r="Q211" i="78"/>
  <c r="E179" i="25"/>
  <c r="G179" i="25" s="1"/>
  <c r="J181" i="78"/>
  <c r="F274" i="78"/>
  <c r="I274" i="78" s="1"/>
  <c r="E275" i="78"/>
  <c r="F275" i="78" s="1"/>
  <c r="I275" i="78" s="1"/>
  <c r="F241" i="78"/>
  <c r="I241" i="78" s="1"/>
  <c r="E242" i="78"/>
  <c r="I36" i="40"/>
  <c r="A65" i="78"/>
  <c r="A66" i="78" s="1"/>
  <c r="A67" i="78" s="1"/>
  <c r="A68" i="78" s="1"/>
  <c r="A69" i="78" s="1"/>
  <c r="A70" i="78" s="1"/>
  <c r="A71" i="78" s="1"/>
  <c r="A72" i="78" s="1"/>
  <c r="A73" i="78" s="1"/>
  <c r="A74" i="78" s="1"/>
  <c r="A75" i="78" s="1"/>
  <c r="A76" i="78" s="1"/>
  <c r="A77" i="78" s="1"/>
  <c r="F66" i="78"/>
  <c r="N66" i="78"/>
  <c r="B42" i="20"/>
  <c r="A41" i="20"/>
  <c r="A42" i="20" s="1"/>
  <c r="E488" i="78"/>
  <c r="F487" i="78"/>
  <c r="I487" i="78" s="1"/>
  <c r="A22" i="83"/>
  <c r="J84" i="78"/>
  <c r="G42" i="3"/>
  <c r="E25" i="78"/>
  <c r="F24" i="78"/>
  <c r="I24" i="78" s="1"/>
  <c r="O49" i="42"/>
  <c r="O53" i="42" s="1"/>
  <c r="F365" i="78"/>
  <c r="I365" i="78" s="1"/>
  <c r="J365" i="78" s="1"/>
  <c r="E366" i="78"/>
  <c r="A25" i="9"/>
  <c r="C24" i="3"/>
  <c r="C24" i="25"/>
  <c r="J301" i="78"/>
  <c r="F212" i="78"/>
  <c r="I212" i="78" s="1"/>
  <c r="E213" i="78"/>
  <c r="F213" i="78" s="1"/>
  <c r="I213" i="78" s="1"/>
  <c r="E214" i="78"/>
  <c r="E216" i="78" s="1"/>
  <c r="C39" i="3"/>
  <c r="A24" i="3"/>
  <c r="F15" i="48"/>
  <c r="A26" i="25"/>
  <c r="C41" i="25"/>
  <c r="A22" i="82"/>
  <c r="N47" i="43"/>
  <c r="O47" i="43" s="1"/>
  <c r="N41" i="43"/>
  <c r="I40" i="40"/>
  <c r="A38" i="40"/>
  <c r="A40" i="40" s="1"/>
  <c r="E522" i="78"/>
  <c r="F521" i="78"/>
  <c r="I521" i="78" s="1"/>
  <c r="J521" i="78" s="1"/>
  <c r="E117" i="78"/>
  <c r="F116" i="78"/>
  <c r="I116" i="78" s="1"/>
  <c r="O116" i="78"/>
  <c r="A24" i="84"/>
  <c r="B24" i="84"/>
  <c r="B24" i="80"/>
  <c r="A24" i="80"/>
  <c r="A82" i="9"/>
  <c r="C82" i="9"/>
  <c r="A28" i="7"/>
  <c r="C35" i="5"/>
  <c r="J240" i="78"/>
  <c r="E396" i="78"/>
  <c r="F395" i="78"/>
  <c r="I395" i="78" s="1"/>
  <c r="F334" i="78"/>
  <c r="I334" i="78" s="1"/>
  <c r="J334" i="78" s="1"/>
  <c r="E335" i="78"/>
  <c r="A65" i="76"/>
  <c r="A66" i="76" s="1"/>
  <c r="A67" i="76" s="1"/>
  <c r="A68" i="76" s="1"/>
  <c r="A69" i="76" s="1"/>
  <c r="A70" i="76" s="1"/>
  <c r="A71" i="76" s="1"/>
  <c r="A72" i="76" s="1"/>
  <c r="A73" i="76" s="1"/>
  <c r="A74" i="76" s="1"/>
  <c r="A75" i="76" s="1"/>
  <c r="A76" i="76" s="1"/>
  <c r="A77" i="76" s="1"/>
  <c r="E86" i="78"/>
  <c r="F85" i="78"/>
  <c r="I85" i="78" s="1"/>
  <c r="E276" i="78"/>
  <c r="E278" i="78" s="1"/>
  <c r="B87" i="20"/>
  <c r="A86" i="20"/>
  <c r="A87" i="20" s="1"/>
  <c r="F302" i="78"/>
  <c r="I302" i="78" s="1"/>
  <c r="J302" i="78" s="1"/>
  <c r="E303" i="78"/>
  <c r="O302" i="78"/>
  <c r="Q302" i="78" s="1"/>
  <c r="J211" i="78"/>
  <c r="J55" i="78"/>
  <c r="A22" i="81"/>
  <c r="E460" i="78"/>
  <c r="F459" i="78"/>
  <c r="I459" i="78" s="1"/>
  <c r="G44" i="3"/>
  <c r="J23" i="78"/>
  <c r="F182" i="78"/>
  <c r="I182" i="78" s="1"/>
  <c r="E183" i="78"/>
  <c r="E185" i="78" s="1"/>
  <c r="D152" i="78"/>
  <c r="F140" i="78"/>
  <c r="I140" i="78" s="1"/>
  <c r="F451" i="78"/>
  <c r="I451" i="78" s="1"/>
  <c r="D450" i="78"/>
  <c r="A64" i="44"/>
  <c r="A65" i="44" s="1"/>
  <c r="A66" i="44" s="1"/>
  <c r="A67" i="44" s="1"/>
  <c r="A68" i="44" s="1"/>
  <c r="A69" i="44" s="1"/>
  <c r="A70" i="44" s="1"/>
  <c r="H8" i="44"/>
  <c r="A26" i="87"/>
  <c r="A27" i="87" s="1"/>
  <c r="G17" i="3"/>
  <c r="J115" i="78"/>
  <c r="J273" i="78"/>
  <c r="A26" i="28"/>
  <c r="A27" i="28" s="1"/>
  <c r="E151" i="78"/>
  <c r="F150" i="78"/>
  <c r="I150" i="78" s="1"/>
  <c r="E57" i="78"/>
  <c r="F56" i="78"/>
  <c r="I56" i="78" s="1"/>
  <c r="J56" i="78" s="1"/>
  <c r="Q419" i="78"/>
  <c r="Q420" i="78" s="1"/>
  <c r="Q421" i="78" s="1"/>
  <c r="Q422" i="78" s="1"/>
  <c r="Q423" i="78" s="1"/>
  <c r="Q424" i="78" s="1"/>
  <c r="Q425" i="78" s="1"/>
  <c r="Q426" i="78" s="1"/>
  <c r="Q427" i="78" s="1"/>
  <c r="Q428" i="78" s="1"/>
  <c r="Q429" i="78" s="1"/>
  <c r="Q430" i="78" s="1"/>
  <c r="Q437" i="78" s="1"/>
  <c r="Q438" i="78" s="1"/>
  <c r="Q440" i="78" s="1"/>
  <c r="Q482" i="78"/>
  <c r="Q483" i="78" s="1"/>
  <c r="Q484" i="78" s="1"/>
  <c r="Q485" i="78" s="1"/>
  <c r="Q486" i="78" s="1"/>
  <c r="E29" i="66" l="1"/>
  <c r="D102" i="25"/>
  <c r="G93" i="25"/>
  <c r="G180" i="25"/>
  <c r="G141" i="74"/>
  <c r="G173" i="74" s="1"/>
  <c r="F67" i="25"/>
  <c r="G145" i="75"/>
  <c r="G175" i="75" s="1"/>
  <c r="G172" i="25"/>
  <c r="F111" i="25"/>
  <c r="F138" i="25"/>
  <c r="G138" i="25" s="1"/>
  <c r="F24" i="25"/>
  <c r="F13" i="25"/>
  <c r="F97" i="25"/>
  <c r="G97" i="25" s="1"/>
  <c r="F110" i="25"/>
  <c r="G163" i="74"/>
  <c r="F118" i="25"/>
  <c r="G118" i="25" s="1"/>
  <c r="F14" i="25"/>
  <c r="F52" i="25"/>
  <c r="G52" i="25" s="1"/>
  <c r="F25" i="25"/>
  <c r="I30" i="24"/>
  <c r="Q212" i="78"/>
  <c r="Q213" i="78" s="1"/>
  <c r="Q220" i="78" s="1"/>
  <c r="Q221" i="78" s="1"/>
  <c r="Q223" i="78" s="1"/>
  <c r="I154" i="74" s="1"/>
  <c r="J182" i="78"/>
  <c r="J189" i="78" s="1"/>
  <c r="J190" i="78" s="1"/>
  <c r="J192" i="78" s="1"/>
  <c r="E34" i="74" s="1"/>
  <c r="E35" i="74" s="1"/>
  <c r="F217" i="44"/>
  <c r="A71" i="44"/>
  <c r="A72" i="44" s="1"/>
  <c r="A73" i="44" s="1"/>
  <c r="A74" i="44" s="1"/>
  <c r="J24" i="78"/>
  <c r="G34" i="74"/>
  <c r="F45" i="3"/>
  <c r="J85" i="78"/>
  <c r="A78" i="76"/>
  <c r="A79" i="76" s="1"/>
  <c r="A80" i="76" s="1"/>
  <c r="A81" i="76" s="1"/>
  <c r="A82" i="76" s="1"/>
  <c r="A83" i="76" s="1"/>
  <c r="F335" i="78"/>
  <c r="I335" i="78" s="1"/>
  <c r="J335" i="78" s="1"/>
  <c r="E336" i="78"/>
  <c r="J395" i="78"/>
  <c r="J116" i="78"/>
  <c r="A42" i="40"/>
  <c r="A44" i="40" s="1"/>
  <c r="I44" i="40"/>
  <c r="N43" i="43"/>
  <c r="O41" i="43"/>
  <c r="D16" i="48"/>
  <c r="E367" i="78"/>
  <c r="F366" i="78"/>
  <c r="I366" i="78" s="1"/>
  <c r="E26" i="78"/>
  <c r="F25" i="78"/>
  <c r="I25" i="78" s="1"/>
  <c r="A24" i="83"/>
  <c r="B24" i="83"/>
  <c r="E489" i="78"/>
  <c r="F488" i="78"/>
  <c r="I488" i="78" s="1"/>
  <c r="J241" i="78"/>
  <c r="I183" i="78"/>
  <c r="F151" i="78"/>
  <c r="I151" i="78" s="1"/>
  <c r="E152" i="78"/>
  <c r="F18" i="3"/>
  <c r="E304" i="78"/>
  <c r="F303" i="78"/>
  <c r="I303" i="78" s="1"/>
  <c r="O303" i="78"/>
  <c r="E523" i="78"/>
  <c r="F522" i="78"/>
  <c r="I522" i="78" s="1"/>
  <c r="A26" i="9"/>
  <c r="C25" i="25"/>
  <c r="C25" i="3"/>
  <c r="J487" i="78"/>
  <c r="J274" i="78"/>
  <c r="J275" i="78" s="1"/>
  <c r="J282" i="78" s="1"/>
  <c r="J283" i="78" s="1"/>
  <c r="J285" i="78" s="1"/>
  <c r="E78" i="74" s="1"/>
  <c r="I276" i="78"/>
  <c r="E58" i="78"/>
  <c r="F58" i="78" s="1"/>
  <c r="I58" i="78" s="1"/>
  <c r="F57" i="78"/>
  <c r="I57" i="78" s="1"/>
  <c r="E59" i="78"/>
  <c r="E61" i="78" s="1"/>
  <c r="A29" i="28"/>
  <c r="B31" i="28"/>
  <c r="B33" i="28"/>
  <c r="A29" i="87"/>
  <c r="B31" i="87" s="1"/>
  <c r="B33" i="87"/>
  <c r="D462" i="78"/>
  <c r="F450" i="78"/>
  <c r="I450" i="78" s="1"/>
  <c r="O450" i="78"/>
  <c r="J140" i="78"/>
  <c r="J141" i="78" s="1"/>
  <c r="J142" i="78" s="1"/>
  <c r="J143" i="78" s="1"/>
  <c r="J144" i="78" s="1"/>
  <c r="J145" i="78" s="1"/>
  <c r="J146" i="78" s="1"/>
  <c r="J147" i="78" s="1"/>
  <c r="J148" i="78" s="1"/>
  <c r="J149" i="78" s="1"/>
  <c r="J150" i="78" s="1"/>
  <c r="E9" i="66"/>
  <c r="F9" i="66" s="1"/>
  <c r="G9" i="66" s="1"/>
  <c r="E14" i="66"/>
  <c r="F14" i="66" s="1"/>
  <c r="G14" i="66" s="1"/>
  <c r="E22" i="66"/>
  <c r="F22" i="66" s="1"/>
  <c r="G22" i="66" s="1"/>
  <c r="E11" i="66"/>
  <c r="F11" i="66" s="1"/>
  <c r="G11" i="66" s="1"/>
  <c r="E17" i="66"/>
  <c r="F17" i="66" s="1"/>
  <c r="G17" i="66" s="1"/>
  <c r="E16" i="66"/>
  <c r="F16" i="66" s="1"/>
  <c r="G16" i="66" s="1"/>
  <c r="E19" i="66"/>
  <c r="F19" i="66" s="1"/>
  <c r="G19" i="66" s="1"/>
  <c r="E18" i="66"/>
  <c r="F18" i="66" s="1"/>
  <c r="G18" i="66" s="1"/>
  <c r="E24" i="66"/>
  <c r="F24" i="66" s="1"/>
  <c r="G24" i="66" s="1"/>
  <c r="E12" i="66"/>
  <c r="F12" i="66" s="1"/>
  <c r="G12" i="66" s="1"/>
  <c r="E26" i="66"/>
  <c r="F26" i="66" s="1"/>
  <c r="G26" i="66" s="1"/>
  <c r="H25" i="41" s="1"/>
  <c r="I25" i="41" s="1"/>
  <c r="E13" i="66"/>
  <c r="F13" i="66" s="1"/>
  <c r="G13" i="66" s="1"/>
  <c r="E15" i="66"/>
  <c r="F15" i="66" s="1"/>
  <c r="G15" i="66" s="1"/>
  <c r="E10" i="66"/>
  <c r="F10" i="66" s="1"/>
  <c r="G10" i="66" s="1"/>
  <c r="E25" i="66"/>
  <c r="F25" i="66" s="1"/>
  <c r="G25" i="66" s="1"/>
  <c r="E20" i="66"/>
  <c r="F20" i="66" s="1"/>
  <c r="G20" i="66" s="1"/>
  <c r="E21" i="66"/>
  <c r="F21" i="66" s="1"/>
  <c r="G21" i="66" s="1"/>
  <c r="E27" i="66"/>
  <c r="F27" i="66" s="1"/>
  <c r="G27" i="66" s="1"/>
  <c r="H25" i="63" s="1"/>
  <c r="I25" i="63" s="1"/>
  <c r="E23" i="66"/>
  <c r="F23" i="66" s="1"/>
  <c r="G23" i="66" s="1"/>
  <c r="F86" i="78"/>
  <c r="I86" i="78" s="1"/>
  <c r="J86" i="78" s="1"/>
  <c r="E87" i="78"/>
  <c r="B77" i="76"/>
  <c r="E397" i="78"/>
  <c r="F396" i="78"/>
  <c r="I396" i="78" s="1"/>
  <c r="A29" i="7"/>
  <c r="C36" i="5"/>
  <c r="A26" i="80"/>
  <c r="A27" i="80" s="1"/>
  <c r="E118" i="78"/>
  <c r="F117" i="78"/>
  <c r="I117" i="78" s="1"/>
  <c r="O117" i="78"/>
  <c r="N95" i="78"/>
  <c r="F95" i="78"/>
  <c r="A78" i="78"/>
  <c r="A79" i="78" s="1"/>
  <c r="A80" i="78" s="1"/>
  <c r="A81" i="78" s="1"/>
  <c r="A82" i="78" s="1"/>
  <c r="A83" i="78" s="1"/>
  <c r="A84" i="78" s="1"/>
  <c r="A85" i="78" s="1"/>
  <c r="A86" i="78" s="1"/>
  <c r="A87" i="78" s="1"/>
  <c r="A88" i="78" s="1"/>
  <c r="A89" i="78" s="1"/>
  <c r="E243" i="78"/>
  <c r="F242" i="78"/>
  <c r="I242" i="78" s="1"/>
  <c r="Q487" i="78"/>
  <c r="Q488" i="78" s="1"/>
  <c r="E154" i="78"/>
  <c r="H56" i="40"/>
  <c r="H54" i="40"/>
  <c r="E461" i="78"/>
  <c r="F460" i="78"/>
  <c r="I460" i="78" s="1"/>
  <c r="O460" i="78"/>
  <c r="A24" i="81"/>
  <c r="B24" i="81"/>
  <c r="A26" i="84"/>
  <c r="A27" i="84" s="1"/>
  <c r="B24" i="82"/>
  <c r="A24" i="82"/>
  <c r="A27" i="25"/>
  <c r="C42" i="25"/>
  <c r="A25" i="3"/>
  <c r="C40" i="3"/>
  <c r="J212" i="78"/>
  <c r="J213" i="78" s="1"/>
  <c r="J220" i="78" s="1"/>
  <c r="J221" i="78" s="1"/>
  <c r="J223" i="78" s="1"/>
  <c r="E49" i="74" s="1"/>
  <c r="I214" i="78"/>
  <c r="O55" i="42"/>
  <c r="O57" i="42"/>
  <c r="Q116" i="78"/>
  <c r="D74" i="25"/>
  <c r="G74" i="25"/>
  <c r="D125" i="25" l="1"/>
  <c r="G143" i="25"/>
  <c r="G173" i="25"/>
  <c r="Q117" i="78"/>
  <c r="J25" i="78"/>
  <c r="J151" i="78"/>
  <c r="J158" i="78" s="1"/>
  <c r="J159" i="78" s="1"/>
  <c r="J161" i="78" s="1"/>
  <c r="E26" i="74" s="1"/>
  <c r="G26" i="74" s="1"/>
  <c r="G27" i="74" s="1"/>
  <c r="G49" i="74"/>
  <c r="G50" i="74" s="1"/>
  <c r="E50" i="74"/>
  <c r="E119" i="78"/>
  <c r="F118" i="78"/>
  <c r="I118" i="78" s="1"/>
  <c r="O118" i="78"/>
  <c r="A30" i="7"/>
  <c r="A31" i="7" s="1"/>
  <c r="A32" i="7" s="1"/>
  <c r="A33" i="7" s="1"/>
  <c r="A34" i="7" s="1"/>
  <c r="C37" i="5"/>
  <c r="H20" i="63"/>
  <c r="I20" i="63" s="1"/>
  <c r="H20" i="41"/>
  <c r="I20" i="41" s="1"/>
  <c r="H16" i="41"/>
  <c r="I16" i="41" s="1"/>
  <c r="H16" i="63"/>
  <c r="I16" i="63" s="1"/>
  <c r="E27" i="74"/>
  <c r="E42" i="74" s="1"/>
  <c r="D49" i="3" s="1"/>
  <c r="E490" i="78"/>
  <c r="F489" i="78"/>
  <c r="I489" i="78" s="1"/>
  <c r="O60" i="42"/>
  <c r="E65" i="5"/>
  <c r="O59" i="42"/>
  <c r="E79" i="74"/>
  <c r="G78" i="74"/>
  <c r="G79" i="74" s="1"/>
  <c r="E64" i="5"/>
  <c r="O65" i="42"/>
  <c r="C41" i="3"/>
  <c r="A26" i="3"/>
  <c r="J242" i="78"/>
  <c r="J117" i="78"/>
  <c r="E398" i="78"/>
  <c r="F397" i="78"/>
  <c r="I397" i="78" s="1"/>
  <c r="J397" i="78" s="1"/>
  <c r="H10" i="63"/>
  <c r="I10" i="63" s="1"/>
  <c r="H10" i="41"/>
  <c r="I10" i="41" s="1"/>
  <c r="H26" i="41"/>
  <c r="I26" i="41" s="1"/>
  <c r="H11" i="63"/>
  <c r="I11" i="63" s="1"/>
  <c r="H27" i="41"/>
  <c r="I27" i="41" s="1"/>
  <c r="H11" i="41"/>
  <c r="I11" i="41" s="1"/>
  <c r="H15" i="63"/>
  <c r="I15" i="63" s="1"/>
  <c r="H15" i="41"/>
  <c r="I15" i="41" s="1"/>
  <c r="H29" i="41"/>
  <c r="I29" i="41" s="1"/>
  <c r="H13" i="63"/>
  <c r="I13" i="63" s="1"/>
  <c r="H13" i="41"/>
  <c r="I13" i="41" s="1"/>
  <c r="Q450" i="78"/>
  <c r="Q451" i="78" s="1"/>
  <c r="Q452" i="78" s="1"/>
  <c r="Q453" i="78" s="1"/>
  <c r="Q454" i="78" s="1"/>
  <c r="Q455" i="78" s="1"/>
  <c r="Q456" i="78" s="1"/>
  <c r="Q457" i="78" s="1"/>
  <c r="Q458" i="78" s="1"/>
  <c r="Q459" i="78" s="1"/>
  <c r="Q460" i="78" s="1"/>
  <c r="A31" i="28"/>
  <c r="B35" i="28"/>
  <c r="J522" i="78"/>
  <c r="J303" i="78"/>
  <c r="J488" i="78"/>
  <c r="A26" i="83"/>
  <c r="A27" i="83" s="1"/>
  <c r="E368" i="78"/>
  <c r="F368" i="78" s="1"/>
  <c r="I368" i="78" s="1"/>
  <c r="F367" i="78"/>
  <c r="I367" i="78" s="1"/>
  <c r="E369" i="78"/>
  <c r="E371" i="78" s="1"/>
  <c r="N45" i="43"/>
  <c r="O45" i="43" s="1"/>
  <c r="O43" i="43"/>
  <c r="G58" i="75"/>
  <c r="F132" i="3"/>
  <c r="G132" i="3" s="1"/>
  <c r="F98" i="3"/>
  <c r="G98" i="3" s="1"/>
  <c r="G100" i="3" s="1"/>
  <c r="G102" i="3" s="1"/>
  <c r="G80" i="74"/>
  <c r="F119" i="3"/>
  <c r="G119" i="3" s="1"/>
  <c r="G121" i="3" s="1"/>
  <c r="F66" i="3"/>
  <c r="G66" i="3" s="1"/>
  <c r="F65" i="3"/>
  <c r="G65" i="3" s="1"/>
  <c r="F74" i="44"/>
  <c r="A26" i="81"/>
  <c r="A27" i="81" s="1"/>
  <c r="F461" i="78"/>
  <c r="I461" i="78" s="1"/>
  <c r="O461" i="78"/>
  <c r="O462" i="78" s="1"/>
  <c r="E462" i="78"/>
  <c r="E244" i="78"/>
  <c r="F243" i="78"/>
  <c r="I243" i="78" s="1"/>
  <c r="H14" i="41"/>
  <c r="I14" i="41" s="1"/>
  <c r="H30" i="41"/>
  <c r="I30" i="41" s="1"/>
  <c r="H14" i="63"/>
  <c r="I14" i="63" s="1"/>
  <c r="H9" i="63"/>
  <c r="I9" i="63" s="1"/>
  <c r="H9" i="41"/>
  <c r="I9" i="41" s="1"/>
  <c r="A31" i="87"/>
  <c r="B35" i="87"/>
  <c r="F523" i="78"/>
  <c r="I523" i="78" s="1"/>
  <c r="J523" i="78" s="1"/>
  <c r="J530" i="78" s="1"/>
  <c r="J531" i="78" s="1"/>
  <c r="J533" i="78" s="1"/>
  <c r="L109" i="76" s="1"/>
  <c r="L110" i="76" s="1"/>
  <c r="F30" i="74" s="1"/>
  <c r="E524" i="78"/>
  <c r="E526" i="78" s="1"/>
  <c r="A75" i="44"/>
  <c r="A76" i="44" s="1"/>
  <c r="F191" i="44"/>
  <c r="A28" i="25"/>
  <c r="A29" i="25" s="1"/>
  <c r="A30" i="25" s="1"/>
  <c r="A31" i="25" s="1"/>
  <c r="C43" i="25"/>
  <c r="C28" i="25"/>
  <c r="H64" i="40"/>
  <c r="E42" i="5"/>
  <c r="N96" i="78"/>
  <c r="F96" i="78"/>
  <c r="A90" i="78"/>
  <c r="A91" i="78" s="1"/>
  <c r="A92" i="78" s="1"/>
  <c r="A93" i="78" s="1"/>
  <c r="A94" i="78" s="1"/>
  <c r="A95" i="78" s="1"/>
  <c r="E88" i="78"/>
  <c r="F87" i="78"/>
  <c r="I87" i="78" s="1"/>
  <c r="H19" i="63"/>
  <c r="I19" i="63" s="1"/>
  <c r="H19" i="41"/>
  <c r="I19" i="41" s="1"/>
  <c r="H12" i="63"/>
  <c r="I12" i="63" s="1"/>
  <c r="H12" i="41"/>
  <c r="I12" i="41" s="1"/>
  <c r="H28" i="41"/>
  <c r="I28" i="41" s="1"/>
  <c r="H17" i="41"/>
  <c r="I17" i="41" s="1"/>
  <c r="H17" i="63"/>
  <c r="I17" i="63" s="1"/>
  <c r="E464" i="78"/>
  <c r="J57" i="78"/>
  <c r="J58" i="78" s="1"/>
  <c r="J65" i="78" s="1"/>
  <c r="J66" i="78" s="1"/>
  <c r="J68" i="78" s="1"/>
  <c r="E44" i="75" s="1"/>
  <c r="I59" i="78"/>
  <c r="E27" i="78"/>
  <c r="F27" i="78" s="1"/>
  <c r="I27" i="78" s="1"/>
  <c r="F26" i="78"/>
  <c r="I26" i="78" s="1"/>
  <c r="J26" i="78" s="1"/>
  <c r="F16" i="48"/>
  <c r="A46" i="40"/>
  <c r="I46" i="40"/>
  <c r="A84" i="76"/>
  <c r="A85" i="76" s="1"/>
  <c r="A86" i="76" s="1"/>
  <c r="A87" i="76" s="1"/>
  <c r="A88" i="76" s="1"/>
  <c r="A89" i="76" s="1"/>
  <c r="A90" i="76" s="1"/>
  <c r="A91" i="76" s="1"/>
  <c r="A92" i="76" s="1"/>
  <c r="A93" i="76" s="1"/>
  <c r="A94" i="76" s="1"/>
  <c r="A95" i="76" s="1"/>
  <c r="A96" i="76" s="1"/>
  <c r="B96" i="76"/>
  <c r="Q303" i="78"/>
  <c r="H23" i="63"/>
  <c r="I23" i="63" s="1"/>
  <c r="H23" i="41"/>
  <c r="I23" i="41" s="1"/>
  <c r="I462" i="78"/>
  <c r="J450" i="78"/>
  <c r="J451" i="78" s="1"/>
  <c r="J452" i="78" s="1"/>
  <c r="J453" i="78" s="1"/>
  <c r="J454" i="78" s="1"/>
  <c r="J455" i="78" s="1"/>
  <c r="J456" i="78" s="1"/>
  <c r="J457" i="78" s="1"/>
  <c r="J458" i="78" s="1"/>
  <c r="J459" i="78" s="1"/>
  <c r="J460" i="78" s="1"/>
  <c r="E305" i="78"/>
  <c r="F304" i="78"/>
  <c r="I304" i="78" s="1"/>
  <c r="J304" i="78" s="1"/>
  <c r="O304" i="78"/>
  <c r="A26" i="82"/>
  <c r="A27" i="82" s="1"/>
  <c r="A29" i="84"/>
  <c r="B33" i="84"/>
  <c r="E43" i="5"/>
  <c r="H59" i="40"/>
  <c r="H58" i="40"/>
  <c r="Q489" i="78"/>
  <c r="A29" i="80"/>
  <c r="B31" i="80"/>
  <c r="B33" i="80"/>
  <c r="J396" i="78"/>
  <c r="H22" i="63"/>
  <c r="I22" i="63" s="1"/>
  <c r="H22" i="41"/>
  <c r="I22" i="41" s="1"/>
  <c r="H24" i="63"/>
  <c r="I24" i="63" s="1"/>
  <c r="H24" i="41"/>
  <c r="I24" i="41" s="1"/>
  <c r="H18" i="63"/>
  <c r="I18" i="63" s="1"/>
  <c r="H18" i="41"/>
  <c r="I18" i="41" s="1"/>
  <c r="H21" i="63"/>
  <c r="I21" i="63" s="1"/>
  <c r="H21" i="41"/>
  <c r="I21" i="41" s="1"/>
  <c r="I152" i="78"/>
  <c r="A27" i="9"/>
  <c r="C26" i="3"/>
  <c r="C26" i="25"/>
  <c r="J366" i="78"/>
  <c r="I369" i="78"/>
  <c r="E337" i="78"/>
  <c r="F336" i="78"/>
  <c r="I336" i="78" s="1"/>
  <c r="J336" i="78" s="1"/>
  <c r="O49" i="43" l="1"/>
  <c r="O53" i="43" s="1"/>
  <c r="F26" i="25"/>
  <c r="F113" i="25"/>
  <c r="F27" i="25"/>
  <c r="F16" i="25"/>
  <c r="F15" i="25"/>
  <c r="G15" i="25" s="1"/>
  <c r="F112" i="25"/>
  <c r="G81" i="74"/>
  <c r="G70" i="3"/>
  <c r="J243" i="78"/>
  <c r="O57" i="43"/>
  <c r="O55" i="43"/>
  <c r="A31" i="84"/>
  <c r="B35" i="84"/>
  <c r="Q304" i="78"/>
  <c r="A29" i="83"/>
  <c r="B31" i="83"/>
  <c r="B33" i="83"/>
  <c r="A31" i="80"/>
  <c r="B35" i="80"/>
  <c r="F305" i="78"/>
  <c r="I305" i="78" s="1"/>
  <c r="J305" i="78" s="1"/>
  <c r="E306" i="78"/>
  <c r="O305" i="78"/>
  <c r="J27" i="78"/>
  <c r="J34" i="78" s="1"/>
  <c r="J35" i="78" s="1"/>
  <c r="J37" i="78" s="1"/>
  <c r="E34" i="75" s="1"/>
  <c r="I28" i="78"/>
  <c r="J87" i="78"/>
  <c r="A77" i="44"/>
  <c r="A78" i="44" s="1"/>
  <c r="A79" i="44" s="1"/>
  <c r="A80" i="44" s="1"/>
  <c r="H10" i="44"/>
  <c r="A33" i="87"/>
  <c r="A35" i="87" s="1"/>
  <c r="A37" i="87" s="1"/>
  <c r="I524" i="78"/>
  <c r="E399" i="78"/>
  <c r="F398" i="78"/>
  <c r="I398" i="78" s="1"/>
  <c r="J398" i="78" s="1"/>
  <c r="J489" i="78"/>
  <c r="J118" i="78"/>
  <c r="Q118" i="78"/>
  <c r="G44" i="75"/>
  <c r="G45" i="75" s="1"/>
  <c r="G47" i="75" s="1"/>
  <c r="E45" i="75"/>
  <c r="A27" i="3"/>
  <c r="C42" i="3"/>
  <c r="E67" i="5"/>
  <c r="O63" i="42"/>
  <c r="E69" i="5" s="1"/>
  <c r="A29" i="82"/>
  <c r="B33" i="82"/>
  <c r="C157" i="25"/>
  <c r="A97" i="76"/>
  <c r="A98" i="76" s="1"/>
  <c r="A99" i="76" s="1"/>
  <c r="A100" i="76" s="1"/>
  <c r="A101" i="76" s="1"/>
  <c r="A102" i="76" s="1"/>
  <c r="A103" i="76" s="1"/>
  <c r="A104" i="76" s="1"/>
  <c r="A105" i="76" s="1"/>
  <c r="A106" i="76" s="1"/>
  <c r="A107" i="76" s="1"/>
  <c r="A108" i="76" s="1"/>
  <c r="A109" i="76" s="1"/>
  <c r="A110" i="76" s="1"/>
  <c r="A111" i="76" s="1"/>
  <c r="A112" i="76" s="1"/>
  <c r="A113" i="76" s="1"/>
  <c r="A114" i="76" s="1"/>
  <c r="A115" i="76" s="1"/>
  <c r="A116" i="76" s="1"/>
  <c r="D17" i="48"/>
  <c r="F88" i="78"/>
  <c r="I88" i="78" s="1"/>
  <c r="E89" i="78"/>
  <c r="E48" i="5"/>
  <c r="E49" i="5"/>
  <c r="A32" i="25"/>
  <c r="A33" i="25" s="1"/>
  <c r="I33" i="41"/>
  <c r="J367" i="78"/>
  <c r="Q461" i="78"/>
  <c r="Q468" i="78" s="1"/>
  <c r="Q469" i="78" s="1"/>
  <c r="Q471" i="78" s="1"/>
  <c r="O62" i="42"/>
  <c r="E68" i="5" s="1"/>
  <c r="E66" i="5"/>
  <c r="F490" i="78"/>
  <c r="I490" i="78" s="1"/>
  <c r="J490" i="78" s="1"/>
  <c r="E491" i="78"/>
  <c r="A35" i="7"/>
  <c r="A36" i="7" s="1"/>
  <c r="A37" i="7" s="1"/>
  <c r="A38" i="7" s="1"/>
  <c r="A39" i="7" s="1"/>
  <c r="A40" i="7" s="1"/>
  <c r="E120" i="78"/>
  <c r="F119" i="78"/>
  <c r="I119" i="78" s="1"/>
  <c r="O119" i="78"/>
  <c r="E45" i="5"/>
  <c r="H62" i="40"/>
  <c r="E47" i="5" s="1"/>
  <c r="A48" i="40"/>
  <c r="A50" i="40" s="1"/>
  <c r="A52" i="40" s="1"/>
  <c r="I52" i="40"/>
  <c r="F244" i="78"/>
  <c r="I244" i="78" s="1"/>
  <c r="E245" i="78"/>
  <c r="E247" i="78" s="1"/>
  <c r="A29" i="81"/>
  <c r="B31" i="81"/>
  <c r="B33" i="81"/>
  <c r="A33" i="28"/>
  <c r="A35" i="28" s="1"/>
  <c r="A37" i="28" s="1"/>
  <c r="F337" i="78"/>
  <c r="I337" i="78" s="1"/>
  <c r="E338" i="78"/>
  <c r="E340" i="78" s="1"/>
  <c r="A28" i="9"/>
  <c r="A29" i="9" s="1"/>
  <c r="A30" i="9" s="1"/>
  <c r="A31" i="9" s="1"/>
  <c r="A32" i="9" s="1"/>
  <c r="C27" i="3"/>
  <c r="C27" i="25"/>
  <c r="C28" i="9"/>
  <c r="H61" i="40"/>
  <c r="E46" i="5" s="1"/>
  <c r="E44" i="5"/>
  <c r="B31" i="84"/>
  <c r="E28" i="78"/>
  <c r="E30" i="78" s="1"/>
  <c r="N97" i="78"/>
  <c r="A96" i="78"/>
  <c r="A97" i="78" s="1"/>
  <c r="A98" i="78" s="1"/>
  <c r="A99" i="78" s="1"/>
  <c r="A100" i="78" s="1"/>
  <c r="A101" i="78" s="1"/>
  <c r="A102" i="78" s="1"/>
  <c r="A103" i="78" s="1"/>
  <c r="A104" i="78" s="1"/>
  <c r="A105" i="78" s="1"/>
  <c r="A106" i="78" s="1"/>
  <c r="A107" i="78" s="1"/>
  <c r="A108" i="78" s="1"/>
  <c r="F97" i="78"/>
  <c r="G30" i="74"/>
  <c r="I33" i="63"/>
  <c r="J461" i="78"/>
  <c r="J468" i="78" s="1"/>
  <c r="J469" i="78" s="1"/>
  <c r="J471" i="78" s="1"/>
  <c r="I109" i="76" s="1"/>
  <c r="J368" i="78"/>
  <c r="J375" i="78" s="1"/>
  <c r="J376" i="78" s="1"/>
  <c r="J378" i="78" s="1"/>
  <c r="F109" i="76" s="1"/>
  <c r="F110" i="76" s="1"/>
  <c r="E71" i="5"/>
  <c r="E70" i="5"/>
  <c r="J88" i="78" l="1"/>
  <c r="Q119" i="78"/>
  <c r="J244" i="78"/>
  <c r="J251" i="78" s="1"/>
  <c r="J252" i="78" s="1"/>
  <c r="J254" i="78" s="1"/>
  <c r="E61" i="74" s="1"/>
  <c r="I245" i="78"/>
  <c r="A31" i="82"/>
  <c r="B35" i="82"/>
  <c r="J337" i="78"/>
  <c r="J344" i="78" s="1"/>
  <c r="J345" i="78" s="1"/>
  <c r="J347" i="78" s="1"/>
  <c r="D109" i="76" s="1"/>
  <c r="D110" i="76" s="1"/>
  <c r="I338" i="78"/>
  <c r="A39" i="28"/>
  <c r="B39" i="28"/>
  <c r="F120" i="78"/>
  <c r="I120" i="78" s="1"/>
  <c r="O120" i="78"/>
  <c r="O121" i="78" s="1"/>
  <c r="E121" i="78"/>
  <c r="E123" i="78" s="1"/>
  <c r="A34" i="25"/>
  <c r="A35" i="25" s="1"/>
  <c r="A36" i="25" s="1"/>
  <c r="A37" i="25" s="1"/>
  <c r="C38" i="25"/>
  <c r="A117" i="76"/>
  <c r="A118" i="76" s="1"/>
  <c r="A119" i="76" s="1"/>
  <c r="A120" i="76" s="1"/>
  <c r="B31" i="82"/>
  <c r="A39" i="87"/>
  <c r="B39" i="87"/>
  <c r="F306" i="78"/>
  <c r="I306" i="78" s="1"/>
  <c r="J306" i="78" s="1"/>
  <c r="J313" i="78" s="1"/>
  <c r="J314" i="78" s="1"/>
  <c r="J316" i="78" s="1"/>
  <c r="C109" i="76" s="1"/>
  <c r="O306" i="78"/>
  <c r="O307" i="78" s="1"/>
  <c r="E307" i="78"/>
  <c r="E309" i="78" s="1"/>
  <c r="C40" i="41"/>
  <c r="E40" i="41"/>
  <c r="G40" i="41"/>
  <c r="I35" i="41"/>
  <c r="F399" i="78"/>
  <c r="I399" i="78" s="1"/>
  <c r="I110" i="76"/>
  <c r="A33" i="9"/>
  <c r="C40" i="7"/>
  <c r="C37" i="25"/>
  <c r="F17" i="48"/>
  <c r="Q490" i="78"/>
  <c r="A28" i="3"/>
  <c r="A29" i="3" s="1"/>
  <c r="A30" i="3" s="1"/>
  <c r="A31" i="3" s="1"/>
  <c r="C43" i="3"/>
  <c r="C28" i="3"/>
  <c r="E400" i="78"/>
  <c r="E402" i="78" s="1"/>
  <c r="F171" i="44"/>
  <c r="A81" i="44"/>
  <c r="A82" i="44" s="1"/>
  <c r="A83" i="44" s="1"/>
  <c r="A84" i="44" s="1"/>
  <c r="G34" i="75"/>
  <c r="G35" i="75" s="1"/>
  <c r="E35" i="75"/>
  <c r="A31" i="83"/>
  <c r="B35" i="83"/>
  <c r="O65" i="43"/>
  <c r="E75" i="5"/>
  <c r="A41" i="7"/>
  <c r="A42" i="7" s="1"/>
  <c r="A43" i="7" s="1"/>
  <c r="A44" i="7" s="1"/>
  <c r="C44" i="7"/>
  <c r="B37" i="84"/>
  <c r="A33" i="84"/>
  <c r="A35" i="84" s="1"/>
  <c r="A37" i="84" s="1"/>
  <c r="I307" i="78"/>
  <c r="C40" i="63"/>
  <c r="I35" i="63"/>
  <c r="N126" i="78"/>
  <c r="F126" i="78"/>
  <c r="A109" i="78"/>
  <c r="A110" i="78" s="1"/>
  <c r="A111" i="78" s="1"/>
  <c r="A112" i="78" s="1"/>
  <c r="A113" i="78" s="1"/>
  <c r="A114" i="78" s="1"/>
  <c r="A115" i="78" s="1"/>
  <c r="A116" i="78" s="1"/>
  <c r="A117" i="78" s="1"/>
  <c r="A118" i="78" s="1"/>
  <c r="A119" i="78" s="1"/>
  <c r="A120" i="78" s="1"/>
  <c r="B37" i="28"/>
  <c r="A31" i="81"/>
  <c r="B35" i="81"/>
  <c r="A54" i="40"/>
  <c r="I56" i="40"/>
  <c r="I54" i="40"/>
  <c r="J119" i="78"/>
  <c r="I121" i="78"/>
  <c r="E492" i="78"/>
  <c r="F491" i="78"/>
  <c r="I491" i="78" s="1"/>
  <c r="J491" i="78" s="1"/>
  <c r="C34" i="25"/>
  <c r="F89" i="78"/>
  <c r="I89" i="78" s="1"/>
  <c r="E90" i="78"/>
  <c r="E92" i="78" s="1"/>
  <c r="B43" i="9"/>
  <c r="B37" i="87"/>
  <c r="A33" i="80"/>
  <c r="A35" i="80" s="1"/>
  <c r="A37" i="80" s="1"/>
  <c r="Q305" i="78"/>
  <c r="Q306" i="78" s="1"/>
  <c r="Q313" i="78" s="1"/>
  <c r="Q314" i="78" s="1"/>
  <c r="Q316" i="78" s="1"/>
  <c r="E76" i="5"/>
  <c r="O59" i="43"/>
  <c r="O60" i="43"/>
  <c r="J120" i="78" l="1"/>
  <c r="J127" i="78" s="1"/>
  <c r="J128" i="78" s="1"/>
  <c r="J130" i="78" s="1"/>
  <c r="E12" i="74" s="1"/>
  <c r="E77" i="5"/>
  <c r="O62" i="43"/>
  <c r="E79" i="5" s="1"/>
  <c r="J89" i="78"/>
  <c r="J96" i="78" s="1"/>
  <c r="J97" i="78" s="1"/>
  <c r="J99" i="78" s="1"/>
  <c r="E56" i="75" s="1"/>
  <c r="I90" i="78"/>
  <c r="A56" i="40"/>
  <c r="C42" i="5"/>
  <c r="C49" i="5"/>
  <c r="C48" i="5"/>
  <c r="C41" i="63"/>
  <c r="C42" i="63"/>
  <c r="E13" i="74"/>
  <c r="D48" i="3" s="1"/>
  <c r="F172" i="44"/>
  <c r="A85" i="44"/>
  <c r="A86" i="44" s="1"/>
  <c r="A87" i="44" s="1"/>
  <c r="A88" i="44" s="1"/>
  <c r="A89" i="44" s="1"/>
  <c r="A90" i="44" s="1"/>
  <c r="D18" i="48"/>
  <c r="A34" i="9"/>
  <c r="A35" i="9" s="1"/>
  <c r="C106" i="3"/>
  <c r="J399" i="78"/>
  <c r="J406" i="78" s="1"/>
  <c r="J407" i="78" s="1"/>
  <c r="J409" i="78" s="1"/>
  <c r="G109" i="76" s="1"/>
  <c r="G110" i="76" s="1"/>
  <c r="F32" i="74" s="1"/>
  <c r="I400" i="78"/>
  <c r="E42" i="41"/>
  <c r="E41" i="41"/>
  <c r="A38" i="25"/>
  <c r="A39" i="25" s="1"/>
  <c r="A40" i="25" s="1"/>
  <c r="A41" i="25" s="1"/>
  <c r="A42" i="25" s="1"/>
  <c r="A43" i="25" s="1"/>
  <c r="A44" i="25" s="1"/>
  <c r="A39" i="80"/>
  <c r="B39" i="80"/>
  <c r="G41" i="41"/>
  <c r="G42" i="41"/>
  <c r="B84" i="87"/>
  <c r="A41" i="87"/>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C60" i="25"/>
  <c r="C109" i="25"/>
  <c r="C56" i="25"/>
  <c r="C108" i="25"/>
  <c r="C57" i="25"/>
  <c r="A33" i="81"/>
  <c r="A35" i="81" s="1"/>
  <c r="A37" i="81" s="1"/>
  <c r="C49" i="7"/>
  <c r="C50" i="7"/>
  <c r="A45" i="7"/>
  <c r="A46" i="7" s="1"/>
  <c r="A47" i="7" s="1"/>
  <c r="A48" i="7" s="1"/>
  <c r="A49" i="7" s="1"/>
  <c r="C51" i="7"/>
  <c r="A33" i="83"/>
  <c r="A35" i="83" s="1"/>
  <c r="A37" i="83" s="1"/>
  <c r="B37" i="83"/>
  <c r="A32" i="3"/>
  <c r="A33" i="3" s="1"/>
  <c r="C34" i="3"/>
  <c r="Q120" i="78"/>
  <c r="Q127" i="78" s="1"/>
  <c r="Q128" i="78" s="1"/>
  <c r="Q130" i="78" s="1"/>
  <c r="C41" i="41"/>
  <c r="C42" i="41"/>
  <c r="C110" i="76"/>
  <c r="E109" i="76"/>
  <c r="E110" i="76" s="1"/>
  <c r="F60" i="74" s="1"/>
  <c r="G60" i="74" s="1"/>
  <c r="A41" i="28"/>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B91" i="28"/>
  <c r="B83" i="28"/>
  <c r="A33" i="82"/>
  <c r="A35" i="82" s="1"/>
  <c r="A37" i="82" s="1"/>
  <c r="G61" i="74"/>
  <c r="E62" i="74"/>
  <c r="E98" i="74" s="1"/>
  <c r="D50" i="3" s="1"/>
  <c r="N127" i="78"/>
  <c r="F127" i="78"/>
  <c r="A121" i="78"/>
  <c r="A122" i="78" s="1"/>
  <c r="A123" i="78" s="1"/>
  <c r="A124" i="78" s="1"/>
  <c r="A125" i="78" s="1"/>
  <c r="A126" i="78" s="1"/>
  <c r="O63" i="43"/>
  <c r="E80" i="5" s="1"/>
  <c r="E78" i="5"/>
  <c r="B37" i="80"/>
  <c r="F492" i="78"/>
  <c r="I492" i="78" s="1"/>
  <c r="E493" i="78"/>
  <c r="E495" i="78" s="1"/>
  <c r="A39" i="84"/>
  <c r="B39" i="84"/>
  <c r="E82" i="5"/>
  <c r="E81" i="5"/>
  <c r="Q491" i="78"/>
  <c r="A121" i="76"/>
  <c r="A122" i="76" s="1"/>
  <c r="A123" i="76" s="1"/>
  <c r="A124" i="76" s="1"/>
  <c r="A125" i="76" s="1"/>
  <c r="A126" i="76" s="1"/>
  <c r="A127" i="76" s="1"/>
  <c r="A128" i="76" s="1"/>
  <c r="E117" i="74" l="1"/>
  <c r="F117" i="74" s="1"/>
  <c r="G12" i="74"/>
  <c r="G13" i="74" s="1"/>
  <c r="G48" i="3" s="1"/>
  <c r="A129" i="76"/>
  <c r="B129" i="76"/>
  <c r="A39" i="82"/>
  <c r="B39" i="82"/>
  <c r="A82" i="28"/>
  <c r="A83" i="28" s="1"/>
  <c r="B84" i="28"/>
  <c r="E53" i="5"/>
  <c r="C47" i="41"/>
  <c r="E59" i="5" s="1"/>
  <c r="C48" i="41"/>
  <c r="E60" i="5" s="1"/>
  <c r="A34" i="3"/>
  <c r="A35" i="3" s="1"/>
  <c r="A36" i="3" s="1"/>
  <c r="A37" i="3" s="1"/>
  <c r="C38" i="3"/>
  <c r="A50" i="7"/>
  <c r="C34" i="24"/>
  <c r="C30" i="24"/>
  <c r="C35" i="24"/>
  <c r="G53" i="5"/>
  <c r="G48" i="41"/>
  <c r="G60" i="5" s="1"/>
  <c r="G47" i="41"/>
  <c r="G59" i="5" s="1"/>
  <c r="C44" i="25"/>
  <c r="G32" i="74"/>
  <c r="G35" i="74" s="1"/>
  <c r="G37" i="74" s="1"/>
  <c r="G42" i="74" s="1"/>
  <c r="G49" i="3" s="1"/>
  <c r="F35" i="74"/>
  <c r="F42" i="74" s="1"/>
  <c r="F18" i="48"/>
  <c r="D19" i="48" s="1"/>
  <c r="F19" i="48" s="1"/>
  <c r="D20" i="48" s="1"/>
  <c r="F20" i="48" s="1"/>
  <c r="D21" i="48" s="1"/>
  <c r="F21" i="48" s="1"/>
  <c r="D22" i="48" s="1"/>
  <c r="F22" i="48" s="1"/>
  <c r="D23" i="48" s="1"/>
  <c r="F23" i="48" s="1"/>
  <c r="D24" i="48" s="1"/>
  <c r="F24" i="48" s="1"/>
  <c r="F25" i="48" s="1"/>
  <c r="D52" i="3" s="1"/>
  <c r="G52" i="3" s="1"/>
  <c r="D25" i="48"/>
  <c r="G56" i="75"/>
  <c r="G57" i="75" s="1"/>
  <c r="G59" i="75" s="1"/>
  <c r="G95" i="75" s="1"/>
  <c r="G51" i="3" s="1"/>
  <c r="E57" i="75"/>
  <c r="E95" i="75" s="1"/>
  <c r="D51" i="3" s="1"/>
  <c r="D58" i="3" s="1"/>
  <c r="D72" i="3" s="1"/>
  <c r="D76" i="3" s="1"/>
  <c r="J492" i="78"/>
  <c r="J499" i="78" s="1"/>
  <c r="J500" i="78" s="1"/>
  <c r="J502" i="78" s="1"/>
  <c r="J109" i="76" s="1"/>
  <c r="I493" i="78"/>
  <c r="G54" i="5"/>
  <c r="G44" i="41"/>
  <c r="G43" i="41"/>
  <c r="A41" i="84"/>
  <c r="A42" i="84" s="1"/>
  <c r="A43" i="84" s="1"/>
  <c r="A44" i="84" s="1"/>
  <c r="A45" i="84" s="1"/>
  <c r="A46" i="84" s="1"/>
  <c r="A47" i="84" s="1"/>
  <c r="A48" i="84" s="1"/>
  <c r="A49" i="84" s="1"/>
  <c r="A50" i="84" s="1"/>
  <c r="A51" i="84" s="1"/>
  <c r="A52" i="84" s="1"/>
  <c r="A53" i="84" s="1"/>
  <c r="A54" i="84" s="1"/>
  <c r="A55" i="84" s="1"/>
  <c r="A56" i="84" s="1"/>
  <c r="A57" i="84" s="1"/>
  <c r="A58" i="84" s="1"/>
  <c r="A59" i="84" s="1"/>
  <c r="A60" i="84" s="1"/>
  <c r="A61" i="84" s="1"/>
  <c r="A62" i="84" s="1"/>
  <c r="A63" i="84" s="1"/>
  <c r="A64" i="84" s="1"/>
  <c r="A65" i="84" s="1"/>
  <c r="A66" i="84" s="1"/>
  <c r="A67" i="84" s="1"/>
  <c r="A68" i="84" s="1"/>
  <c r="A69" i="84" s="1"/>
  <c r="A70" i="84" s="1"/>
  <c r="A71" i="84" s="1"/>
  <c r="A72" i="84" s="1"/>
  <c r="A73" i="84" s="1"/>
  <c r="A74" i="84" s="1"/>
  <c r="A75" i="84" s="1"/>
  <c r="A76" i="84" s="1"/>
  <c r="A77" i="84" s="1"/>
  <c r="A78" i="84" s="1"/>
  <c r="A79" i="84" s="1"/>
  <c r="A80" i="84" s="1"/>
  <c r="A81" i="84" s="1"/>
  <c r="B91" i="84"/>
  <c r="B83" i="84"/>
  <c r="B37" i="82"/>
  <c r="G117" i="74"/>
  <c r="I118" i="74" s="1"/>
  <c r="F53" i="5"/>
  <c r="E47" i="41"/>
  <c r="F59" i="5" s="1"/>
  <c r="E48" i="41"/>
  <c r="F60" i="5" s="1"/>
  <c r="H12" i="44"/>
  <c r="A91" i="44"/>
  <c r="A92" i="44" s="1"/>
  <c r="A93" i="44" s="1"/>
  <c r="A94" i="44" s="1"/>
  <c r="A95" i="44" s="1"/>
  <c r="A96" i="44" s="1"/>
  <c r="A97" i="44" s="1"/>
  <c r="C44" i="63"/>
  <c r="C43" i="63"/>
  <c r="E87" i="5"/>
  <c r="A127" i="78"/>
  <c r="A128" i="78" s="1"/>
  <c r="A129" i="78" s="1"/>
  <c r="A130" i="78" s="1"/>
  <c r="A131" i="78" s="1"/>
  <c r="A132" i="78" s="1"/>
  <c r="A133" i="78" s="1"/>
  <c r="A134" i="78" s="1"/>
  <c r="A135" i="78" s="1"/>
  <c r="A136" i="78" s="1"/>
  <c r="A137" i="78" s="1"/>
  <c r="A138" i="78" s="1"/>
  <c r="A139" i="78" s="1"/>
  <c r="C44" i="41"/>
  <c r="C43" i="41"/>
  <c r="E54" i="5"/>
  <c r="A45" i="25"/>
  <c r="A46" i="25" s="1"/>
  <c r="A47" i="25" s="1"/>
  <c r="A48" i="25" s="1"/>
  <c r="Q492" i="78"/>
  <c r="Q499" i="78" s="1"/>
  <c r="Q500" i="78" s="1"/>
  <c r="Q502" i="78" s="1"/>
  <c r="A39" i="81"/>
  <c r="B39" i="81"/>
  <c r="C37" i="3"/>
  <c r="A39" i="83"/>
  <c r="B39" i="83"/>
  <c r="C52" i="7"/>
  <c r="B37" i="81"/>
  <c r="B83" i="80"/>
  <c r="B91" i="80"/>
  <c r="A41" i="80"/>
  <c r="A42" i="80" s="1"/>
  <c r="A43" i="80" s="1"/>
  <c r="A44" i="80" s="1"/>
  <c r="A45" i="80" s="1"/>
  <c r="A46" i="80" s="1"/>
  <c r="A47" i="80" s="1"/>
  <c r="A48" i="80" s="1"/>
  <c r="A49" i="80" s="1"/>
  <c r="A50" i="80" s="1"/>
  <c r="A51" i="80" s="1"/>
  <c r="A52" i="80" s="1"/>
  <c r="A53" i="80" s="1"/>
  <c r="A54" i="80" s="1"/>
  <c r="A55" i="80" s="1"/>
  <c r="A56" i="80" s="1"/>
  <c r="A57" i="80" s="1"/>
  <c r="A58" i="80" s="1"/>
  <c r="A59" i="80" s="1"/>
  <c r="A60" i="80" s="1"/>
  <c r="A61" i="80" s="1"/>
  <c r="A62" i="80" s="1"/>
  <c r="A63" i="80" s="1"/>
  <c r="A64" i="80" s="1"/>
  <c r="A65" i="80" s="1"/>
  <c r="A66" i="80" s="1"/>
  <c r="A67" i="80" s="1"/>
  <c r="A68" i="80" s="1"/>
  <c r="A69" i="80" s="1"/>
  <c r="A70" i="80" s="1"/>
  <c r="A71" i="80" s="1"/>
  <c r="A72" i="80" s="1"/>
  <c r="A73" i="80" s="1"/>
  <c r="A74" i="80" s="1"/>
  <c r="A75" i="80" s="1"/>
  <c r="A76" i="80" s="1"/>
  <c r="A77" i="80" s="1"/>
  <c r="A78" i="80" s="1"/>
  <c r="A79" i="80" s="1"/>
  <c r="A80" i="80" s="1"/>
  <c r="A81" i="80" s="1"/>
  <c r="F54" i="5"/>
  <c r="E43" i="41"/>
  <c r="E44" i="41"/>
  <c r="A36" i="9"/>
  <c r="C110" i="3"/>
  <c r="C110" i="25"/>
  <c r="C47" i="63"/>
  <c r="E92" i="5" s="1"/>
  <c r="E86" i="5"/>
  <c r="C48" i="63"/>
  <c r="E93" i="5" s="1"/>
  <c r="I59" i="40"/>
  <c r="A58" i="40"/>
  <c r="I58" i="40"/>
  <c r="C43" i="5"/>
  <c r="D131" i="3" l="1"/>
  <c r="D133" i="3" s="1"/>
  <c r="D144" i="3" s="1"/>
  <c r="B83" i="82"/>
  <c r="B91" i="82"/>
  <c r="A41" i="82"/>
  <c r="A42" i="82" s="1"/>
  <c r="A43" i="82" s="1"/>
  <c r="A44" i="82" s="1"/>
  <c r="A45" i="82" s="1"/>
  <c r="A46" i="82" s="1"/>
  <c r="A47" i="82" s="1"/>
  <c r="A48" i="82" s="1"/>
  <c r="A49" i="82" s="1"/>
  <c r="A50" i="82" s="1"/>
  <c r="A51" i="82" s="1"/>
  <c r="A52" i="82" s="1"/>
  <c r="A53" i="82" s="1"/>
  <c r="A54" i="82" s="1"/>
  <c r="A55" i="82" s="1"/>
  <c r="A56" i="82" s="1"/>
  <c r="A57" i="82" s="1"/>
  <c r="A58" i="82" s="1"/>
  <c r="A59" i="82" s="1"/>
  <c r="A60" i="82" s="1"/>
  <c r="A61" i="82" s="1"/>
  <c r="A62" i="82" s="1"/>
  <c r="A63" i="82" s="1"/>
  <c r="A64" i="82" s="1"/>
  <c r="A65" i="82" s="1"/>
  <c r="A66" i="82" s="1"/>
  <c r="A67" i="82" s="1"/>
  <c r="A68" i="82" s="1"/>
  <c r="A69" i="82" s="1"/>
  <c r="A70" i="82" s="1"/>
  <c r="A71" i="82" s="1"/>
  <c r="A72" i="82" s="1"/>
  <c r="A73" i="82" s="1"/>
  <c r="A74" i="82" s="1"/>
  <c r="A75" i="82" s="1"/>
  <c r="A76" i="82" s="1"/>
  <c r="A77" i="82" s="1"/>
  <c r="A78" i="82" s="1"/>
  <c r="A79" i="82" s="1"/>
  <c r="A80" i="82" s="1"/>
  <c r="A81" i="82" s="1"/>
  <c r="F55" i="5"/>
  <c r="E45" i="41"/>
  <c r="F57" i="5" s="1"/>
  <c r="A41" i="83"/>
  <c r="A42" i="83" s="1"/>
  <c r="A43" i="83" s="1"/>
  <c r="A44" i="83" s="1"/>
  <c r="A45" i="83" s="1"/>
  <c r="A46" i="83" s="1"/>
  <c r="A47" i="83" s="1"/>
  <c r="A48" i="83" s="1"/>
  <c r="A49" i="83" s="1"/>
  <c r="A50" i="83" s="1"/>
  <c r="A51" i="83" s="1"/>
  <c r="A52" i="83" s="1"/>
  <c r="A53" i="83" s="1"/>
  <c r="A54" i="83" s="1"/>
  <c r="A55" i="83" s="1"/>
  <c r="A56" i="83" s="1"/>
  <c r="A57" i="83" s="1"/>
  <c r="A58" i="83" s="1"/>
  <c r="A59" i="83" s="1"/>
  <c r="A60" i="83" s="1"/>
  <c r="A61" i="83" s="1"/>
  <c r="A62" i="83" s="1"/>
  <c r="A63" i="83" s="1"/>
  <c r="A64" i="83" s="1"/>
  <c r="A65" i="83" s="1"/>
  <c r="A66" i="83" s="1"/>
  <c r="A67" i="83" s="1"/>
  <c r="A68" i="83" s="1"/>
  <c r="A69" i="83" s="1"/>
  <c r="A70" i="83" s="1"/>
  <c r="A71" i="83" s="1"/>
  <c r="A72" i="83" s="1"/>
  <c r="A73" i="83" s="1"/>
  <c r="A74" i="83" s="1"/>
  <c r="A75" i="83" s="1"/>
  <c r="A76" i="83" s="1"/>
  <c r="A77" i="83" s="1"/>
  <c r="A78" i="83" s="1"/>
  <c r="A79" i="83" s="1"/>
  <c r="A80" i="83" s="1"/>
  <c r="A81" i="83" s="1"/>
  <c r="B83" i="83"/>
  <c r="B91" i="83"/>
  <c r="A49" i="25"/>
  <c r="A50" i="25" s="1"/>
  <c r="A51" i="25" s="1"/>
  <c r="A52" i="25" s="1"/>
  <c r="A53" i="25" s="1"/>
  <c r="A54" i="25" s="1"/>
  <c r="A55" i="25" s="1"/>
  <c r="A56" i="25" s="1"/>
  <c r="A57" i="25" s="1"/>
  <c r="A58" i="25" s="1"/>
  <c r="F128" i="78"/>
  <c r="C45" i="63"/>
  <c r="E90" i="5" s="1"/>
  <c r="E88" i="5"/>
  <c r="A82" i="84"/>
  <c r="A83" i="84" s="1"/>
  <c r="B84" i="84"/>
  <c r="A51" i="7"/>
  <c r="C31" i="24"/>
  <c r="C46" i="63"/>
  <c r="E91" i="5" s="1"/>
  <c r="E89" i="5"/>
  <c r="J110" i="76"/>
  <c r="K109" i="76"/>
  <c r="K110" i="76" s="1"/>
  <c r="F58" i="74" s="1"/>
  <c r="A37" i="9"/>
  <c r="C111" i="3"/>
  <c r="C111" i="25"/>
  <c r="C45" i="41"/>
  <c r="E57" i="5" s="1"/>
  <c r="E55" i="5"/>
  <c r="N128" i="78"/>
  <c r="A98" i="44"/>
  <c r="A99" i="44" s="1"/>
  <c r="A100" i="44" s="1"/>
  <c r="A101" i="44" s="1"/>
  <c r="A102" i="44" s="1"/>
  <c r="A103" i="44" s="1"/>
  <c r="A104" i="44" s="1"/>
  <c r="A105" i="44" s="1"/>
  <c r="G56" i="5"/>
  <c r="G46" i="41"/>
  <c r="G58" i="5" s="1"/>
  <c r="C44" i="3"/>
  <c r="A38" i="3"/>
  <c r="A39" i="3" s="1"/>
  <c r="A40" i="3" s="1"/>
  <c r="A41" i="3" s="1"/>
  <c r="A42" i="3" s="1"/>
  <c r="A43" i="3" s="1"/>
  <c r="A44" i="3" s="1"/>
  <c r="N157" i="78"/>
  <c r="F157" i="78"/>
  <c r="A140" i="78"/>
  <c r="A141" i="78" s="1"/>
  <c r="A142" i="78" s="1"/>
  <c r="A143" i="78" s="1"/>
  <c r="A144" i="78" s="1"/>
  <c r="A145" i="78" s="1"/>
  <c r="A146" i="78" s="1"/>
  <c r="A147" i="78" s="1"/>
  <c r="A148" i="78" s="1"/>
  <c r="A149" i="78" s="1"/>
  <c r="A150" i="78" s="1"/>
  <c r="A151" i="78" s="1"/>
  <c r="G45" i="41"/>
  <c r="G57" i="5" s="1"/>
  <c r="G55" i="5"/>
  <c r="A82" i="80"/>
  <c r="A83" i="80" s="1"/>
  <c r="B84" i="80"/>
  <c r="A59" i="40"/>
  <c r="C44" i="5"/>
  <c r="F56" i="5"/>
  <c r="E46" i="41"/>
  <c r="F58" i="5" s="1"/>
  <c r="B83" i="81"/>
  <c r="A41" i="81"/>
  <c r="A42" i="81" s="1"/>
  <c r="A43" i="81" s="1"/>
  <c r="A44" i="81" s="1"/>
  <c r="A45" i="81" s="1"/>
  <c r="A46" i="81" s="1"/>
  <c r="A47" i="81" s="1"/>
  <c r="A48" i="81" s="1"/>
  <c r="A49" i="81" s="1"/>
  <c r="A50" i="81" s="1"/>
  <c r="A51" i="81" s="1"/>
  <c r="A52" i="81" s="1"/>
  <c r="A53" i="81" s="1"/>
  <c r="A54" i="81" s="1"/>
  <c r="A55" i="81" s="1"/>
  <c r="A56" i="81" s="1"/>
  <c r="A57" i="81" s="1"/>
  <c r="A58" i="81" s="1"/>
  <c r="A59" i="81" s="1"/>
  <c r="A60" i="81" s="1"/>
  <c r="A61" i="81" s="1"/>
  <c r="A62" i="81" s="1"/>
  <c r="A63" i="81" s="1"/>
  <c r="A64" i="81" s="1"/>
  <c r="A65" i="81" s="1"/>
  <c r="A66" i="81" s="1"/>
  <c r="A67" i="81" s="1"/>
  <c r="A68" i="81" s="1"/>
  <c r="A69" i="81" s="1"/>
  <c r="A70" i="81" s="1"/>
  <c r="A71" i="81" s="1"/>
  <c r="A72" i="81" s="1"/>
  <c r="A73" i="81" s="1"/>
  <c r="A74" i="81" s="1"/>
  <c r="A75" i="81" s="1"/>
  <c r="A76" i="81" s="1"/>
  <c r="A77" i="81" s="1"/>
  <c r="A78" i="81" s="1"/>
  <c r="A79" i="81" s="1"/>
  <c r="A80" i="81" s="1"/>
  <c r="A81" i="81" s="1"/>
  <c r="B91" i="81"/>
  <c r="E56" i="5"/>
  <c r="C46" i="41"/>
  <c r="E58" i="5" s="1"/>
  <c r="A84" i="28"/>
  <c r="C156" i="3"/>
  <c r="A130" i="76"/>
  <c r="A131" i="76" s="1"/>
  <c r="A132" i="76" s="1"/>
  <c r="A133" i="76" s="1"/>
  <c r="A134" i="76" s="1"/>
  <c r="A135" i="76" s="1"/>
  <c r="A136" i="76" s="1"/>
  <c r="A137" i="76" s="1"/>
  <c r="A138" i="76" s="1"/>
  <c r="A139" i="76" s="1"/>
  <c r="A85" i="28" l="1"/>
  <c r="C10" i="5"/>
  <c r="A84" i="80"/>
  <c r="A85" i="80" s="1"/>
  <c r="A86" i="80" s="1"/>
  <c r="A87" i="80" s="1"/>
  <c r="B85" i="80"/>
  <c r="A59" i="25"/>
  <c r="A60" i="25" s="1"/>
  <c r="A61" i="25" s="1"/>
  <c r="A62" i="25" s="1"/>
  <c r="A63" i="25" s="1"/>
  <c r="B85" i="28"/>
  <c r="A82" i="81"/>
  <c r="A83" i="81" s="1"/>
  <c r="B84" i="81"/>
  <c r="A38" i="9"/>
  <c r="C112" i="25"/>
  <c r="C112" i="3"/>
  <c r="A84" i="84"/>
  <c r="A85" i="84" s="1"/>
  <c r="A86" i="84" s="1"/>
  <c r="A87" i="84" s="1"/>
  <c r="B85" i="84"/>
  <c r="C58" i="25"/>
  <c r="A82" i="83"/>
  <c r="A83" i="83" s="1"/>
  <c r="B84" i="83"/>
  <c r="A140" i="76"/>
  <c r="A141" i="76" s="1"/>
  <c r="A61" i="40"/>
  <c r="C45" i="5"/>
  <c r="A45" i="3"/>
  <c r="A46" i="3" s="1"/>
  <c r="A47" i="3" s="1"/>
  <c r="A48" i="3" s="1"/>
  <c r="F105" i="44"/>
  <c r="G58" i="74"/>
  <c r="G62" i="74" s="1"/>
  <c r="G64" i="74" s="1"/>
  <c r="G98" i="74" s="1"/>
  <c r="G50" i="3" s="1"/>
  <c r="F62" i="74"/>
  <c r="F98" i="74" s="1"/>
  <c r="N158" i="78"/>
  <c r="A152" i="78"/>
  <c r="A153" i="78" s="1"/>
  <c r="A154" i="78" s="1"/>
  <c r="A155" i="78" s="1"/>
  <c r="A156" i="78" s="1"/>
  <c r="A157" i="78" s="1"/>
  <c r="F158" i="78"/>
  <c r="A106" i="44"/>
  <c r="A107" i="44" s="1"/>
  <c r="A108" i="44" s="1"/>
  <c r="A109" i="44" s="1"/>
  <c r="F113" i="44"/>
  <c r="A52" i="7"/>
  <c r="C33" i="24" s="1"/>
  <c r="C32" i="24"/>
  <c r="A82" i="82"/>
  <c r="A83" i="82" s="1"/>
  <c r="B84" i="82"/>
  <c r="A84" i="83" l="1"/>
  <c r="A85" i="83" s="1"/>
  <c r="A86" i="83" s="1"/>
  <c r="A87" i="83" s="1"/>
  <c r="B85" i="83"/>
  <c r="A84" i="81"/>
  <c r="A85" i="81" s="1"/>
  <c r="A86" i="81" s="1"/>
  <c r="A87" i="81" s="1"/>
  <c r="A158" i="78"/>
  <c r="A159" i="78" s="1"/>
  <c r="A160" i="78" s="1"/>
  <c r="A161" i="78" s="1"/>
  <c r="A162" i="78" s="1"/>
  <c r="A163" i="78" s="1"/>
  <c r="A164" i="78" s="1"/>
  <c r="A165" i="78" s="1"/>
  <c r="A166" i="78" s="1"/>
  <c r="A167" i="78" s="1"/>
  <c r="A168" i="78" s="1"/>
  <c r="A169" i="78" s="1"/>
  <c r="A170" i="78" s="1"/>
  <c r="B89" i="80"/>
  <c r="A88" i="80"/>
  <c r="A89" i="80" s="1"/>
  <c r="A62" i="40"/>
  <c r="C46" i="5"/>
  <c r="A84" i="82"/>
  <c r="A85" i="82" s="1"/>
  <c r="A86" i="82" s="1"/>
  <c r="A87" i="82" s="1"/>
  <c r="A49" i="3"/>
  <c r="A50" i="3" s="1"/>
  <c r="A51" i="3" s="1"/>
  <c r="A52" i="3" s="1"/>
  <c r="A53" i="3" s="1"/>
  <c r="A54" i="3" s="1"/>
  <c r="A55" i="3" s="1"/>
  <c r="A56" i="3" s="1"/>
  <c r="A57" i="3" s="1"/>
  <c r="A58" i="3" s="1"/>
  <c r="C58" i="3"/>
  <c r="A142" i="76"/>
  <c r="A143" i="76" s="1"/>
  <c r="A144" i="76" s="1"/>
  <c r="A145" i="76" s="1"/>
  <c r="A39" i="9"/>
  <c r="C113" i="25"/>
  <c r="C113" i="3"/>
  <c r="C39" i="9"/>
  <c r="F115" i="44"/>
  <c r="A110" i="44"/>
  <c r="A111" i="44" s="1"/>
  <c r="A112" i="44" s="1"/>
  <c r="A113" i="44" s="1"/>
  <c r="A114" i="44" s="1"/>
  <c r="A115" i="44" s="1"/>
  <c r="A116" i="44" s="1"/>
  <c r="A117" i="44" s="1"/>
  <c r="A118" i="44" s="1"/>
  <c r="A119" i="44" s="1"/>
  <c r="A120" i="44" s="1"/>
  <c r="A121" i="44" s="1"/>
  <c r="A122" i="44" s="1"/>
  <c r="A123" i="44" s="1"/>
  <c r="A124" i="44" s="1"/>
  <c r="G58" i="3"/>
  <c r="G72" i="3" s="1"/>
  <c r="G76" i="3" s="1"/>
  <c r="B89" i="84"/>
  <c r="A88" i="84"/>
  <c r="A89" i="84" s="1"/>
  <c r="A64" i="25"/>
  <c r="A65" i="25" s="1"/>
  <c r="A66" i="25" s="1"/>
  <c r="A67" i="25" s="1"/>
  <c r="A68" i="25" s="1"/>
  <c r="A69" i="25" s="1"/>
  <c r="A70" i="25" s="1"/>
  <c r="C70" i="25"/>
  <c r="A86" i="28"/>
  <c r="A87" i="28" s="1"/>
  <c r="C11" i="5"/>
  <c r="A146" i="76" l="1"/>
  <c r="A147" i="76" s="1"/>
  <c r="A148" i="76" s="1"/>
  <c r="A149" i="76" s="1"/>
  <c r="A150" i="76" s="1"/>
  <c r="A151" i="76" s="1"/>
  <c r="A152" i="76" s="1"/>
  <c r="A153" i="76" s="1"/>
  <c r="B86" i="9"/>
  <c r="A90" i="84"/>
  <c r="A91" i="84" s="1"/>
  <c r="A92" i="84" s="1"/>
  <c r="B92" i="84"/>
  <c r="A125" i="44"/>
  <c r="A126" i="44" s="1"/>
  <c r="A127" i="44" s="1"/>
  <c r="A128" i="44" s="1"/>
  <c r="A129" i="44" s="1"/>
  <c r="D126" i="44"/>
  <c r="A88" i="82"/>
  <c r="A89" i="82" s="1"/>
  <c r="B89" i="82"/>
  <c r="B85" i="81"/>
  <c r="B89" i="28"/>
  <c r="A88" i="28"/>
  <c r="A89" i="28" s="1"/>
  <c r="N188" i="78"/>
  <c r="F188" i="78"/>
  <c r="A171" i="78"/>
  <c r="A172" i="78" s="1"/>
  <c r="A173" i="78" s="1"/>
  <c r="A174" i="78" s="1"/>
  <c r="A175" i="78" s="1"/>
  <c r="A176" i="78" s="1"/>
  <c r="A177" i="78" s="1"/>
  <c r="A178" i="78" s="1"/>
  <c r="A179" i="78" s="1"/>
  <c r="A180" i="78" s="1"/>
  <c r="A181" i="78" s="1"/>
  <c r="A182" i="78" s="1"/>
  <c r="A64" i="40"/>
  <c r="A66" i="40" s="1"/>
  <c r="A67" i="40" s="1"/>
  <c r="A68" i="40" s="1"/>
  <c r="A69" i="40" s="1"/>
  <c r="I24" i="40" s="1"/>
  <c r="C47" i="5"/>
  <c r="F159" i="78"/>
  <c r="B89" i="81"/>
  <c r="A88" i="81"/>
  <c r="A89" i="81" s="1"/>
  <c r="A71" i="25"/>
  <c r="A72" i="25" s="1"/>
  <c r="C72" i="25"/>
  <c r="G131" i="3"/>
  <c r="G133" i="3" s="1"/>
  <c r="A59" i="3"/>
  <c r="A60" i="3" s="1"/>
  <c r="A61" i="3" s="1"/>
  <c r="A62" i="3" s="1"/>
  <c r="A63" i="3" s="1"/>
  <c r="B85" i="82"/>
  <c r="B92" i="80"/>
  <c r="A90" i="80"/>
  <c r="A91" i="80" s="1"/>
  <c r="A92" i="80" s="1"/>
  <c r="N159" i="78"/>
  <c r="A88" i="83"/>
  <c r="A89" i="83" s="1"/>
  <c r="B89" i="83"/>
  <c r="G144" i="3" l="1"/>
  <c r="E8" i="5" s="1"/>
  <c r="G11" i="24" s="1"/>
  <c r="A73" i="25"/>
  <c r="A74" i="25" s="1"/>
  <c r="A75" i="25" s="1"/>
  <c r="A76" i="25" s="1"/>
  <c r="B92" i="81"/>
  <c r="A90" i="81"/>
  <c r="A91" i="81" s="1"/>
  <c r="A92" i="81" s="1"/>
  <c r="N189" i="78"/>
  <c r="F189" i="78"/>
  <c r="A183" i="78"/>
  <c r="A184" i="78" s="1"/>
  <c r="A185" i="78" s="1"/>
  <c r="A186" i="78" s="1"/>
  <c r="A187" i="78" s="1"/>
  <c r="A188" i="78" s="1"/>
  <c r="B92" i="28"/>
  <c r="A90" i="28"/>
  <c r="A91" i="28" s="1"/>
  <c r="A92" i="28" s="1"/>
  <c r="A64" i="3"/>
  <c r="A65" i="3" s="1"/>
  <c r="A66" i="3" s="1"/>
  <c r="A67" i="3" s="1"/>
  <c r="A68" i="3" s="1"/>
  <c r="A69" i="3" s="1"/>
  <c r="A70" i="3" s="1"/>
  <c r="A71" i="3" s="1"/>
  <c r="A72" i="3" s="1"/>
  <c r="C70" i="3"/>
  <c r="B92" i="82"/>
  <c r="A90" i="82"/>
  <c r="A91" i="82" s="1"/>
  <c r="A92" i="82" s="1"/>
  <c r="B92" i="83"/>
  <c r="A90" i="83"/>
  <c r="A91" i="83" s="1"/>
  <c r="A92" i="83" s="1"/>
  <c r="C72" i="3"/>
  <c r="D131" i="44"/>
  <c r="A130" i="44"/>
  <c r="A131" i="44" s="1"/>
  <c r="A132" i="44" s="1"/>
  <c r="A133" i="44" s="1"/>
  <c r="A134" i="44" s="1"/>
  <c r="A135" i="44" s="1"/>
  <c r="A136" i="44" s="1"/>
  <c r="A137" i="44" s="1"/>
  <c r="A138" i="44" s="1"/>
  <c r="A139" i="44" s="1"/>
  <c r="A154" i="76"/>
  <c r="B154" i="76"/>
  <c r="E13" i="5" l="1"/>
  <c r="E19" i="5" s="1"/>
  <c r="E23" i="5" s="1"/>
  <c r="G17" i="24"/>
  <c r="A73" i="3"/>
  <c r="A74" i="3" s="1"/>
  <c r="A75" i="3" s="1"/>
  <c r="A76" i="3" s="1"/>
  <c r="C76" i="3"/>
  <c r="C108" i="3"/>
  <c r="C60" i="3"/>
  <c r="C109" i="3"/>
  <c r="A155" i="76"/>
  <c r="A156" i="76" s="1"/>
  <c r="A158" i="76" s="1"/>
  <c r="A159" i="76" s="1"/>
  <c r="A160" i="76" s="1"/>
  <c r="A161" i="76" s="1"/>
  <c r="A162" i="76" s="1"/>
  <c r="C57" i="3"/>
  <c r="C56" i="3"/>
  <c r="A83" i="25"/>
  <c r="A84" i="25" s="1"/>
  <c r="H14" i="44"/>
  <c r="F213" i="44"/>
  <c r="A140" i="44"/>
  <c r="A141" i="44" s="1"/>
  <c r="A142" i="44" s="1"/>
  <c r="A143" i="44" s="1"/>
  <c r="A144" i="44" s="1"/>
  <c r="A145" i="44" s="1"/>
  <c r="A146" i="44" s="1"/>
  <c r="A189" i="78"/>
  <c r="A190" i="78" s="1"/>
  <c r="A191" i="78" s="1"/>
  <c r="A192" i="78" s="1"/>
  <c r="A193" i="78" s="1"/>
  <c r="A194" i="78" s="1"/>
  <c r="A195" i="78" s="1"/>
  <c r="A196" i="78" s="1"/>
  <c r="A197" i="78" s="1"/>
  <c r="A198" i="78" s="1"/>
  <c r="A199" i="78" s="1"/>
  <c r="A200" i="78" s="1"/>
  <c r="A201" i="78" s="1"/>
  <c r="C76" i="25"/>
  <c r="G21" i="24" l="1"/>
  <c r="E21" i="5"/>
  <c r="G19" i="24"/>
  <c r="N219" i="78"/>
  <c r="A202" i="78"/>
  <c r="A203" i="78" s="1"/>
  <c r="A204" i="78" s="1"/>
  <c r="A205" i="78" s="1"/>
  <c r="A206" i="78" s="1"/>
  <c r="A207" i="78" s="1"/>
  <c r="A208" i="78" s="1"/>
  <c r="A209" i="78" s="1"/>
  <c r="A210" i="78" s="1"/>
  <c r="A211" i="78" s="1"/>
  <c r="A212" i="78" s="1"/>
  <c r="A213" i="78" s="1"/>
  <c r="F219" i="78"/>
  <c r="A83" i="3"/>
  <c r="A84" i="3" s="1"/>
  <c r="N190" i="78"/>
  <c r="A147" i="44"/>
  <c r="A148" i="44" s="1"/>
  <c r="A149" i="44" s="1"/>
  <c r="A150" i="44" s="1"/>
  <c r="F150" i="44"/>
  <c r="F190" i="78"/>
  <c r="A85" i="25"/>
  <c r="A86" i="25" s="1"/>
  <c r="A87" i="25" s="1"/>
  <c r="A88" i="25" s="1"/>
  <c r="A89" i="25" s="1"/>
  <c r="A90" i="25" s="1"/>
  <c r="A91" i="25" s="1"/>
  <c r="A92" i="25" s="1"/>
  <c r="A93" i="25" s="1"/>
  <c r="E24" i="5"/>
  <c r="E25" i="5" s="1"/>
  <c r="E26" i="5"/>
  <c r="C93" i="25" l="1"/>
  <c r="G24" i="24"/>
  <c r="G22" i="24"/>
  <c r="G23" i="24" s="1"/>
  <c r="A85" i="3"/>
  <c r="A86" i="3" s="1"/>
  <c r="A87" i="3" s="1"/>
  <c r="A88" i="3" s="1"/>
  <c r="A89" i="3" s="1"/>
  <c r="A90" i="3" s="1"/>
  <c r="A91" i="3" s="1"/>
  <c r="A92" i="3" s="1"/>
  <c r="A93" i="3" s="1"/>
  <c r="C93" i="3"/>
  <c r="N220" i="78"/>
  <c r="A214" i="78"/>
  <c r="A215" i="78" s="1"/>
  <c r="A216" i="78" s="1"/>
  <c r="A217" i="78" s="1"/>
  <c r="A218" i="78" s="1"/>
  <c r="A219" i="78" s="1"/>
  <c r="F220" i="78"/>
  <c r="A94" i="25"/>
  <c r="A95" i="25" s="1"/>
  <c r="A151" i="44"/>
  <c r="A152" i="44" s="1"/>
  <c r="A153" i="44" s="1"/>
  <c r="A154" i="44" s="1"/>
  <c r="F152" i="44"/>
  <c r="A94" i="3" l="1"/>
  <c r="A95" i="3" s="1"/>
  <c r="A96" i="25"/>
  <c r="C97" i="25"/>
  <c r="A220" i="78"/>
  <c r="A221" i="78" s="1"/>
  <c r="A222" i="78" s="1"/>
  <c r="A223" i="78" s="1"/>
  <c r="A224" i="78" s="1"/>
  <c r="A225" i="78" s="1"/>
  <c r="A226" i="78" s="1"/>
  <c r="A227" i="78" s="1"/>
  <c r="A228" i="78" s="1"/>
  <c r="A229" i="78" s="1"/>
  <c r="A230" i="78" s="1"/>
  <c r="A231" i="78" s="1"/>
  <c r="A232" i="78" s="1"/>
  <c r="A155" i="44"/>
  <c r="A156" i="44" s="1"/>
  <c r="A157" i="44" s="1"/>
  <c r="A158" i="44" s="1"/>
  <c r="H16" i="44"/>
  <c r="N250" i="78" l="1"/>
  <c r="A233" i="78"/>
  <c r="A234" i="78" s="1"/>
  <c r="A235" i="78" s="1"/>
  <c r="A236" i="78" s="1"/>
  <c r="A237" i="78" s="1"/>
  <c r="A238" i="78" s="1"/>
  <c r="A239" i="78" s="1"/>
  <c r="A240" i="78" s="1"/>
  <c r="A241" i="78" s="1"/>
  <c r="A242" i="78" s="1"/>
  <c r="A243" i="78" s="1"/>
  <c r="A244" i="78" s="1"/>
  <c r="F250" i="78"/>
  <c r="A97" i="25"/>
  <c r="C98" i="25"/>
  <c r="F221" i="78"/>
  <c r="A159" i="44"/>
  <c r="A160" i="44" s="1"/>
  <c r="A161" i="44" s="1"/>
  <c r="A162" i="44" s="1"/>
  <c r="A163" i="44" s="1"/>
  <c r="A164" i="44" s="1"/>
  <c r="A165" i="44" s="1"/>
  <c r="A166" i="44" s="1"/>
  <c r="A167" i="44" s="1"/>
  <c r="A168" i="44" s="1"/>
  <c r="A169" i="44" s="1"/>
  <c r="A170" i="44" s="1"/>
  <c r="A171" i="44" s="1"/>
  <c r="H18" i="44"/>
  <c r="N221" i="78"/>
  <c r="A96" i="3"/>
  <c r="C97" i="3" s="1"/>
  <c r="A172" i="44" l="1"/>
  <c r="A173" i="44" s="1"/>
  <c r="F173" i="44"/>
  <c r="A98" i="25"/>
  <c r="A99" i="25" s="1"/>
  <c r="A100" i="25" s="1"/>
  <c r="N251" i="78"/>
  <c r="F251" i="78"/>
  <c r="A245" i="78"/>
  <c r="A246" i="78" s="1"/>
  <c r="A247" i="78" s="1"/>
  <c r="A248" i="78" s="1"/>
  <c r="A249" i="78" s="1"/>
  <c r="A250" i="78" s="1"/>
  <c r="A97" i="3"/>
  <c r="C98" i="3"/>
  <c r="C100" i="25" l="1"/>
  <c r="A98" i="3"/>
  <c r="A99" i="3" s="1"/>
  <c r="A100" i="3" s="1"/>
  <c r="A101" i="25"/>
  <c r="A102" i="25" s="1"/>
  <c r="A103" i="25" s="1"/>
  <c r="A104" i="25" s="1"/>
  <c r="A105" i="25" s="1"/>
  <c r="A106" i="25" s="1"/>
  <c r="C102" i="25"/>
  <c r="A251" i="78"/>
  <c r="A252" i="78" s="1"/>
  <c r="A253" i="78" s="1"/>
  <c r="A254" i="78" s="1"/>
  <c r="A255" i="78" s="1"/>
  <c r="A256" i="78" s="1"/>
  <c r="A257" i="78" s="1"/>
  <c r="A258" i="78" s="1"/>
  <c r="A259" i="78" s="1"/>
  <c r="A260" i="78" s="1"/>
  <c r="A261" i="78" s="1"/>
  <c r="A262" i="78" s="1"/>
  <c r="A263" i="78" s="1"/>
  <c r="F175" i="44"/>
  <c r="A174" i="44"/>
  <c r="A175" i="44" s="1"/>
  <c r="N281" i="78" l="1"/>
  <c r="F281" i="78"/>
  <c r="A264" i="78"/>
  <c r="A265" i="78" s="1"/>
  <c r="A266" i="78" s="1"/>
  <c r="A267" i="78" s="1"/>
  <c r="A268" i="78" s="1"/>
  <c r="A269" i="78" s="1"/>
  <c r="A270" i="78" s="1"/>
  <c r="A271" i="78" s="1"/>
  <c r="A272" i="78" s="1"/>
  <c r="A273" i="78" s="1"/>
  <c r="A274" i="78" s="1"/>
  <c r="A275" i="78" s="1"/>
  <c r="A107" i="25"/>
  <c r="A108" i="25" s="1"/>
  <c r="A109" i="25" s="1"/>
  <c r="A110" i="25" s="1"/>
  <c r="A111" i="25" s="1"/>
  <c r="A112" i="25" s="1"/>
  <c r="A113" i="25" s="1"/>
  <c r="A114" i="25" s="1"/>
  <c r="A115" i="25" s="1"/>
  <c r="A116" i="25" s="1"/>
  <c r="A117" i="25" s="1"/>
  <c r="A118" i="25" s="1"/>
  <c r="F252" i="78"/>
  <c r="C100" i="3"/>
  <c r="A176" i="44"/>
  <c r="A177" i="44" s="1"/>
  <c r="N252" i="78"/>
  <c r="A101" i="3"/>
  <c r="A102" i="3" s="1"/>
  <c r="A103" i="3" s="1"/>
  <c r="A104" i="3" s="1"/>
  <c r="A105" i="3" s="1"/>
  <c r="A106" i="3" s="1"/>
  <c r="C102" i="3"/>
  <c r="N282" i="78" l="1"/>
  <c r="F282" i="78"/>
  <c r="A276" i="78"/>
  <c r="A277" i="78" s="1"/>
  <c r="A278" i="78" s="1"/>
  <c r="A279" i="78" s="1"/>
  <c r="A280" i="78" s="1"/>
  <c r="A281" i="78" s="1"/>
  <c r="A178" i="44"/>
  <c r="A179" i="44" s="1"/>
  <c r="F179" i="44"/>
  <c r="F177" i="44"/>
  <c r="C115" i="25"/>
  <c r="A107" i="3"/>
  <c r="A108" i="3" s="1"/>
  <c r="A109" i="3" s="1"/>
  <c r="A110" i="3" s="1"/>
  <c r="A111" i="3" s="1"/>
  <c r="A112" i="3" s="1"/>
  <c r="A113" i="3" s="1"/>
  <c r="A114" i="3" s="1"/>
  <c r="A115" i="3" s="1"/>
  <c r="A116" i="3" s="1"/>
  <c r="A117" i="3" s="1"/>
  <c r="A118" i="3" s="1"/>
  <c r="A119" i="25"/>
  <c r="A120" i="25" s="1"/>
  <c r="A121" i="25" s="1"/>
  <c r="A122" i="25" s="1"/>
  <c r="A123" i="25" s="1"/>
  <c r="A124" i="25" s="1"/>
  <c r="A125" i="25" s="1"/>
  <c r="C121" i="25" l="1"/>
  <c r="A119" i="3"/>
  <c r="A120" i="3" s="1"/>
  <c r="A121" i="3" s="1"/>
  <c r="A122" i="3" s="1"/>
  <c r="A123" i="3" s="1"/>
  <c r="A124" i="3" s="1"/>
  <c r="A125" i="3" s="1"/>
  <c r="C115" i="3"/>
  <c r="A180" i="44"/>
  <c r="A181" i="44" s="1"/>
  <c r="A182" i="44" s="1"/>
  <c r="A183" i="44" s="1"/>
  <c r="A184" i="44" s="1"/>
  <c r="A185" i="44" s="1"/>
  <c r="H20" i="44"/>
  <c r="A126" i="25"/>
  <c r="A127" i="25" s="1"/>
  <c r="A128" i="25" s="1"/>
  <c r="C131" i="25"/>
  <c r="A282" i="78"/>
  <c r="A283" i="78" s="1"/>
  <c r="A284" i="78" s="1"/>
  <c r="A285" i="78" s="1"/>
  <c r="A286" i="78" s="1"/>
  <c r="A287" i="78" s="1"/>
  <c r="A288" i="78" s="1"/>
  <c r="A289" i="78" s="1"/>
  <c r="A290" i="78" s="1"/>
  <c r="A291" i="78" s="1"/>
  <c r="A292" i="78" s="1"/>
  <c r="A293" i="78" s="1"/>
  <c r="A294" i="78" s="1"/>
  <c r="N283" i="78" l="1"/>
  <c r="A186" i="44"/>
  <c r="A187" i="44" s="1"/>
  <c r="A188" i="44" s="1"/>
  <c r="A189" i="44" s="1"/>
  <c r="A190" i="44" s="1"/>
  <c r="H22" i="44"/>
  <c r="F283" i="78"/>
  <c r="A129" i="25"/>
  <c r="A130" i="25" s="1"/>
  <c r="A131" i="25" s="1"/>
  <c r="A126" i="3"/>
  <c r="A127" i="3" s="1"/>
  <c r="A128" i="3" s="1"/>
  <c r="C131" i="3"/>
  <c r="N312" i="78"/>
  <c r="F312" i="78"/>
  <c r="A295" i="78"/>
  <c r="A296" i="78" s="1"/>
  <c r="A297" i="78" s="1"/>
  <c r="A298" i="78" s="1"/>
  <c r="A299" i="78" s="1"/>
  <c r="A300" i="78" s="1"/>
  <c r="A301" i="78" s="1"/>
  <c r="A302" i="78" s="1"/>
  <c r="A303" i="78" s="1"/>
  <c r="A304" i="78" s="1"/>
  <c r="A305" i="78" s="1"/>
  <c r="A306" i="78" s="1"/>
  <c r="C121" i="3"/>
  <c r="A129" i="3" l="1"/>
  <c r="A130" i="3" s="1"/>
  <c r="A131" i="3" s="1"/>
  <c r="C132" i="3"/>
  <c r="N313" i="78"/>
  <c r="A307" i="78"/>
  <c r="A308" i="78" s="1"/>
  <c r="A309" i="78" s="1"/>
  <c r="A310" i="78" s="1"/>
  <c r="A311" i="78" s="1"/>
  <c r="A312" i="78" s="1"/>
  <c r="F313" i="78"/>
  <c r="A132" i="25"/>
  <c r="A133" i="25" s="1"/>
  <c r="A134" i="25" s="1"/>
  <c r="A135" i="25" s="1"/>
  <c r="A136" i="25" s="1"/>
  <c r="A137" i="25" s="1"/>
  <c r="A138" i="25" s="1"/>
  <c r="C133" i="25"/>
  <c r="A191" i="44"/>
  <c r="A192" i="44" s="1"/>
  <c r="A193" i="44" s="1"/>
  <c r="A194" i="44" s="1"/>
  <c r="A195" i="44" s="1"/>
  <c r="A196" i="44" s="1"/>
  <c r="A197" i="44" s="1"/>
  <c r="A198" i="44" s="1"/>
  <c r="A199" i="44" s="1"/>
  <c r="A200" i="44" s="1"/>
  <c r="A201" i="44" s="1"/>
  <c r="A202" i="44" s="1"/>
  <c r="A203" i="44" s="1"/>
  <c r="A204" i="44" s="1"/>
  <c r="A205" i="44" s="1"/>
  <c r="A206" i="44" s="1"/>
  <c r="C132" i="25"/>
  <c r="A140" i="25" l="1"/>
  <c r="A141" i="25" s="1"/>
  <c r="A142" i="25" s="1"/>
  <c r="A143" i="25" s="1"/>
  <c r="A144" i="25" s="1"/>
  <c r="A145" i="25" s="1"/>
  <c r="A153" i="25" s="1"/>
  <c r="A154" i="25" s="1"/>
  <c r="A155" i="25" s="1"/>
  <c r="A139" i="25"/>
  <c r="H24" i="44"/>
  <c r="A207" i="44"/>
  <c r="A208" i="44" s="1"/>
  <c r="A209" i="44" s="1"/>
  <c r="A210" i="44" s="1"/>
  <c r="A211" i="44" s="1"/>
  <c r="A212" i="44" s="1"/>
  <c r="F314" i="78"/>
  <c r="A313" i="78"/>
  <c r="A314" i="78" s="1"/>
  <c r="A315" i="78" s="1"/>
  <c r="A316" i="78" s="1"/>
  <c r="A317" i="78" s="1"/>
  <c r="A318" i="78" s="1"/>
  <c r="A319" i="78" s="1"/>
  <c r="A320" i="78" s="1"/>
  <c r="A321" i="78" s="1"/>
  <c r="A322" i="78" s="1"/>
  <c r="A323" i="78" s="1"/>
  <c r="A324" i="78" s="1"/>
  <c r="A325" i="78" s="1"/>
  <c r="F199" i="44"/>
  <c r="A132" i="3"/>
  <c r="A133" i="3" s="1"/>
  <c r="A134" i="3" s="1"/>
  <c r="A135" i="3" s="1"/>
  <c r="A136" i="3" s="1"/>
  <c r="A137" i="3" s="1"/>
  <c r="A138" i="3" s="1"/>
  <c r="A139" i="3" s="1"/>
  <c r="A140" i="3" s="1"/>
  <c r="A141" i="3" s="1"/>
  <c r="A142" i="3" s="1"/>
  <c r="A143" i="3" s="1"/>
  <c r="A144" i="3" s="1"/>
  <c r="N343" i="78" l="1"/>
  <c r="A326" i="78"/>
  <c r="A327" i="78" s="1"/>
  <c r="A328" i="78" s="1"/>
  <c r="A329" i="78" s="1"/>
  <c r="A330" i="78" s="1"/>
  <c r="A331" i="78" s="1"/>
  <c r="A332" i="78" s="1"/>
  <c r="A333" i="78" s="1"/>
  <c r="A334" i="78" s="1"/>
  <c r="A335" i="78" s="1"/>
  <c r="A336" i="78" s="1"/>
  <c r="A337" i="78" s="1"/>
  <c r="F343" i="78"/>
  <c r="C156" i="25"/>
  <c r="A156" i="25"/>
  <c r="A157" i="25" s="1"/>
  <c r="A158" i="25" s="1"/>
  <c r="F214" i="44"/>
  <c r="A213" i="44"/>
  <c r="A214" i="44" s="1"/>
  <c r="A152" i="3"/>
  <c r="C8" i="5"/>
  <c r="C133" i="3"/>
  <c r="N314" i="78"/>
  <c r="A215" i="44" l="1"/>
  <c r="A159" i="25"/>
  <c r="A160" i="25" s="1"/>
  <c r="A161" i="25" s="1"/>
  <c r="A162" i="25" s="1"/>
  <c r="C159" i="25"/>
  <c r="N344" i="78"/>
  <c r="A338" i="78"/>
  <c r="A339" i="78" s="1"/>
  <c r="A340" i="78" s="1"/>
  <c r="A341" i="78" s="1"/>
  <c r="A342" i="78" s="1"/>
  <c r="A343" i="78" s="1"/>
  <c r="F344" i="78"/>
  <c r="C155" i="3"/>
  <c r="A153" i="3"/>
  <c r="A154" i="3" s="1"/>
  <c r="C158" i="25"/>
  <c r="A344" i="78" l="1"/>
  <c r="A345" i="78" s="1"/>
  <c r="A346" i="78" s="1"/>
  <c r="A347" i="78" s="1"/>
  <c r="A348" i="78" s="1"/>
  <c r="A349" i="78" s="1"/>
  <c r="A350" i="78" s="1"/>
  <c r="A351" i="78" s="1"/>
  <c r="A352" i="78" s="1"/>
  <c r="A353" i="78" s="1"/>
  <c r="A354" i="78" s="1"/>
  <c r="A355" i="78" s="1"/>
  <c r="A356" i="78" s="1"/>
  <c r="A163" i="25"/>
  <c r="A164" i="25" s="1"/>
  <c r="A165" i="25" s="1"/>
  <c r="A166" i="25" s="1"/>
  <c r="A167" i="25" s="1"/>
  <c r="A155" i="3"/>
  <c r="A156" i="3" s="1"/>
  <c r="A157" i="3" s="1"/>
  <c r="C157" i="3"/>
  <c r="F218" i="44"/>
  <c r="A216" i="44"/>
  <c r="A217" i="44" s="1"/>
  <c r="A218" i="44" s="1"/>
  <c r="N374" i="78" l="1"/>
  <c r="F374" i="78"/>
  <c r="A357" i="78"/>
  <c r="A358" i="78" s="1"/>
  <c r="A359" i="78" s="1"/>
  <c r="A360" i="78" s="1"/>
  <c r="A361" i="78" s="1"/>
  <c r="A362" i="78" s="1"/>
  <c r="A363" i="78" s="1"/>
  <c r="A364" i="78" s="1"/>
  <c r="A365" i="78" s="1"/>
  <c r="A366" i="78" s="1"/>
  <c r="A367" i="78" s="1"/>
  <c r="A368" i="78" s="1"/>
  <c r="C158" i="3"/>
  <c r="A158" i="3"/>
  <c r="A159" i="3" s="1"/>
  <c r="A160" i="3" s="1"/>
  <c r="A161" i="3" s="1"/>
  <c r="F345" i="78"/>
  <c r="C169" i="25"/>
  <c r="A168" i="25"/>
  <c r="A169" i="25" s="1"/>
  <c r="A219" i="44"/>
  <c r="H26" i="44" s="1"/>
  <c r="F219" i="44"/>
  <c r="C167" i="25"/>
  <c r="N345" i="78"/>
  <c r="N375" i="78" l="1"/>
  <c r="F375" i="78"/>
  <c r="A369" i="78"/>
  <c r="A370" i="78" s="1"/>
  <c r="A371" i="78" s="1"/>
  <c r="A372" i="78" s="1"/>
  <c r="A373" i="78" s="1"/>
  <c r="A374" i="78" s="1"/>
  <c r="A170" i="25"/>
  <c r="A171" i="25" s="1"/>
  <c r="C172" i="25"/>
  <c r="A162" i="3"/>
  <c r="A163" i="3" s="1"/>
  <c r="A164" i="3" s="1"/>
  <c r="A165" i="3" s="1"/>
  <c r="A166" i="3" s="1"/>
  <c r="A167" i="3" l="1"/>
  <c r="A168" i="3" s="1"/>
  <c r="C168" i="3"/>
  <c r="A172" i="25"/>
  <c r="A173" i="25" s="1"/>
  <c r="A174" i="25" s="1"/>
  <c r="A175" i="25" s="1"/>
  <c r="A176" i="25" s="1"/>
  <c r="A177" i="25" s="1"/>
  <c r="A375" i="78"/>
  <c r="A376" i="78" s="1"/>
  <c r="A377" i="78" s="1"/>
  <c r="A378" i="78" s="1"/>
  <c r="A379" i="78" s="1"/>
  <c r="A380" i="78" s="1"/>
  <c r="A381" i="78" s="1"/>
  <c r="A382" i="78" s="1"/>
  <c r="A383" i="78" s="1"/>
  <c r="A384" i="78" s="1"/>
  <c r="A385" i="78" s="1"/>
  <c r="A386" i="78" s="1"/>
  <c r="A387" i="78" s="1"/>
  <c r="F376" i="78"/>
  <c r="C166" i="3"/>
  <c r="C173" i="25" l="1"/>
  <c r="A178" i="25"/>
  <c r="A179" i="25" s="1"/>
  <c r="A180" i="25" s="1"/>
  <c r="N405" i="78"/>
  <c r="A388" i="78"/>
  <c r="A389" i="78" s="1"/>
  <c r="A390" i="78" s="1"/>
  <c r="A391" i="78" s="1"/>
  <c r="A392" i="78" s="1"/>
  <c r="A393" i="78" s="1"/>
  <c r="A394" i="78" s="1"/>
  <c r="A395" i="78" s="1"/>
  <c r="A396" i="78" s="1"/>
  <c r="A397" i="78" s="1"/>
  <c r="A398" i="78" s="1"/>
  <c r="A399" i="78" s="1"/>
  <c r="F405" i="78"/>
  <c r="N376" i="78"/>
  <c r="A169" i="3"/>
  <c r="A170" i="3" s="1"/>
  <c r="C171" i="3"/>
  <c r="C180" i="25" l="1"/>
  <c r="C172" i="3"/>
  <c r="A171" i="3"/>
  <c r="A172" i="3" s="1"/>
  <c r="A173" i="3" s="1"/>
  <c r="A174" i="3" s="1"/>
  <c r="A175" i="3" s="1"/>
  <c r="A176" i="3" s="1"/>
  <c r="A181" i="25"/>
  <c r="A182" i="25" s="1"/>
  <c r="A183" i="25" s="1"/>
  <c r="A184" i="25" s="1"/>
  <c r="A185" i="25" s="1"/>
  <c r="C74" i="25"/>
  <c r="N406" i="78"/>
  <c r="F406" i="78"/>
  <c r="A400" i="78"/>
  <c r="A401" i="78" s="1"/>
  <c r="A402" i="78" s="1"/>
  <c r="A403" i="78" s="1"/>
  <c r="A404" i="78" s="1"/>
  <c r="A405" i="78" s="1"/>
  <c r="A406" i="78" l="1"/>
  <c r="A407" i="78" s="1"/>
  <c r="A408" i="78" s="1"/>
  <c r="A409" i="78" s="1"/>
  <c r="A410" i="78" s="1"/>
  <c r="A411" i="78" s="1"/>
  <c r="A412" i="78" s="1"/>
  <c r="A413" i="78" s="1"/>
  <c r="A414" i="78" s="1"/>
  <c r="A415" i="78" s="1"/>
  <c r="A416" i="78" s="1"/>
  <c r="A417" i="78" s="1"/>
  <c r="A418" i="78" s="1"/>
  <c r="A186" i="25"/>
  <c r="A187" i="25" s="1"/>
  <c r="A188" i="25" s="1"/>
  <c r="A189" i="25" s="1"/>
  <c r="A190" i="25" s="1"/>
  <c r="A177" i="3"/>
  <c r="A178" i="3" s="1"/>
  <c r="A179" i="3" s="1"/>
  <c r="C190" i="25" l="1"/>
  <c r="C74" i="3"/>
  <c r="A180" i="3"/>
  <c r="A181" i="3" s="1"/>
  <c r="A182" i="3" s="1"/>
  <c r="A183" i="3" s="1"/>
  <c r="A184" i="3" s="1"/>
  <c r="N436" i="78"/>
  <c r="A419" i="78"/>
  <c r="A420" i="78" s="1"/>
  <c r="A421" i="78" s="1"/>
  <c r="A422" i="78" s="1"/>
  <c r="A423" i="78" s="1"/>
  <c r="A424" i="78" s="1"/>
  <c r="A425" i="78" s="1"/>
  <c r="A426" i="78" s="1"/>
  <c r="A427" i="78" s="1"/>
  <c r="A428" i="78" s="1"/>
  <c r="A429" i="78" s="1"/>
  <c r="A430" i="78" s="1"/>
  <c r="F436" i="78"/>
  <c r="C179" i="3"/>
  <c r="F407" i="78"/>
  <c r="A191" i="25"/>
  <c r="A192" i="25" s="1"/>
  <c r="A193" i="25" s="1"/>
  <c r="N407" i="78"/>
  <c r="C193" i="25" l="1"/>
  <c r="N437" i="78"/>
  <c r="F437" i="78"/>
  <c r="A431" i="78"/>
  <c r="A432" i="78" s="1"/>
  <c r="A433" i="78" s="1"/>
  <c r="A434" i="78" s="1"/>
  <c r="A435" i="78" s="1"/>
  <c r="A436" i="78" s="1"/>
  <c r="C189" i="3"/>
  <c r="A185" i="3"/>
  <c r="A186" i="3" s="1"/>
  <c r="A187" i="3" s="1"/>
  <c r="A188" i="3" s="1"/>
  <c r="A189" i="3" s="1"/>
  <c r="D84" i="14"/>
  <c r="D76" i="14"/>
  <c r="D110" i="14"/>
  <c r="N438" i="78" l="1"/>
  <c r="A437" i="78"/>
  <c r="A438" i="78" s="1"/>
  <c r="A439" i="78" s="1"/>
  <c r="A440" i="78" s="1"/>
  <c r="A441" i="78" s="1"/>
  <c r="A442" i="78" s="1"/>
  <c r="A443" i="78" s="1"/>
  <c r="A444" i="78" s="1"/>
  <c r="A445" i="78" s="1"/>
  <c r="A446" i="78" s="1"/>
  <c r="A447" i="78" s="1"/>
  <c r="A448" i="78" s="1"/>
  <c r="A449" i="78" s="1"/>
  <c r="F438" i="78"/>
  <c r="A190" i="3"/>
  <c r="A191" i="3" s="1"/>
  <c r="A192" i="3" s="1"/>
  <c r="D50" i="14" l="1"/>
  <c r="D20" i="14"/>
  <c r="D28" i="14"/>
  <c r="C192" i="3"/>
  <c r="N467" i="78"/>
  <c r="F467" i="78"/>
  <c r="A450" i="78"/>
  <c r="A451" i="78" s="1"/>
  <c r="A452" i="78" s="1"/>
  <c r="A453" i="78" s="1"/>
  <c r="A454" i="78" s="1"/>
  <c r="A455" i="78" s="1"/>
  <c r="A456" i="78" s="1"/>
  <c r="A457" i="78" s="1"/>
  <c r="A458" i="78" s="1"/>
  <c r="A459" i="78" s="1"/>
  <c r="A460" i="78" s="1"/>
  <c r="A461" i="78" s="1"/>
  <c r="N468" i="78" l="1"/>
  <c r="A462" i="78"/>
  <c r="A463" i="78" s="1"/>
  <c r="A464" i="78" s="1"/>
  <c r="A465" i="78" s="1"/>
  <c r="A466" i="78" s="1"/>
  <c r="A467" i="78" s="1"/>
  <c r="F468" i="78"/>
  <c r="A468" i="78" l="1"/>
  <c r="A469" i="78" s="1"/>
  <c r="A470" i="78" s="1"/>
  <c r="A471" i="78" s="1"/>
  <c r="A472" i="78" s="1"/>
  <c r="A473" i="78" s="1"/>
  <c r="A474" i="78" s="1"/>
  <c r="A475" i="78" s="1"/>
  <c r="A476" i="78" s="1"/>
  <c r="A477" i="78" s="1"/>
  <c r="A478" i="78" s="1"/>
  <c r="A479" i="78" s="1"/>
  <c r="A480" i="78" s="1"/>
  <c r="F469" i="78"/>
  <c r="N498" i="78" l="1"/>
  <c r="A481" i="78"/>
  <c r="A482" i="78" s="1"/>
  <c r="A483" i="78" s="1"/>
  <c r="A484" i="78" s="1"/>
  <c r="A485" i="78" s="1"/>
  <c r="A486" i="78" s="1"/>
  <c r="A487" i="78" s="1"/>
  <c r="A488" i="78" s="1"/>
  <c r="A489" i="78" s="1"/>
  <c r="A490" i="78" s="1"/>
  <c r="A491" i="78" s="1"/>
  <c r="A492" i="78" s="1"/>
  <c r="F498" i="78"/>
  <c r="N469" i="78"/>
  <c r="N499" i="78" l="1"/>
  <c r="A493" i="78"/>
  <c r="A494" i="78" s="1"/>
  <c r="A495" i="78" s="1"/>
  <c r="A496" i="78" s="1"/>
  <c r="A497" i="78" s="1"/>
  <c r="A498" i="78" s="1"/>
  <c r="F499" i="78"/>
  <c r="A499" i="78" l="1"/>
  <c r="A500" i="78" s="1"/>
  <c r="A501" i="78" s="1"/>
  <c r="A502" i="78" s="1"/>
  <c r="A503" i="78" s="1"/>
  <c r="A504" i="78" s="1"/>
  <c r="A505" i="78" s="1"/>
  <c r="A506" i="78" s="1"/>
  <c r="A507" i="78" s="1"/>
  <c r="A508" i="78" s="1"/>
  <c r="A509" i="78" s="1"/>
  <c r="A510" i="78" s="1"/>
  <c r="A511" i="78" s="1"/>
  <c r="N529" i="78" l="1"/>
  <c r="A512" i="78"/>
  <c r="A513" i="78" s="1"/>
  <c r="A514" i="78" s="1"/>
  <c r="A515" i="78" s="1"/>
  <c r="A516" i="78" s="1"/>
  <c r="A517" i="78" s="1"/>
  <c r="A518" i="78" s="1"/>
  <c r="A519" i="78" s="1"/>
  <c r="A520" i="78" s="1"/>
  <c r="A521" i="78" s="1"/>
  <c r="A522" i="78" s="1"/>
  <c r="A523" i="78" s="1"/>
  <c r="F529" i="78"/>
  <c r="F500" i="78"/>
  <c r="N500" i="78"/>
  <c r="N530" i="78" l="1"/>
  <c r="F530" i="78"/>
  <c r="A524" i="78"/>
  <c r="A525" i="78" s="1"/>
  <c r="A526" i="78" s="1"/>
  <c r="A527" i="78" s="1"/>
  <c r="A528" i="78" s="1"/>
  <c r="A529" i="78" s="1"/>
  <c r="A530" i="78" l="1"/>
  <c r="A531" i="78" s="1"/>
  <c r="A532" i="78" s="1"/>
  <c r="A533" i="78" s="1"/>
  <c r="F531" i="78" l="1"/>
  <c r="N531" i="78"/>
  <c r="E125" i="74" l="1"/>
  <c r="F125" i="74" s="1"/>
  <c r="G125" i="74" s="1"/>
  <c r="Q139" i="78"/>
  <c r="Q157" i="78" l="1"/>
  <c r="I130" i="74"/>
  <c r="E177" i="74"/>
  <c r="G177" i="74" s="1"/>
  <c r="Q15" i="78" l="1"/>
  <c r="E151" i="75"/>
  <c r="G151" i="75" s="1"/>
  <c r="E152" i="74"/>
  <c r="Q33" i="78" l="1"/>
  <c r="I132" i="75"/>
  <c r="F152" i="74"/>
  <c r="G152" i="74" s="1"/>
  <c r="R108" i="14" l="1"/>
  <c r="E187" i="75" l="1"/>
  <c r="F187" i="75" s="1"/>
  <c r="G187" i="75" s="1"/>
  <c r="E185" i="75"/>
  <c r="F185" i="75" s="1"/>
  <c r="G185" i="75" s="1"/>
  <c r="E184" i="75"/>
  <c r="F184" i="75" s="1"/>
  <c r="G184" i="75" s="1"/>
  <c r="E183" i="75"/>
  <c r="F183" i="75" s="1"/>
  <c r="G183" i="75" s="1"/>
  <c r="E182" i="75"/>
  <c r="F182" i="75" s="1"/>
  <c r="G182" i="75" s="1"/>
  <c r="E181" i="75"/>
  <c r="F181" i="75" s="1"/>
  <c r="G181" i="75" s="1"/>
  <c r="E180" i="75"/>
  <c r="E171" i="75"/>
  <c r="G171" i="75" s="1"/>
  <c r="E170" i="75"/>
  <c r="G170" i="75" s="1"/>
  <c r="E169" i="75"/>
  <c r="G169" i="75" s="1"/>
  <c r="E168" i="75"/>
  <c r="G168" i="75" s="1"/>
  <c r="E167" i="75"/>
  <c r="G167" i="75" s="1"/>
  <c r="E166" i="75"/>
  <c r="G166" i="75" s="1"/>
  <c r="E163" i="75"/>
  <c r="G163" i="75" s="1"/>
  <c r="E152" i="75"/>
  <c r="G152" i="75" s="1"/>
  <c r="E118" i="75"/>
  <c r="F118" i="75" s="1"/>
  <c r="G118" i="75" s="1"/>
  <c r="E117" i="75"/>
  <c r="F117" i="75" s="1"/>
  <c r="G117" i="75" s="1"/>
  <c r="E150" i="75" l="1"/>
  <c r="G150" i="75" s="1"/>
  <c r="E155" i="75"/>
  <c r="E192" i="75"/>
  <c r="E164" i="75"/>
  <c r="G164" i="75" s="1"/>
  <c r="E165" i="75"/>
  <c r="G165" i="75" s="1"/>
  <c r="E144" i="74"/>
  <c r="E149" i="75"/>
  <c r="Q95" i="78"/>
  <c r="E162" i="75"/>
  <c r="E116" i="75"/>
  <c r="F180" i="75"/>
  <c r="G180" i="75" s="1"/>
  <c r="E191" i="75"/>
  <c r="E179" i="75"/>
  <c r="E198" i="74"/>
  <c r="F198" i="74" s="1"/>
  <c r="G198" i="74" s="1"/>
  <c r="E191" i="74"/>
  <c r="F191" i="74" s="1"/>
  <c r="G191" i="74" s="1"/>
  <c r="E190" i="74"/>
  <c r="E189" i="74"/>
  <c r="F189" i="74" s="1"/>
  <c r="G189" i="74" s="1"/>
  <c r="E179" i="74"/>
  <c r="G179" i="74" s="1"/>
  <c r="E171" i="74"/>
  <c r="F192" i="75" l="1"/>
  <c r="G192" i="75" s="1"/>
  <c r="F155" i="75"/>
  <c r="F157" i="75" s="1"/>
  <c r="E192" i="74"/>
  <c r="F192" i="74" s="1"/>
  <c r="G192" i="74" s="1"/>
  <c r="G149" i="75"/>
  <c r="E167" i="74"/>
  <c r="Q263" i="78"/>
  <c r="E178" i="74"/>
  <c r="E188" i="74"/>
  <c r="F116" i="75"/>
  <c r="F119" i="75" s="1"/>
  <c r="E119" i="75"/>
  <c r="F171" i="74"/>
  <c r="F172" i="74" s="1"/>
  <c r="F179" i="75"/>
  <c r="E188" i="75"/>
  <c r="E145" i="74"/>
  <c r="F144" i="74"/>
  <c r="F145" i="74" s="1"/>
  <c r="E153" i="74"/>
  <c r="E187" i="74"/>
  <c r="F190" i="74"/>
  <c r="G190" i="74" s="1"/>
  <c r="E197" i="74"/>
  <c r="F191" i="75"/>
  <c r="F198" i="75" s="1"/>
  <c r="E198" i="75"/>
  <c r="G162" i="75"/>
  <c r="G174" i="75" s="1"/>
  <c r="G176" i="75" s="1"/>
  <c r="E174" i="75"/>
  <c r="Q281" i="78" l="1"/>
  <c r="I179" i="74"/>
  <c r="G155" i="75"/>
  <c r="G171" i="74"/>
  <c r="G191" i="75"/>
  <c r="G198" i="75" s="1"/>
  <c r="G144" i="74"/>
  <c r="F153" i="74"/>
  <c r="L89" i="78"/>
  <c r="L88" i="78"/>
  <c r="L80" i="78"/>
  <c r="L79" i="78"/>
  <c r="P78" i="78"/>
  <c r="L83" i="78"/>
  <c r="L81" i="78"/>
  <c r="L82" i="78"/>
  <c r="L87" i="78"/>
  <c r="M78" i="78"/>
  <c r="L85" i="78"/>
  <c r="L84" i="78"/>
  <c r="L86" i="78"/>
  <c r="E203" i="74"/>
  <c r="F197" i="74"/>
  <c r="F203" i="74" s="1"/>
  <c r="G179" i="75"/>
  <c r="G188" i="75" s="1"/>
  <c r="F188" i="75"/>
  <c r="G178" i="74"/>
  <c r="G182" i="74" s="1"/>
  <c r="E182" i="74"/>
  <c r="F187" i="74"/>
  <c r="E194" i="74"/>
  <c r="G167" i="74"/>
  <c r="E172" i="74"/>
  <c r="G116" i="75"/>
  <c r="G119" i="75" s="1"/>
  <c r="F188" i="74"/>
  <c r="G188" i="74" s="1"/>
  <c r="L264" i="78"/>
  <c r="G145" i="74" l="1"/>
  <c r="G172" i="74"/>
  <c r="G174" i="74" s="1"/>
  <c r="L90" i="78"/>
  <c r="I155" i="75" s="1"/>
  <c r="Q98" i="78"/>
  <c r="G197" i="74"/>
  <c r="G203" i="74" s="1"/>
  <c r="G153" i="74"/>
  <c r="P84" i="78"/>
  <c r="M84" i="78"/>
  <c r="N84" i="78" s="1"/>
  <c r="O84" i="78" s="1"/>
  <c r="M82" i="78"/>
  <c r="N82" i="78" s="1"/>
  <c r="O82" i="78" s="1"/>
  <c r="P82" i="78"/>
  <c r="M79" i="78"/>
  <c r="N79" i="78" s="1"/>
  <c r="O79" i="78" s="1"/>
  <c r="P79" i="78"/>
  <c r="L274" i="78"/>
  <c r="L272" i="78"/>
  <c r="L266" i="78"/>
  <c r="L265" i="78"/>
  <c r="L270" i="78"/>
  <c r="L269" i="78"/>
  <c r="L273" i="78"/>
  <c r="P264" i="78"/>
  <c r="L275" i="78"/>
  <c r="L271" i="78"/>
  <c r="M264" i="78"/>
  <c r="L267" i="78"/>
  <c r="L268" i="78"/>
  <c r="M85" i="78"/>
  <c r="N85" i="78" s="1"/>
  <c r="O85" i="78" s="1"/>
  <c r="P85" i="78"/>
  <c r="P81" i="78"/>
  <c r="M81" i="78"/>
  <c r="N81" i="78" s="1"/>
  <c r="O81" i="78" s="1"/>
  <c r="P80" i="78"/>
  <c r="M80" i="78"/>
  <c r="N80" i="78" s="1"/>
  <c r="O80" i="78" s="1"/>
  <c r="G187" i="74"/>
  <c r="G194" i="74" s="1"/>
  <c r="F194" i="74"/>
  <c r="N78" i="78"/>
  <c r="M83" i="78"/>
  <c r="N83" i="78" s="1"/>
  <c r="O83" i="78" s="1"/>
  <c r="P83" i="78"/>
  <c r="P88" i="78"/>
  <c r="M88" i="78"/>
  <c r="N88" i="78" s="1"/>
  <c r="O88" i="78" s="1"/>
  <c r="P86" i="78"/>
  <c r="M86" i="78"/>
  <c r="N86" i="78" s="1"/>
  <c r="O86" i="78" s="1"/>
  <c r="P87" i="78"/>
  <c r="M87" i="78"/>
  <c r="N87" i="78" s="1"/>
  <c r="O87" i="78" s="1"/>
  <c r="M89" i="78"/>
  <c r="N89" i="78" s="1"/>
  <c r="O89" i="78" s="1"/>
  <c r="P89" i="78"/>
  <c r="E136" i="74" l="1"/>
  <c r="G136" i="74" s="1"/>
  <c r="E135" i="74"/>
  <c r="Q284" i="78"/>
  <c r="L276" i="78"/>
  <c r="I180" i="74" s="1"/>
  <c r="P90" i="78"/>
  <c r="M90" i="78"/>
  <c r="M271" i="78"/>
  <c r="N271" i="78" s="1"/>
  <c r="O271" i="78" s="1"/>
  <c r="P271" i="78"/>
  <c r="M275" i="78"/>
  <c r="N275" i="78" s="1"/>
  <c r="O275" i="78" s="1"/>
  <c r="P275" i="78"/>
  <c r="P270" i="78"/>
  <c r="M270" i="78"/>
  <c r="N270" i="78" s="1"/>
  <c r="O270" i="78" s="1"/>
  <c r="M274" i="78"/>
  <c r="N274" i="78" s="1"/>
  <c r="O274" i="78" s="1"/>
  <c r="P274" i="78"/>
  <c r="N264" i="78"/>
  <c r="P273" i="78"/>
  <c r="M273" i="78"/>
  <c r="N273" i="78" s="1"/>
  <c r="O273" i="78" s="1"/>
  <c r="P266" i="78"/>
  <c r="M266" i="78"/>
  <c r="N266" i="78" s="1"/>
  <c r="O266" i="78" s="1"/>
  <c r="M269" i="78"/>
  <c r="N269" i="78" s="1"/>
  <c r="O269" i="78" s="1"/>
  <c r="P269" i="78"/>
  <c r="P272" i="78"/>
  <c r="M272" i="78"/>
  <c r="N272" i="78" s="1"/>
  <c r="O272" i="78" s="1"/>
  <c r="O78" i="78"/>
  <c r="O90" i="78" s="1"/>
  <c r="N90" i="78"/>
  <c r="P268" i="78"/>
  <c r="M268" i="78"/>
  <c r="N268" i="78" s="1"/>
  <c r="O268" i="78" s="1"/>
  <c r="M267" i="78"/>
  <c r="N267" i="78" s="1"/>
  <c r="O267" i="78" s="1"/>
  <c r="P267" i="78"/>
  <c r="M265" i="78"/>
  <c r="N265" i="78" s="1"/>
  <c r="O265" i="78" s="1"/>
  <c r="P265" i="78"/>
  <c r="Q78" i="78" l="1"/>
  <c r="Q79" i="78" s="1"/>
  <c r="Q80" i="78" s="1"/>
  <c r="Q81" i="78" s="1"/>
  <c r="Q82" i="78" s="1"/>
  <c r="Q83" i="78" s="1"/>
  <c r="Q84" i="78" s="1"/>
  <c r="Q85" i="78" s="1"/>
  <c r="Q86" i="78" s="1"/>
  <c r="Q87" i="78" s="1"/>
  <c r="Q88" i="78" s="1"/>
  <c r="Q89" i="78" s="1"/>
  <c r="Q96" i="78" s="1"/>
  <c r="Q97" i="78" s="1"/>
  <c r="Q99" i="78" s="1"/>
  <c r="E156" i="75" s="1"/>
  <c r="M276" i="78"/>
  <c r="P276" i="78"/>
  <c r="O264" i="78"/>
  <c r="N276" i="78"/>
  <c r="O276" i="78" l="1"/>
  <c r="Q264" i="78"/>
  <c r="Q265" i="78" s="1"/>
  <c r="Q266" i="78" s="1"/>
  <c r="Q267" i="78" s="1"/>
  <c r="Q268" i="78" s="1"/>
  <c r="Q269" i="78" s="1"/>
  <c r="Q270" i="78" s="1"/>
  <c r="Q271" i="78" s="1"/>
  <c r="Q272" i="78" s="1"/>
  <c r="Q273" i="78" s="1"/>
  <c r="Q274" i="78" s="1"/>
  <c r="Q275" i="78" s="1"/>
  <c r="Q282" i="78" s="1"/>
  <c r="Q283" i="78" s="1"/>
  <c r="Q285" i="78" s="1"/>
  <c r="I181" i="74" s="1"/>
  <c r="I156" i="75"/>
  <c r="G156" i="75"/>
  <c r="G157" i="75" s="1"/>
  <c r="E157" i="75"/>
  <c r="E116" i="74"/>
  <c r="F116" i="74" l="1"/>
  <c r="F118" i="74" s="1"/>
  <c r="E118" i="74"/>
  <c r="D48" i="25" s="1"/>
  <c r="G116" i="74" l="1"/>
  <c r="G118" i="74" s="1"/>
  <c r="G48" i="25" s="1"/>
  <c r="R98" i="14" l="1"/>
  <c r="R102" i="14"/>
  <c r="R103" i="14"/>
  <c r="E138" i="75" l="1"/>
  <c r="G138" i="75" s="1"/>
  <c r="E137" i="75" l="1"/>
  <c r="G137" i="75" l="1"/>
  <c r="E138" i="74" l="1"/>
  <c r="G138" i="74" s="1"/>
  <c r="E124" i="74" l="1"/>
  <c r="G124" i="74" s="1"/>
  <c r="E122" i="74"/>
  <c r="F122" i="74" l="1"/>
  <c r="Q170" i="78"/>
  <c r="Q188" i="78" l="1"/>
  <c r="I138" i="74"/>
  <c r="G122" i="74"/>
  <c r="L143" i="78"/>
  <c r="L149" i="78"/>
  <c r="L147" i="78"/>
  <c r="L142" i="78"/>
  <c r="M140" i="78"/>
  <c r="L151" i="78"/>
  <c r="L145" i="78"/>
  <c r="L146" i="78"/>
  <c r="L144" i="78"/>
  <c r="L141" i="78"/>
  <c r="L150" i="78"/>
  <c r="P140" i="78"/>
  <c r="L148" i="78"/>
  <c r="M144" i="78" l="1"/>
  <c r="N144" i="78" s="1"/>
  <c r="O144" i="78" s="1"/>
  <c r="P144" i="78"/>
  <c r="N140" i="78"/>
  <c r="M143" i="78"/>
  <c r="N143" i="78" s="1"/>
  <c r="O143" i="78" s="1"/>
  <c r="P143" i="78"/>
  <c r="M150" i="78"/>
  <c r="N150" i="78" s="1"/>
  <c r="O150" i="78" s="1"/>
  <c r="P150" i="78"/>
  <c r="P147" i="78"/>
  <c r="M147" i="78"/>
  <c r="N147" i="78" s="1"/>
  <c r="O147" i="78" s="1"/>
  <c r="P146" i="78"/>
  <c r="M146" i="78"/>
  <c r="N146" i="78" s="1"/>
  <c r="O146" i="78" s="1"/>
  <c r="M142" i="78"/>
  <c r="N142" i="78" s="1"/>
  <c r="O142" i="78" s="1"/>
  <c r="P142" i="78"/>
  <c r="L152" i="78"/>
  <c r="I131" i="74" s="1"/>
  <c r="Q160" i="78"/>
  <c r="M145" i="78"/>
  <c r="N145" i="78" s="1"/>
  <c r="O145" i="78" s="1"/>
  <c r="P145" i="78"/>
  <c r="P148" i="78"/>
  <c r="M148" i="78"/>
  <c r="N148" i="78" s="1"/>
  <c r="O148" i="78" s="1"/>
  <c r="P141" i="78"/>
  <c r="M141" i="78"/>
  <c r="N141" i="78" s="1"/>
  <c r="O141" i="78" s="1"/>
  <c r="M151" i="78"/>
  <c r="N151" i="78" s="1"/>
  <c r="O151" i="78" s="1"/>
  <c r="P151" i="78"/>
  <c r="M149" i="78"/>
  <c r="N149" i="78" s="1"/>
  <c r="O149" i="78" s="1"/>
  <c r="P149" i="78"/>
  <c r="F79" i="9"/>
  <c r="F78" i="9"/>
  <c r="Q356" i="78"/>
  <c r="Q374" i="78" s="1"/>
  <c r="Q387" i="78"/>
  <c r="Q405" i="78" s="1"/>
  <c r="F77" i="9"/>
  <c r="Q511" i="78"/>
  <c r="Q529" i="78" s="1"/>
  <c r="F81" i="9"/>
  <c r="M152" i="78" l="1"/>
  <c r="O140" i="78"/>
  <c r="O152" i="78" s="1"/>
  <c r="N152" i="78"/>
  <c r="P152" i="78"/>
  <c r="F82" i="9"/>
  <c r="F57" i="9"/>
  <c r="G57" i="9" s="1"/>
  <c r="D13" i="25" s="1"/>
  <c r="F60" i="9"/>
  <c r="F137" i="74"/>
  <c r="L388" i="78"/>
  <c r="F70" i="9"/>
  <c r="L357" i="78"/>
  <c r="F66" i="9"/>
  <c r="F56" i="9"/>
  <c r="F67" i="9"/>
  <c r="Q140" i="78" l="1"/>
  <c r="Q141" i="78" s="1"/>
  <c r="Q142" i="78" s="1"/>
  <c r="Q143" i="78" s="1"/>
  <c r="Q144" i="78" s="1"/>
  <c r="Q145" i="78" s="1"/>
  <c r="Q146" i="78" s="1"/>
  <c r="Q147" i="78" s="1"/>
  <c r="Q148" i="78" s="1"/>
  <c r="Q149" i="78" s="1"/>
  <c r="Q150" i="78" s="1"/>
  <c r="Q151" i="78" s="1"/>
  <c r="Q158" i="78" s="1"/>
  <c r="Q159" i="78" s="1"/>
  <c r="Q161" i="78" s="1"/>
  <c r="L364" i="78"/>
  <c r="L359" i="78"/>
  <c r="L365" i="78"/>
  <c r="L363" i="78"/>
  <c r="L367" i="78"/>
  <c r="P357" i="78"/>
  <c r="L368" i="78"/>
  <c r="M357" i="78"/>
  <c r="L358" i="78"/>
  <c r="L360" i="78"/>
  <c r="L366" i="78"/>
  <c r="L362" i="78"/>
  <c r="L361" i="78"/>
  <c r="F68" i="9"/>
  <c r="G68" i="9" s="1"/>
  <c r="D25" i="25" s="1"/>
  <c r="L512" i="78"/>
  <c r="Q325" i="78"/>
  <c r="Q343" i="78" s="1"/>
  <c r="L326" i="78"/>
  <c r="L395" i="78"/>
  <c r="L392" i="78"/>
  <c r="L391" i="78"/>
  <c r="L393" i="78"/>
  <c r="L397" i="78"/>
  <c r="L396" i="78"/>
  <c r="L390" i="78"/>
  <c r="M388" i="78"/>
  <c r="L398" i="78"/>
  <c r="L394" i="78"/>
  <c r="P388" i="78"/>
  <c r="L389" i="78"/>
  <c r="L399" i="78"/>
  <c r="F58" i="9"/>
  <c r="G58" i="9" s="1"/>
  <c r="D14" i="25" s="1"/>
  <c r="G14" i="25" s="1"/>
  <c r="G13" i="25"/>
  <c r="E131" i="74" l="1"/>
  <c r="Q377" i="78"/>
  <c r="M398" i="78"/>
  <c r="N398" i="78" s="1"/>
  <c r="O398" i="78" s="1"/>
  <c r="P398" i="78"/>
  <c r="M397" i="78"/>
  <c r="N397" i="78" s="1"/>
  <c r="O397" i="78" s="1"/>
  <c r="P397" i="78"/>
  <c r="M360" i="78"/>
  <c r="N360" i="78" s="1"/>
  <c r="O360" i="78" s="1"/>
  <c r="P360" i="78"/>
  <c r="M359" i="78"/>
  <c r="N359" i="78" s="1"/>
  <c r="O359" i="78" s="1"/>
  <c r="P359" i="78"/>
  <c r="P389" i="78"/>
  <c r="M389" i="78"/>
  <c r="N389" i="78" s="1"/>
  <c r="O389" i="78" s="1"/>
  <c r="M393" i="78"/>
  <c r="N393" i="78" s="1"/>
  <c r="O393" i="78" s="1"/>
  <c r="P393" i="78"/>
  <c r="D41" i="25"/>
  <c r="G25" i="25"/>
  <c r="M361" i="78"/>
  <c r="N361" i="78" s="1"/>
  <c r="O361" i="78" s="1"/>
  <c r="P361" i="78"/>
  <c r="P358" i="78"/>
  <c r="M358" i="78"/>
  <c r="N358" i="78" s="1"/>
  <c r="O358" i="78" s="1"/>
  <c r="M367" i="78"/>
  <c r="N367" i="78" s="1"/>
  <c r="O367" i="78" s="1"/>
  <c r="P367" i="78"/>
  <c r="P364" i="78"/>
  <c r="M364" i="78"/>
  <c r="N364" i="78" s="1"/>
  <c r="O364" i="78" s="1"/>
  <c r="P391" i="78"/>
  <c r="M391" i="78"/>
  <c r="N391" i="78" s="1"/>
  <c r="O391" i="78" s="1"/>
  <c r="L327" i="78"/>
  <c r="L328" i="78"/>
  <c r="M326" i="78"/>
  <c r="L336" i="78"/>
  <c r="L331" i="78"/>
  <c r="P326" i="78"/>
  <c r="L329" i="78"/>
  <c r="L337" i="78"/>
  <c r="L334" i="78"/>
  <c r="L335" i="78"/>
  <c r="L330" i="78"/>
  <c r="L332" i="78"/>
  <c r="L333" i="78"/>
  <c r="F135" i="74"/>
  <c r="P362" i="78"/>
  <c r="M362" i="78"/>
  <c r="N362" i="78" s="1"/>
  <c r="O362" i="78" s="1"/>
  <c r="N357" i="78"/>
  <c r="P363" i="78"/>
  <c r="M363" i="78"/>
  <c r="N363" i="78" s="1"/>
  <c r="O363" i="78" s="1"/>
  <c r="F61" i="9"/>
  <c r="P399" i="78"/>
  <c r="M399" i="78"/>
  <c r="N399" i="78" s="1"/>
  <c r="O399" i="78" s="1"/>
  <c r="M395" i="78"/>
  <c r="N395" i="78" s="1"/>
  <c r="O395" i="78" s="1"/>
  <c r="P395" i="78"/>
  <c r="N388" i="78"/>
  <c r="F71" i="9"/>
  <c r="Q408" i="78"/>
  <c r="M390" i="78"/>
  <c r="N390" i="78" s="1"/>
  <c r="O390" i="78" s="1"/>
  <c r="P390" i="78"/>
  <c r="L400" i="78"/>
  <c r="M394" i="78"/>
  <c r="N394" i="78" s="1"/>
  <c r="O394" i="78" s="1"/>
  <c r="P394" i="78"/>
  <c r="P396" i="78"/>
  <c r="M396" i="78"/>
  <c r="N396" i="78" s="1"/>
  <c r="O396" i="78" s="1"/>
  <c r="P392" i="78"/>
  <c r="M392" i="78"/>
  <c r="N392" i="78" s="1"/>
  <c r="O392" i="78" s="1"/>
  <c r="F160" i="74"/>
  <c r="L514" i="78"/>
  <c r="L520" i="78"/>
  <c r="L513" i="78"/>
  <c r="L518" i="78"/>
  <c r="L519" i="78"/>
  <c r="L517" i="78"/>
  <c r="P512" i="78"/>
  <c r="L516" i="78"/>
  <c r="L522" i="78"/>
  <c r="L515" i="78"/>
  <c r="L521" i="78"/>
  <c r="L523" i="78"/>
  <c r="M512" i="78"/>
  <c r="L369" i="78"/>
  <c r="M366" i="78"/>
  <c r="N366" i="78" s="1"/>
  <c r="O366" i="78" s="1"/>
  <c r="P366" i="78"/>
  <c r="P368" i="78"/>
  <c r="M368" i="78"/>
  <c r="N368" i="78" s="1"/>
  <c r="O368" i="78" s="1"/>
  <c r="P365" i="78"/>
  <c r="M365" i="78"/>
  <c r="N365" i="78" s="1"/>
  <c r="O365" i="78" s="1"/>
  <c r="G41" i="25" l="1"/>
  <c r="G131" i="74"/>
  <c r="I132" i="74" s="1"/>
  <c r="Q346" i="78"/>
  <c r="L524" i="78"/>
  <c r="Q532" i="78"/>
  <c r="L338" i="78"/>
  <c r="P400" i="78"/>
  <c r="M369" i="78"/>
  <c r="M521" i="78"/>
  <c r="N521" i="78" s="1"/>
  <c r="O521" i="78" s="1"/>
  <c r="P521" i="78"/>
  <c r="N326" i="78"/>
  <c r="P515" i="78"/>
  <c r="M515" i="78"/>
  <c r="N515" i="78" s="1"/>
  <c r="O515" i="78" s="1"/>
  <c r="P520" i="78"/>
  <c r="M520" i="78"/>
  <c r="N520" i="78" s="1"/>
  <c r="O520" i="78" s="1"/>
  <c r="O357" i="78"/>
  <c r="O369" i="78" s="1"/>
  <c r="N369" i="78"/>
  <c r="M335" i="78"/>
  <c r="N335" i="78" s="1"/>
  <c r="O335" i="78" s="1"/>
  <c r="P335" i="78"/>
  <c r="P328" i="78"/>
  <c r="M328" i="78"/>
  <c r="N328" i="78" s="1"/>
  <c r="O328" i="78" s="1"/>
  <c r="N512" i="78"/>
  <c r="P522" i="78"/>
  <c r="M522" i="78"/>
  <c r="N522" i="78" s="1"/>
  <c r="O522" i="78" s="1"/>
  <c r="M519" i="78"/>
  <c r="N519" i="78" s="1"/>
  <c r="O519" i="78" s="1"/>
  <c r="P519" i="78"/>
  <c r="P514" i="78"/>
  <c r="M514" i="78"/>
  <c r="N514" i="78" s="1"/>
  <c r="O514" i="78" s="1"/>
  <c r="O388" i="78"/>
  <c r="Q388" i="78" s="1"/>
  <c r="Q389" i="78" s="1"/>
  <c r="Q390" i="78" s="1"/>
  <c r="Q391" i="78" s="1"/>
  <c r="Q392" i="78" s="1"/>
  <c r="Q393" i="78" s="1"/>
  <c r="Q394" i="78" s="1"/>
  <c r="Q395" i="78" s="1"/>
  <c r="Q396" i="78" s="1"/>
  <c r="Q397" i="78" s="1"/>
  <c r="Q398" i="78" s="1"/>
  <c r="Q399" i="78" s="1"/>
  <c r="Q406" i="78" s="1"/>
  <c r="Q407" i="78" s="1"/>
  <c r="Q409" i="78" s="1"/>
  <c r="N400" i="78"/>
  <c r="G135" i="74"/>
  <c r="F140" i="74"/>
  <c r="P333" i="78"/>
  <c r="M333" i="78"/>
  <c r="N333" i="78" s="1"/>
  <c r="O333" i="78" s="1"/>
  <c r="P334" i="78"/>
  <c r="M334" i="78"/>
  <c r="N334" i="78" s="1"/>
  <c r="O334" i="78" s="1"/>
  <c r="P331" i="78"/>
  <c r="M331" i="78"/>
  <c r="N331" i="78" s="1"/>
  <c r="O331" i="78" s="1"/>
  <c r="M327" i="78"/>
  <c r="N327" i="78" s="1"/>
  <c r="O327" i="78" s="1"/>
  <c r="P327" i="78"/>
  <c r="P369" i="78"/>
  <c r="P513" i="78"/>
  <c r="M513" i="78"/>
  <c r="N513" i="78" s="1"/>
  <c r="O513" i="78" s="1"/>
  <c r="M330" i="78"/>
  <c r="N330" i="78" s="1"/>
  <c r="O330" i="78" s="1"/>
  <c r="P330" i="78"/>
  <c r="P329" i="78"/>
  <c r="M329" i="78"/>
  <c r="N329" i="78" s="1"/>
  <c r="O329" i="78" s="1"/>
  <c r="M517" i="78"/>
  <c r="N517" i="78" s="1"/>
  <c r="O517" i="78" s="1"/>
  <c r="P517" i="78"/>
  <c r="M400" i="78"/>
  <c r="P523" i="78"/>
  <c r="M523" i="78"/>
  <c r="N523" i="78" s="1"/>
  <c r="O523" i="78" s="1"/>
  <c r="M516" i="78"/>
  <c r="N516" i="78" s="1"/>
  <c r="O516" i="78" s="1"/>
  <c r="P516" i="78"/>
  <c r="P518" i="78"/>
  <c r="M518" i="78"/>
  <c r="N518" i="78" s="1"/>
  <c r="O518" i="78" s="1"/>
  <c r="F162" i="74"/>
  <c r="M332" i="78"/>
  <c r="N332" i="78" s="1"/>
  <c r="O332" i="78" s="1"/>
  <c r="P332" i="78"/>
  <c r="M337" i="78"/>
  <c r="N337" i="78" s="1"/>
  <c r="O337" i="78" s="1"/>
  <c r="P337" i="78"/>
  <c r="P336" i="78"/>
  <c r="M336" i="78"/>
  <c r="N336" i="78" s="1"/>
  <c r="O336" i="78" s="1"/>
  <c r="Q357" i="78" l="1"/>
  <c r="Q358" i="78" s="1"/>
  <c r="Q359" i="78" s="1"/>
  <c r="Q360" i="78" s="1"/>
  <c r="Q361" i="78" s="1"/>
  <c r="Q362" i="78" s="1"/>
  <c r="Q363" i="78" s="1"/>
  <c r="Q364" i="78" s="1"/>
  <c r="Q365" i="78" s="1"/>
  <c r="Q366" i="78" s="1"/>
  <c r="Q367" i="78" s="1"/>
  <c r="Q368" i="78" s="1"/>
  <c r="Q375" i="78" s="1"/>
  <c r="Q376" i="78" s="1"/>
  <c r="Q378" i="78" s="1"/>
  <c r="O400" i="78"/>
  <c r="P338" i="78"/>
  <c r="P524" i="78"/>
  <c r="M524" i="78"/>
  <c r="M338" i="78"/>
  <c r="O326" i="78"/>
  <c r="N338" i="78"/>
  <c r="O512" i="78"/>
  <c r="Q512" i="78" s="1"/>
  <c r="Q513" i="78" s="1"/>
  <c r="Q514" i="78" s="1"/>
  <c r="Q515" i="78" s="1"/>
  <c r="Q516" i="78" s="1"/>
  <c r="Q517" i="78" s="1"/>
  <c r="Q518" i="78" s="1"/>
  <c r="Q519" i="78" s="1"/>
  <c r="Q520" i="78" s="1"/>
  <c r="Q521" i="78" s="1"/>
  <c r="Q522" i="78" s="1"/>
  <c r="Q523" i="78" s="1"/>
  <c r="Q530" i="78" s="1"/>
  <c r="Q531" i="78" s="1"/>
  <c r="Q533" i="78" s="1"/>
  <c r="N524" i="78"/>
  <c r="O338" i="78" l="1"/>
  <c r="Q326" i="78"/>
  <c r="Q327" i="78" s="1"/>
  <c r="Q328" i="78" s="1"/>
  <c r="Q329" i="78" s="1"/>
  <c r="Q330" i="78" s="1"/>
  <c r="Q331" i="78" s="1"/>
  <c r="Q332" i="78" s="1"/>
  <c r="Q333" i="78" s="1"/>
  <c r="Q334" i="78" s="1"/>
  <c r="Q335" i="78" s="1"/>
  <c r="Q336" i="78" s="1"/>
  <c r="Q337" i="78" s="1"/>
  <c r="Q344" i="78" s="1"/>
  <c r="Q345" i="78" s="1"/>
  <c r="Q347" i="78" s="1"/>
  <c r="O524" i="78"/>
  <c r="E130" i="75" l="1"/>
  <c r="E159" i="74"/>
  <c r="G159" i="74" s="1"/>
  <c r="E129" i="75"/>
  <c r="F129" i="75" s="1"/>
  <c r="G129" i="75" s="1"/>
  <c r="E131" i="75"/>
  <c r="F131" i="75" s="1"/>
  <c r="G131" i="75" s="1"/>
  <c r="E141" i="75" l="1"/>
  <c r="G141" i="75" s="1"/>
  <c r="E125" i="75"/>
  <c r="G125" i="75" s="1"/>
  <c r="E160" i="74"/>
  <c r="G160" i="74" s="1"/>
  <c r="F130" i="75"/>
  <c r="G130" i="75" s="1"/>
  <c r="E151" i="74"/>
  <c r="E158" i="74"/>
  <c r="F151" i="74" l="1"/>
  <c r="F155" i="74" s="1"/>
  <c r="F205" i="74" s="1"/>
  <c r="E155" i="74"/>
  <c r="Q232" i="78"/>
  <c r="C205" i="74"/>
  <c r="L233" i="78"/>
  <c r="G158" i="74"/>
  <c r="Q250" i="78" l="1"/>
  <c r="I159" i="74"/>
  <c r="G151" i="74"/>
  <c r="G155" i="74" s="1"/>
  <c r="P233" i="78"/>
  <c r="M233" i="78"/>
  <c r="L237" i="78"/>
  <c r="L235" i="78"/>
  <c r="L244" i="78"/>
  <c r="L241" i="78"/>
  <c r="L238" i="78"/>
  <c r="L236" i="78"/>
  <c r="L243" i="78"/>
  <c r="L234" i="78"/>
  <c r="L240" i="78"/>
  <c r="L239" i="78"/>
  <c r="L242" i="78"/>
  <c r="Q253" i="78" l="1"/>
  <c r="M236" i="78"/>
  <c r="N236" i="78" s="1"/>
  <c r="O236" i="78" s="1"/>
  <c r="P236" i="78"/>
  <c r="P240" i="78"/>
  <c r="M240" i="78"/>
  <c r="N240" i="78" s="1"/>
  <c r="O240" i="78" s="1"/>
  <c r="M237" i="78"/>
  <c r="N237" i="78" s="1"/>
  <c r="O237" i="78" s="1"/>
  <c r="P237" i="78"/>
  <c r="M234" i="78"/>
  <c r="N234" i="78" s="1"/>
  <c r="O234" i="78" s="1"/>
  <c r="P234" i="78"/>
  <c r="P241" i="78"/>
  <c r="M241" i="78"/>
  <c r="N241" i="78" s="1"/>
  <c r="O241" i="78" s="1"/>
  <c r="N233" i="78"/>
  <c r="M239" i="78"/>
  <c r="N239" i="78" s="1"/>
  <c r="O239" i="78" s="1"/>
  <c r="P239" i="78"/>
  <c r="M235" i="78"/>
  <c r="N235" i="78" s="1"/>
  <c r="O235" i="78" s="1"/>
  <c r="P235" i="78"/>
  <c r="L245" i="78"/>
  <c r="I160" i="74" s="1"/>
  <c r="P238" i="78"/>
  <c r="M238" i="78"/>
  <c r="N238" i="78" s="1"/>
  <c r="O238" i="78" s="1"/>
  <c r="M242" i="78"/>
  <c r="N242" i="78" s="1"/>
  <c r="O242" i="78" s="1"/>
  <c r="P242" i="78"/>
  <c r="P243" i="78"/>
  <c r="M243" i="78"/>
  <c r="N243" i="78" s="1"/>
  <c r="O243" i="78" s="1"/>
  <c r="P244" i="78"/>
  <c r="M244" i="78"/>
  <c r="N244" i="78" s="1"/>
  <c r="O244" i="78" s="1"/>
  <c r="P245" i="78" l="1"/>
  <c r="N245" i="78"/>
  <c r="O233" i="78"/>
  <c r="O245" i="78" s="1"/>
  <c r="M245" i="78"/>
  <c r="Q233" i="78" l="1"/>
  <c r="Q234" i="78" s="1"/>
  <c r="Q235" i="78" s="1"/>
  <c r="Q236" i="78" s="1"/>
  <c r="Q237" i="78" s="1"/>
  <c r="Q238" i="78" s="1"/>
  <c r="Q239" i="78" s="1"/>
  <c r="Q240" i="78" s="1"/>
  <c r="Q241" i="78" s="1"/>
  <c r="Q242" i="78" s="1"/>
  <c r="Q243" i="78" s="1"/>
  <c r="Q244" i="78" s="1"/>
  <c r="Q251" i="78" s="1"/>
  <c r="Q252" i="78" s="1"/>
  <c r="Q254" i="78" s="1"/>
  <c r="E161" i="74" s="1"/>
  <c r="G161" i="74" s="1"/>
  <c r="G162" i="74" s="1"/>
  <c r="G164" i="74" s="1"/>
  <c r="E162" i="74" l="1"/>
  <c r="E205" i="74" s="1"/>
  <c r="D50" i="25" s="1"/>
  <c r="I161" i="74"/>
  <c r="D69" i="9" l="1"/>
  <c r="G69" i="9" s="1"/>
  <c r="D26" i="25" s="1"/>
  <c r="G26" i="25" s="1"/>
  <c r="D65" i="9"/>
  <c r="G65" i="9" s="1"/>
  <c r="D22" i="25" s="1"/>
  <c r="D67" i="9"/>
  <c r="G67" i="9" s="1"/>
  <c r="D24" i="25" s="1"/>
  <c r="G42" i="25" l="1"/>
  <c r="D42" i="25"/>
  <c r="G24" i="25"/>
  <c r="D40" i="25"/>
  <c r="G22" i="25"/>
  <c r="D38" i="25"/>
  <c r="G38" i="25" l="1"/>
  <c r="G40" i="25"/>
  <c r="E140" i="75"/>
  <c r="E122" i="75"/>
  <c r="F122" i="75" l="1"/>
  <c r="F134" i="75" s="1"/>
  <c r="L25" i="78"/>
  <c r="L20" i="78"/>
  <c r="L26" i="78"/>
  <c r="L23" i="78"/>
  <c r="L22" i="78"/>
  <c r="L17" i="78"/>
  <c r="L19" i="78"/>
  <c r="L21" i="78"/>
  <c r="L27" i="78"/>
  <c r="L18" i="78"/>
  <c r="P16" i="78"/>
  <c r="L24" i="78"/>
  <c r="M16" i="78"/>
  <c r="G140" i="75"/>
  <c r="Q46" i="78"/>
  <c r="C201" i="75"/>
  <c r="L47" i="78"/>
  <c r="Q64" i="78" l="1"/>
  <c r="I141" i="75"/>
  <c r="G122" i="75"/>
  <c r="L28" i="78"/>
  <c r="I133" i="75" s="1"/>
  <c r="L50" i="78"/>
  <c r="P47" i="78"/>
  <c r="L48" i="78"/>
  <c r="L53" i="78"/>
  <c r="M47" i="78"/>
  <c r="L51" i="78"/>
  <c r="L52" i="78"/>
  <c r="L55" i="78"/>
  <c r="L56" i="78"/>
  <c r="L57" i="78"/>
  <c r="L49" i="78"/>
  <c r="L54" i="78"/>
  <c r="L58" i="78"/>
  <c r="N16" i="78"/>
  <c r="P27" i="78"/>
  <c r="M27" i="78"/>
  <c r="N27" i="78" s="1"/>
  <c r="O27" i="78" s="1"/>
  <c r="P22" i="78"/>
  <c r="M22" i="78"/>
  <c r="N22" i="78" s="1"/>
  <c r="O22" i="78" s="1"/>
  <c r="M25" i="78"/>
  <c r="N25" i="78" s="1"/>
  <c r="O25" i="78" s="1"/>
  <c r="P25" i="78"/>
  <c r="P24" i="78"/>
  <c r="M24" i="78"/>
  <c r="N24" i="78" s="1"/>
  <c r="O24" i="78" s="1"/>
  <c r="P21" i="78"/>
  <c r="M21" i="78"/>
  <c r="N21" i="78" s="1"/>
  <c r="O21" i="78" s="1"/>
  <c r="P23" i="78"/>
  <c r="M23" i="78"/>
  <c r="N23" i="78" s="1"/>
  <c r="O23" i="78" s="1"/>
  <c r="P19" i="78"/>
  <c r="M19" i="78"/>
  <c r="N19" i="78" s="1"/>
  <c r="O19" i="78" s="1"/>
  <c r="M26" i="78"/>
  <c r="N26" i="78" s="1"/>
  <c r="O26" i="78" s="1"/>
  <c r="P26" i="78"/>
  <c r="Q36" i="78"/>
  <c r="P18" i="78"/>
  <c r="M18" i="78"/>
  <c r="N18" i="78" s="1"/>
  <c r="O18" i="78" s="1"/>
  <c r="M17" i="78"/>
  <c r="N17" i="78" s="1"/>
  <c r="O17" i="78" s="1"/>
  <c r="P17" i="78"/>
  <c r="P20" i="78"/>
  <c r="M20" i="78"/>
  <c r="N20" i="78" s="1"/>
  <c r="O20" i="78" s="1"/>
  <c r="Q67" i="78" l="1"/>
  <c r="P28" i="78"/>
  <c r="P49" i="78"/>
  <c r="M49" i="78"/>
  <c r="N49" i="78" s="1"/>
  <c r="O49" i="78" s="1"/>
  <c r="M52" i="78"/>
  <c r="N52" i="78" s="1"/>
  <c r="O52" i="78" s="1"/>
  <c r="P52" i="78"/>
  <c r="P53" i="78"/>
  <c r="M53" i="78"/>
  <c r="N53" i="78" s="1"/>
  <c r="O53" i="78" s="1"/>
  <c r="M57" i="78"/>
  <c r="N57" i="78" s="1"/>
  <c r="O57" i="78" s="1"/>
  <c r="P57" i="78"/>
  <c r="L59" i="78"/>
  <c r="I142" i="75" s="1"/>
  <c r="M48" i="78"/>
  <c r="N48" i="78" s="1"/>
  <c r="O48" i="78" s="1"/>
  <c r="P48" i="78"/>
  <c r="M28" i="78"/>
  <c r="P58" i="78"/>
  <c r="M58" i="78"/>
  <c r="N58" i="78" s="1"/>
  <c r="O58" i="78" s="1"/>
  <c r="M56" i="78"/>
  <c r="N56" i="78" s="1"/>
  <c r="O56" i="78" s="1"/>
  <c r="P56" i="78"/>
  <c r="M51" i="78"/>
  <c r="N51" i="78" s="1"/>
  <c r="O51" i="78" s="1"/>
  <c r="P51" i="78"/>
  <c r="N28" i="78"/>
  <c r="O16" i="78"/>
  <c r="O28" i="78" s="1"/>
  <c r="P54" i="78"/>
  <c r="M54" i="78"/>
  <c r="N54" i="78" s="1"/>
  <c r="O54" i="78" s="1"/>
  <c r="P55" i="78"/>
  <c r="M55" i="78"/>
  <c r="N55" i="78" s="1"/>
  <c r="O55" i="78" s="1"/>
  <c r="N47" i="78"/>
  <c r="P50" i="78"/>
  <c r="M50" i="78"/>
  <c r="N50" i="78" s="1"/>
  <c r="O50" i="78" s="1"/>
  <c r="Q16" i="78" l="1"/>
  <c r="Q17" i="78" s="1"/>
  <c r="Q18" i="78" s="1"/>
  <c r="Q19" i="78" s="1"/>
  <c r="Q20" i="78" s="1"/>
  <c r="Q21" i="78" s="1"/>
  <c r="Q22" i="78" s="1"/>
  <c r="Q23" i="78" s="1"/>
  <c r="Q24" i="78" s="1"/>
  <c r="Q25" i="78" s="1"/>
  <c r="Q26" i="78" s="1"/>
  <c r="Q27" i="78" s="1"/>
  <c r="Q34" i="78" s="1"/>
  <c r="Q35" i="78" s="1"/>
  <c r="Q37" i="78" s="1"/>
  <c r="M59" i="78"/>
  <c r="O47" i="78"/>
  <c r="N59" i="78"/>
  <c r="P59" i="78"/>
  <c r="O59" i="78" l="1"/>
  <c r="Q47" i="78"/>
  <c r="Q48" i="78" s="1"/>
  <c r="Q49" i="78" s="1"/>
  <c r="Q50" i="78" s="1"/>
  <c r="Q51" i="78" s="1"/>
  <c r="Q52" i="78" s="1"/>
  <c r="Q53" i="78" s="1"/>
  <c r="Q54" i="78" s="1"/>
  <c r="Q55" i="78" s="1"/>
  <c r="Q56" i="78" s="1"/>
  <c r="Q57" i="78" s="1"/>
  <c r="Q58" i="78" s="1"/>
  <c r="Q65" i="78" s="1"/>
  <c r="Q66" i="78" s="1"/>
  <c r="Q68" i="78" s="1"/>
  <c r="E143" i="75" s="1"/>
  <c r="E133" i="75"/>
  <c r="G133" i="75" s="1"/>
  <c r="G134" i="75" s="1"/>
  <c r="I134" i="75" l="1"/>
  <c r="I143" i="75"/>
  <c r="G143" i="75"/>
  <c r="G144" i="75" s="1"/>
  <c r="G146" i="75" s="1"/>
  <c r="E144" i="75"/>
  <c r="E134" i="75"/>
  <c r="E201" i="75" l="1"/>
  <c r="D51" i="25" s="1"/>
  <c r="F89" i="14"/>
  <c r="G89" i="14" l="1"/>
  <c r="F83" i="14"/>
  <c r="F109" i="14"/>
  <c r="E109" i="14" l="1"/>
  <c r="E75" i="14"/>
  <c r="F75" i="14"/>
  <c r="F112" i="14" s="1"/>
  <c r="F119" i="14" s="1"/>
  <c r="E89" i="14"/>
  <c r="E83" i="14"/>
  <c r="G83" i="14"/>
  <c r="G109" i="14"/>
  <c r="I89" i="14" l="1"/>
  <c r="E112" i="14"/>
  <c r="E119" i="14" s="1"/>
  <c r="H109" i="14" l="1"/>
  <c r="G75" i="14"/>
  <c r="G112" i="14" s="1"/>
  <c r="G119" i="14" s="1"/>
  <c r="H89" i="14"/>
  <c r="H83" i="14"/>
  <c r="H75" i="14"/>
  <c r="I83" i="14"/>
  <c r="K89" i="14" l="1"/>
  <c r="I75" i="14"/>
  <c r="H112" i="14"/>
  <c r="H119" i="14" s="1"/>
  <c r="I109" i="14"/>
  <c r="J89" i="14" l="1"/>
  <c r="I112" i="14"/>
  <c r="I119" i="14" s="1"/>
  <c r="J109" i="14"/>
  <c r="J83" i="14"/>
  <c r="M89" i="14" l="1"/>
  <c r="K109" i="14"/>
  <c r="K83" i="14"/>
  <c r="J75" i="14"/>
  <c r="J112" i="14" s="1"/>
  <c r="J119" i="14" s="1"/>
  <c r="K75" i="14"/>
  <c r="K112" i="14" l="1"/>
  <c r="K119" i="14" s="1"/>
  <c r="L83" i="14"/>
  <c r="L75" i="14"/>
  <c r="L89" i="14"/>
  <c r="L109" i="14"/>
  <c r="M83" i="14"/>
  <c r="L112" i="14" l="1"/>
  <c r="L119" i="14" s="1"/>
  <c r="O89" i="14"/>
  <c r="M75" i="14"/>
  <c r="M109" i="14"/>
  <c r="P89" i="14" l="1"/>
  <c r="N89" i="14"/>
  <c r="N109" i="14"/>
  <c r="M112" i="14"/>
  <c r="M119" i="14" s="1"/>
  <c r="N75" i="14"/>
  <c r="N83" i="14"/>
  <c r="O109" i="14"/>
  <c r="O83" i="14"/>
  <c r="N112" i="14" l="1"/>
  <c r="N119" i="14" s="1"/>
  <c r="P83" i="14"/>
  <c r="P109" i="14"/>
  <c r="O75" i="14"/>
  <c r="O112" i="14" s="1"/>
  <c r="O119" i="14" s="1"/>
  <c r="R101" i="14" l="1"/>
  <c r="R105" i="14"/>
  <c r="R99" i="14"/>
  <c r="R74" i="14"/>
  <c r="R100" i="14"/>
  <c r="R93" i="14"/>
  <c r="R97" i="14"/>
  <c r="R81" i="14"/>
  <c r="R94" i="14"/>
  <c r="R82" i="14"/>
  <c r="R95" i="14"/>
  <c r="R96" i="14"/>
  <c r="R104" i="14"/>
  <c r="R72" i="14"/>
  <c r="R106" i="14"/>
  <c r="P75" i="14"/>
  <c r="P112" i="14" s="1"/>
  <c r="P119" i="14" s="1"/>
  <c r="R73" i="14"/>
  <c r="Q89" i="14" l="1"/>
  <c r="R88" i="14"/>
  <c r="R89" i="14" s="1"/>
  <c r="D68" i="25" s="1"/>
  <c r="G68" i="25" s="1"/>
  <c r="Q83" i="14"/>
  <c r="R80" i="14"/>
  <c r="R83" i="14" s="1"/>
  <c r="R85" i="14" s="1"/>
  <c r="D67" i="25" s="1"/>
  <c r="G67" i="25" s="1"/>
  <c r="Q109" i="14"/>
  <c r="R92" i="14"/>
  <c r="R109" i="14" s="1"/>
  <c r="R111" i="14" s="1"/>
  <c r="D69" i="25" s="1"/>
  <c r="G69" i="25" s="1"/>
  <c r="Q75" i="14" l="1"/>
  <c r="Q112" i="14" s="1"/>
  <c r="Q119" i="14" s="1"/>
  <c r="R71" i="14"/>
  <c r="R75" i="14" s="1"/>
  <c r="R77" i="14" s="1"/>
  <c r="D66" i="25" s="1"/>
  <c r="D70" i="25" l="1"/>
  <c r="D60" i="9" l="1"/>
  <c r="G60" i="9" s="1"/>
  <c r="D16" i="25" s="1"/>
  <c r="D56" i="9"/>
  <c r="G56" i="9" s="1"/>
  <c r="D12" i="25" s="1"/>
  <c r="D54" i="9"/>
  <c r="G16" i="25" l="1"/>
  <c r="G12" i="25"/>
  <c r="D61" i="9"/>
  <c r="G54" i="9"/>
  <c r="D10" i="25" l="1"/>
  <c r="G61" i="9"/>
  <c r="G10" i="25" l="1"/>
  <c r="D17" i="25"/>
  <c r="G17" i="25" l="1"/>
  <c r="F18" i="25" l="1"/>
  <c r="D81" i="9" l="1"/>
  <c r="G81" i="9" s="1"/>
  <c r="D113" i="25" s="1"/>
  <c r="G113" i="25" s="1"/>
  <c r="D79" i="9" l="1"/>
  <c r="G79" i="9" s="1"/>
  <c r="D111" i="25" s="1"/>
  <c r="G111" i="25" s="1"/>
  <c r="D75" i="9"/>
  <c r="D78" i="9"/>
  <c r="G78" i="9" s="1"/>
  <c r="D110" i="25" s="1"/>
  <c r="G110" i="25" s="1"/>
  <c r="D80" i="9"/>
  <c r="G80" i="9" s="1"/>
  <c r="D112" i="25" s="1"/>
  <c r="G112" i="25" s="1"/>
  <c r="D77" i="9"/>
  <c r="G77" i="9" s="1"/>
  <c r="D76" i="9"/>
  <c r="G76" i="9" s="1"/>
  <c r="D106" i="25" s="1"/>
  <c r="G106" i="25" l="1"/>
  <c r="G115" i="25" s="1"/>
  <c r="D115" i="25"/>
  <c r="G75" i="9"/>
  <c r="G82" i="9" s="1"/>
  <c r="D82" i="9"/>
  <c r="D70" i="9" l="1"/>
  <c r="G70" i="9" s="1"/>
  <c r="D27" i="25" s="1"/>
  <c r="D66" i="9"/>
  <c r="G66" i="9" s="1"/>
  <c r="D23" i="25" s="1"/>
  <c r="D64" i="9"/>
  <c r="G23" i="25" l="1"/>
  <c r="D39" i="25"/>
  <c r="D71" i="9"/>
  <c r="G64" i="9"/>
  <c r="G27" i="25"/>
  <c r="D43" i="25"/>
  <c r="G39" i="25" l="1"/>
  <c r="G43" i="25"/>
  <c r="G71" i="9"/>
  <c r="D21" i="25"/>
  <c r="G21" i="25" l="1"/>
  <c r="D28" i="25"/>
  <c r="D37" i="25"/>
  <c r="D44" i="25" s="1"/>
  <c r="G28" i="25" l="1"/>
  <c r="G37" i="25"/>
  <c r="G44" i="25" l="1"/>
  <c r="F45" i="25" s="1"/>
  <c r="F98" i="25" l="1"/>
  <c r="G98" i="25" s="1"/>
  <c r="F66" i="25"/>
  <c r="G66" i="25" s="1"/>
  <c r="F119" i="25"/>
  <c r="G119" i="25" s="1"/>
  <c r="F65" i="25"/>
  <c r="G65" i="25" s="1"/>
  <c r="G183" i="74"/>
  <c r="G184" i="74" s="1"/>
  <c r="G205" i="74" s="1"/>
  <c r="G50" i="25" s="1"/>
  <c r="F132" i="25"/>
  <c r="G132" i="25" s="1"/>
  <c r="G158" i="75"/>
  <c r="G159" i="75" s="1"/>
  <c r="G201" i="75" s="1"/>
  <c r="G51" i="25" s="1"/>
  <c r="G121" i="25" l="1"/>
  <c r="G70" i="25"/>
  <c r="G100" i="25"/>
  <c r="G102" i="25" l="1"/>
  <c r="E127" i="74" l="1"/>
  <c r="E128" i="74"/>
  <c r="F128" i="74" s="1"/>
  <c r="G128" i="74" s="1"/>
  <c r="F127" i="74" l="1"/>
  <c r="G127" i="74" s="1"/>
  <c r="D132" i="74" l="1"/>
  <c r="E126" i="74"/>
  <c r="F126" i="74" l="1"/>
  <c r="E132" i="74"/>
  <c r="D140" i="74" l="1"/>
  <c r="E137" i="74"/>
  <c r="G126" i="74"/>
  <c r="G132" i="74" s="1"/>
  <c r="F132" i="74"/>
  <c r="F147" i="74" s="1"/>
  <c r="L171" i="78" l="1"/>
  <c r="D147" i="74"/>
  <c r="G137" i="74"/>
  <c r="L176" i="78" l="1"/>
  <c r="L180" i="78"/>
  <c r="L177" i="78"/>
  <c r="L179" i="78"/>
  <c r="L181" i="78"/>
  <c r="L182" i="78"/>
  <c r="Q191" i="78" s="1"/>
  <c r="L178" i="78"/>
  <c r="L175" i="78"/>
  <c r="M171" i="78"/>
  <c r="L172" i="78"/>
  <c r="L173" i="78"/>
  <c r="P171" i="78"/>
  <c r="L174" i="78"/>
  <c r="M172" i="78" l="1"/>
  <c r="N172" i="78" s="1"/>
  <c r="O172" i="78" s="1"/>
  <c r="P172" i="78"/>
  <c r="M180" i="78"/>
  <c r="N180" i="78" s="1"/>
  <c r="O180" i="78" s="1"/>
  <c r="P180" i="78"/>
  <c r="M174" i="78"/>
  <c r="N174" i="78" s="1"/>
  <c r="O174" i="78" s="1"/>
  <c r="P174" i="78"/>
  <c r="N171" i="78"/>
  <c r="P181" i="78"/>
  <c r="M181" i="78"/>
  <c r="N181" i="78" s="1"/>
  <c r="O181" i="78" s="1"/>
  <c r="P176" i="78"/>
  <c r="M176" i="78"/>
  <c r="N176" i="78" s="1"/>
  <c r="O176" i="78" s="1"/>
  <c r="P175" i="78"/>
  <c r="M175" i="78"/>
  <c r="N175" i="78" s="1"/>
  <c r="O175" i="78" s="1"/>
  <c r="M179" i="78"/>
  <c r="N179" i="78" s="1"/>
  <c r="O179" i="78" s="1"/>
  <c r="P179" i="78"/>
  <c r="L183" i="78"/>
  <c r="I139" i="74" s="1"/>
  <c r="M173" i="78"/>
  <c r="N173" i="78" s="1"/>
  <c r="O173" i="78" s="1"/>
  <c r="P173" i="78"/>
  <c r="P183" i="78" s="1"/>
  <c r="M178" i="78"/>
  <c r="N178" i="78" s="1"/>
  <c r="O178" i="78" s="1"/>
  <c r="P178" i="78"/>
  <c r="M177" i="78"/>
  <c r="N177" i="78" s="1"/>
  <c r="O177" i="78" s="1"/>
  <c r="P177" i="78"/>
  <c r="P182" i="78"/>
  <c r="M182" i="78"/>
  <c r="N182" i="78" s="1"/>
  <c r="O182" i="78" s="1"/>
  <c r="M183" i="78" l="1"/>
  <c r="N183" i="78"/>
  <c r="O171" i="78"/>
  <c r="O183" i="78" s="1"/>
  <c r="Q171" i="78"/>
  <c r="Q172" i="78" s="1"/>
  <c r="Q173" i="78" s="1"/>
  <c r="Q174" i="78" s="1"/>
  <c r="Q175" i="78" s="1"/>
  <c r="Q176" i="78" s="1"/>
  <c r="Q177" i="78" s="1"/>
  <c r="Q178" i="78" s="1"/>
  <c r="Q179" i="78" s="1"/>
  <c r="Q180" i="78" s="1"/>
  <c r="Q181" i="78" s="1"/>
  <c r="Q182" i="78" s="1"/>
  <c r="Q189" i="78" s="1"/>
  <c r="Q190" i="78" s="1"/>
  <c r="Q192" i="78" s="1"/>
  <c r="E139" i="74" s="1"/>
  <c r="G139" i="74" l="1"/>
  <c r="E140" i="74"/>
  <c r="E147" i="74" s="1"/>
  <c r="D49" i="25" s="1"/>
  <c r="D58" i="25" s="1"/>
  <c r="D72" i="25" s="1"/>
  <c r="D76" i="25" s="1"/>
  <c r="D131" i="25" s="1"/>
  <c r="D133" i="25" s="1"/>
  <c r="D145" i="25" s="1"/>
  <c r="I140" i="74" l="1"/>
  <c r="G140" i="74"/>
  <c r="G142" i="74" s="1"/>
  <c r="G147" i="74" s="1"/>
  <c r="G49" i="25" s="1"/>
  <c r="G58" i="25" l="1"/>
  <c r="G72" i="25" s="1"/>
  <c r="G76" i="25" s="1"/>
  <c r="G131" i="25" l="1"/>
  <c r="G133" i="25" s="1"/>
  <c r="G145" i="25" l="1"/>
  <c r="E11" i="24" s="1"/>
  <c r="I11" i="24" l="1"/>
  <c r="E17" i="24"/>
  <c r="E19" i="24" l="1"/>
  <c r="I19" i="24" s="1"/>
  <c r="I17" i="24"/>
  <c r="E21" i="24"/>
  <c r="E24" i="24" l="1"/>
  <c r="I24" i="24" s="1"/>
  <c r="I21" i="24"/>
  <c r="E22" i="24"/>
  <c r="I22" i="24" l="1"/>
  <c r="E23" i="24"/>
  <c r="I23" i="24" s="1"/>
</calcChain>
</file>

<file path=xl/comments1.xml><?xml version="1.0" encoding="utf-8"?>
<comments xmlns="http://schemas.openxmlformats.org/spreadsheetml/2006/main">
  <authors>
    <author>Xcel Energy</author>
  </authors>
  <commentList>
    <comment ref="G12" authorId="0">
      <text>
        <r>
          <rPr>
            <b/>
            <sz val="9"/>
            <color indexed="81"/>
            <rFont val="Tahoma"/>
            <family val="2"/>
          </rPr>
          <t>This is incorrect, but modified to match the Formula filed with FERC.</t>
        </r>
      </text>
    </comment>
  </commentList>
</comments>
</file>

<file path=xl/sharedStrings.xml><?xml version="1.0" encoding="utf-8"?>
<sst xmlns="http://schemas.openxmlformats.org/spreadsheetml/2006/main" count="6395" uniqueCount="1898">
  <si>
    <t>Load Dispatching - Monitor &amp; Operate Transmission System</t>
  </si>
  <si>
    <t>Load Dispatching - Transmission Service &amp; Scheduling</t>
  </si>
  <si>
    <t>Scheduling, System Control &amp; Dispatch Services</t>
  </si>
  <si>
    <t>Reliability, Planning and Standards Development</t>
  </si>
  <si>
    <t>Generation Interconnection Studies</t>
  </si>
  <si>
    <t>Reliability, Planning &amp; Standards Development Services</t>
  </si>
  <si>
    <t>Station Expenses</t>
  </si>
  <si>
    <t>Overhead Line Expenses</t>
  </si>
  <si>
    <t>564</t>
  </si>
  <si>
    <t>Underground Lines Expense</t>
  </si>
  <si>
    <t>Transmission of Electricity by Others</t>
  </si>
  <si>
    <t>Miscellaneous Transmission Expenses</t>
  </si>
  <si>
    <t>Rents</t>
  </si>
  <si>
    <t xml:space="preserve">     Total Operation</t>
  </si>
  <si>
    <t>MAINTENANCE</t>
  </si>
  <si>
    <t>Structures</t>
  </si>
  <si>
    <t>Computer Hardware</t>
  </si>
  <si>
    <t>Computer Software</t>
  </si>
  <si>
    <t>Communication Equipment</t>
  </si>
  <si>
    <t>Miscellaneous Regional Transmission Plant</t>
  </si>
  <si>
    <t>Station Equipment</t>
  </si>
  <si>
    <t>Underground Lines</t>
  </si>
  <si>
    <t>Miscellaneous Transmission Plant</t>
  </si>
  <si>
    <t xml:space="preserve">     Total Maintenance</t>
  </si>
  <si>
    <t xml:space="preserve">          TOTAL TRANSMISSION</t>
  </si>
  <si>
    <t>Transmission O&amp;M</t>
  </si>
  <si>
    <t>Estimated Amounts</t>
  </si>
  <si>
    <t>Actual Amounts</t>
  </si>
  <si>
    <t>321.83.b</t>
  </si>
  <si>
    <t>321.85.b</t>
  </si>
  <si>
    <t>321.86.b</t>
  </si>
  <si>
    <t>321.87.b</t>
  </si>
  <si>
    <t>321.88.b</t>
  </si>
  <si>
    <t>321.89.b</t>
  </si>
  <si>
    <t>321.90.b</t>
  </si>
  <si>
    <t>321.91.b</t>
  </si>
  <si>
    <t>321.92.b</t>
  </si>
  <si>
    <t>321.93.b</t>
  </si>
  <si>
    <t>321.94.b</t>
  </si>
  <si>
    <t>321.95.b</t>
  </si>
  <si>
    <t>321.96.b</t>
  </si>
  <si>
    <t>321.97.b</t>
  </si>
  <si>
    <t>321.98.b</t>
  </si>
  <si>
    <t>321.101.b</t>
  </si>
  <si>
    <t>321.102.b</t>
  </si>
  <si>
    <t>321.103.b</t>
  </si>
  <si>
    <t>321.104.b</t>
  </si>
  <si>
    <t>321.105.b</t>
  </si>
  <si>
    <t>321.106.b</t>
  </si>
  <si>
    <t>321.107.b</t>
  </si>
  <si>
    <t>321.108.b</t>
  </si>
  <si>
    <t>321.109.b</t>
  </si>
  <si>
    <t>321.110.b</t>
  </si>
  <si>
    <t>Administrative and General Expenses</t>
  </si>
  <si>
    <t>Account Description</t>
  </si>
  <si>
    <t xml:space="preserve">Total </t>
  </si>
  <si>
    <t>Adjusted Total</t>
  </si>
  <si>
    <t>Energy</t>
  </si>
  <si>
    <t>Administrative and general salaries</t>
  </si>
  <si>
    <t>Office supplies and expenses</t>
  </si>
  <si>
    <t>Administrative expenses transferred— Credit</t>
  </si>
  <si>
    <t>Injuries and damages</t>
  </si>
  <si>
    <t>Duplicate charges—Credit</t>
  </si>
  <si>
    <t>Maintenance of general plant</t>
  </si>
  <si>
    <t>Subtotal</t>
  </si>
  <si>
    <t>Property insurance</t>
  </si>
  <si>
    <t xml:space="preserve">     Less: Acc. 924, Property Insurance</t>
  </si>
  <si>
    <t>Adjustment</t>
  </si>
  <si>
    <t>Outside services employed</t>
  </si>
  <si>
    <t>Franchise requirements</t>
  </si>
  <si>
    <t>12 Month Total</t>
  </si>
  <si>
    <t>Total Depreciation and Amortization Expense</t>
  </si>
  <si>
    <t>Taxes Other Than Income Tax</t>
  </si>
  <si>
    <t>Occupational Denver</t>
  </si>
  <si>
    <t>Total taxes related to wages &amp; salaries (1)</t>
  </si>
  <si>
    <t>Real and personal property taxes</t>
  </si>
  <si>
    <t>Use tax</t>
  </si>
  <si>
    <t>Total taxes related to property (1)</t>
  </si>
  <si>
    <t>Miscellaneous</t>
  </si>
  <si>
    <t>Total TOTI</t>
  </si>
  <si>
    <t xml:space="preserve">Estimated </t>
  </si>
  <si>
    <t>FUTA</t>
  </si>
  <si>
    <t>FICA</t>
  </si>
  <si>
    <t>Unemployment SESA</t>
  </si>
  <si>
    <t>Other</t>
  </si>
  <si>
    <t xml:space="preserve">  Miscellaneous</t>
  </si>
  <si>
    <t>Line</t>
  </si>
  <si>
    <t>No.</t>
  </si>
  <si>
    <t>Rate of Return</t>
  </si>
  <si>
    <t>Notes:</t>
  </si>
  <si>
    <t>Total Exclusion</t>
  </si>
  <si>
    <t xml:space="preserve">  Account No. 456.1 (Revenue from Trans. of Elect. of Others)</t>
  </si>
  <si>
    <t>Revenue Credits</t>
  </si>
  <si>
    <t>Gain on disposition of property (Other Related)</t>
  </si>
  <si>
    <t>Unamortized</t>
  </si>
  <si>
    <t xml:space="preserve">End of </t>
  </si>
  <si>
    <t xml:space="preserve">     Add Back Account 565.25- System Integration Costs</t>
  </si>
  <si>
    <t>454- Rent From Electric Property</t>
  </si>
  <si>
    <t>Rental Income on Transmission Facilities</t>
  </si>
  <si>
    <t>FF1 266.8.f</t>
  </si>
  <si>
    <t>FF1. 354.20.b</t>
  </si>
  <si>
    <t>FF1. 354.22.b</t>
  </si>
  <si>
    <t>FF1. 354.23.b</t>
  </si>
  <si>
    <t>FF1. 354.24.b</t>
  </si>
  <si>
    <t>FF1.356</t>
  </si>
  <si>
    <t>Total 454</t>
  </si>
  <si>
    <t xml:space="preserve">  Weekly P-To-P Rate</t>
  </si>
  <si>
    <t xml:space="preserve">  Daily P-To-P Rate (Capped at weekly rate)</t>
  </si>
  <si>
    <t xml:space="preserve">  On Peak Hourly P-To-P Rate (Capped at weekly &amp; daily rate)</t>
  </si>
  <si>
    <t xml:space="preserve">  Off Peak Hourly P-To-P Rate</t>
  </si>
  <si>
    <t>Other Non-Transmission Related</t>
  </si>
  <si>
    <t>Table 1</t>
  </si>
  <si>
    <t>Table of Contents</t>
  </si>
  <si>
    <t>Total Plant Related- Direct Assigned to Transmission</t>
  </si>
  <si>
    <t>Total Plant Related- Allocated to Transmission</t>
  </si>
  <si>
    <t>Allocated Total Related to All Plant</t>
  </si>
  <si>
    <t>Allocated Total Labor Related</t>
  </si>
  <si>
    <t>Total Transmission Related</t>
  </si>
  <si>
    <t>Note 1.  If and when the Company issues preferred stock, footnote will indicate the authorizing regulatory agency, the docket/case number, and the date of the authorizing order.</t>
  </si>
  <si>
    <t>Schedule 1- Scheduling, System Control and Dispatch</t>
  </si>
  <si>
    <t>/kW-month</t>
  </si>
  <si>
    <t>/kW-week</t>
  </si>
  <si>
    <t>/kW-day</t>
  </si>
  <si>
    <t xml:space="preserve">/MWh </t>
  </si>
  <si>
    <t>Schedule 2- Reactive Supply and Voltage Control From Generation Sources Service</t>
  </si>
  <si>
    <t>Schedule 6 - Operating Reserve - Supplemental Reserve Service</t>
  </si>
  <si>
    <t>Schedule 5- Operating Reserve- Spinning Reserve Service</t>
  </si>
  <si>
    <t>Monthly Point-to-Point Delivery</t>
  </si>
  <si>
    <t>Weekly Point-to-Point Delivery</t>
  </si>
  <si>
    <t>Daily Point-to-Point Delivery</t>
  </si>
  <si>
    <t>Hourly Point-to-Point Delivery</t>
  </si>
  <si>
    <t>Network Integration Delivery</t>
  </si>
  <si>
    <t xml:space="preserve">Estimated Revenue Requirement with True Up </t>
  </si>
  <si>
    <t>Table No.</t>
  </si>
  <si>
    <t>Schedule/Workpaper</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</si>
  <si>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</si>
  <si>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</si>
  <si>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</si>
  <si>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</si>
  <si>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</si>
  <si>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</si>
  <si>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</si>
  <si>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</si>
  <si>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</si>
  <si>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</si>
  <si>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</si>
  <si>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</si>
  <si>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</si>
  <si>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</si>
  <si>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</si>
  <si>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</si>
  <si>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</si>
  <si>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</si>
  <si>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</si>
  <si>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</si>
  <si>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</si>
  <si>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</si>
  <si>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</si>
  <si>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</si>
  <si>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</si>
  <si>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</si>
  <si>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</si>
  <si>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</si>
  <si>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Company Use</t>
  </si>
  <si>
    <t>117.67.c</t>
  </si>
  <si>
    <t>Less Acct 216.1 Unappropriated Undistributed Subsidiary Earnings</t>
  </si>
  <si>
    <t>Transmission serving transmission related amounts associated with the Calpine Acquisition are included.</t>
  </si>
  <si>
    <t>FERC Form No. 1 reference</t>
  </si>
  <si>
    <t>(page 204 &amp; 205 Ln. 5)</t>
  </si>
  <si>
    <t>(page 204 &amp; 205 Ln. 16)</t>
  </si>
  <si>
    <t>(page 204 &amp; 205 Ln. 35)</t>
  </si>
  <si>
    <t>(page 204 &amp; 205 Ln. 45)</t>
  </si>
  <si>
    <t>(page 206 &amp; 207 Ln. 58)</t>
  </si>
  <si>
    <t>(page 206 &amp; 207 Ln. 75)</t>
  </si>
  <si>
    <t>(page 200 Ln. 21)</t>
  </si>
  <si>
    <t>(page 219 Ln. 20)</t>
  </si>
  <si>
    <t>(page 219 Ln. 22 + 23)</t>
  </si>
  <si>
    <t>(page 219 Ln. 24)</t>
  </si>
  <si>
    <t>(page 219 Ln. 25)</t>
  </si>
  <si>
    <t>(page 219 Ln. 26)</t>
  </si>
  <si>
    <t>(page 219 Ln. 28)</t>
  </si>
  <si>
    <t>(page 206 &amp; 207 Ln. 99)</t>
  </si>
  <si>
    <t>(page 336 Ln. 1)</t>
  </si>
  <si>
    <t>(page 336 Ln. 2)</t>
  </si>
  <si>
    <t>(page 336 Ln. 4 + 5)</t>
  </si>
  <si>
    <t>(page 336 Ln. 6)</t>
  </si>
  <si>
    <t>(page 336 Ln. 7)</t>
  </si>
  <si>
    <t>(page 336 Ln. 8)</t>
  </si>
  <si>
    <t>(page 336 Ln. 10)</t>
  </si>
  <si>
    <t>(page 336 Ln. 11)</t>
  </si>
  <si>
    <t>112.12.c,d</t>
  </si>
  <si>
    <t>Rates</t>
  </si>
  <si>
    <t>Prior Period Corrections</t>
  </si>
  <si>
    <t>Transmission System Peak Demand Summary</t>
  </si>
  <si>
    <t>WP_B-3</t>
  </si>
  <si>
    <t>REVENUE REQUIREMENT</t>
  </si>
  <si>
    <t xml:space="preserve"> Formula amounts for all of the foregoing items will remain at $0 until approved by FERC pursuant to a Section 205 filing under a separate docket.</t>
  </si>
  <si>
    <t xml:space="preserve">  Regulatory Commission expenses (FERC Account 928) will be directly assigned or allocated to Transmission.</t>
  </si>
  <si>
    <t>Account 456.1- Revenues from Transmission of Electricity of Others</t>
  </si>
  <si>
    <t xml:space="preserve">Ancillary Services, Schedule No. 1 - </t>
  </si>
  <si>
    <t>Scheduling System Control and Dispatch Service</t>
  </si>
  <si>
    <t>FERC Annual Charge</t>
  </si>
  <si>
    <t>Daily Point-to-Point Delivery On-Peak</t>
  </si>
  <si>
    <t>Daily Point-to-Point Delivery Off-Peak</t>
  </si>
  <si>
    <t>Hourly Point-to-Point Delivery On-Peak</t>
  </si>
  <si>
    <t>Hourly Point-to-Point Delivery Off-Peak</t>
  </si>
  <si>
    <t>$ per MWh ((Line 26 / 16) X 1000)</t>
  </si>
  <si>
    <t>$ per MWh ((Line 27 / 24) X 1000)</t>
  </si>
  <si>
    <t>Pg 320, Ln 56b</t>
  </si>
  <si>
    <t>1. Deferred Taxes associated with implementing Statements of Financial Accounting Standards Board 109, distribution, production, retail, and non-utility plant related are eliminated.</t>
  </si>
  <si>
    <t xml:space="preserve">  Account No. 454 (Rent from Transmission Facilities)</t>
  </si>
  <si>
    <t>Total Prepayments</t>
  </si>
  <si>
    <r>
      <t>N/A</t>
    </r>
    <r>
      <rPr>
        <vertAlign val="superscript"/>
        <sz val="10"/>
        <rFont val="Arial"/>
        <family val="2"/>
      </rPr>
      <t>2</t>
    </r>
  </si>
  <si>
    <r>
      <t>N/A</t>
    </r>
    <r>
      <rPr>
        <vertAlign val="superscript"/>
        <sz val="10"/>
        <rFont val="Arial"/>
        <family val="2"/>
      </rPr>
      <t>1</t>
    </r>
  </si>
  <si>
    <r>
      <t>N/A</t>
    </r>
    <r>
      <rPr>
        <vertAlign val="superscript"/>
        <sz val="10"/>
        <rFont val="Arial"/>
        <family val="2"/>
      </rPr>
      <t>3</t>
    </r>
  </si>
  <si>
    <t>Table 31</t>
  </si>
  <si>
    <t>Regulatory Commission Expense Detail (FERC Account 928)</t>
  </si>
  <si>
    <t>GSU Reclass</t>
  </si>
  <si>
    <t>1. GSU's are eliminated from Transmission, Distribution, and General Plant and reassigned to Production Plant</t>
  </si>
  <si>
    <t>13 Month Avg (2)</t>
  </si>
  <si>
    <t>Intangible (3) (4)</t>
  </si>
  <si>
    <t>12 Month Total (1)</t>
  </si>
  <si>
    <t>1. Generator Step Up's (GSU) are eliminated from Transmission, Distribution, and General Plant and reassigned to Production Plant</t>
  </si>
  <si>
    <t>Preferred Stock (1)</t>
  </si>
  <si>
    <t>Fixed Charge Rate Worksheet ("FCR")</t>
  </si>
  <si>
    <t>(1) O&amp;M</t>
  </si>
  <si>
    <t>(2) Other Taxes</t>
  </si>
  <si>
    <t>(3) A&amp;G</t>
  </si>
  <si>
    <t>`</t>
  </si>
  <si>
    <t>FIXED CHARGE RATE</t>
  </si>
  <si>
    <t>O&amp;M Expense:</t>
  </si>
  <si>
    <t>$ Amount</t>
  </si>
  <si>
    <t>A. Total Power Production Expenses</t>
  </si>
  <si>
    <t>C. Energy Related O&amp;M</t>
  </si>
  <si>
    <t>Total C</t>
  </si>
  <si>
    <t>E. Total Production Plant Investment</t>
  </si>
  <si>
    <t>OTHER TAXES EXPENSE</t>
  </si>
  <si>
    <t>A&amp;G EXPENSE</t>
  </si>
  <si>
    <t>Less: Dual Use Plant Alloc. To Reactive Power</t>
  </si>
  <si>
    <t>Net Production Plant</t>
  </si>
  <si>
    <t>Pg 321, Ln 80b</t>
  </si>
  <si>
    <t>Pg 321.76b</t>
  </si>
  <si>
    <t>B. Purchased Power Expenses (Acct. 555)</t>
  </si>
  <si>
    <t>Account 501</t>
  </si>
  <si>
    <t>Account 503</t>
  </si>
  <si>
    <t>Account 504</t>
  </si>
  <si>
    <t>Account 510</t>
  </si>
  <si>
    <t>Account 512</t>
  </si>
  <si>
    <t>Account 513</t>
  </si>
  <si>
    <t>Account 518</t>
  </si>
  <si>
    <t>Account 528</t>
  </si>
  <si>
    <t>Account 530</t>
  </si>
  <si>
    <t>Account 531</t>
  </si>
  <si>
    <t>Account 544</t>
  </si>
  <si>
    <t>Account 547</t>
  </si>
  <si>
    <t>Pg 320, Ln 5b</t>
  </si>
  <si>
    <t>Pg 320, Ln 15b</t>
  </si>
  <si>
    <t>Pg 320, Ln 17b</t>
  </si>
  <si>
    <t>Pg 320, Ln 18b</t>
  </si>
  <si>
    <t>Pg 321, Ln 63b</t>
  </si>
  <si>
    <t>Account 509</t>
  </si>
  <si>
    <t>Pg 320, Ln 7b</t>
  </si>
  <si>
    <t>Pg 320, Ln 8b</t>
  </si>
  <si>
    <t>Pg 320, Ln 25b</t>
  </si>
  <si>
    <t>Pg 320, Ln 35b</t>
  </si>
  <si>
    <t>Pg 320, Ln 37b</t>
  </si>
  <si>
    <t>Pg 320, Ln 38b</t>
  </si>
  <si>
    <t>Total Production Plant</t>
  </si>
  <si>
    <t>Plus Generator Step Ups</t>
  </si>
  <si>
    <t xml:space="preserve">Pg 205, Ln 46g </t>
  </si>
  <si>
    <t>Pg 115, Ln 14g</t>
  </si>
  <si>
    <t>Common Electric Plant in Service</t>
  </si>
  <si>
    <t>A. Other Taxes (Electric Only)</t>
  </si>
  <si>
    <t>B. Total Electric Plant in Service</t>
  </si>
  <si>
    <t>Pg 356</t>
  </si>
  <si>
    <t>A/B</t>
  </si>
  <si>
    <t>Production O&amp;M FCR</t>
  </si>
  <si>
    <t>Other Taxes FCR</t>
  </si>
  <si>
    <t>A. Production Wages Expense</t>
  </si>
  <si>
    <t>Pg 354, Ln 20b</t>
  </si>
  <si>
    <t>Pg 323, Ln 181b</t>
  </si>
  <si>
    <t>Pg 354, Ln 28b</t>
  </si>
  <si>
    <t>A&amp;G Expense FCR</t>
  </si>
  <si>
    <t>Pg 323, Ln 197b</t>
  </si>
  <si>
    <t>Pg 112 Ln 16c</t>
  </si>
  <si>
    <t>Less: Preferred Stock Issued</t>
  </si>
  <si>
    <t>Less: Account No. 216.1</t>
  </si>
  <si>
    <t>Less: Accum other comprehensive Income</t>
  </si>
  <si>
    <t>Common Equity =</t>
  </si>
  <si>
    <t>Pg 112 Ln 3c</t>
  </si>
  <si>
    <t>Pg 112 Ln 12c</t>
  </si>
  <si>
    <t>Pg 112 Ln 15</t>
  </si>
  <si>
    <t>Long Term Debt</t>
  </si>
  <si>
    <t>Common Equity</t>
  </si>
  <si>
    <t>Interest on Debt to Assoc. Companies (LTD portion only)</t>
  </si>
  <si>
    <t>Pg 117 Ln 62c</t>
  </si>
  <si>
    <t>Pg 117 Ln 67c</t>
  </si>
  <si>
    <t>Pg 117 Ln 63c</t>
  </si>
  <si>
    <t>Pg 117 Ln 64c</t>
  </si>
  <si>
    <t>Pg 117 Ln 65c</t>
  </si>
  <si>
    <t>Pg 117 Ln 66c</t>
  </si>
  <si>
    <t>Pg 118 Ln 29c</t>
  </si>
  <si>
    <t>Pg 336 Lns 2-6b</t>
  </si>
  <si>
    <t>General &amp; Intangible plant</t>
  </si>
  <si>
    <t>State Tax Rate</t>
  </si>
  <si>
    <t>Accumulated Deferred Income Tax</t>
  </si>
  <si>
    <t>Total ADIT</t>
  </si>
  <si>
    <t>B. Return and Taxes</t>
  </si>
  <si>
    <t>C. Production Plant (plus step ups)</t>
  </si>
  <si>
    <t>A.  Production share of ADIT</t>
  </si>
  <si>
    <t>Pg 275 Ln 2k</t>
  </si>
  <si>
    <t>Pg 273 Ln 4k</t>
  </si>
  <si>
    <t>Pg 277 Ln 9k</t>
  </si>
  <si>
    <t>Pg 227 Ln 7</t>
  </si>
  <si>
    <t>(10)  Materials &amp; Supplies</t>
  </si>
  <si>
    <t>A. Total Non-Fuel M&amp;S</t>
  </si>
  <si>
    <t>B.  ROR</t>
  </si>
  <si>
    <t>C.  Return on M&amp;S</t>
  </si>
  <si>
    <t>D.  Total Prod Plnt</t>
  </si>
  <si>
    <t>E. Total Plnt in Service</t>
  </si>
  <si>
    <t>G. Prod M&amp;S Factor</t>
  </si>
  <si>
    <t>Note 1.  The FERC's annual charge per MWh is established by the Commission annually, and is assessed to the Transmission Owner, and is passed through to the Transmission Customers.</t>
  </si>
  <si>
    <t>Total Other Related Allocated to Electric</t>
  </si>
  <si>
    <t>Reserved Capacity Factor</t>
  </si>
  <si>
    <t>Daily Point-to-Point Delivery on Peak</t>
  </si>
  <si>
    <t>Daily Point-to-Point Delivery off Peak</t>
  </si>
  <si>
    <t>Hourly Point-to-Point Delivery on Peak</t>
  </si>
  <si>
    <t>Hourly Point-to-Point Delivery off Peak</t>
  </si>
  <si>
    <t>Reserved Capacity Factor applicable to network load or reserved capacity</t>
  </si>
  <si>
    <t>Settlement Credit</t>
  </si>
  <si>
    <t xml:space="preserve">  Settlement Credit</t>
  </si>
  <si>
    <t>per kW year (Col. ( h) ln 19 / Col. ( i ) Ln 19)</t>
  </si>
  <si>
    <t>(10) Materials &amp; Supplies</t>
  </si>
  <si>
    <t>RATE OF RETURN WORKSHEET</t>
  </si>
  <si>
    <t>Proprietary Capital</t>
  </si>
  <si>
    <t xml:space="preserve">  FERC 421.1 Gain on the Disposition of Utility Property will be assigned or allocated to the transmission function based on the specific property sold.</t>
  </si>
  <si>
    <t>Total Capital =</t>
  </si>
  <si>
    <t xml:space="preserve">CAPITAL STRUCTURE </t>
  </si>
  <si>
    <t>Weighted Cost</t>
  </si>
  <si>
    <t xml:space="preserve"> Of Capital  %</t>
  </si>
  <si>
    <t>DEPRECIATION EXPENSE</t>
  </si>
  <si>
    <t>Production Depreciation Expense</t>
  </si>
  <si>
    <t>Total Production Plant Investment</t>
  </si>
  <si>
    <t>SLDp  =</t>
  </si>
  <si>
    <t>n     =</t>
  </si>
  <si>
    <t>SFDp  =</t>
  </si>
  <si>
    <t>(6)</t>
  </si>
  <si>
    <t>COMPOSITE INCOME TAX EXPENSE</t>
  </si>
  <si>
    <t>Production CIT=</t>
  </si>
  <si>
    <t>Formula: (35/65+State Tx)/(1-State Tx)*(ROR+SFD-SLD)*(1-Wtd.LTD/ROR)</t>
  </si>
  <si>
    <t>NET ACQUISITION ADJUSTMENT</t>
  </si>
  <si>
    <t>Future Acquisition Adjustment amounts will not be included in the formula except as directed by the Commission pursuant to a Section 205 filing.</t>
  </si>
  <si>
    <t>Col. (1)</t>
  </si>
  <si>
    <t>Col. (2)</t>
  </si>
  <si>
    <t>Col. (3)</t>
  </si>
  <si>
    <t>Col. (4)</t>
  </si>
  <si>
    <t>Col. (5)</t>
  </si>
  <si>
    <t>Col. (b)</t>
  </si>
  <si>
    <t>Col. (a)</t>
  </si>
  <si>
    <t>Col. (c)</t>
  </si>
  <si>
    <t>Col. (d)</t>
  </si>
  <si>
    <t>Col. (e)</t>
  </si>
  <si>
    <t>Col. (f)</t>
  </si>
  <si>
    <t>Col. (g)</t>
  </si>
  <si>
    <t>Col. (h)</t>
  </si>
  <si>
    <t>Col. (i)</t>
  </si>
  <si>
    <t>Col. (j)</t>
  </si>
  <si>
    <t>Col. (k)</t>
  </si>
  <si>
    <t>Col. (l)</t>
  </si>
  <si>
    <t>Col. (m)</t>
  </si>
  <si>
    <t>Col. (n)</t>
  </si>
  <si>
    <t>General Notes:  a)  References to data from FERC Form No. 1 are indicated as:  page#.line#.col.#</t>
  </si>
  <si>
    <t>1. FERC Account 114- FERC Form No. 1 pg. 200 Ln. 12</t>
  </si>
  <si>
    <t>2. FERC Account 115- FERC Form No. 1 pg. 200 Ln. 32</t>
  </si>
  <si>
    <t>3. FERC Account 406- FERC Form No. 1 pg. 114 Ln. 9</t>
  </si>
  <si>
    <t>FERC Form No. 1 pg. 111, Line 57, Col. (c) &amp; (d)</t>
  </si>
  <si>
    <t>FERC Form No. 1</t>
  </si>
  <si>
    <t>Total 454- FERC Form No. 1 pg. 300 Ln 19</t>
  </si>
  <si>
    <t>Transmission Formula Rate Template</t>
  </si>
  <si>
    <t>Note 1.  Amount reflects 3 year amortization of the pre-construction costs associated with the San Luis-Calumet-Comanche transmission project ($2,625,528 X 50% / 3 = $437,588) beginning November 17, 2012 as shown on FERC Form No. 1 page 321, line 90 footnote page.  See additional details on Table 25 concerning the 50/50 sharing.</t>
  </si>
  <si>
    <t>Total 421.1- FERC Form No. 1 pg. 117 Ln 40</t>
  </si>
  <si>
    <r>
      <t xml:space="preserve">The calculation of the </t>
    </r>
    <r>
      <rPr>
        <b/>
        <sz val="8.5"/>
        <rFont val="Arial"/>
        <family val="2"/>
      </rPr>
      <t>GP</t>
    </r>
    <r>
      <rPr>
        <sz val="10"/>
        <rFont val="Arial"/>
        <family val="2"/>
      </rPr>
      <t xml:space="preserve"> Allocator is found on Line 10.</t>
    </r>
  </si>
  <si>
    <r>
      <t xml:space="preserve">The calculation of the </t>
    </r>
    <r>
      <rPr>
        <b/>
        <sz val="8.5"/>
        <rFont val="Arial"/>
        <family val="2"/>
      </rPr>
      <t>NP</t>
    </r>
    <r>
      <rPr>
        <sz val="10"/>
        <rFont val="Arial"/>
        <family val="2"/>
      </rPr>
      <t xml:space="preserve"> Allocator is found on Line 37.</t>
    </r>
  </si>
  <si>
    <t>115.14.g</t>
  </si>
  <si>
    <t>Electric Intangible Software 5 Yr</t>
  </si>
  <si>
    <t>Electric Intangible Software 10 Yr</t>
  </si>
  <si>
    <t>2.  Adjustment to ADIT associated with plant adjustments, see WP_B-Inputs.</t>
  </si>
  <si>
    <t>1. Company Records</t>
  </si>
  <si>
    <t>2. Company Records</t>
  </si>
  <si>
    <t>3. Company Records</t>
  </si>
  <si>
    <t>Gain on the sale of the Technical Service Building (Electric portion)</t>
  </si>
  <si>
    <t>Section 205 filing (to be made annually to update the PBOP expense) or a Section 206 filing.</t>
  </si>
  <si>
    <t xml:space="preserve">  Annual Cost ($/kW-Yr)</t>
  </si>
  <si>
    <t xml:space="preserve">  Network &amp; Point-to-Point Rate ($/kW-Mo) </t>
  </si>
  <si>
    <t>TOTAL NET ACQUISITION ADJUSTMENT</t>
  </si>
  <si>
    <t>(9) ADIT Adjustment</t>
  </si>
  <si>
    <t>Note 1. The PSCo budget estimates these taxes only in total.  Details as to actual taxes will be available for actuals in the Annual True-up.</t>
  </si>
  <si>
    <t>(9)</t>
  </si>
  <si>
    <t xml:space="preserve">ACCUMULATED DEFERRED INCOME TAX </t>
  </si>
  <si>
    <t>Total Production plant</t>
  </si>
  <si>
    <t>Total Electric Plant</t>
  </si>
  <si>
    <t>2. Regulatory Commission expenses (FERC Account 928) will be directly assigned to Transmission and are shown on WP_C-4.</t>
  </si>
  <si>
    <t>Total 421.1</t>
  </si>
  <si>
    <t>Revenue credit because the load is not included in divisor.</t>
  </si>
  <si>
    <t xml:space="preserve">(A x B) / C =  </t>
  </si>
  <si>
    <t>Acct 314</t>
  </si>
  <si>
    <t>Steam Turbogenerators</t>
  </si>
  <si>
    <t>Acct 344</t>
  </si>
  <si>
    <t>CT Generators</t>
  </si>
  <si>
    <t>Subtotal of Production Accounts 314 &amp; 344</t>
  </si>
  <si>
    <t>Generation Step Ups</t>
  </si>
  <si>
    <t>Total Dual Use Production Plant</t>
  </si>
  <si>
    <t>Fixed Charge Rate (including O&amp;M) for all Production Plant</t>
  </si>
  <si>
    <t xml:space="preserve">Annual Cost of Reactive Power Equipment </t>
  </si>
  <si>
    <t>Total Production Plant Revenue Requirement including O&amp;M</t>
  </si>
  <si>
    <t>Total Revenue Requirement for Reactive Power</t>
  </si>
  <si>
    <t>Average of 12 Month Coincident Peaks</t>
  </si>
  <si>
    <t>Annual Reactive Power Charge</t>
  </si>
  <si>
    <t>PSCO Total Rated Capacity =</t>
  </si>
  <si>
    <t>kVA</t>
  </si>
  <si>
    <t xml:space="preserve">PSCO Total VAR Rating = </t>
  </si>
  <si>
    <t xml:space="preserve"> kVAR</t>
  </si>
  <si>
    <t>% of Plant dedicated to VAR Production is = (kVAR^2 / kVA^2) X 100 =</t>
  </si>
  <si>
    <t>Total Cost (1)</t>
  </si>
  <si>
    <t>Name</t>
  </si>
  <si>
    <t>Non VAR</t>
  </si>
  <si>
    <t>Total Cost</t>
  </si>
  <si>
    <t>Name Plate</t>
  </si>
  <si>
    <t>Step Ups</t>
  </si>
  <si>
    <t>W/ Step Ups</t>
  </si>
  <si>
    <t>Arapahoe</t>
  </si>
  <si>
    <t>Cherokee</t>
  </si>
  <si>
    <t>Comanche</t>
  </si>
  <si>
    <t>Craig</t>
  </si>
  <si>
    <t>Approved in FERC Docket</t>
  </si>
  <si>
    <t>Adjustment to Gross Plant</t>
  </si>
  <si>
    <t>Adjustment to Accumulated Reserves</t>
  </si>
  <si>
    <t>Adjustment to ADIT</t>
  </si>
  <si>
    <t>Annual Amortization</t>
  </si>
  <si>
    <t>Adjustment to Net Plant</t>
  </si>
  <si>
    <t>Prefunded AFUDC Adjustments (2)</t>
  </si>
  <si>
    <t>Hayden</t>
  </si>
  <si>
    <t>Pawnee</t>
  </si>
  <si>
    <t>Zuni</t>
  </si>
  <si>
    <t>Alamosa</t>
  </si>
  <si>
    <t>Fort Lupton</t>
  </si>
  <si>
    <t>Fruita</t>
  </si>
  <si>
    <t>Valmont 6</t>
  </si>
  <si>
    <t>Cabin Creek</t>
  </si>
  <si>
    <t>Total dual use</t>
  </si>
  <si>
    <t xml:space="preserve">Total Cost for  </t>
  </si>
  <si>
    <t xml:space="preserve">Unity = </t>
  </si>
  <si>
    <t xml:space="preserve">Prod. FCR </t>
  </si>
  <si>
    <t xml:space="preserve">Annual Cost of Gen. </t>
  </si>
  <si>
    <t xml:space="preserve">Gen. Max </t>
  </si>
  <si>
    <t xml:space="preserve">Cost of plant / </t>
  </si>
  <si>
    <t>for VAR Production</t>
  </si>
  <si>
    <t xml:space="preserve">Reg. and Freq. </t>
  </si>
  <si>
    <t>Plants Selected</t>
  </si>
  <si>
    <t>with O&amp;M</t>
  </si>
  <si>
    <t>Plnt.. To provide Svc.</t>
  </si>
  <si>
    <t>Plant</t>
  </si>
  <si>
    <t>per Plant</t>
  </si>
  <si>
    <t>Response Serv..</t>
  </si>
  <si>
    <t>(kW)</t>
  </si>
  <si>
    <t>( b x  c )</t>
  </si>
  <si>
    <t>( a ) - ( d )</t>
  </si>
  <si>
    <t>Average Generation Unit Cost to Provide Service</t>
  </si>
  <si>
    <t>for Op Res</t>
  </si>
  <si>
    <t>Annual Cost</t>
  </si>
  <si>
    <t>Oper. Reserve</t>
  </si>
  <si>
    <t>of Selected Plant</t>
  </si>
  <si>
    <t>Supplemental</t>
  </si>
  <si>
    <t>to Provide Service</t>
  </si>
  <si>
    <r>
      <t>R/(1+R)^</t>
    </r>
    <r>
      <rPr>
        <sz val="9"/>
        <rFont val="Arial"/>
        <family val="2"/>
      </rPr>
      <t>n-1</t>
    </r>
  </si>
  <si>
    <t>Delete</t>
  </si>
  <si>
    <t>Add</t>
  </si>
  <si>
    <t>Generation</t>
  </si>
  <si>
    <t>Comanche 3</t>
  </si>
  <si>
    <t>3rd Party</t>
  </si>
  <si>
    <t xml:space="preserve">Generation </t>
  </si>
  <si>
    <t>Step-up Loss</t>
  </si>
  <si>
    <t>IREA</t>
  </si>
  <si>
    <t>Reserved</t>
  </si>
  <si>
    <t>System Peak</t>
  </si>
  <si>
    <t>at Peak</t>
  </si>
  <si>
    <t>Includes any incentive Construction Work in Progress (CWIP), any related Pre-funded Allowance for Funds Used During Construction (AFUDC), any unamortized balances</t>
  </si>
  <si>
    <t>Account 565 Transmission by Others is included only to the extent used to integrate the PSCo Transmission system.</t>
  </si>
  <si>
    <t>Network Load</t>
  </si>
  <si>
    <t>Capacity</t>
  </si>
  <si>
    <t>Date &amp; Time</t>
  </si>
  <si>
    <t>12 Month Average</t>
  </si>
  <si>
    <t>Estimated System Peak Demand Summary</t>
  </si>
  <si>
    <t>Actual System Peak Demand Summary</t>
  </si>
  <si>
    <t xml:space="preserve">Ancillary Services, Schedule No. 2 - </t>
  </si>
  <si>
    <t xml:space="preserve">Ancillary Services, Schedule No. 5 - </t>
  </si>
  <si>
    <t>Sum Lines 2 - 9</t>
  </si>
  <si>
    <t xml:space="preserve">Total FERC Account 561 </t>
  </si>
  <si>
    <t xml:space="preserve">  All industry association dues recorded in FERC Account 930.2 will be excluded.  The adjustment is shown on WP_C-2, Note 4.</t>
  </si>
  <si>
    <t xml:space="preserve">Ancillary Services, Schedule No. 6 - </t>
  </si>
  <si>
    <t>Cost Per Unit</t>
  </si>
  <si>
    <t>Includes only FICA, unemployment, property, and other assessments charged in the current year.</t>
  </si>
  <si>
    <t>Rental Income on Other Facilities</t>
  </si>
  <si>
    <t>Annual Transmission Revenue Requirements- Actual</t>
  </si>
  <si>
    <t>Annual Transmission Revenue Requirements- Estimated</t>
  </si>
  <si>
    <t>/kW-year</t>
  </si>
  <si>
    <t>Current Year</t>
  </si>
  <si>
    <t>Balance</t>
  </si>
  <si>
    <t>Credit</t>
  </si>
  <si>
    <t>SIT=</t>
  </si>
  <si>
    <t>13 Month Avg (1)</t>
  </si>
  <si>
    <t>OTHER RATE BASE ITEMS</t>
  </si>
  <si>
    <t>TOTAL OTHER RATE BASE ITEMS</t>
  </si>
  <si>
    <t xml:space="preserve">  Account No. 421.1 (Gain From Disposition of Utility Plant)</t>
  </si>
  <si>
    <t>If a change in an income tax rate is known sufficiently in advance to be reflected in the estimated rates that will become effective January 1 for the upcoming formula rate year, PSCo will reflect the new tax rate(s) in the estimated rate calculations for the months in which the new tax rate will be in effect for the formula rate year.  Otherwise, such tax change will be captured and reflected in the annual formula true-up by weighting the tax rates in effect during the year by the number of days each such tax rate was in effect.</t>
  </si>
  <si>
    <t>System Integration Costs- Holy Cross TIEA (3)</t>
  </si>
  <si>
    <t>Table 32</t>
  </si>
  <si>
    <t>Construction Work in Progress</t>
  </si>
  <si>
    <t>Rate Base Data Inputs- Actual</t>
  </si>
  <si>
    <t>Capital Structure Details</t>
  </si>
  <si>
    <t>FF1, pg. 323, Line 181</t>
  </si>
  <si>
    <t>FF1, pg. 323, Line 182</t>
  </si>
  <si>
    <t>FF1, pg. 323, Line 183</t>
  </si>
  <si>
    <t>FF1, pg. 323, Line 184</t>
  </si>
  <si>
    <t>FF1, pg. 323, Line 185</t>
  </si>
  <si>
    <t>FF1, pg. 323, Line 186</t>
  </si>
  <si>
    <t>FF1, pg. 323, Line 187</t>
  </si>
  <si>
    <t>FF1, pg. 323, Line 188</t>
  </si>
  <si>
    <t>FF1, pg. 323, Line 189</t>
  </si>
  <si>
    <t>FF1, pg. 323, Line 190</t>
  </si>
  <si>
    <t>FF1, pg. 323, Line 191</t>
  </si>
  <si>
    <t>FF1, pg. 323, Line 192</t>
  </si>
  <si>
    <t>FF1, pg. 323, Line 193</t>
  </si>
  <si>
    <t>FF1, pg. 323, Line 196</t>
  </si>
  <si>
    <t xml:space="preserve">     Add Back  Account 561.4</t>
  </si>
  <si>
    <t>Ancillary Service Rates (2)</t>
  </si>
  <si>
    <t>(Note 1)</t>
  </si>
  <si>
    <t>RATE BASE &amp; RETURN CALCULATION</t>
  </si>
  <si>
    <t xml:space="preserve">  Account No. 281</t>
  </si>
  <si>
    <t xml:space="preserve">  Account No. 282</t>
  </si>
  <si>
    <t xml:space="preserve">  Account No. 283</t>
  </si>
  <si>
    <t xml:space="preserve">  Account No. 255</t>
  </si>
  <si>
    <t xml:space="preserve">  Cash Working Capital</t>
  </si>
  <si>
    <t>EXPENSE, TAXES &amp; REVENUE</t>
  </si>
  <si>
    <t xml:space="preserve">              Account 928 - Transmission Specific</t>
  </si>
  <si>
    <t xml:space="preserve">     Plus: Account 924, Property Insurance</t>
  </si>
  <si>
    <t>TRANSMISSION PLANT INCLUDED IN THE ATRR</t>
  </si>
  <si>
    <t xml:space="preserve">Transmission plant   </t>
  </si>
  <si>
    <t xml:space="preserve">Total Transmission Plant   </t>
  </si>
  <si>
    <t xml:space="preserve">  Eliminate Generator Step-up facilities</t>
  </si>
  <si>
    <t>Electric Intangible Franchises are amortized over the life of the Franchise Agreement.</t>
  </si>
  <si>
    <t>Common Intangible Franchises are amortized over the life of the Franchise Agreement.</t>
  </si>
  <si>
    <t>The Depreciation Rates were approved in Docket ER08-224-000 and Docket ER11-2853 and will not change absent a 205 or 206 filing.</t>
  </si>
  <si>
    <t>( e ) X ( f ) * (g)</t>
  </si>
  <si>
    <t>pg.112, sum of 18c thru 21c</t>
  </si>
  <si>
    <t>Percent of Transmission Plant in the ATRR</t>
  </si>
  <si>
    <t>Note 1. The True-up calculations will include interest pursuant to Section 35.19a of the FERC's regulations.  Interest will be calculated from the beginning of the Rate year to the date the refunds or surcharges are billed.</t>
  </si>
  <si>
    <t>The Net Acquisition Adjustment will be the average of thirteen monthly balances.</t>
  </si>
  <si>
    <t>207, Ln.100, Col. (g)</t>
  </si>
  <si>
    <t>214, Ln. 47, Col. (d)</t>
  </si>
  <si>
    <t>216, Ln. 43, Col. (b)</t>
  </si>
  <si>
    <t>110, Ln. 4, Col. (c), plus Ln. 16, Col. (c)</t>
  </si>
  <si>
    <t>formula except as directed by the Commission pursuant to a Section 205 filing.</t>
  </si>
  <si>
    <t>Electric Distribution-Prod</t>
  </si>
  <si>
    <t>Electric Transmission-Prod</t>
  </si>
  <si>
    <t>Electric General-Prod</t>
  </si>
  <si>
    <t>Common General (2)</t>
  </si>
  <si>
    <t>Electric General (2)</t>
  </si>
  <si>
    <t>Common Intangible (2)</t>
  </si>
  <si>
    <t>Electric Intangible (2)</t>
  </si>
  <si>
    <t>The Regulatory Liability associated with the sale of the Technical Service Building (TSB) will be included in Rate Base.  Future Regulatory Liabilities will not be included in the</t>
  </si>
  <si>
    <t>(Note A)</t>
  </si>
  <si>
    <t>(Note B)</t>
  </si>
  <si>
    <t xml:space="preserve">  Account No. 107 (CWIP) (Note E)</t>
  </si>
  <si>
    <t xml:space="preserve">  Net Pre-Funded AFUDC on CWIP included (Note E)</t>
  </si>
  <si>
    <t xml:space="preserve">  Unamortized Balance of Abandoned Incentive Plant (Note E)</t>
  </si>
  <si>
    <t xml:space="preserve">  Unamortized Balance of Extraordinary Property Loss (Note E)</t>
  </si>
  <si>
    <t>LAND HELD FOR FUTURE USE (Note F)</t>
  </si>
  <si>
    <t>(Note G)</t>
  </si>
  <si>
    <t xml:space="preserve">     Less Total Account 565 (Note H)</t>
  </si>
  <si>
    <t>Administrative and General (Note I)</t>
  </si>
  <si>
    <t>(Note J)</t>
  </si>
  <si>
    <t xml:space="preserve"> (Note K)</t>
  </si>
  <si>
    <t xml:space="preserve">       and FIT, SIT &amp; p are as given in Note K.</t>
  </si>
  <si>
    <t>(Note L)</t>
  </si>
  <si>
    <t xml:space="preserve">  Regulatory Liabilities- FERC Account No. 254 (Note C)</t>
  </si>
  <si>
    <t>(4) Return (1)</t>
  </si>
  <si>
    <t>(5) Depreciation (1)</t>
  </si>
  <si>
    <t xml:space="preserve"> Incentive Plant (2)</t>
  </si>
  <si>
    <t>Expense (2)</t>
  </si>
  <si>
    <r>
      <t xml:space="preserve">The interest is calculated </t>
    </r>
    <r>
      <rPr>
        <sz val="10"/>
        <rFont val="Arial"/>
        <family val="2"/>
      </rPr>
      <t>pursuant to Section 35.19a using the in</t>
    </r>
    <r>
      <rPr>
        <sz val="10"/>
        <rFont val="Arial"/>
        <family val="2"/>
      </rPr>
      <t>terest rate posted on the FERC website.</t>
    </r>
  </si>
  <si>
    <t>Property Loss (2)</t>
  </si>
  <si>
    <t>Use (3)</t>
  </si>
  <si>
    <t>Note 2.  Abandoned Plant and Extraordinary Property Loss will remain at zero and can not be changes without a Section 205 filing.</t>
  </si>
  <si>
    <t>Note 3.  Plant Held for Future Use recovered in the formula will be limited to Transmission related land and land rights recorded in Account 105, Plant Held for Future Use.</t>
  </si>
  <si>
    <t>Less: Reliability, Planning and Standards Development (Account 561.5)</t>
  </si>
  <si>
    <t>Less: Transmission Service Studies (Account 561.6)</t>
  </si>
  <si>
    <t>Less: Generation Interconnection Studies (Account 561.7)</t>
  </si>
  <si>
    <t>Less: Reliability, Planning &amp; Standards Development Services (Account 561.8)</t>
  </si>
  <si>
    <t xml:space="preserve">     Add Back  Account 561.5</t>
  </si>
  <si>
    <t xml:space="preserve">     Add Back  Account 561.8</t>
  </si>
  <si>
    <t>4. Retail related Franchises and Consents are eliminated from FERC 302</t>
  </si>
  <si>
    <t>5. Retail Related CRS (Customer Resources System) and OMS (Outage Management System) are eliminated from Common Plant FERC 303</t>
  </si>
  <si>
    <t>Post-Employment Benefits Other than Pensions (FAS 106)</t>
  </si>
  <si>
    <t>O&amp;M</t>
  </si>
  <si>
    <t>Total Expense</t>
  </si>
  <si>
    <t>O&amp;M $</t>
  </si>
  <si>
    <t>Electric $</t>
  </si>
  <si>
    <t>Once established in the true-up for the first Formula Rate Year that rates are in effect,</t>
  </si>
  <si>
    <t>the amount for Post-Employment Benefits Other than Pensions shall be the amount recovered</t>
  </si>
  <si>
    <t>in the formula rate until a change is accepted and permitted by FERC pursuant to a</t>
  </si>
  <si>
    <t>Employee pensions and benefits (1)</t>
  </si>
  <si>
    <t>changed without a Section 205 or 206 filing.</t>
  </si>
  <si>
    <t>Regulatory commission expenses (2)</t>
  </si>
  <si>
    <t>General Advertising Expenses (3)</t>
  </si>
  <si>
    <t>Miscellaneous general expenses (4)</t>
  </si>
  <si>
    <t>3. General Advertising Expenses (FERC Account 930.1) will be excluded.</t>
  </si>
  <si>
    <t>I.  Revenue Requirement True-up:</t>
  </si>
  <si>
    <t>II.  Volume True-up:</t>
  </si>
  <si>
    <t>kw</t>
  </si>
  <si>
    <t>III.  Interest Calculation:</t>
  </si>
  <si>
    <t>Amortization</t>
  </si>
  <si>
    <t>of Abandoned</t>
  </si>
  <si>
    <t>Unamort. Balance</t>
  </si>
  <si>
    <t>of Extraordinary</t>
  </si>
  <si>
    <t>Land Held</t>
  </si>
  <si>
    <t>For Future</t>
  </si>
  <si>
    <t>Production Plant</t>
  </si>
  <si>
    <t>Distribution (3)</t>
  </si>
  <si>
    <t>General (3)</t>
  </si>
  <si>
    <t>12 Month Total (2)</t>
  </si>
  <si>
    <t>Most recent FF1, Pg 205, Ln 12</t>
  </si>
  <si>
    <t>Most recent FF1, Pg 205, Ln 41</t>
  </si>
  <si>
    <t>Most recent FF1, Footnote, Page 204, Line 58</t>
  </si>
  <si>
    <t>Dual Use Plant Alloc. To Reactive Power</t>
  </si>
  <si>
    <t>Valmont 5</t>
  </si>
  <si>
    <t>Fort St. Vrain 1-4</t>
  </si>
  <si>
    <t>TOTAL:</t>
  </si>
  <si>
    <t>(1) WP_Cost per Unit</t>
  </si>
  <si>
    <t>( e ) * ( f ) * (g)</t>
  </si>
  <si>
    <t>(kW) (1)</t>
  </si>
  <si>
    <t>per MWh ((Line 24 / 16) X 1000)</t>
  </si>
  <si>
    <t>per kW month (Line 22)</t>
  </si>
  <si>
    <t>Spinning Reserve (3)</t>
  </si>
  <si>
    <t>per kW month (Line 21 / 12)</t>
  </si>
  <si>
    <t>(6) Composite Income Tax</t>
  </si>
  <si>
    <t>(8) Cash Working Capital</t>
  </si>
  <si>
    <t>Plate kW (2)</t>
  </si>
  <si>
    <t>Percent of</t>
  </si>
  <si>
    <t>Transmission Specific</t>
  </si>
  <si>
    <t>Non-Transmission Related</t>
  </si>
  <si>
    <t>Gross Plant, Accumulated Depreciation &amp; Amortization, and Depreciation Expense</t>
  </si>
  <si>
    <t>WS</t>
  </si>
  <si>
    <t>13 Month Avg.</t>
  </si>
  <si>
    <t>Long Term Debt:</t>
  </si>
  <si>
    <t>Acct 221 Bonds</t>
  </si>
  <si>
    <t>112.18.c,d</t>
  </si>
  <si>
    <t>Acct 224 Other Long Term Debt</t>
  </si>
  <si>
    <t>112.21.c,d</t>
  </si>
  <si>
    <t>Total Long Term Debt</t>
  </si>
  <si>
    <t>Preferred Stock</t>
  </si>
  <si>
    <t>112.3.c,d</t>
  </si>
  <si>
    <t>Common Equity- Per Books</t>
  </si>
  <si>
    <t>112.16.c,d</t>
  </si>
  <si>
    <t>Less Acct 204 Preferred Stock</t>
  </si>
  <si>
    <t>Less Acct 219 Accum Other Compre. Income</t>
  </si>
  <si>
    <t>112.15.c,d</t>
  </si>
  <si>
    <t>Adjusted Common Equity</t>
  </si>
  <si>
    <t>Cost of Debt</t>
  </si>
  <si>
    <t>Interest on Long Term Debt</t>
  </si>
  <si>
    <t>117.62.c</t>
  </si>
  <si>
    <t>Amortization of Debt Discount and Expense</t>
  </si>
  <si>
    <t>117.63.c</t>
  </si>
  <si>
    <t>Amortization of Loss on Reacquired Debt</t>
  </si>
  <si>
    <t>117.64.c</t>
  </si>
  <si>
    <t>Less:  Amort of Premium on Debt</t>
  </si>
  <si>
    <t>Less:  Amort of Gain on Reacquired Debt</t>
  </si>
  <si>
    <t>Total Interest Expense</t>
  </si>
  <si>
    <t>Cost of Preferred Stock</t>
  </si>
  <si>
    <t>Preferred Stock Dividends</t>
  </si>
  <si>
    <t>118.29.c</t>
  </si>
  <si>
    <t xml:space="preserve">Long Term Debt </t>
  </si>
  <si>
    <t xml:space="preserve">Common Stock </t>
  </si>
  <si>
    <t xml:space="preserve">  Total </t>
  </si>
  <si>
    <t xml:space="preserve">  or is otherwise not eligible to be recovered under this Tariff.</t>
  </si>
  <si>
    <t>Transmission plant included in OATT Trans Rate</t>
  </si>
  <si>
    <t>Includes only transmission related or functionally booked as transmission land held for future use.</t>
  </si>
  <si>
    <t>TAXES OTHER THAN INCOME</t>
  </si>
  <si>
    <t>TOTAL OTHER TAXES</t>
  </si>
  <si>
    <t>INCOME TAXES</t>
  </si>
  <si>
    <t>TOTAL INCOME TAXES</t>
  </si>
  <si>
    <t>TOTAL DEPRECIATION AND AMORTIZATION</t>
  </si>
  <si>
    <t>GROSS PLANT IN SERVICE</t>
  </si>
  <si>
    <t>ACCUMULATED DEPRECIATION</t>
  </si>
  <si>
    <t>NET PLANT IN SERVICE</t>
  </si>
  <si>
    <t xml:space="preserve">Scheduling, </t>
  </si>
  <si>
    <t>Reactive</t>
  </si>
  <si>
    <t xml:space="preserve">Network &amp; </t>
  </si>
  <si>
    <t>System</t>
  </si>
  <si>
    <t xml:space="preserve">Supply &amp; </t>
  </si>
  <si>
    <t>Regulation</t>
  </si>
  <si>
    <t xml:space="preserve">Interco. </t>
  </si>
  <si>
    <t xml:space="preserve">Supplemental </t>
  </si>
  <si>
    <t>Network</t>
  </si>
  <si>
    <t xml:space="preserve">Control &amp; </t>
  </si>
  <si>
    <t>Voltage</t>
  </si>
  <si>
    <t>and</t>
  </si>
  <si>
    <t xml:space="preserve">Spinning </t>
  </si>
  <si>
    <t>Assess</t>
  </si>
  <si>
    <t>Dispatch</t>
  </si>
  <si>
    <t>Control</t>
  </si>
  <si>
    <t>Frequency</t>
  </si>
  <si>
    <t>Imbalance</t>
  </si>
  <si>
    <t>Reserve</t>
  </si>
  <si>
    <t>Pass</t>
  </si>
  <si>
    <t xml:space="preserve">Total of </t>
  </si>
  <si>
    <t>Schedules 7 &amp; 8</t>
  </si>
  <si>
    <t>Schedule 9</t>
  </si>
  <si>
    <t>Schedule 1</t>
  </si>
  <si>
    <t>Schedule 2</t>
  </si>
  <si>
    <t>Schedule 4</t>
  </si>
  <si>
    <t>Schedule 5</t>
  </si>
  <si>
    <t>Schedule 6</t>
  </si>
  <si>
    <t>Through</t>
  </si>
  <si>
    <t xml:space="preserve">Type </t>
  </si>
  <si>
    <t>Items</t>
  </si>
  <si>
    <t>Ancillary</t>
  </si>
  <si>
    <t>Land Rights</t>
  </si>
  <si>
    <t>Structures &amp; Improvements</t>
  </si>
  <si>
    <t>Towers &amp; Fixtures</t>
  </si>
  <si>
    <t>Poles &amp; Fixtures</t>
  </si>
  <si>
    <t>OH Conductors &amp; Devices</t>
  </si>
  <si>
    <t>UG Conduit</t>
  </si>
  <si>
    <t>UG Conductors &amp; Devices</t>
  </si>
  <si>
    <t>Roads &amp; Trails</t>
  </si>
  <si>
    <r>
      <t>N/A</t>
    </r>
    <r>
      <rPr>
        <vertAlign val="superscript"/>
        <sz val="10"/>
        <rFont val="Arial"/>
        <family val="2"/>
      </rPr>
      <t>4</t>
    </r>
  </si>
  <si>
    <t>Description of Revenue Types:</t>
  </si>
  <si>
    <t>Load associated with these revenues are included in the formula divisor.</t>
  </si>
  <si>
    <t>TIE Agmt</t>
  </si>
  <si>
    <t>Sales Load</t>
  </si>
  <si>
    <t>At Peak</t>
  </si>
  <si>
    <t xml:space="preserve">PSCO Total Generator Net Max. = </t>
  </si>
  <si>
    <t>Fort St. Vrain 5-6</t>
  </si>
  <si>
    <t>Rocky Mountain</t>
  </si>
  <si>
    <t>Reactive Supply and Voltage Control From Generation Source Services</t>
  </si>
  <si>
    <t>Regulation and Frequency Response Service</t>
  </si>
  <si>
    <t>Operating Reserve - Spinning Reserve Service</t>
  </si>
  <si>
    <t>Operating Reserve - Supplemental Reserve Service</t>
  </si>
  <si>
    <t xml:space="preserve">  "the percentage of federal income tax deductible for state income taxes".</t>
  </si>
  <si>
    <t xml:space="preserve">  PSCo has elected to utilize amortization of tax credits against taxable income, rather than book tax credits to Account No. 255 and reduce </t>
  </si>
  <si>
    <t>per kW week (Line 21 / 52)</t>
  </si>
  <si>
    <t>per kW day (Line 23 / 6)</t>
  </si>
  <si>
    <t>Summarized by Type:</t>
  </si>
  <si>
    <t>Estimate</t>
  </si>
  <si>
    <t>Point-to-Point</t>
  </si>
  <si>
    <t xml:space="preserve">  Facilities, or is booked to transmission (e.g. step-up transformers) that is included in the development of OATT ancillary service rates,</t>
  </si>
  <si>
    <t>Removes the dollars of plant booked to transmission plant that is excluded from the Tariff because it does not meet the Tariff's definition of Transmission</t>
  </si>
  <si>
    <t xml:space="preserve">  Prepayments (Account 165) Plant Related</t>
  </si>
  <si>
    <t xml:space="preserve">  Prepayments (Account 165) Labor Related</t>
  </si>
  <si>
    <t xml:space="preserve">  Prepayments (Account 165) Transmission Related</t>
  </si>
  <si>
    <t>Ending Balance (1)</t>
  </si>
  <si>
    <t>Table 34</t>
  </si>
  <si>
    <t>Prepayments- FERC Account 165</t>
  </si>
  <si>
    <t>Note 1:  Prepayments are the 13-month average of the most recent calendar year actuals.</t>
  </si>
  <si>
    <t>REQUIREMENTS  CALCULATION</t>
  </si>
  <si>
    <t>OPERATION &amp; MAINTENANCE EXPENSE</t>
  </si>
  <si>
    <t xml:space="preserve">     Transmission Subtotal</t>
  </si>
  <si>
    <t xml:space="preserve">     Balance of A &amp; G</t>
  </si>
  <si>
    <t xml:space="preserve">     A &amp; G Subtotal</t>
  </si>
  <si>
    <t>TOTAL O &amp; M EXPENSE</t>
  </si>
  <si>
    <t xml:space="preserve"> related to the recovery of abandoned incentive plant costs, any extraordinary property losses and any related depreciation and amortization expense amounts.</t>
  </si>
  <si>
    <t xml:space="preserve">REVENUE CREDITS </t>
  </si>
  <si>
    <t xml:space="preserve">     Add Back  Account 561.6</t>
  </si>
  <si>
    <t xml:space="preserve">     Add Back  Account 561.7</t>
  </si>
  <si>
    <t>Public Service Company of Colorado</t>
  </si>
  <si>
    <t>RETURN   (Rate Base * Rate of Return)</t>
  </si>
  <si>
    <t>SUPPORTING CALCULATIONS</t>
  </si>
  <si>
    <t>267.8.h</t>
  </si>
  <si>
    <t>WAGES &amp; SALARY ALLOCATOR (W/S)</t>
  </si>
  <si>
    <t>W/S=</t>
  </si>
  <si>
    <t xml:space="preserve">     ITC adjustment</t>
  </si>
  <si>
    <t>TOTAL WORKING CAPITAL</t>
  </si>
  <si>
    <t>TOTAL NET PLANT IN SERVICE</t>
  </si>
  <si>
    <t>TOTAL ACCUMULATED DEPRECIATION</t>
  </si>
  <si>
    <t>TOTAL GROSS PLANT</t>
  </si>
  <si>
    <t xml:space="preserve">  Prepayments (Account 165) Other Not Allocated</t>
  </si>
  <si>
    <t>W/S Allocator</t>
  </si>
  <si>
    <t>DEPRECIATION AND AMORTIZATION EXPENSE</t>
  </si>
  <si>
    <t xml:space="preserve"> </t>
  </si>
  <si>
    <t>Transmission</t>
  </si>
  <si>
    <t>Total</t>
  </si>
  <si>
    <t>TP</t>
  </si>
  <si>
    <t>Total Revenue Credits</t>
  </si>
  <si>
    <t>(1)</t>
  </si>
  <si>
    <t>(2)</t>
  </si>
  <si>
    <t>(3)</t>
  </si>
  <si>
    <t>Pg 234 Ln 2c + 3c</t>
  </si>
  <si>
    <t>Pg 320, Ln 12b</t>
  </si>
  <si>
    <t>(4)</t>
  </si>
  <si>
    <t>(5)</t>
  </si>
  <si>
    <t xml:space="preserve">  Production</t>
  </si>
  <si>
    <t>NA</t>
  </si>
  <si>
    <t xml:space="preserve">  Transmission</t>
  </si>
  <si>
    <t>DA</t>
  </si>
  <si>
    <t xml:space="preserve">  Distribution</t>
  </si>
  <si>
    <t xml:space="preserve">  General Plant   </t>
  </si>
  <si>
    <t>W/S</t>
  </si>
  <si>
    <t xml:space="preserve">  Intangible Plant</t>
  </si>
  <si>
    <t>NP=</t>
  </si>
  <si>
    <t>NP</t>
  </si>
  <si>
    <t xml:space="preserve">  Account No. 190 </t>
  </si>
  <si>
    <t xml:space="preserve">  General </t>
  </si>
  <si>
    <t xml:space="preserve">  Intangible</t>
  </si>
  <si>
    <t xml:space="preserve">  Labor Related</t>
  </si>
  <si>
    <t xml:space="preserve">  Plant Related</t>
  </si>
  <si>
    <t xml:space="preserve">     T=1 - {[(1 - SIT) * (1 - FIT)] / (1 - SIT * FIT * p)} =</t>
  </si>
  <si>
    <t xml:space="preserve">     CIT=(T/1-T) * (1-(WCLTD/R)) =</t>
  </si>
  <si>
    <t xml:space="preserve">Income Tax Calculation </t>
  </si>
  <si>
    <t>TP=</t>
  </si>
  <si>
    <t>$</t>
  </si>
  <si>
    <t xml:space="preserve">  Other</t>
  </si>
  <si>
    <t>Cost</t>
  </si>
  <si>
    <t>%</t>
  </si>
  <si>
    <t>Weighted</t>
  </si>
  <si>
    <t>A</t>
  </si>
  <si>
    <t>B</t>
  </si>
  <si>
    <t>C</t>
  </si>
  <si>
    <t>D</t>
  </si>
  <si>
    <t>E</t>
  </si>
  <si>
    <t>F</t>
  </si>
  <si>
    <t>G</t>
  </si>
  <si>
    <t>H</t>
  </si>
  <si>
    <t>I</t>
  </si>
  <si>
    <t>J</t>
  </si>
  <si>
    <t>K</t>
  </si>
  <si>
    <t>L</t>
  </si>
  <si>
    <t>N</t>
  </si>
  <si>
    <t>M</t>
  </si>
  <si>
    <t>The currently effective income tax rate,  where FIT is the Federal income tax rate; SIT is the State income tax rate, and p =</t>
  </si>
  <si>
    <t xml:space="preserve">         Inputs Required:</t>
  </si>
  <si>
    <t>FIT =</t>
  </si>
  <si>
    <t xml:space="preserve">  (State Income Tax Rate or Composite SIT)</t>
  </si>
  <si>
    <t>p =</t>
  </si>
  <si>
    <t xml:space="preserve">     Less Total Account 561</t>
  </si>
  <si>
    <t xml:space="preserve">  Materials &amp; Supplies - Transmission</t>
  </si>
  <si>
    <t xml:space="preserve">  Materials &amp; Supplies  - Other</t>
  </si>
  <si>
    <t>x monthly Load</t>
  </si>
  <si>
    <t>Col. (5) = (3) - (4)</t>
  </si>
  <si>
    <t>Actual     Rates</t>
  </si>
  <si>
    <t>Summary of Estimated Rates</t>
  </si>
  <si>
    <t>Estimated Schedule 1 ARR</t>
  </si>
  <si>
    <t>Actual Average 12-Mo. Demand</t>
  </si>
  <si>
    <t>Estimated Average 12-Mo. Demand</t>
  </si>
  <si>
    <t>B.  Schedule 1 Estimated Rate Calculations</t>
  </si>
  <si>
    <t>D.  Schedule 1 Actual Rate Calculations</t>
  </si>
  <si>
    <t>Less:  Schedule 1 Point to Point Estimated Revenues</t>
  </si>
  <si>
    <t>Actual Rates and True-up</t>
  </si>
  <si>
    <t>Line 9, Col. (5) divided by Col. (3)</t>
  </si>
  <si>
    <t>Amortized Investment Tax Credit (enter negative)</t>
  </si>
  <si>
    <t>WORKING CAPITAL</t>
  </si>
  <si>
    <t xml:space="preserve">  Regional Market</t>
  </si>
  <si>
    <t xml:space="preserve">  (percent of FIT deductible for state purposes)</t>
  </si>
  <si>
    <t>Line No.</t>
  </si>
  <si>
    <t>Revenue Requirement</t>
  </si>
  <si>
    <t>Reference</t>
  </si>
  <si>
    <t>Transmission Amount</t>
  </si>
  <si>
    <t xml:space="preserve">  Transmission Network Load</t>
  </si>
  <si>
    <t>Peak</t>
  </si>
  <si>
    <t>Divisor</t>
  </si>
  <si>
    <t>Reference/Notes</t>
  </si>
  <si>
    <t>Note:</t>
  </si>
  <si>
    <t>Total Load Dispatch and Scheduling (Account 561)</t>
  </si>
  <si>
    <t>Total 561 Costs for Projected Schedule 1 ARR</t>
  </si>
  <si>
    <t>kW</t>
  </si>
  <si>
    <t>Monthly Point to Point Rate in $/kW - Month</t>
  </si>
  <si>
    <t>Weekly Point to Point Rate in $/kW - Weekly</t>
  </si>
  <si>
    <t>Daily Point to Point Rate in $/kW - Day</t>
  </si>
  <si>
    <t>3. Smart Grid City (retail) is eliminated</t>
  </si>
  <si>
    <t>Common Intangible (4) (5)</t>
  </si>
  <si>
    <t>Common General (3)</t>
  </si>
  <si>
    <t>Transmission related Acquisition Adjustment</t>
  </si>
  <si>
    <t>Hourly Point to Point Rate in $/mW - Hourly</t>
  </si>
  <si>
    <t>mW</t>
  </si>
  <si>
    <t>Total 561 Costs for Actual Schedule 1 ARR</t>
  </si>
  <si>
    <t>Less:  Schedule 1 Point to Point Actual Revenues Billed</t>
  </si>
  <si>
    <t>Actual Schedule 1 ARR</t>
  </si>
  <si>
    <t>Construction Work in Progress (1)</t>
  </si>
  <si>
    <t>Work Order #</t>
  </si>
  <si>
    <t>CWIP Balance (2)</t>
  </si>
  <si>
    <t>Work Order Description</t>
  </si>
  <si>
    <t>Source:  Unless noted otherwise, all data from the Capital Asset Accounting Work Order tracking system.</t>
  </si>
  <si>
    <t>No CWIP cost data will be included except as directed by the Commission following a filing pursuant to section 205 of the FPA.</t>
  </si>
  <si>
    <t>FERC</t>
  </si>
  <si>
    <t>Monthly</t>
  </si>
  <si>
    <t>Quarterly</t>
  </si>
  <si>
    <t>Interest</t>
  </si>
  <si>
    <t>Months</t>
  </si>
  <si>
    <t>Interest Rates</t>
  </si>
  <si>
    <t>Rate</t>
  </si>
  <si>
    <t>February</t>
  </si>
  <si>
    <t>March</t>
  </si>
  <si>
    <t>April</t>
  </si>
  <si>
    <t>May</t>
  </si>
  <si>
    <t>June</t>
  </si>
  <si>
    <t>July</t>
  </si>
  <si>
    <t>August</t>
  </si>
  <si>
    <t>September</t>
  </si>
  <si>
    <t>October</t>
  </si>
  <si>
    <t>November</t>
  </si>
  <si>
    <t>December</t>
  </si>
  <si>
    <t>Average Monthly Interest Rate</t>
  </si>
  <si>
    <t>See link to website below.</t>
  </si>
  <si>
    <t>Description</t>
  </si>
  <si>
    <t>Amount</t>
  </si>
  <si>
    <t xml:space="preserve">  Common General</t>
  </si>
  <si>
    <t xml:space="preserve">  Common Intangible</t>
  </si>
  <si>
    <t>CE</t>
  </si>
  <si>
    <t>CE=</t>
  </si>
  <si>
    <r>
      <t xml:space="preserve">Note 2.  Ancillary Service Schedules 2, 3, 5, 6 will be based on actual data from the </t>
    </r>
    <r>
      <rPr>
        <sz val="10"/>
        <rFont val="Arial"/>
        <family val="2"/>
      </rPr>
      <t>latest FERC Form No. 1.</t>
    </r>
    <r>
      <rPr>
        <sz val="10"/>
        <rFont val="Arial"/>
        <family val="2"/>
      </rPr>
      <t xml:space="preserve">  These schedules will be updated annually with the Annual Update but will not be subject to the True-up provision.  Ancillary Service Schedule 1 will be updated annually, will be based on forecast data and will be subject to the True-up provision.  </t>
    </r>
  </si>
  <si>
    <t>Note:  Only transmission related amounts associated with the Calpine Acquisition are included.  Future Acquisition Adjustment amounts will not be included in the formula except as directed by the Commission pursuant to a Section 205 filing.  The Acquisition Adjustment related to the Production function will be amortized over 40 years, Transmission Serving Production 55 years, and Transmission Serving Transmission 55 years.</t>
  </si>
  <si>
    <r>
      <t xml:space="preserve">4.  </t>
    </r>
    <r>
      <rPr>
        <sz val="10"/>
        <rFont val="Arial"/>
        <family val="2"/>
      </rPr>
      <t>All industry assocation dues recorded in FERC Account 930.2 will be excluded.</t>
    </r>
  </si>
  <si>
    <r>
      <t>Source:  Employee Benefit Accounting PBOP analysis and actuaria</t>
    </r>
    <r>
      <rPr>
        <sz val="10"/>
        <rFont val="Arial"/>
        <family val="2"/>
      </rPr>
      <t>l study filed annually with the Commission.</t>
    </r>
  </si>
  <si>
    <t>(1) FERC Form No. 1 Pages 402-403, Line 17</t>
  </si>
  <si>
    <t>(2) FERC Form No. 1 Pages 402-403, Line 5</t>
  </si>
  <si>
    <t>Common Plant to Electric (Common Plant Study)</t>
  </si>
  <si>
    <t>kW (1)</t>
  </si>
  <si>
    <t>Regulatory Asset Amortization</t>
  </si>
  <si>
    <t>Prior Year's True-up Formula Template</t>
  </si>
  <si>
    <t>Date</t>
  </si>
  <si>
    <t>Beginning Balance</t>
  </si>
  <si>
    <t>Ending Balance</t>
  </si>
  <si>
    <t>Regulatory Liabilities- FERC Account 254</t>
  </si>
  <si>
    <t xml:space="preserve">       where WCLTD=(line 153) and R= (line 156)</t>
  </si>
  <si>
    <t xml:space="preserve">      1 / (1 - T)  = (from ln 110)</t>
  </si>
  <si>
    <t>Total Accumulated Depreciation &amp; Amortization with Adjustments</t>
  </si>
  <si>
    <t>421.1 Gain on disposition of property</t>
  </si>
  <si>
    <t xml:space="preserve">Common to Electric Transmission Allocator </t>
  </si>
  <si>
    <t>Rate Base Data Inputs- Estimated</t>
  </si>
  <si>
    <t>Gross Plant</t>
  </si>
  <si>
    <t>Intangible Plant</t>
  </si>
  <si>
    <t>FERC 302</t>
  </si>
  <si>
    <t>Steam Production</t>
  </si>
  <si>
    <t>Hydraulic Production</t>
  </si>
  <si>
    <t>Other Production</t>
  </si>
  <si>
    <t>Transmission Plant</t>
  </si>
  <si>
    <t>Distribution Plant</t>
  </si>
  <si>
    <t>(Pg.112 Ln 3c)</t>
  </si>
  <si>
    <t>General Plant</t>
  </si>
  <si>
    <t>Common Intangible</t>
  </si>
  <si>
    <t>Common General</t>
  </si>
  <si>
    <t>January</t>
  </si>
  <si>
    <t>13 Month Avg</t>
  </si>
  <si>
    <t>Less ARO (13 Month Avg) (1)</t>
  </si>
  <si>
    <t>Adj Balance</t>
  </si>
  <si>
    <t>Accumulated Depreciation and Amortization</t>
  </si>
  <si>
    <t>GSU's (Schedule 2, Line 7)</t>
  </si>
  <si>
    <t xml:space="preserve">Gross  Plant </t>
  </si>
  <si>
    <t>Smart Grid City</t>
  </si>
  <si>
    <t>CRS</t>
  </si>
  <si>
    <t>OMS</t>
  </si>
  <si>
    <t>Accumulated Depreciation</t>
  </si>
  <si>
    <t>Depreciation Expense</t>
  </si>
  <si>
    <t>Dec 12 Month</t>
  </si>
  <si>
    <t>ADIT</t>
  </si>
  <si>
    <t>Generator Step ups</t>
  </si>
  <si>
    <t>Accum Depreciation &amp; Amort</t>
  </si>
  <si>
    <t>Transmission GSU</t>
  </si>
  <si>
    <t>Distribution GSU</t>
  </si>
  <si>
    <t>General GSU</t>
  </si>
  <si>
    <t>Note 1. ARO is not included in the budgeted amounts</t>
  </si>
  <si>
    <t>Balance at</t>
  </si>
  <si>
    <t>Adjusted</t>
  </si>
  <si>
    <t>Adjustments</t>
  </si>
  <si>
    <t>Functional Class</t>
  </si>
  <si>
    <t>Plant in Service:</t>
  </si>
  <si>
    <t>Total Plant In Service with Adjustments</t>
  </si>
  <si>
    <t>Electric Intangible</t>
  </si>
  <si>
    <t>Adjusted Balance</t>
  </si>
  <si>
    <t>Per Books</t>
  </si>
  <si>
    <t>Plant Related:</t>
  </si>
  <si>
    <t>Labor Related:</t>
  </si>
  <si>
    <t>Transmission Related:</t>
  </si>
  <si>
    <t>Accumulated Deferred Income Taxes (Credits)</t>
  </si>
  <si>
    <t>Estimated</t>
  </si>
  <si>
    <t>Account Number</t>
  </si>
  <si>
    <t>Average Balance</t>
  </si>
  <si>
    <t>Adjustments (1)</t>
  </si>
  <si>
    <t>Pollution Control Facilities - Production</t>
  </si>
  <si>
    <t>Plant Related- Direct Assigned to Production</t>
  </si>
  <si>
    <t>Electric Distribution</t>
  </si>
  <si>
    <t>Electric Transmission</t>
  </si>
  <si>
    <t>Transmission Service Studies (1)</t>
  </si>
  <si>
    <t>Overhead Lines (2)</t>
  </si>
  <si>
    <t xml:space="preserve">Service </t>
  </si>
  <si>
    <t>Type</t>
  </si>
  <si>
    <t xml:space="preserve">Note 3. The Holy Cross system integration surplus/deficit payments are difficult to project, therefore, PSCo makes no effort to budget these costs or include them in the ATRR Est.  However, these payments will be included on actuals and in the ATRR Act. calculation.  </t>
  </si>
  <si>
    <t>Hydro Production</t>
  </si>
  <si>
    <t>Pre-Funded (Retail)</t>
  </si>
  <si>
    <t>FAS 109</t>
  </si>
  <si>
    <t>Sub-total FAS 109</t>
  </si>
  <si>
    <t>Electric Production</t>
  </si>
  <si>
    <t>Regulatory Asset- Calpine Acquisition Costs</t>
  </si>
  <si>
    <t>Electric General</t>
  </si>
  <si>
    <t>Labor Related</t>
  </si>
  <si>
    <t>Non-Qualified Pension Plan</t>
  </si>
  <si>
    <t>Sub-total labor Related</t>
  </si>
  <si>
    <t>Related to All Plant</t>
  </si>
  <si>
    <t>Max</t>
  </si>
  <si>
    <t>Time Zone</t>
  </si>
  <si>
    <t>0100</t>
  </si>
  <si>
    <t>0200</t>
  </si>
  <si>
    <t>0300</t>
  </si>
  <si>
    <t>0400</t>
  </si>
  <si>
    <t>0500</t>
  </si>
  <si>
    <t>0600</t>
  </si>
  <si>
    <t>0700</t>
  </si>
  <si>
    <t>0800</t>
  </si>
  <si>
    <t>0900</t>
  </si>
  <si>
    <t>1000</t>
  </si>
  <si>
    <t>1100</t>
  </si>
  <si>
    <t>1200</t>
  </si>
  <si>
    <t>1300</t>
  </si>
  <si>
    <t>1400</t>
  </si>
  <si>
    <t>1500</t>
  </si>
  <si>
    <t>1600</t>
  </si>
  <si>
    <t>1700</t>
  </si>
  <si>
    <r>
      <t>The calculation of the</t>
    </r>
    <r>
      <rPr>
        <b/>
        <sz val="8.5"/>
        <rFont val="Arial"/>
        <family val="2"/>
      </rPr>
      <t xml:space="preserve"> TP</t>
    </r>
    <r>
      <rPr>
        <sz val="10"/>
        <rFont val="Arial"/>
        <family val="2"/>
      </rPr>
      <t xml:space="preserve"> Allocator is found on Line 137.</t>
    </r>
  </si>
  <si>
    <t>Acct 223 Advances from Assoc. Companies</t>
  </si>
  <si>
    <t>Less  Acct 222 Reacquired Debt</t>
  </si>
  <si>
    <t>112.20.c,d</t>
  </si>
  <si>
    <t>112.19 c,d enter negative</t>
  </si>
  <si>
    <t>Acct 427 Interest on Long Term Debt</t>
  </si>
  <si>
    <t>Acct 428 Amortization of Debt Discount and Expense</t>
  </si>
  <si>
    <t>Acct 428.1 Amortization of Loss on Reacquired Debt</t>
  </si>
  <si>
    <t>Acct 430 Interest on Debt to Assoc. Companies (LTD portion only) (2)</t>
  </si>
  <si>
    <t>Less:  Acct 429 Amort of Premium on Debt</t>
  </si>
  <si>
    <t>Less:  Acct 429.1 Amort of Gain on Reacquired Debt</t>
  </si>
  <si>
    <t>117.65.c enter negative</t>
  </si>
  <si>
    <t>117.66.c enter negative</t>
  </si>
  <si>
    <t>Prepayments (FERC Account 165) (1)</t>
  </si>
  <si>
    <t>Additional Prepayments included in the FERC Form No. 1</t>
  </si>
  <si>
    <t>1800</t>
  </si>
  <si>
    <t>1900</t>
  </si>
  <si>
    <t>2000</t>
  </si>
  <si>
    <t>2100</t>
  </si>
  <si>
    <t>2200</t>
  </si>
  <si>
    <t>2300</t>
  </si>
  <si>
    <t>2400</t>
  </si>
  <si>
    <t>Hourly Demand Data from Form 714 page 9a</t>
  </si>
  <si>
    <t>12 CP (Average of Column 27)</t>
  </si>
  <si>
    <t>Reg Demand (Average of Columns 28-51 &amp; Lines 1- 365)</t>
  </si>
  <si>
    <t>Table 33</t>
  </si>
  <si>
    <t>State Tax Deduction Cash vs Accrual</t>
  </si>
  <si>
    <t>Book Unamortized Cost of Reacquired Debt</t>
  </si>
  <si>
    <t>Sub-total Production Related</t>
  </si>
  <si>
    <t>Total Related to All Plant</t>
  </si>
  <si>
    <t>Retail Related</t>
  </si>
  <si>
    <t>Regulatory Asset - ICT</t>
  </si>
  <si>
    <t>Demand Side Management</t>
  </si>
  <si>
    <t>Sub-total Retail Related</t>
  </si>
  <si>
    <t>Other Non-Production Related</t>
  </si>
  <si>
    <t>Regulatory Asset - MPB Tree Clearing</t>
  </si>
  <si>
    <t>Mark to Market Adjust - LT</t>
  </si>
  <si>
    <t>Sub-total Other Related</t>
  </si>
  <si>
    <t>Actual</t>
  </si>
  <si>
    <t>Accumulated Deferred Income Taxes (Debits)</t>
  </si>
  <si>
    <t>Account No.</t>
  </si>
  <si>
    <t>Production Related - Demand</t>
  </si>
  <si>
    <t>Total Production - Demand Related</t>
  </si>
  <si>
    <t>Production Related - Energy</t>
  </si>
  <si>
    <t>Fuel Tax Credit - Inc Addback</t>
  </si>
  <si>
    <t>Trapper Mine Reclamation</t>
  </si>
  <si>
    <t>Windpower Credit - FED DIT Only</t>
  </si>
  <si>
    <t>Total Production - Energy Related</t>
  </si>
  <si>
    <t>(Note C)</t>
  </si>
  <si>
    <t>Gross Plant, Accumulated Depreciation Reserves will be the average of thirteen monthly balances.</t>
  </si>
  <si>
    <t>Post-Employment Benefits Other than Pensions (FAS 106) shall remain as a stated, fixed amount and shall not be changed except as directed by the Commission</t>
  </si>
  <si>
    <t xml:space="preserve">  following a filing seeking such change pursuant to section 205 or 206 of the FPA.  The adjustment is shown on WP_C-3 PBOP.</t>
  </si>
  <si>
    <t>Direct Assigned to Transmission</t>
  </si>
  <si>
    <t xml:space="preserve">  General Advertising Expenses (FERC Account 930.1) will be excluded.</t>
  </si>
  <si>
    <t xml:space="preserve">     Plus:  Pre-Funded AFUDC Amortization (Note E)</t>
  </si>
  <si>
    <t xml:space="preserve">     Plus: Recovery of Abandoned Incentive Plant (Note E)</t>
  </si>
  <si>
    <t xml:space="preserve">     Plus: Recovery of Extraordinary Property Loss (Note E)</t>
  </si>
  <si>
    <t xml:space="preserve">  Taxes related to income are excluded.  Franchise taxes are not included in transmission revenue requirement in the Rate Formula Template, </t>
  </si>
  <si>
    <t xml:space="preserve">  rate base, must reduce its income tax expense by the amount of the Amortized Investment Tax Credit (Form 1, 266.8.f) less adjustments</t>
  </si>
  <si>
    <t xml:space="preserve">  multiplied by (1/1-T) (page 3, line 30).</t>
  </si>
  <si>
    <t>(Note M)</t>
  </si>
  <si>
    <t>Divisor kW</t>
  </si>
  <si>
    <t>Fixed Value</t>
  </si>
  <si>
    <t>Schedule 3 Load Factor</t>
  </si>
  <si>
    <t>Total (1) (a)+(b)+(c)</t>
  </si>
  <si>
    <t>ATRR Act &amp; Est. Line 130</t>
  </si>
  <si>
    <t>Estimated Rates</t>
  </si>
  <si>
    <t>Difference (True-up) (Note 1)</t>
  </si>
  <si>
    <t>Ancillary Service Rates (Note 2)</t>
  </si>
  <si>
    <t>Note 2.  Ancillary Service Schedule 1 is the only Ancillary Services rate that is subject to true up.</t>
  </si>
  <si>
    <t>Total (2) (e)+(f)+(g)</t>
  </si>
  <si>
    <t>Production (a)-(e)</t>
  </si>
  <si>
    <t>Transmission Serving Production (b)-(f)</t>
  </si>
  <si>
    <t>Transmission Serving Transmission (c)-(g)</t>
  </si>
  <si>
    <t>Total (i)+(j)+(k)</t>
  </si>
  <si>
    <t>Col. (o)</t>
  </si>
  <si>
    <t>Total (3) (m)+(n)+(o)</t>
  </si>
  <si>
    <t>Col. (p)</t>
  </si>
  <si>
    <t>(d) * Ln 22</t>
  </si>
  <si>
    <t>(b) + (e)</t>
  </si>
  <si>
    <t>302/303</t>
  </si>
  <si>
    <t>Licenses</t>
  </si>
  <si>
    <t>Steam Production Land Rights</t>
  </si>
  <si>
    <t>Steam Production Water Rights</t>
  </si>
  <si>
    <t>Cherokee 4</t>
  </si>
  <si>
    <t>Cherokee C</t>
  </si>
  <si>
    <t>Comanche 1</t>
  </si>
  <si>
    <t>Comanche 2</t>
  </si>
  <si>
    <t>Comanche C</t>
  </si>
  <si>
    <t>Craig 1</t>
  </si>
  <si>
    <t>Craig 2</t>
  </si>
  <si>
    <t>Craig C</t>
  </si>
  <si>
    <t>Hayden 1</t>
  </si>
  <si>
    <t>Hayden 2</t>
  </si>
  <si>
    <t>Hayden C</t>
  </si>
  <si>
    <t>Pawnee 1</t>
  </si>
  <si>
    <t>Pawnee C</t>
  </si>
  <si>
    <t>Valmont C</t>
  </si>
  <si>
    <t>Boiler Plant Equipment</t>
  </si>
  <si>
    <t>Cherokee 4 AQIR</t>
  </si>
  <si>
    <t>Cherokee C AQIR</t>
  </si>
  <si>
    <t>Valmont 5 AQIR</t>
  </si>
  <si>
    <t>Coal Cars</t>
  </si>
  <si>
    <t>Turbogenerator Units</t>
  </si>
  <si>
    <t>Accessory Electric Equipment</t>
  </si>
  <si>
    <t>Boiler Controls</t>
  </si>
  <si>
    <t>Miscellaneous Power Plant Equipment</t>
  </si>
  <si>
    <t>Asset Retirement Costs for Steam Production Plant</t>
  </si>
  <si>
    <t>Hydro Production Land Rights</t>
  </si>
  <si>
    <t>Ames</t>
  </si>
  <si>
    <t>Georgetown</t>
  </si>
  <si>
    <t>Salida</t>
  </si>
  <si>
    <t>Shoshone</t>
  </si>
  <si>
    <t>Tacoma</t>
  </si>
  <si>
    <t>Reservoirs, Dams and Waterways</t>
  </si>
  <si>
    <t>Water Wheels, Turbines and Generators</t>
  </si>
  <si>
    <t>Recreation Facility</t>
  </si>
  <si>
    <t>Road, RR, Bridge</t>
  </si>
  <si>
    <t>Other Production Land Rights</t>
  </si>
  <si>
    <t>Blue Spruce 1</t>
  </si>
  <si>
    <t>Blue Spruce 2</t>
  </si>
  <si>
    <t>Blue Spruce C</t>
  </si>
  <si>
    <t>Fruita CT</t>
  </si>
  <si>
    <t>FSV GT 1</t>
  </si>
  <si>
    <t>FSV GT 2</t>
  </si>
  <si>
    <t>FSV GT 3</t>
  </si>
  <si>
    <t>FSV GT 4</t>
  </si>
  <si>
    <t>FSV GT 5</t>
  </si>
  <si>
    <t>FSV GT 6</t>
  </si>
  <si>
    <t>FSV GT C</t>
  </si>
  <si>
    <t>Ft Lupton CT</t>
  </si>
  <si>
    <t>Misc PP&amp;E</t>
  </si>
  <si>
    <t>Rocky Mtn 1</t>
  </si>
  <si>
    <t>Rocky Mtn 2</t>
  </si>
  <si>
    <t>Rocky Mtn 3</t>
  </si>
  <si>
    <t>Rocky Mtn C</t>
  </si>
  <si>
    <t>Valmont CT</t>
  </si>
  <si>
    <t>Fuel Holders, Products and Accessories</t>
  </si>
  <si>
    <t>Prime Movers</t>
  </si>
  <si>
    <t>Generators</t>
  </si>
  <si>
    <t>Ft Lupton</t>
  </si>
  <si>
    <t>Asset Retirement Costs for Other Production Plant</t>
  </si>
  <si>
    <t>Land</t>
  </si>
  <si>
    <t>Structures &amp; Improvements-Production</t>
  </si>
  <si>
    <t>Station Equipment-Production</t>
  </si>
  <si>
    <t>Poles, Towers &amp; Fixtures</t>
  </si>
  <si>
    <t>Line Transformers</t>
  </si>
  <si>
    <t>Services</t>
  </si>
  <si>
    <t>Services-Overhead</t>
  </si>
  <si>
    <t>Services-Underground</t>
  </si>
  <si>
    <t>Meters</t>
  </si>
  <si>
    <t>AMR Equipment</t>
  </si>
  <si>
    <t>Installation on Customer Premises</t>
  </si>
  <si>
    <t>Street Lighting &amp; Signal Systems</t>
  </si>
  <si>
    <t>Includes income related to transmission facilities, such as pole attachments, rentals and special use for the Transmission facilities included herein.</t>
  </si>
  <si>
    <t>(Note N)</t>
  </si>
  <si>
    <t>RETURN</t>
  </si>
  <si>
    <t xml:space="preserve">Return on Equity will be set at 10.25%.  Thereafter, any change will require a filing with the Commission pursuant to Section 205 or 206 filing.  </t>
  </si>
  <si>
    <t xml:space="preserve">  If and when the Company issues preferred stock, footnote will indicate the authorizing regulatory agency, the docket/case number, and the date of the authorizing order.</t>
  </si>
  <si>
    <t xml:space="preserve">  Revenue from coincident peak loads included in the DIVISOR are also not included as revenue credits unless this revenue is offset by a corresponding expense</t>
  </si>
  <si>
    <t>Prepaid Water- Aurora</t>
  </si>
  <si>
    <t>Rent Expense- Brokerage Fees</t>
  </si>
  <si>
    <t>Regulatory Reserve- Enviromental</t>
  </si>
  <si>
    <t>Reg Asset- Leasehold Improvements</t>
  </si>
  <si>
    <t>Deferred Fuel</t>
  </si>
  <si>
    <t>Rate Case/ Restructuring Expense</t>
  </si>
  <si>
    <t>Regulatory Asset- Property Tax</t>
  </si>
  <si>
    <t>Reg Asset- Transmission Cost Adj</t>
  </si>
  <si>
    <t>REG A/L - TRANSMISSION ATTACH O</t>
  </si>
  <si>
    <t>Common Equity (1)</t>
  </si>
  <si>
    <t>Prior Period Correction True up Adjustment</t>
  </si>
  <si>
    <t>Blue Spruce</t>
  </si>
  <si>
    <t>Franchises and Consents</t>
  </si>
  <si>
    <t>Footnote 1. Amount in column (a) includes the Lamar DC tie</t>
  </si>
  <si>
    <t>Less:  Scheduling, System Control &amp; Dispatch Services (Account 561.4)</t>
  </si>
  <si>
    <t>General Land Rights</t>
  </si>
  <si>
    <t>Structures and Improvements</t>
  </si>
  <si>
    <t>Office, Furniture and Equipment</t>
  </si>
  <si>
    <t>Computers</t>
  </si>
  <si>
    <t>Stores Equipment</t>
  </si>
  <si>
    <t>Tools Shop Equipment</t>
  </si>
  <si>
    <t>Laboratory Equipment</t>
  </si>
  <si>
    <t>Power Operated Equipment</t>
  </si>
  <si>
    <t>Communications Equipment</t>
  </si>
  <si>
    <t>Miscellaneous Equipment</t>
  </si>
  <si>
    <t>Franchises and Consents – Non-Unitized</t>
  </si>
  <si>
    <t>Note 3</t>
  </si>
  <si>
    <t>GP=</t>
  </si>
  <si>
    <t>Note P</t>
  </si>
  <si>
    <r>
      <t xml:space="preserve">The calculation of the </t>
    </r>
    <r>
      <rPr>
        <b/>
        <sz val="8.5"/>
        <rFont val="Arial"/>
        <family val="2"/>
      </rPr>
      <t>CE</t>
    </r>
    <r>
      <rPr>
        <sz val="10"/>
        <rFont val="Arial"/>
        <family val="2"/>
      </rPr>
      <t xml:space="preserve"> Allocator is found on Line 151.</t>
    </r>
  </si>
  <si>
    <t>P</t>
  </si>
  <si>
    <t>Note 3. Fixed value that cannot change without a Section 205 or 206 filing.</t>
  </si>
  <si>
    <t>Note 2. Amount will include a 3 year amortization of the total amount deferred related to Mountain Pine Beetle as shown on FERC Form No. 1 page 321, line 108 footnote page.  $5,926,097 will be amortized over 3 years beginning January 1, 2013.</t>
  </si>
  <si>
    <t>Footnote 1:  Rate Case Expenses will be amortized over 3 years beginning November 17, 2012.</t>
  </si>
  <si>
    <t>FF1, pg 351, Ln 46</t>
  </si>
  <si>
    <t>Table 30</t>
  </si>
  <si>
    <t>Note 2.  Interest on Debt to Associated Companies (FERC 430) will be populated with interest related to Long-Term Debt only.</t>
  </si>
  <si>
    <t>Ancillary services includes regulation &amp; frequency, control &amp; dispatch, voltage control, reactive, spinning reserve, and scheduling.</t>
  </si>
  <si>
    <t>Interest on Prior Period Correction True Up Adjustment</t>
  </si>
  <si>
    <t>Explanation of Prior Period Correction:</t>
  </si>
  <si>
    <t>Rate Year Prior Period Correction Applicable to (input year)</t>
  </si>
  <si>
    <t>Eliminate Generator Step-up facilities</t>
  </si>
  <si>
    <t>Year Prior Period Correction Settled/Agreed (input)</t>
  </si>
  <si>
    <t>Revenue Requirement for Prior Period Correction True-up Year without Prior Period Correction (input)</t>
  </si>
  <si>
    <t>Revised Revenue Requirement for True-up Year with Prior Period Correction (input)</t>
  </si>
  <si>
    <t>Other Related: Non-Transmission</t>
  </si>
  <si>
    <t>Divisor for Prior Period Correction True-up Year without Prior Period Correction (input)</t>
  </si>
  <si>
    <t>Divisor for True-up Year with Prior Period Correction (input)</t>
  </si>
  <si>
    <t>Number</t>
  </si>
  <si>
    <t>of Days</t>
  </si>
  <si>
    <t>Month/Year</t>
  </si>
  <si>
    <t>in Month</t>
  </si>
  <si>
    <t>NOL Carryforward- Distribution</t>
  </si>
  <si>
    <t>NOL Carryforward- Transmission</t>
  </si>
  <si>
    <t>NOL Carryforward- Production</t>
  </si>
  <si>
    <t>NOL Carryforward- Common (Allocated to Electric)</t>
  </si>
  <si>
    <t>Environmental Remediation</t>
  </si>
  <si>
    <t>Inventory Reserve</t>
  </si>
  <si>
    <t>Enterprise Zone Credit - State DIT Only</t>
  </si>
  <si>
    <t>Employee Incentive Plans</t>
  </si>
  <si>
    <t>Ancillary Service Delivery</t>
  </si>
  <si>
    <t>Severance Accrual</t>
  </si>
  <si>
    <t>Vacation Accrual</t>
  </si>
  <si>
    <t>Performance Share Plan</t>
  </si>
  <si>
    <t>Post Employment Benefits - FAS 106</t>
  </si>
  <si>
    <t>Post Employment Benefits - FAS 112</t>
  </si>
  <si>
    <t>Deferred Rent</t>
  </si>
  <si>
    <t>Total Labor Related</t>
  </si>
  <si>
    <t>Bad Debts</t>
  </si>
  <si>
    <t>Rate Refund</t>
  </si>
  <si>
    <t>REC Margin Sharing</t>
  </si>
  <si>
    <t>Percent of Production Plant for Dual Use</t>
  </si>
  <si>
    <t>Acquisition Adjustment Amortization (Note F)</t>
  </si>
  <si>
    <t>Dual use of Production Accounts 314 &amp; 344</t>
  </si>
  <si>
    <t>Revenue Requirement for Real Power losses related to reactive power equipment</t>
  </si>
  <si>
    <t>Real Power Losses</t>
  </si>
  <si>
    <t>(A-B-C)/D =</t>
  </si>
  <si>
    <t>D. Total Production Plant Investment</t>
  </si>
  <si>
    <t>Pg 205, -Ln 15g</t>
  </si>
  <si>
    <t>Less: Production ARO</t>
  </si>
  <si>
    <t>Electric Plant in Service (Less ARO)</t>
  </si>
  <si>
    <t>Less ARO</t>
  </si>
  <si>
    <t>Pg 207, Ln 100g</t>
  </si>
  <si>
    <t>Plus Total Acquisition Adjustment</t>
  </si>
  <si>
    <t>B. A&amp;G Wages Expense</t>
  </si>
  <si>
    <t>C. Total Wages Expense</t>
  </si>
  <si>
    <t>D. Total A&amp;G related O&amp;M</t>
  </si>
  <si>
    <t>(A/(C-B))*D/E</t>
  </si>
  <si>
    <t>F.  % of Prod Plant</t>
  </si>
  <si>
    <t>Pg 205 and 207, Lns5G + 96 G</t>
  </si>
  <si>
    <t>Total D</t>
  </si>
  <si>
    <t>Production Wages Expense</t>
  </si>
  <si>
    <t>Total Wage Expense Less A&amp;G Wage expenses</t>
  </si>
  <si>
    <t>Production W/S Allocator</t>
  </si>
  <si>
    <t>General &amp; Intangible plant allocated to Production</t>
  </si>
  <si>
    <t>General &amp; Intangible Plant FCR</t>
  </si>
  <si>
    <t>(7) General &amp; Intangible Plant</t>
  </si>
  <si>
    <t>General &amp; Intangible Plant Revenue Requirement</t>
  </si>
  <si>
    <t>Revenue Requirement FCR</t>
  </si>
  <si>
    <t>A.   Common Equity Calculation</t>
  </si>
  <si>
    <t>B.   Rate of Return Calculation</t>
  </si>
  <si>
    <t>C.   Cost of Debt</t>
  </si>
  <si>
    <t>D.   Cost of Preferred Stock</t>
  </si>
  <si>
    <t>Solar Rewards Program</t>
  </si>
  <si>
    <t>Line 36, Col (5) divided by Col (3)</t>
  </si>
  <si>
    <t>Unbilled Revenue</t>
  </si>
  <si>
    <t>Total Retail Related</t>
  </si>
  <si>
    <t>Total Other Related</t>
  </si>
  <si>
    <t>Plant Related- Direct Assigned to Transmission</t>
  </si>
  <si>
    <t>Plant Related- Allocated to Transmission</t>
  </si>
  <si>
    <t>Total Plant Related Allocated to Transmission</t>
  </si>
  <si>
    <t>Pension Expense (3)</t>
  </si>
  <si>
    <t>Total Acct. 281 (Form No. 1 pg. 272-273, Line 17, Col. b &amp; k)</t>
  </si>
  <si>
    <t>Total Acct. 282 (Form No. 1, pg. 274-275, ln 2 + Ln 6, col b &amp; k)</t>
  </si>
  <si>
    <t>Total Acct. 283 (Form No. 1, pg. 276-277, line 9, col b &amp; k)</t>
  </si>
  <si>
    <t>Total Account 190 (Form No. 1, page 234, line 8, cols b &amp; c)</t>
  </si>
  <si>
    <t>Form No.1</t>
  </si>
  <si>
    <t>Line 9, Col (5) divided by Col (3)</t>
  </si>
  <si>
    <t>O</t>
  </si>
  <si>
    <t>Allocator (Note O)</t>
  </si>
  <si>
    <t xml:space="preserve">6.  Should the FERC and Colorado depreciation rates be different, the Company will keep separate books for the two jurisdictions </t>
  </si>
  <si>
    <t>Accumulated Depreciation &amp; Amortization: (6)</t>
  </si>
  <si>
    <t>Depreciation and Amortization Expense: (6)</t>
  </si>
  <si>
    <t xml:space="preserve">4.  Should the FERC and Colorado depreciation rates be different, the Company will keep separate books for the two jurisdictions </t>
  </si>
  <si>
    <t>Account 281 - Accelerated amortization property (4)</t>
  </si>
  <si>
    <t>Account 283 - Other (4)</t>
  </si>
  <si>
    <t>Account 282 - Other Property (4)</t>
  </si>
  <si>
    <t xml:space="preserve">2.  Should the FERC and Colorado depreciation rates be different, the Company will keep separate books for the two jurisdictions </t>
  </si>
  <si>
    <t>Account 190- Accumulated Deferred Income Taxes (2)</t>
  </si>
  <si>
    <t>Industry Association Dues</t>
  </si>
  <si>
    <t>FF1, pg. 335, Line 1</t>
  </si>
  <si>
    <t>Service Company Allocation of Industry Associateion Dues</t>
  </si>
  <si>
    <t>Licenses are amortized over the License term.</t>
  </si>
  <si>
    <r>
      <t>N/A</t>
    </r>
    <r>
      <rPr>
        <vertAlign val="superscript"/>
        <sz val="10"/>
        <rFont val="Arial"/>
        <family val="2"/>
      </rPr>
      <t>5</t>
    </r>
  </si>
  <si>
    <r>
      <t>N/A</t>
    </r>
    <r>
      <rPr>
        <vertAlign val="superscript"/>
        <sz val="10"/>
        <rFont val="Arial"/>
        <family val="2"/>
      </rPr>
      <t>6</t>
    </r>
  </si>
  <si>
    <r>
      <t>N/A</t>
    </r>
    <r>
      <rPr>
        <vertAlign val="superscript"/>
        <sz val="10"/>
        <rFont val="Arial"/>
        <family val="2"/>
      </rPr>
      <t>7</t>
    </r>
  </si>
  <si>
    <t xml:space="preserve">Pg 207,Ln 15, Ln 34 Ln 44, Ln 57, Ln 74, Ln 83, Ln 98  </t>
  </si>
  <si>
    <t>col. ( a )</t>
  </si>
  <si>
    <t>col. ( b )</t>
  </si>
  <si>
    <t>col. ( d )</t>
  </si>
  <si>
    <t>col. ( e )</t>
  </si>
  <si>
    <t>col. ( f )</t>
  </si>
  <si>
    <t>col. ( g )</t>
  </si>
  <si>
    <t>col. ( h )</t>
  </si>
  <si>
    <t>col. ( i )</t>
  </si>
  <si>
    <t>(a) / Ln 19</t>
  </si>
  <si>
    <t>col. ( c )</t>
  </si>
  <si>
    <t>3.  ADIT associated with Pension expense has been eliminated because the prepaid pension asset is not included in rate base.</t>
  </si>
  <si>
    <t>Actuals</t>
  </si>
  <si>
    <t>Company Records-FF1 pg. 266</t>
  </si>
  <si>
    <t>Litigation Reserve</t>
  </si>
  <si>
    <t>R &amp; E Credit - FED DIT Only</t>
  </si>
  <si>
    <t>Acquisition Adjustment</t>
  </si>
  <si>
    <t>FERC 114- Electric Plant Acquisition Adjustment</t>
  </si>
  <si>
    <t>FERC 115- Accumulated Provision for Amortization of Electric Plant Acquisition Adjustment</t>
  </si>
  <si>
    <t>Materials and Supplies - FERC Account 154</t>
  </si>
  <si>
    <t>Month</t>
  </si>
  <si>
    <t>Year</t>
  </si>
  <si>
    <t>Col (b)</t>
  </si>
  <si>
    <t xml:space="preserve">   Production Plant (Estimated)</t>
  </si>
  <si>
    <t xml:space="preserve">   Transmission Plant (Estimated)</t>
  </si>
  <si>
    <t xml:space="preserve">   Assigned to Construction (Estimated)</t>
  </si>
  <si>
    <t xml:space="preserve">   Assigned to Operation and Maintenance (Estimated)</t>
  </si>
  <si>
    <t xml:space="preserve">   Distribution Plant (Estimated)</t>
  </si>
  <si>
    <t xml:space="preserve">   Regional Transmission and Market Operation Plant (Estimated)</t>
  </si>
  <si>
    <t xml:space="preserve">   Assigned to - Other</t>
  </si>
  <si>
    <t>Total Account 154 (sum Lns 17 - 23)</t>
  </si>
  <si>
    <t>Materials &amp; Supplies Allocation Factor at Year End</t>
  </si>
  <si>
    <t>Transmission Materials &amp; Supplies</t>
  </si>
  <si>
    <t>Transmission Materials &amp; Supplies Allocation Factor</t>
  </si>
  <si>
    <t>Ln 20 / Ln 24</t>
  </si>
  <si>
    <t>Other Materials &amp; Supplies Allocation Factor</t>
  </si>
  <si>
    <t>Ln 23 / Ln 24</t>
  </si>
  <si>
    <t>Other Materials &amp; Supplies</t>
  </si>
  <si>
    <t>(Ln 14 * Ln 26)</t>
  </si>
  <si>
    <t>(Ln 14 * Ln 27)</t>
  </si>
  <si>
    <t>Note 1:  Materials and Supplies are the 13-month average of the most recent calendar year actuals.</t>
  </si>
  <si>
    <t>FF1, Page 227, ln 12, Col. (b)</t>
  </si>
  <si>
    <t>FF1, Page 227, ln 12, Col. (c)</t>
  </si>
  <si>
    <t>FF1, Page 227, ln 5, Col. (c)</t>
  </si>
  <si>
    <t>FF1, Page 227, ln 6, Col. (c)</t>
  </si>
  <si>
    <t>FF1, Page 227, ln 11, Col. (c)</t>
  </si>
  <si>
    <t>FF1, Page 227, ln 10, Col. (c)</t>
  </si>
  <si>
    <t>FF1, Page 227, ln 9, Col. (c)</t>
  </si>
  <si>
    <t>FF1, Page 227, ln 8, Col. (c)</t>
  </si>
  <si>
    <t>FF1, Page 227, ln 7, Col. (c)</t>
  </si>
  <si>
    <r>
      <t xml:space="preserve">The calculation of the </t>
    </r>
    <r>
      <rPr>
        <b/>
        <sz val="8.5"/>
        <rFont val="Arial"/>
        <family val="2"/>
      </rPr>
      <t>W/S</t>
    </r>
    <r>
      <rPr>
        <sz val="10"/>
        <rFont val="Arial"/>
        <family val="2"/>
      </rPr>
      <t xml:space="preserve"> Allocator is found on Line 147.</t>
    </r>
  </si>
  <si>
    <t>Net Acquisition Adjustment (Amount included in Rate Base)</t>
  </si>
  <si>
    <t>FERC 406 (Amount included in Depreciation and Amortization Expense)</t>
  </si>
  <si>
    <t>Line No</t>
  </si>
  <si>
    <t>Production</t>
  </si>
  <si>
    <t>Transmission Serving Production</t>
  </si>
  <si>
    <t>Transmission Serving Transmission</t>
  </si>
  <si>
    <t>Estimated Balance</t>
  </si>
  <si>
    <t>Source:</t>
  </si>
  <si>
    <t>Actual Balance</t>
  </si>
  <si>
    <t xml:space="preserve">RATE BASE  </t>
  </si>
  <si>
    <t>Company Records</t>
  </si>
  <si>
    <t>Total Plant Related</t>
  </si>
  <si>
    <t>Allocation Factor to Electric</t>
  </si>
  <si>
    <t>Total Plant Related Allocated to Electric</t>
  </si>
  <si>
    <t>Total Labor Related Allocated to Electric</t>
  </si>
  <si>
    <t>Total Electric Plant in Service</t>
  </si>
  <si>
    <t>Common PIS Allocated to Electric</t>
  </si>
  <si>
    <t>Electric Plant Held for Future Use</t>
  </si>
  <si>
    <t>Electric Construction Work in Progress</t>
  </si>
  <si>
    <t>The Company agreed in Docket No. ER12-1589-000 to include a total company credit in the Transmission Formula Template equal to $726,905.  This amount is fixed and cannot be</t>
  </si>
  <si>
    <t>Common CWIP Allocated to Electric</t>
  </si>
  <si>
    <t xml:space="preserve">Total Electric Plant </t>
  </si>
  <si>
    <t>Total Utility Plant</t>
  </si>
  <si>
    <t>Electric Plant to Total Plant Allocation Factor</t>
  </si>
  <si>
    <t>PREPAYMENTS ALLOCATION FACTOR TO ELECTRIC</t>
  </si>
  <si>
    <t>ROR=</t>
  </si>
  <si>
    <t>Cash Working Capital will be set at and remain $0 until such time as PSCo files and receives FERC approval.</t>
  </si>
  <si>
    <t>Non Labor</t>
  </si>
  <si>
    <t>Labor</t>
  </si>
  <si>
    <t xml:space="preserve">     TRANSMISSION EXPENSES</t>
  </si>
  <si>
    <t>OPERATION</t>
  </si>
  <si>
    <t>Supervision and Engineering</t>
  </si>
  <si>
    <t>Load Dispatching - Reliability</t>
  </si>
  <si>
    <t>303.40</t>
  </si>
  <si>
    <t>Electric Intangible Software 3 Yr</t>
  </si>
  <si>
    <t>Electric Intangible Software 15 Yr</t>
  </si>
  <si>
    <t>Cherokee 2 Synchronous Condenser</t>
  </si>
  <si>
    <t>Cherokee 5-7</t>
  </si>
  <si>
    <r>
      <t xml:space="preserve">6.67 </t>
    </r>
    <r>
      <rPr>
        <vertAlign val="superscript"/>
        <sz val="10"/>
        <rFont val="Arial"/>
        <family val="2"/>
      </rPr>
      <t>12</t>
    </r>
  </si>
  <si>
    <t>Wind to Hydrogen</t>
  </si>
  <si>
    <r>
      <t xml:space="preserve">2.57 </t>
    </r>
    <r>
      <rPr>
        <vertAlign val="superscript"/>
        <sz val="10"/>
        <rFont val="Arial"/>
        <family val="2"/>
      </rPr>
      <t>11</t>
    </r>
  </si>
  <si>
    <r>
      <t xml:space="preserve">8.81 </t>
    </r>
    <r>
      <rPr>
        <vertAlign val="superscript"/>
        <sz val="10"/>
        <rFont val="Arial"/>
        <family val="2"/>
      </rPr>
      <t>10</t>
    </r>
  </si>
  <si>
    <t>Transportation Equipment - Autos</t>
  </si>
  <si>
    <t>Transportation Equipment - Light Trucks</t>
  </si>
  <si>
    <t>Transportation Equipment - Trailors</t>
  </si>
  <si>
    <t>Transportation Equipment - Heavy Trucks</t>
  </si>
  <si>
    <t>Communications Equipment - EMS</t>
  </si>
  <si>
    <t>303.00</t>
  </si>
  <si>
    <t>303.04</t>
  </si>
  <si>
    <t>303.14</t>
  </si>
  <si>
    <t>Electric Intangible Software - CRS</t>
  </si>
  <si>
    <t>390.00</t>
  </si>
  <si>
    <t xml:space="preserve">Structures and Improvements </t>
  </si>
  <si>
    <t>390.08</t>
  </si>
  <si>
    <t>Structures and Improvements - Partitions</t>
  </si>
  <si>
    <t>390.07</t>
  </si>
  <si>
    <t>Structures and Improvements-Leasehold Improvements</t>
  </si>
  <si>
    <r>
      <t>N/A</t>
    </r>
    <r>
      <rPr>
        <vertAlign val="superscript"/>
        <sz val="10"/>
        <rFont val="Arial"/>
        <family val="2"/>
      </rPr>
      <t>8</t>
    </r>
  </si>
  <si>
    <t>390.85</t>
  </si>
  <si>
    <t>Structures and Improvements-1800 Larimer Lshld Improve</t>
  </si>
  <si>
    <r>
      <t>N/A</t>
    </r>
    <r>
      <rPr>
        <vertAlign val="superscript"/>
        <sz val="10"/>
        <rFont val="Arial"/>
        <family val="2"/>
      </rPr>
      <t>9</t>
    </r>
  </si>
  <si>
    <t>391.00</t>
  </si>
  <si>
    <t>391.04</t>
  </si>
  <si>
    <t>Computers Hardware</t>
  </si>
  <si>
    <t>391.05</t>
  </si>
  <si>
    <t>Computers Hardware - 3 Year Life</t>
  </si>
  <si>
    <t>Asset Retirement Costs are not included in FERC-ONLY Depreciation Rates.</t>
  </si>
  <si>
    <t>Leasehold Improvements are amortized over the lease term.</t>
  </si>
  <si>
    <t>Leasehold Improvements amortized to the end of the lease term 6/2025.</t>
  </si>
  <si>
    <t>A.  Schedule 1 - Estimated ARR for Billing Period 01/01/2015 to 12/31/2015</t>
  </si>
  <si>
    <t>C.  Schedule 1 - Actual ARR for the Billing Period 01/01/2015 to 12/31/2015</t>
  </si>
  <si>
    <t>Schedule 3 and 3A- Regulation and Frequency Response Service</t>
  </si>
  <si>
    <t xml:space="preserve">Load </t>
  </si>
  <si>
    <t>Non-VER</t>
  </si>
  <si>
    <t>VER</t>
  </si>
  <si>
    <t>/MW-day</t>
  </si>
  <si>
    <t>Plant/Type</t>
  </si>
  <si>
    <t>Contribution Ratio (1)</t>
  </si>
  <si>
    <t>Installed
Cost 
($/kW)                           (2)</t>
  </si>
  <si>
    <t>Operation and
Maintenance  
($/kW)                     (3)</t>
  </si>
  <si>
    <t>Fixed charge 
($/kW) 
(d) x Prod FCR without O&amp;M (4)  or if PP (d) x 1.0</t>
  </si>
  <si>
    <t>Cost of providing reactive supply services 
($/kW)                           (5)</t>
  </si>
  <si>
    <t>Weighted Annual Cost 
($/kW)
((f)+(e)-(g)) x (c)</t>
  </si>
  <si>
    <t>col. (a)</t>
  </si>
  <si>
    <t>col. (b)</t>
  </si>
  <si>
    <t>col. (c)</t>
  </si>
  <si>
    <t>col. (d)</t>
  </si>
  <si>
    <t>col. (e)</t>
  </si>
  <si>
    <t>col. (f)</t>
  </si>
  <si>
    <t>col. (g)</t>
  </si>
  <si>
    <t>col. (h)</t>
  </si>
  <si>
    <t/>
  </si>
  <si>
    <t>Brush Cogeneration Partners (Brush 1&amp;3)  PP</t>
  </si>
  <si>
    <t>Brush Cogeneration Partners (Brush 4)  PP</t>
  </si>
  <si>
    <t>Colorado Energy Management LLC (Manch)  PP</t>
  </si>
  <si>
    <t>Plains End LLC  PP</t>
  </si>
  <si>
    <t>Spindle Hill  PP</t>
  </si>
  <si>
    <t>Total Reg/LF cost ($/kW)</t>
  </si>
  <si>
    <t>losses</t>
  </si>
  <si>
    <t>Annual Cost ($/MW)</t>
  </si>
  <si>
    <t>Load</t>
  </si>
  <si>
    <t>Required Capacity (1)</t>
  </si>
  <si>
    <t>Reserve obligation (Line 29/ Line 30)</t>
  </si>
  <si>
    <t>Rate ($/kW/Yr)</t>
  </si>
  <si>
    <t>Monthly ($/kW/Mo)</t>
  </si>
  <si>
    <t>Weekly ($/kW/Wk)</t>
  </si>
  <si>
    <t>Daily On Peak ($/MW/Day)</t>
  </si>
  <si>
    <t>Daily Off Peak ($/MW/Day)</t>
  </si>
  <si>
    <t>Hourly On Peak ($/MW/hr)</t>
  </si>
  <si>
    <t>Hourly Off Peak ($/MW/hr)</t>
  </si>
  <si>
    <t>Network Integrated Delivery($/kW/Mo)</t>
  </si>
  <si>
    <t>Ancillary Service Delivery($/kW/Mo)</t>
  </si>
  <si>
    <t>(1)  Fixed value that cannot change without a Section 205 or 206 filing.</t>
  </si>
  <si>
    <t>(2)  WP_Installed Cost, Column (g).</t>
  </si>
  <si>
    <t>(3)  WP_O&amp;M Cost, Column (l).</t>
  </si>
  <si>
    <t>(4)  WP_FCR Line 21 minus Line 1.</t>
  </si>
  <si>
    <t>(5) Column (c) times WP_Reactive Cost, Column (f).  For Purchased Power, used the same Reactive Power Cost as the Plants.</t>
  </si>
  <si>
    <t>Ancillary Services, Schedule Nos. 3 and 3A</t>
  </si>
  <si>
    <t>Table 35</t>
  </si>
  <si>
    <t>Table 36</t>
  </si>
  <si>
    <t>Table 37</t>
  </si>
  <si>
    <t>Table 38</t>
  </si>
  <si>
    <t>Flex Reserves</t>
  </si>
  <si>
    <t>Installed
Cost 
($/kW)                      (2)</t>
  </si>
  <si>
    <t>Operation and
Maintenance  
($/kW)                      (3)</t>
  </si>
  <si>
    <t>Reserve obligation (Line 29 / Line 30)</t>
  </si>
  <si>
    <t>Installed Cost</t>
  </si>
  <si>
    <t>Fuel Expense ($)
(1)</t>
  </si>
  <si>
    <t>Generation 
(kwh) 
(2)</t>
  </si>
  <si>
    <t>Fuel Expense
($/kwh)
(b) / (c)</t>
  </si>
  <si>
    <t>Name Plate 
(MW)
(3) (4)</t>
  </si>
  <si>
    <t>Cumulative Name Plate capacity
(MW)</t>
  </si>
  <si>
    <t>Production Investment 
($/KW)
(5)</t>
  </si>
  <si>
    <t>Plant factor
(c)/(e)/8760/1000</t>
  </si>
  <si>
    <t>(1)  FERC Form No. 1 Pages 402-406, Line 20</t>
  </si>
  <si>
    <t>(2)  FERC Form No. 1 Page 326, Column (g), and Page 402 - 406, Line 12</t>
  </si>
  <si>
    <t>(3)  FERC Form No. 1 Page 326, Column (g) and Page 402 - 406, Line 5.</t>
  </si>
  <si>
    <t>(4)  For purchased Power the Name Plate capacity is the amount of the purchase and the Production Investment is the demand charge divided by the Name Plate.</t>
  </si>
  <si>
    <t xml:space="preserve">      The cost per kw/year is the Production Investment times 1.0. </t>
  </si>
  <si>
    <t>(5)  FERC Form No. 1 Pages 402-406, Line 18.</t>
  </si>
  <si>
    <t>(6)  Craig is operated by Tri-State</t>
  </si>
  <si>
    <t>O&amp;M Costs</t>
  </si>
  <si>
    <t>Name Plate 
(MW)
(1) (2)</t>
  </si>
  <si>
    <t>Production Expenses: Oper, Supv, &amp; Engr 
($) 
(3)</t>
  </si>
  <si>
    <t>Coolants and Water (Nuclear Plants Only) 
($) 
(4)</t>
  </si>
  <si>
    <t>Steam Expenses 
($)
(5)</t>
  </si>
  <si>
    <t>Electric Expenses 
($)
(6)</t>
  </si>
  <si>
    <t>Misc Steam (or Nuclear) Power Expenses 
($)
(7)</t>
  </si>
  <si>
    <t>Rents 
($)
(8)</t>
  </si>
  <si>
    <t>Maintenance of Structures 
($)
(9)</t>
  </si>
  <si>
    <t>Maintenance of Misc Steam (or Nuclear) Plant 
($)
(10)</t>
  </si>
  <si>
    <t>Total Expenses 
($)
sum((c):(j))</t>
  </si>
  <si>
    <t>Total 
($/kW)
(k)/(b)/1000</t>
  </si>
  <si>
    <t>col. (i)</t>
  </si>
  <si>
    <t>col. (j)</t>
  </si>
  <si>
    <t>col. (k)</t>
  </si>
  <si>
    <t>col. (l)</t>
  </si>
  <si>
    <t>(1)  FERC Form No. 1 Page 326, Column (g) and Page 402 - 406, Line 5.</t>
  </si>
  <si>
    <t>(2)  For purchased Power the Name Plate capacity is the amount of the purchase and the Production Investment is the demand charge divided by the Name Plate.</t>
  </si>
  <si>
    <t>(3)  FERC Form No. 1 Pages 402-406, Line 19</t>
  </si>
  <si>
    <t>(4)  FERC Form No. 1 Pages 402-406, Line 21</t>
  </si>
  <si>
    <t>(5)  FERC Form No. 1 Pages 402-406, Line 22</t>
  </si>
  <si>
    <t>(6)  FERC Form No. 1 Pages 402-406, Line 25</t>
  </si>
  <si>
    <t>(7)  FERC Form No. 1 Pages 402-406, Line 26</t>
  </si>
  <si>
    <t>(8)  FERC Form No. 1 Pages 402-406, Line 27</t>
  </si>
  <si>
    <t>(9)  FERC Form No. 1 Pages 402-406, Line 30</t>
  </si>
  <si>
    <t>(10)  FERC Form No. 1 Pages 402-406, Line 33</t>
  </si>
  <si>
    <t>(11)  Craig is operated by Tri-State</t>
  </si>
  <si>
    <t>Cost of Providing Reactive Supply</t>
  </si>
  <si>
    <t>Name Plate 
(MW)
(1)</t>
  </si>
  <si>
    <t>Percent of Name Plate</t>
  </si>
  <si>
    <t xml:space="preserve">Reactive Power $/MW/Year        (d) / (b) </t>
  </si>
  <si>
    <t>Reactive Power $/KW/Year                        (e) / 1000</t>
  </si>
  <si>
    <t>Total (2)</t>
  </si>
  <si>
    <t>(2)  Reactive Power Revenue Requirement from Schedule 2, Line 20.</t>
  </si>
  <si>
    <t>Reactive Power Revenue Requirement    (c ) * Line 20</t>
  </si>
  <si>
    <t>The work paper has a calc that does not equal this referemce??</t>
  </si>
  <si>
    <t>Ancillary Services, Schedule No. 16</t>
  </si>
  <si>
    <t>Schedule 3 and 3A Line 35</t>
  </si>
  <si>
    <t>Schedule 3 and 3A Line 33</t>
  </si>
  <si>
    <t>Schedule 3 and 3A Line 34</t>
  </si>
  <si>
    <t>Schedule 3 and 3A Line 36</t>
  </si>
  <si>
    <t>Schedule 3 and 3A Line 37</t>
  </si>
  <si>
    <t>Schedule 3 and 3A Line 38</t>
  </si>
  <si>
    <t>Schedule 3 and 3A Line 39</t>
  </si>
  <si>
    <t>Schedule 3 and 3A Line 40</t>
  </si>
  <si>
    <t>Schedule 3 and 3A Line 31</t>
  </si>
  <si>
    <t>Schedule 16 Line 34</t>
  </si>
  <si>
    <t>Schedule 16 Line 33</t>
  </si>
  <si>
    <t>Schedule 16 Line 35</t>
  </si>
  <si>
    <t>Schedule 16 Line 36</t>
  </si>
  <si>
    <t>Schedule 16 Line 37</t>
  </si>
  <si>
    <t>Schedule 16 Line 38</t>
  </si>
  <si>
    <t>Schedule 16 Line 39</t>
  </si>
  <si>
    <t>Schedule 16 Line 40</t>
  </si>
  <si>
    <t>Schedule 16 Line 31</t>
  </si>
  <si>
    <t>Schedule 16 - Flex Reserve</t>
  </si>
  <si>
    <t>Divisor (1)</t>
  </si>
  <si>
    <t>Wind Nameplate (1)</t>
  </si>
  <si>
    <t>.</t>
  </si>
  <si>
    <t>WP_B-2</t>
  </si>
  <si>
    <t>Average Balance (7)</t>
  </si>
  <si>
    <t>Average Balance (5)</t>
  </si>
  <si>
    <t>Table 39</t>
  </si>
  <si>
    <t>Days in the Month</t>
  </si>
  <si>
    <t>WP_B-Inputs Est.</t>
  </si>
  <si>
    <t>Proration Adjustment (5)</t>
  </si>
  <si>
    <t>Note 6. Average BOY/EOY balance is reduced by the ADIT prorate adjustment in compliance with IRS regulation Section 1.167(l)-1(h)(6).</t>
  </si>
  <si>
    <t>WP_B-Inputs Act.</t>
  </si>
  <si>
    <t>Labor Allocation Factors, ATRR Est. Line 147</t>
  </si>
  <si>
    <t>Net Plant Allocation Factor, ATRR Est. Line 36</t>
  </si>
  <si>
    <t>Labor Allocation Factors, ATRR Act. Line 147</t>
  </si>
  <si>
    <t>Net Plant Allocation Factor, ATRR Act. Line 36</t>
  </si>
  <si>
    <t>263.i</t>
  </si>
  <si>
    <t>FF1, Page 278.b</t>
  </si>
  <si>
    <t>FF1, Page 278.f</t>
  </si>
  <si>
    <t>$ per kW - Month (Line 24)</t>
  </si>
  <si>
    <t>(3) 1 = Yes; 0 = No</t>
  </si>
  <si>
    <t>per MWh ((Line 25 / 24) X 1000)</t>
  </si>
  <si>
    <t>per kW - day (Line 23 / 7)</t>
  </si>
  <si>
    <t>Non VAR Related Percent (1- Schedule 2 Line 34)</t>
  </si>
  <si>
    <t>FF1, pg. 335, Line 14</t>
  </si>
  <si>
    <t>Depreciation and Amortization Rates</t>
  </si>
  <si>
    <t>Utility Plant, Regulatory Assets, &amp; Regulatory Liabilities</t>
  </si>
  <si>
    <t>Depreciation/</t>
  </si>
  <si>
    <t>FERC Account</t>
  </si>
  <si>
    <t>(%)</t>
  </si>
  <si>
    <t>San Luis- Calumet-Comanche Transmission Line: The total O&amp;M incurred associated with the project prior to the decision not to proceed, was $2,625,528.  The Wholesale share of 50% of this amount will be recovered in the formula rates over a 3 year period beginning with the effective date of the Formula Rate.  The Wholesale share of the other 50% will be booked to Account No. 426.5 and absorbed by the Company.</t>
  </si>
  <si>
    <t>36 Months</t>
  </si>
  <si>
    <t>Mountain Pine Beetle:  Amounts deferred from 2010 through 2012 will be amortized over a 3 year period beginning January 1, 2013.  The total amount to be amortized is $5,926,097.</t>
  </si>
  <si>
    <t>Regulatory Liability Amortization</t>
  </si>
  <si>
    <t>Technical Services Building-  The gain on the sale of TSB will be amortized over a 24 month period beginning with the effective date of the Formula Rate.</t>
  </si>
  <si>
    <t>24 Months</t>
  </si>
  <si>
    <t>Electric Plant Acquisition Adjustment- Calpine Acquisition</t>
  </si>
  <si>
    <t>Rocky Mountain Energy Center-  Amortization of 55 years ending in 2065.</t>
  </si>
  <si>
    <t>Cherokee 3</t>
  </si>
  <si>
    <t>Zuni 2</t>
  </si>
  <si>
    <t>Zuni C</t>
  </si>
  <si>
    <t>Cherokee 3 AQIR</t>
  </si>
  <si>
    <r>
      <t xml:space="preserve">2.55 </t>
    </r>
    <r>
      <rPr>
        <vertAlign val="superscript"/>
        <sz val="10"/>
        <rFont val="Arial"/>
        <family val="2"/>
      </rPr>
      <t>11</t>
    </r>
  </si>
  <si>
    <t>Ponnequin Wind</t>
  </si>
  <si>
    <t>CO Wind Power</t>
  </si>
  <si>
    <r>
      <t xml:space="preserve">6.67 </t>
    </r>
    <r>
      <rPr>
        <vertAlign val="superscript"/>
        <sz val="10"/>
        <rFont val="Arial"/>
        <family val="2"/>
      </rPr>
      <t>13</t>
    </r>
  </si>
  <si>
    <t>All Accounts</t>
  </si>
  <si>
    <t xml:space="preserve">Cherokee 5-7 Combined Cycle </t>
  </si>
  <si>
    <t>No Electric General Land Rights as of  December 31, 2013. To the extent PSCo acquires land rights, PSCo will make a section 205 FPA filing for approval of the depreciation rates.</t>
  </si>
  <si>
    <t>No Common General Land Rights as of December 31, 2013.  To the extent PSCo acquires land rights, PSCo will make a section 205 FPA filing for approval of the depreciation rates.</t>
  </si>
  <si>
    <t>There are no Hydro Land Rights as of December 31, 2013.  To the extent PSCo acquires land rights, PSCo will make a section 205 FPA filing under the FPA for approval of the depreciation rates.</t>
  </si>
  <si>
    <t>Account 370.2 AMR Equipment is fully depreciated.  The approved rate is 8.81%</t>
  </si>
  <si>
    <t>The Cherokee 5-7 Combined Cycle is scheduled to go in service in December 2015.  While an approved rate has not been established, for Cherokee 5-7, a depreciation rate of 2.55% was used in the forecast.</t>
  </si>
  <si>
    <t>Ponnequin Wind assets transferred in 2009 from Non-Utility to Electric Utility.  Depreciation rates were utilized from Non-utility business for Other Production Wind assets.</t>
  </si>
  <si>
    <t>Wind to Hydrogen depreciation rates were utilized from Non-utility Wind prior to transfer to Electric Utility.</t>
  </si>
  <si>
    <t>Structures and Improvements-TSB</t>
  </si>
  <si>
    <t>Structures and Improvements- Non-Unitized</t>
  </si>
  <si>
    <t>1800 Larimer Leasehold Improvements</t>
  </si>
  <si>
    <t>Partitions</t>
  </si>
  <si>
    <t>Leased Partitions</t>
  </si>
  <si>
    <t>Computers 3 Year</t>
  </si>
  <si>
    <t>Computers 5 Year</t>
  </si>
  <si>
    <t>Transportation Equipment</t>
  </si>
  <si>
    <t>No Electric General Land Rights at December 31, 2010. To the extent PSCo acquires land rights, PSCo will make a section 205 FPA filing for approval of the depreciation rates.</t>
  </si>
  <si>
    <t>No Common General Land Rights at December 31, 2010.  To the extent PSCo acquires land rights, PSCo will make a section 205 FPA filing for approval of the depreciation rates.</t>
  </si>
  <si>
    <t>Asset Retirement Costs are not included in FERC-only Depreciation Rates.</t>
  </si>
  <si>
    <t>There are no Hydro Land Rights as of December 31, 2010.  To the extent PSCo acquires land rights, PSCo will make a section 205 FPA filing under the FPA for approval of the depreciation rates.</t>
  </si>
  <si>
    <t>Account 190</t>
  </si>
  <si>
    <t>Account 281</t>
  </si>
  <si>
    <t>Account 282</t>
  </si>
  <si>
    <t>Account 283</t>
  </si>
  <si>
    <t>Recoverable Non VAR GSU (Line 20 * Line 21)</t>
  </si>
  <si>
    <t>(a)</t>
  </si>
  <si>
    <t>(b)</t>
  </si>
  <si>
    <t>(c)</t>
  </si>
  <si>
    <t>(d)</t>
  </si>
  <si>
    <t>(e)</t>
  </si>
  <si>
    <t>(f)</t>
  </si>
  <si>
    <t>(g)</t>
  </si>
  <si>
    <t>(h)</t>
  </si>
  <si>
    <t>(i)</t>
  </si>
  <si>
    <t>(j)</t>
  </si>
  <si>
    <t>(k)</t>
  </si>
  <si>
    <t>Schedule 3 &amp; 3A</t>
  </si>
  <si>
    <t>Schedule 3 &amp; 3A-VER</t>
  </si>
  <si>
    <t>Schedule 16</t>
  </si>
  <si>
    <t>Flex</t>
  </si>
  <si>
    <t>(l)</t>
  </si>
  <si>
    <t>(m)</t>
  </si>
  <si>
    <t>(n)</t>
  </si>
  <si>
    <t>Note 1. FERC Form 1 does not report Account 456.1 in the subcategories presented.  The information is from Company Records. The total in Column N ties to the balance of Account 456.1 as reported in the FERC Form 1</t>
  </si>
  <si>
    <t>5. Reference WP_ADIT Prorate</t>
  </si>
  <si>
    <t>Proration Adjustment (3)</t>
  </si>
  <si>
    <t>3. Reference WP_ADIT Prorate</t>
  </si>
  <si>
    <t>Rate Year =</t>
  </si>
  <si>
    <t>Account 190- Accumulated Deferred Income Taxes</t>
  </si>
  <si>
    <t>Days in Period</t>
  </si>
  <si>
    <t>Averaging with Proration - Projected</t>
  </si>
  <si>
    <t>Averaging Preserving Projected Proration - True-up</t>
  </si>
  <si>
    <t>Number of Days Prorated</t>
  </si>
  <si>
    <t>Total Days in Future Portion of Test Period</t>
  </si>
  <si>
    <t>Proration Amount (C / D)</t>
  </si>
  <si>
    <t>Projected Monthly Activity</t>
  </si>
  <si>
    <t>Prorated Projected Monthly Activity (E x F)</t>
  </si>
  <si>
    <t>Prorated Projected Balance (Cumulative Sum of G)</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</si>
  <si>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</si>
  <si>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</si>
  <si>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</si>
  <si>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</si>
  <si>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</si>
  <si>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</si>
  <si>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December 31st Balance - Prorated Items</t>
  </si>
  <si>
    <t>Proration Factor</t>
  </si>
  <si>
    <t>Beginning Balance of Prorated items</t>
  </si>
  <si>
    <t>Ending Balance of Prorated items</t>
  </si>
  <si>
    <t>Average Balance Prorated items</t>
  </si>
  <si>
    <t>Non-prorated Average Balance</t>
  </si>
  <si>
    <t>Proration Adjustment</t>
  </si>
  <si>
    <t>Account 281 - Accelerated amortization property</t>
  </si>
  <si>
    <t>Account 282 - Other Property</t>
  </si>
  <si>
    <t>Account 283 - Other</t>
  </si>
  <si>
    <t>WP_B-Inputs - Adjustments to ADIT</t>
  </si>
  <si>
    <t>Electric Intangible - FERC 302</t>
  </si>
  <si>
    <t>Electric Intangible - Smart Grid City</t>
  </si>
  <si>
    <t>Distribution Plant - Smart Grid City</t>
  </si>
  <si>
    <t>General Plant - Smart Grid City</t>
  </si>
  <si>
    <t>Common Intangible - FERC 302</t>
  </si>
  <si>
    <t>Common Intangible - CRS</t>
  </si>
  <si>
    <t>Common Intangible - OMS</t>
  </si>
  <si>
    <t>Common General - Smart Grid City</t>
  </si>
  <si>
    <t xml:space="preserve">Reflects the BOY/EOY average of the transmission related portion of balances in Accounts 281, 282, 283, 190 and 255 as adjusted by any amounts in contra accounts identified as regulatory assets or liabilities related to FASB 106, 109, 133, 158 or FASB Interpretation No. 48. Balance of Account 255 is reduced by prior flow throughs and completely excluded if the utility chose to utilize amortization of tax credits against taxable income as discussed in Note k. The calculation of ADIT for both the true-up and the annual projection will be performed in accordance with IRS regulation Section 1.167(l)-1(h)(6). The Annual True-Up for a given year will use the same methodology that was used to project that year’s rates. The annual true-up calculation will use the beginning-of-year and end-of-year balances as set forth in Table 8, Workpaper B-2, Estimated and Table 9, Workpaper B-3, Estimated; and the calculation of ADIT in the annual projection will be performed as set forth in Table 8, Workpaper B-2, Actual and Table 9, Workpaper B-3, Actual. </t>
  </si>
  <si>
    <t>Note 4. Source of Plant Adjustments: Company Records.</t>
  </si>
  <si>
    <t>Note 5.  ADIT proration factor is derived on WP_ADIT Prorate.</t>
  </si>
  <si>
    <t>Plant Adjustments (4)</t>
  </si>
  <si>
    <t>Accumulated Deferred Income Taxes Proration Adjustments</t>
  </si>
  <si>
    <t>http://www.ferc.gov/enforcement/acct-matts/interest-rates.asp</t>
  </si>
  <si>
    <t>Note 7</t>
  </si>
  <si>
    <t>Note 8</t>
  </si>
  <si>
    <t>Note 8. FERC Form No1, Page 356.1.  Common Intangible includesFranchises and Purchased Software. Common General includes FERC Account 108 plus Office Remodeling.</t>
  </si>
  <si>
    <t>Note 7. FERC Form No1, Page 356.  Common Intangible includes Accounts 301-303.  Common General includes Accounts 389-399.1.</t>
  </si>
  <si>
    <t>Note 1- Return on Equity and the Depreciation rates cannot change without a Section 205 or 206 filing.</t>
  </si>
  <si>
    <t xml:space="preserve">Note 2. Fixed Charde Rate amounts are based on actuals from the most recently completed FERC Form No. 1 at the time of the estimate and are not trued up.  </t>
  </si>
  <si>
    <r>
      <t xml:space="preserve">BOY/EOY Avg </t>
    </r>
    <r>
      <rPr>
        <u/>
        <sz val="10"/>
        <rFont val="Arial"/>
        <family val="2"/>
      </rPr>
      <t>(6)</t>
    </r>
  </si>
  <si>
    <t>1. Post-Employment Benefits Other than Pensions (FAS 106) shall remain as a stated, fixed amount and shall not be changed except as directed by the Commission following a filing seeking such change pursuant to section 205 or 206 of the FPA.  The adjustment is shown on WP_C-3 PBOP.  PSCo will file annually to seek FERC approval of the updated PBOP expense. Retail Deferred Pension Expense, net of any amortization amounts recorded in FERC Account 926 will be excluded. Reference Form 1 Page 323, line 187, Footnote.</t>
  </si>
  <si>
    <t>Amortization of the Gain on the Sale of TSB (Allocated to Transmission) Ref. WP_B-7 Line 15</t>
  </si>
  <si>
    <t>Total (1)</t>
  </si>
  <si>
    <t>Spinning Serv. (3)</t>
  </si>
  <si>
    <t>PSCo Direct Expense</t>
  </si>
  <si>
    <t>XES - Allocated to PSCo</t>
  </si>
  <si>
    <t>Pension Expense (4)</t>
  </si>
  <si>
    <t>Twelve Months Ended December 31, 2017</t>
  </si>
  <si>
    <t>Cherokee 3,4</t>
  </si>
  <si>
    <t>Cherokee 5,6,7</t>
  </si>
  <si>
    <t>2015 FERC Form No. 1</t>
  </si>
  <si>
    <t>MDT</t>
  </si>
  <si>
    <t>MST</t>
  </si>
  <si>
    <t>NOL Carryforward- Electric General and Intangible</t>
  </si>
  <si>
    <t>State Credit Valuation Allowance</t>
  </si>
  <si>
    <t>Deferred Compensation Plan Reserve</t>
  </si>
  <si>
    <t>New Hire Retention</t>
  </si>
  <si>
    <t>Performance Recognition Awards</t>
  </si>
  <si>
    <t>Electric Vehicle</t>
  </si>
  <si>
    <t>Investment Tax Credit</t>
  </si>
  <si>
    <t>Estimated Amount Included in Account 926 - 2015</t>
  </si>
  <si>
    <t>Estimated Base Year 2015</t>
  </si>
  <si>
    <t>NSPM Allocated to PSCo</t>
  </si>
  <si>
    <t>NSPW Allocated to PSCo</t>
  </si>
  <si>
    <t>SPS Allocated to PSCo</t>
  </si>
  <si>
    <t>OATT Non-Firm PTP</t>
  </si>
  <si>
    <t>NF</t>
  </si>
  <si>
    <t>OATT Firm PTP</t>
  </si>
  <si>
    <t>SFP</t>
  </si>
  <si>
    <t>PSCoM Firm PTP</t>
  </si>
  <si>
    <t>LFP</t>
  </si>
  <si>
    <t>WAPA Firm PTP</t>
  </si>
  <si>
    <t>Southwestern Public Service Company</t>
  </si>
  <si>
    <t>FNO</t>
  </si>
  <si>
    <t>OS</t>
  </si>
  <si>
    <t>MEAN - Network</t>
  </si>
  <si>
    <t>Tri-State - Network</t>
  </si>
  <si>
    <t>IREA - Network</t>
  </si>
  <si>
    <t>PSCoM - Network</t>
  </si>
  <si>
    <t>WAPA - Network</t>
  </si>
  <si>
    <t>PACIFICORP GFA Firm Contract</t>
  </si>
  <si>
    <t>Tri-State, Midway - GFA Firm Contract</t>
  </si>
  <si>
    <t>PRPA - BASOT</t>
  </si>
  <si>
    <t>Tri-State (376) BASOT</t>
  </si>
  <si>
    <t>ARPA - BASOT</t>
  </si>
  <si>
    <t>Black Hills CE BASOT</t>
  </si>
  <si>
    <t>Remove Plant Held From Future Use from Steam Production Plant in 2014 Transmission Formula True Up</t>
  </si>
  <si>
    <t>2014 Prior Period Adjustment</t>
  </si>
  <si>
    <t>Add Gas Stored Underground - Noncurrent to Total Utility Plant in Cell C190 of ATRR in 2014 Transmission Formula True Up</t>
  </si>
  <si>
    <t>Adjust Electric General Depreciation Reserve in 2014 Transmission Formula True Up</t>
  </si>
  <si>
    <t>Adjust Electric Intangible Depreciation Reserve in 2014 Transmission Formula True Up</t>
  </si>
  <si>
    <t>Adjust Electric Distribution Depreciation Reserve in 2014 Transmission Formula True Up</t>
  </si>
  <si>
    <t>Prepaid Insurance - Neil NML WCR-GO</t>
  </si>
  <si>
    <t>Prepaids - Regulatory Fees</t>
  </si>
  <si>
    <t>Prepaids - Gas Imbalances</t>
  </si>
  <si>
    <t>Prepaids - Other</t>
  </si>
  <si>
    <t xml:space="preserve">Other Prepaid-TU              </t>
  </si>
  <si>
    <t>Prepaids - Other Brand Advertising RE</t>
  </si>
  <si>
    <t>Prepaids - Other IT</t>
  </si>
  <si>
    <t>Prepaids - Other Corporate Services IT</t>
  </si>
  <si>
    <t xml:space="preserve">Other Prepaid - Safety Award  </t>
  </si>
  <si>
    <t xml:space="preserve">Other Prepaid - Broker Fees   </t>
  </si>
  <si>
    <t>Prepaids - Other DSM</t>
  </si>
  <si>
    <t>Prepaids - Other Energy Supply</t>
  </si>
  <si>
    <t>Prepaid Lease - PPAs LT</t>
  </si>
  <si>
    <t>Update Industry Association Dues on WP_C-2 from 2014 Transmsion Formula True Up</t>
  </si>
  <si>
    <t>Colorado PUC Annual Charge</t>
  </si>
  <si>
    <t>PSCo 2014 Rate Case</t>
  </si>
  <si>
    <t>Colorado PUC Docket No. 14F-0336EG</t>
  </si>
  <si>
    <t>Colorado PUC Docket No. 12A-778EG</t>
  </si>
  <si>
    <t>Colorado PUC Docket No. 15A-0847E</t>
  </si>
  <si>
    <t>Colorado PUC Docket No. 15AL-0233E</t>
  </si>
  <si>
    <t>Sale of Street Lights to Cities</t>
  </si>
  <si>
    <t>Miscellaneous Items - Colorado</t>
  </si>
  <si>
    <t>FERC Docket Nos. EL01-10-025 and EL01-10-085</t>
  </si>
  <si>
    <t>FERC Docket No. ER15-266 (Loss Study)</t>
  </si>
  <si>
    <t>FERC Docket No. P-12589-02</t>
  </si>
  <si>
    <t>FERC Docket Nos. ER15-237-003, ER15-326, ER15-295-002</t>
  </si>
  <si>
    <t>FERC Docket No. ER14-1969</t>
  </si>
  <si>
    <t>FERC Docket No. ER13-75-003</t>
  </si>
  <si>
    <t>2011 FERC Transmission Rate Case Expenses</t>
  </si>
  <si>
    <t>Miscellaneous Items - FERC</t>
  </si>
  <si>
    <t>Production (2)</t>
  </si>
  <si>
    <t>Electric General (3)</t>
  </si>
  <si>
    <t>Electric Intangible (3)</t>
  </si>
  <si>
    <t>NOL Carryforward- Electric General</t>
  </si>
  <si>
    <t>R &amp; E Credit - FED DIT Only (2)</t>
  </si>
  <si>
    <t>(WP_B-3, Average of Line 26, Cols (a) and (b))</t>
  </si>
  <si>
    <t>(WP_B-3, Average of Line 36, Cols (a) and (b))</t>
  </si>
  <si>
    <t>(WP_B-3, Average of Line 47, Cols (a) and (b))</t>
  </si>
  <si>
    <t>(WP_B-2, Average of Line 4, Cols (a) and (b))</t>
  </si>
  <si>
    <t>(WP_B-2, Average of Line 35, Cols (a) and (b))</t>
  </si>
  <si>
    <t>(WP_B-2, Average of Line 66, Cols (a) and (b))</t>
  </si>
  <si>
    <t>(WP_B-2, Average of Line Public Service Company of Colorado, Cols (a) and (b))</t>
  </si>
  <si>
    <t>(WP_B-2, Average of Line , Cols (a) and (b))</t>
  </si>
  <si>
    <t>(WP_B-2, Average of Line 23, Cols (a) and (b))</t>
  </si>
  <si>
    <t>(WP_B-2, Average of Line 54, Cols (a) and (b))</t>
  </si>
  <si>
    <t>(WP_B-2, Average of Line 85, Cols (a) and (b))</t>
  </si>
  <si>
    <t>Prepaid Insurance</t>
  </si>
  <si>
    <t>Prepaids - Facility Fees</t>
  </si>
  <si>
    <t>Comanche Extended Warranty</t>
  </si>
  <si>
    <t>Prepaids - Auto Licensing</t>
  </si>
  <si>
    <t>City of Aurora Prepaid Water</t>
  </si>
  <si>
    <t>Prepaids - NCE Fiber Lease</t>
  </si>
  <si>
    <t>Prepaids - Other Rent/Lease</t>
  </si>
  <si>
    <t>Prepaids - Other Benefits</t>
  </si>
  <si>
    <t>Prepaids - Hardware Maintenance</t>
  </si>
  <si>
    <t>Prepaids - Transmission Expense</t>
  </si>
  <si>
    <t>Prepaids - Income Taxes - Federal</t>
  </si>
  <si>
    <t>Prepaids - Income Taxes - State</t>
  </si>
  <si>
    <t>Revisions</t>
  </si>
  <si>
    <t>Item No.</t>
  </si>
  <si>
    <t>Schedule/     Workpaper</t>
  </si>
  <si>
    <t>Item Description</t>
  </si>
  <si>
    <t>Revisions Explanations</t>
  </si>
  <si>
    <t>Discovery Question From</t>
  </si>
  <si>
    <t>Date Revisions Made - Version</t>
  </si>
  <si>
    <t>2017 Transmission Formula Annual Update</t>
  </si>
  <si>
    <t>Prepaids - Other Transmission</t>
  </si>
  <si>
    <t>Prepaid Interest - Commercial Paper</t>
  </si>
  <si>
    <t>Prepaids - Other Operations Services</t>
  </si>
  <si>
    <t>Actual Base Year 2017</t>
  </si>
  <si>
    <t>Actual Amount Included in Account 926 - 2017</t>
  </si>
  <si>
    <t xml:space="preserve">In January 2013, FERC initiated an audit of PSCo's FERC Form No. 1.  As a result of the audit, PSCo discovered a reporting error on the 2004-2007 FERC Form No. 1, pages 328 through 330, related to transmission revenues.  PSCo identified it had misclassified some of the revenues by counterparty, which led to an decrease in the revenue credits that should have been included in the ATRR. The decrease in revenue credits for 2004-2007 was $8,934,215. PSCo is capping this surcharge at $2,404,376 to match the amounts refunded in 2013-2016 related to the FERC audit. </t>
  </si>
  <si>
    <t>Deferred Debit - FIN 48</t>
  </si>
  <si>
    <t>Tie to WP_ADIT Prorate</t>
  </si>
  <si>
    <t>s/b 0:</t>
  </si>
  <si>
    <t>456- Other Electric Revenue</t>
  </si>
  <si>
    <t>Revenues from Schedule 18 Annual Interconnection Customer O&amp;M Charge</t>
  </si>
  <si>
    <t xml:space="preserve"> Total Other Electric Revenue - (Other Than Schedule 18)</t>
  </si>
  <si>
    <t>Total 456- FERC Form No. 1 pg. 300 Ln 21</t>
  </si>
  <si>
    <t xml:space="preserve">  Account No. 456.0 (Revenue from Schedule 18)</t>
  </si>
  <si>
    <t>2017 FF1</t>
  </si>
  <si>
    <t>Common General &amp; Intangible (3)</t>
  </si>
  <si>
    <t>Defined Benefit Pension and Other Postretirement Plans - Funded Status</t>
  </si>
  <si>
    <t>Low Income Discount Program</t>
  </si>
  <si>
    <t>Mark to Market Adjust</t>
  </si>
  <si>
    <t>Non-Plant ADIT - Rate Change</t>
  </si>
  <si>
    <t>FIN 48 Rate Change</t>
  </si>
  <si>
    <t>DSM Advertising</t>
  </si>
  <si>
    <t>Non-Qualified Pension Plans</t>
  </si>
  <si>
    <t>REG A/L - Transmission Cost Adjustment</t>
  </si>
  <si>
    <t>Section 59e Adjustment</t>
  </si>
  <si>
    <t>Non-Plant ADIT Rate Change</t>
  </si>
  <si>
    <t>Prepaids - Extended Warranty</t>
  </si>
  <si>
    <t>Prepaids - Other Distribution Utility</t>
  </si>
  <si>
    <t>PSCO 2014 Rate Case - 14AL-0660E</t>
  </si>
  <si>
    <t>Colorado PUC Docket No. 16A-0396E</t>
  </si>
  <si>
    <t>Colorado PUC Docket No. 15AL-0877E</t>
  </si>
  <si>
    <t>Colorado PUC Docket No. 17F-0306EG</t>
  </si>
  <si>
    <t>Colorado PUC Docket No. 17D-0082E</t>
  </si>
  <si>
    <t>Mandated Inserts</t>
  </si>
  <si>
    <t>Miscellaneous Items - Other</t>
  </si>
  <si>
    <t>FF1, Pg 351, Ln 5</t>
  </si>
  <si>
    <t>FF1, Pg 351, Ln 7</t>
  </si>
  <si>
    <t>FF1, Pg 351, Ln 11</t>
  </si>
  <si>
    <t>FF1, Pg 351, Ln 12</t>
  </si>
  <si>
    <t>FF1, Pg 351, Ln 13</t>
  </si>
  <si>
    <t>FF1, Pg 351, Ln 14</t>
  </si>
  <si>
    <t>FF1, Pg 351, Ln 15</t>
  </si>
  <si>
    <t>FF1, Pg 351, Ln 20</t>
  </si>
  <si>
    <t>FF1, Pg 351, Ln 24</t>
  </si>
  <si>
    <t>FF1, Pg 351, Ln 25</t>
  </si>
  <si>
    <t>4</t>
  </si>
  <si>
    <t>18:00</t>
  </si>
  <si>
    <t>2</t>
  </si>
  <si>
    <t>19:00</t>
  </si>
  <si>
    <t>6</t>
  </si>
  <si>
    <t>20:00</t>
  </si>
  <si>
    <t>31</t>
  </si>
  <si>
    <t>21</t>
  </si>
  <si>
    <t>17:00</t>
  </si>
  <si>
    <t>19</t>
  </si>
  <si>
    <t>16:00</t>
  </si>
  <si>
    <t>29</t>
  </si>
  <si>
    <t>12</t>
  </si>
  <si>
    <t>30</t>
  </si>
  <si>
    <t>7</t>
  </si>
  <si>
    <t>13 Month Avg. (Lns 1 - 13)</t>
  </si>
  <si>
    <t>13 Month Avg. (Lns 23 - 35)</t>
  </si>
  <si>
    <t>13 Month Avg. (Lns 53 - 65)</t>
  </si>
  <si>
    <t>13 Month Avg. (Lns 72 - 84)</t>
  </si>
  <si>
    <t>BOY/EOY Avg (6)</t>
  </si>
  <si>
    <t>13 Month Avg. (Lns 105 - 117)</t>
  </si>
  <si>
    <t>13 Month Avg. (Lns 130 - 142)</t>
  </si>
</sst>
</file>

<file path=xl/styles.xml><?xml version="1.0" encoding="utf-8"?>
<styleSheet xmlns="http://schemas.openxmlformats.org/spreadsheetml/2006/main" xmlns:mc="http://schemas.openxmlformats.org/markup-compatibility/2006" xmlns:x14ac="http://schemas.microsoft.com/office/spreadsheetml/2009/9/ac" mc:Ignorable="x14ac">
  <numFmts count="7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numFmt numFmtId="166" formatCode="0."/>
    <numFmt numFmtId="167" formatCode="_-* #,##0.0_-;\-* #,##0.0_-;_-* &quot;-&quot;??_-;_-@_-"/>
    <numFmt numFmtId="168" formatCode="#,##0.00&quot; $&quot;;\-#,##0.00&quot; $&quot;"/>
    <numFmt numFmtId="169" formatCode="0.00_)"/>
    <numFmt numFmtId="170" formatCode="&quot;$&quot;#,##0.00"/>
    <numFmt numFmtId="171" formatCode="_(* #,##0_);_(* \(#,##0\);_(* &quot;&quot;_);_(@_)"/>
    <numFmt numFmtId="172" formatCode="_(* #,##0,_);_(* \(#,##0,\);_(* &quot;-   &quot;_);_(@_)"/>
    <numFmt numFmtId="173" formatCode="_(* #,##0.0,_);_(* \(#,##0.0,\);_(* &quot;-   &quot;_);_(@_)"/>
    <numFmt numFmtId="174" formatCode="0.00000"/>
    <numFmt numFmtId="175" formatCode="#,##0.00000"/>
    <numFmt numFmtId="176" formatCode="0.000%"/>
    <numFmt numFmtId="177" formatCode="_(* #,##0.00000_);_(* \(#,##0.00000\);_(* &quot;-&quot;??_);_(@_)"/>
    <numFmt numFmtId="178" formatCode="_(* #,##0.0000_);_(* \(#,##0.0000\);_(* &quot;-&quot;??_);_(@_)"/>
    <numFmt numFmtId="179" formatCode="_(* #,##0.0000_);_(* \(#,##0.0000\);_(* &quot;-&quot;_);_(@_)"/>
    <numFmt numFmtId="180" formatCode="#,##0.0000"/>
    <numFmt numFmtId="181" formatCode="0.0000"/>
    <numFmt numFmtId="182" formatCode="&quot;$&quot;#,##0"/>
    <numFmt numFmtId="183" formatCode="_(* #,##0.0_);_(* \(#,##0.0\);_(* &quot;-&quot;??_);_(@_)"/>
    <numFmt numFmtId="184" formatCode="_(* #,##0_);_(* \(#,##0\);_(* &quot;-&quot;??_);_(@_)"/>
    <numFmt numFmtId="185" formatCode="_(&quot;$&quot;* #,##0_);_(&quot;$&quot;* \(#,##0\);_(&quot;$&quot;* &quot;-&quot;??_);_(@_)"/>
    <numFmt numFmtId="186" formatCode="&quot;$&quot;#,##0.000_);\(&quot;$&quot;#,##0.000\)"/>
    <numFmt numFmtId="187" formatCode="&quot;$&quot;#,##0.0000_);\(&quot;$&quot;#,##0.0000\)"/>
    <numFmt numFmtId="188" formatCode="#,##0.0000_);\(#,##0.0000\)"/>
    <numFmt numFmtId="189" formatCode="General_)"/>
    <numFmt numFmtId="190" formatCode="0.0"/>
    <numFmt numFmtId="191" formatCode="_(&quot;$&quot;* #,##0.0000_);_(&quot;$&quot;* \(#,##0.0000\);_(&quot;$&quot;* &quot;-&quot;??_);_(@_)"/>
    <numFmt numFmtId="192" formatCode="_(&quot;$&quot;* #,##0.000_);_(&quot;$&quot;* \(#,##0.000\);_(&quot;$&quot;* &quot;-&quot;??_);_(@_)"/>
    <numFmt numFmtId="193" formatCode="0.0%"/>
    <numFmt numFmtId="194" formatCode="&quot;$&quot;#,##0.000"/>
    <numFmt numFmtId="195" formatCode="0.0000%"/>
    <numFmt numFmtId="196" formatCode="0_);\(0\)"/>
    <numFmt numFmtId="197" formatCode="0.000"/>
    <numFmt numFmtId="198" formatCode="0.00000%"/>
    <numFmt numFmtId="199" formatCode="_(* #,##0.000000_);_(* \(#,##0.000000\);_(* &quot;-&quot;??_);_(@_)"/>
    <numFmt numFmtId="200" formatCode="[$-409]mmm\-yy;@"/>
    <numFmt numFmtId="201" formatCode="_(* #,##0.000_);_(* \(#,##0.000\);_(* &quot;-&quot;??_);_(@_)"/>
    <numFmt numFmtId="202" formatCode="mmmm\-yy"/>
    <numFmt numFmtId="203" formatCode="0.00000000"/>
    <numFmt numFmtId="204" formatCode="0.000000000"/>
    <numFmt numFmtId="205" formatCode="h:mm:ss;@"/>
    <numFmt numFmtId="206" formatCode="\(@\)"/>
    <numFmt numFmtId="207" formatCode="&quot;$&quot;* #,##0.0000&quot;/kwh &quot;"/>
    <numFmt numFmtId="208" formatCode="0.0000_)"/>
    <numFmt numFmtId="209" formatCode="&quot; &quot;&quot;$&quot;* #,##0.00&quot;/kw  &quot;"/>
    <numFmt numFmtId="210" formatCode="* #,##0&quot;  &quot;\ "/>
    <numFmt numFmtId="211" formatCode="yyyy"/>
    <numFmt numFmtId="212" formatCode="#,##0.0"/>
    <numFmt numFmtId="213" formatCode="&quot;$&quot;#,##0.0;[Red]\-&quot;$&quot;#,##0.0"/>
    <numFmt numFmtId="214" formatCode="_(* #,##0.0_);_(* \(#,##0.0\);_(* &quot;-&quot;_0_);_(@_)"/>
    <numFmt numFmtId="215" formatCode="#,##0\ ;[Red]\(#,##0\)"/>
    <numFmt numFmtId="216" formatCode="#,##0."/>
    <numFmt numFmtId="217" formatCode="_(&quot;$&quot;* #,##0.0000_);_(&quot;$&quot;* \(#,##0.0000\);_(&quot;$&quot;* &quot;-&quot;????_);_(@_)"/>
    <numFmt numFmtId="218" formatCode="\$#."/>
    <numFmt numFmtId="219" formatCode="m/d/yy\ h:mm"/>
    <numFmt numFmtId="220" formatCode="_(&quot;N$&quot;* #,##0_);_(&quot;N$&quot;* \(#,##0\);_(&quot;N$&quot;* &quot;-&quot;_);_(@_)"/>
    <numFmt numFmtId="221" formatCode="_(&quot;N$&quot;* #,##0.00_);_(&quot;N$&quot;* \(#,##0.00\);_(&quot;N$&quot;* &quot;-&quot;??_);_(@_)"/>
    <numFmt numFmtId="222" formatCode="#,##0.0000\ ;[Red]\(#,##0.0000\)"/>
    <numFmt numFmtId="223" formatCode="_(* 0%_);_(* \(0%\);_(* \-_%_)"/>
    <numFmt numFmtId="224" formatCode="%#."/>
    <numFmt numFmtId="225" formatCode="#,##0.0\ \ \ \ ;[Red]\(#,##0.0\)\ \ "/>
    <numFmt numFmtId="226" formatCode="0.0\ \ \ \ \ \ ;[Red]\(0.0\)\ \ \ \ "/>
    <numFmt numFmtId="227" formatCode="0.0\ \ \ \ \ \ \ \ ;[Red]\(0.0\)\ \ \ \ \ \ "/>
    <numFmt numFmtId="228" formatCode="mmm\ dd\,\ yyyy"/>
    <numFmt numFmtId="229" formatCode="mmm\-yyyy"/>
    <numFmt numFmtId="230" formatCode="#,##0.000000_);\(#,##0.000000\)"/>
    <numFmt numFmtId="231" formatCode="0.000000"/>
  </numFmts>
  <fonts count="113">
    <font>
      <sz val="10"/>
      <name val="Arial"/>
    </font>
    <font>
      <sz val="10"/>
      <name val="Arial"/>
      <family val="2"/>
    </font>
    <font>
      <sz val="8"/>
      <name val="Arial"/>
      <family val="2"/>
    </font>
    <font>
      <b/>
      <sz val="16"/>
      <name val="Arial"/>
      <family val="2"/>
    </font>
    <font>
      <sz val="11"/>
      <color indexed="8"/>
      <name val="Calibri"/>
      <family val="2"/>
    </font>
    <font>
      <sz val="11"/>
      <color indexed="9"/>
      <name val="Calibri"/>
      <family val="2"/>
    </font>
    <font>
      <b/>
      <sz val="10"/>
      <name val="Arial"/>
      <family val="2"/>
    </font>
    <font>
      <sz val="11"/>
      <color indexed="20"/>
      <name val="Calibri"/>
      <family val="2"/>
    </font>
    <font>
      <b/>
      <sz val="11"/>
      <color indexed="52"/>
      <name val="Calibri"/>
      <family val="2"/>
    </font>
    <font>
      <b/>
      <sz val="11"/>
      <color indexed="9"/>
      <name val="Calibri"/>
      <family val="2"/>
    </font>
    <font>
      <u val="singleAccounting"/>
      <sz val="10"/>
      <name val="Times"/>
      <family val="1"/>
    </font>
    <font>
      <sz val="11"/>
      <name val="??"/>
      <family val="3"/>
      <charset val="129"/>
    </font>
    <font>
      <sz val="12"/>
      <name val="Times New Roman"/>
      <family val="1"/>
    </font>
    <font>
      <i/>
      <sz val="11"/>
      <color indexed="23"/>
      <name val="Calibri"/>
      <family val="2"/>
    </font>
    <font>
      <sz val="11"/>
      <color indexed="17"/>
      <name val="Calibri"/>
      <family val="2"/>
    </font>
    <font>
      <sz val="8"/>
      <name val="Arial"/>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2"/>
      <name val="Arial MT"/>
    </font>
    <font>
      <sz val="12"/>
      <name val="Arial"/>
      <family val="2"/>
    </font>
    <font>
      <b/>
      <sz val="11"/>
      <color indexed="63"/>
      <name val="Calibri"/>
      <family val="2"/>
    </font>
    <font>
      <sz val="10"/>
      <color indexed="12"/>
      <name val="MS Sans Serif"/>
      <family val="2"/>
    </font>
    <font>
      <b/>
      <sz val="10"/>
      <color indexed="12"/>
      <name val="MS Sans Serif"/>
      <family val="2"/>
    </font>
    <font>
      <b/>
      <sz val="18"/>
      <color indexed="56"/>
      <name val="Cambria"/>
      <family val="2"/>
    </font>
    <font>
      <sz val="8"/>
      <color indexed="12"/>
      <name val="Arial"/>
      <family val="2"/>
    </font>
    <font>
      <sz val="11"/>
      <color indexed="10"/>
      <name val="Calibri"/>
      <family val="2"/>
    </font>
    <font>
      <sz val="10"/>
      <name val="Arial"/>
      <family val="2"/>
    </font>
    <font>
      <b/>
      <sz val="10"/>
      <name val="Arial"/>
      <family val="2"/>
    </font>
    <font>
      <sz val="10"/>
      <color indexed="10"/>
      <name val="Arial"/>
      <family val="2"/>
    </font>
    <font>
      <b/>
      <u/>
      <sz val="10"/>
      <name val="Arial"/>
      <family val="2"/>
    </font>
    <font>
      <sz val="10"/>
      <color indexed="10"/>
      <name val="Arial"/>
      <family val="2"/>
    </font>
    <font>
      <u/>
      <sz val="10"/>
      <name val="Arial"/>
      <family val="2"/>
    </font>
    <font>
      <sz val="10"/>
      <color indexed="8"/>
      <name val="Arial"/>
      <family val="2"/>
    </font>
    <font>
      <sz val="9"/>
      <color indexed="10"/>
      <name val="Geneva"/>
    </font>
    <font>
      <sz val="10"/>
      <name val="Tms Rmn"/>
    </font>
    <font>
      <b/>
      <sz val="8"/>
      <name val="Arial"/>
      <family val="2"/>
    </font>
    <font>
      <sz val="12"/>
      <color indexed="12"/>
      <name val="Helv"/>
    </font>
    <font>
      <sz val="10"/>
      <name val="MS Sans Serif"/>
      <family val="2"/>
    </font>
    <font>
      <b/>
      <sz val="10"/>
      <name val="MS Sans Serif"/>
      <family val="2"/>
    </font>
    <font>
      <sz val="5.5"/>
      <name val="Small Fonts"/>
      <family val="2"/>
    </font>
    <font>
      <b/>
      <sz val="10"/>
      <color indexed="10"/>
      <name val="Arial"/>
      <family val="2"/>
    </font>
    <font>
      <sz val="12"/>
      <name val="Arial"/>
      <family val="2"/>
    </font>
    <font>
      <b/>
      <sz val="10"/>
      <color indexed="8"/>
      <name val="Arial"/>
      <family val="2"/>
    </font>
    <font>
      <sz val="12"/>
      <name val="Garamond"/>
      <family val="1"/>
    </font>
    <font>
      <sz val="10"/>
      <color indexed="8"/>
      <name val="Arial"/>
      <family val="2"/>
    </font>
    <font>
      <b/>
      <sz val="12"/>
      <name val="Arial"/>
      <family val="2"/>
    </font>
    <font>
      <sz val="9"/>
      <name val="Arial"/>
      <family val="2"/>
    </font>
    <font>
      <sz val="9"/>
      <name val="Arial"/>
      <family val="2"/>
    </font>
    <font>
      <b/>
      <u/>
      <sz val="12"/>
      <name val="Arial"/>
      <family val="2"/>
    </font>
    <font>
      <b/>
      <sz val="11"/>
      <name val="Arial"/>
      <family val="2"/>
    </font>
    <font>
      <sz val="9"/>
      <color indexed="10"/>
      <name val="Arial"/>
      <family val="2"/>
    </font>
    <font>
      <b/>
      <sz val="9"/>
      <name val="Arial"/>
      <family val="2"/>
    </font>
    <font>
      <b/>
      <sz val="9"/>
      <name val="Arial"/>
      <family val="2"/>
    </font>
    <font>
      <sz val="9"/>
      <color indexed="12"/>
      <name val="Arial"/>
      <family val="2"/>
    </font>
    <font>
      <u/>
      <sz val="9"/>
      <name val="Arial"/>
      <family val="2"/>
    </font>
    <font>
      <sz val="9"/>
      <color indexed="14"/>
      <name val="Arial"/>
      <family val="2"/>
    </font>
    <font>
      <u/>
      <sz val="10"/>
      <name val="Arial"/>
      <family val="2"/>
    </font>
    <font>
      <sz val="9"/>
      <color indexed="10"/>
      <name val="Arial"/>
      <family val="2"/>
    </font>
    <font>
      <vertAlign val="superscript"/>
      <sz val="10"/>
      <name val="Arial"/>
      <family val="2"/>
    </font>
    <font>
      <sz val="10"/>
      <name val="Arial"/>
      <family val="2"/>
    </font>
    <font>
      <u/>
      <sz val="9"/>
      <name val="Arial"/>
      <family val="2"/>
    </font>
    <font>
      <b/>
      <sz val="10"/>
      <color indexed="10"/>
      <name val="Arial"/>
      <family val="2"/>
    </font>
    <font>
      <b/>
      <sz val="10"/>
      <color indexed="10"/>
      <name val="Arial Unicode MS"/>
      <family val="2"/>
    </font>
    <font>
      <b/>
      <sz val="8.5"/>
      <name val="Arial"/>
      <family val="2"/>
    </font>
    <font>
      <sz val="10"/>
      <color indexed="45"/>
      <name val="Arial"/>
      <family val="2"/>
    </font>
    <font>
      <sz val="10"/>
      <name val="Arial"/>
      <family val="2"/>
    </font>
    <font>
      <u/>
      <sz val="10"/>
      <name val="Arial"/>
      <family val="2"/>
    </font>
    <font>
      <sz val="12"/>
      <name val="ZapfCalligr BT"/>
    </font>
    <font>
      <sz val="10"/>
      <name val="Times"/>
      <family val="1"/>
    </font>
    <font>
      <sz val="10"/>
      <name val="Courier"/>
      <family val="3"/>
    </font>
    <font>
      <sz val="10"/>
      <name val="Times New Roman"/>
      <family val="1"/>
    </font>
    <font>
      <sz val="10"/>
      <color indexed="17"/>
      <name val="Arial"/>
      <family val="2"/>
    </font>
    <font>
      <sz val="10"/>
      <name val="Geneva"/>
      <family val="2"/>
    </font>
    <font>
      <sz val="10"/>
      <name val="Arial Narrow"/>
      <family val="2"/>
    </font>
    <font>
      <b/>
      <i/>
      <sz val="12"/>
      <color indexed="12"/>
      <name val="Arial"/>
      <family val="2"/>
    </font>
    <font>
      <sz val="1"/>
      <color indexed="8"/>
      <name val="Courier"/>
      <family val="3"/>
    </font>
    <font>
      <sz val="12"/>
      <name val="Helv"/>
    </font>
    <font>
      <sz val="8"/>
      <name val="BERNHARD"/>
    </font>
    <font>
      <sz val="10"/>
      <name val="Helv"/>
    </font>
    <font>
      <sz val="9"/>
      <name val="Geneva"/>
      <family val="2"/>
    </font>
    <font>
      <sz val="8"/>
      <name val="Courier"/>
      <family val="3"/>
    </font>
    <font>
      <sz val="8"/>
      <color indexed="8"/>
      <name val="Arial"/>
      <family val="2"/>
    </font>
    <font>
      <sz val="11"/>
      <name val="Calibri"/>
      <family val="2"/>
    </font>
    <font>
      <sz val="10"/>
      <name val="Arial"/>
      <family val="2"/>
    </font>
    <font>
      <sz val="10"/>
      <name val="Arial"/>
      <family val="2"/>
    </font>
    <font>
      <sz val="10"/>
      <name val="Arial"/>
      <family val="2"/>
    </font>
    <font>
      <b/>
      <sz val="9"/>
      <color indexed="81"/>
      <name val="Tahoma"/>
      <family val="2"/>
    </font>
    <font>
      <sz val="10"/>
      <name val="Arial"/>
      <family val="2"/>
    </font>
    <font>
      <sz val="11"/>
      <color theme="1"/>
      <name val="Calibri"/>
      <family val="2"/>
      <scheme val="minor"/>
    </font>
    <font>
      <sz val="11"/>
      <color theme="1"/>
      <name val="Times New Roman"/>
      <family val="2"/>
    </font>
    <font>
      <sz val="10"/>
      <color rgb="FFFF0000"/>
      <name val="Arial"/>
      <family val="2"/>
    </font>
    <font>
      <b/>
      <sz val="10"/>
      <color theme="1"/>
      <name val="Arial"/>
      <family val="2"/>
    </font>
    <font>
      <sz val="8"/>
      <color theme="1"/>
      <name val="Arial"/>
      <family val="2"/>
    </font>
    <font>
      <i/>
      <sz val="8"/>
      <color theme="1"/>
      <name val="Arial"/>
      <family val="2"/>
    </font>
    <font>
      <sz val="10"/>
      <color theme="1"/>
      <name val="Arial"/>
      <family val="2"/>
    </font>
    <font>
      <b/>
      <sz val="8"/>
      <color theme="1"/>
      <name val="Arial"/>
      <family val="2"/>
    </font>
    <font>
      <sz val="8"/>
      <color rgb="FF0000FF"/>
      <name val="Arial"/>
      <family val="2"/>
    </font>
    <font>
      <sz val="8"/>
      <color rgb="FFFF0000"/>
      <name val="Arial"/>
      <family val="2"/>
    </font>
    <font>
      <b/>
      <sz val="8"/>
      <color theme="9" tint="-0.499984740745262"/>
      <name val="Arial"/>
      <family val="2"/>
    </font>
    <font>
      <sz val="8"/>
      <color theme="9" tint="-0.499984740745262"/>
      <name val="Arial"/>
      <family val="2"/>
    </font>
    <font>
      <b/>
      <i/>
      <sz val="8"/>
      <color theme="1"/>
      <name val="Arial"/>
      <family val="2"/>
    </font>
    <font>
      <sz val="10"/>
      <color theme="0" tint="-0.14999847407452621"/>
      <name val="Arial"/>
      <family val="2"/>
    </font>
    <font>
      <b/>
      <i/>
      <sz val="10"/>
      <name val="Arial"/>
      <family val="2"/>
    </font>
    <font>
      <sz val="10"/>
      <color theme="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lightGray"/>
    </fill>
    <fill>
      <patternFill patternType="gray0625"/>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s>
  <borders count="77">
    <border>
      <left/>
      <right/>
      <top/>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22"/>
      </left>
      <right/>
      <top style="thin">
        <color indexed="22"/>
      </top>
      <bottom style="thin">
        <color indexed="22"/>
      </bottom>
      <diagonal/>
    </border>
    <border>
      <left/>
      <right/>
      <top style="thin">
        <color indexed="22"/>
      </top>
      <bottom/>
      <diagonal/>
    </border>
    <border>
      <left style="thin">
        <color indexed="22"/>
      </left>
      <right style="medium">
        <color indexed="64"/>
      </right>
      <top style="thin">
        <color indexed="22"/>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right/>
      <top style="thin">
        <color indexed="64"/>
      </top>
      <bottom style="thin">
        <color indexed="64"/>
      </bottom>
      <diagonal/>
    </border>
    <border>
      <left style="thin">
        <color indexed="22"/>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22"/>
      </left>
      <right style="medium">
        <color indexed="64"/>
      </right>
      <top style="medium">
        <color indexed="22"/>
      </top>
      <bottom style="medium">
        <color indexed="22"/>
      </bottom>
      <diagonal/>
    </border>
    <border>
      <left/>
      <right style="thin">
        <color indexed="22"/>
      </right>
      <top style="thin">
        <color indexed="22"/>
      </top>
      <bottom style="thin">
        <color indexed="22"/>
      </bottom>
      <diagonal/>
    </border>
    <border>
      <left style="thin">
        <color indexed="22"/>
      </left>
      <right/>
      <top/>
      <bottom style="thin">
        <color indexed="64"/>
      </bottom>
      <diagonal/>
    </border>
    <border>
      <left style="medium">
        <color indexed="22"/>
      </left>
      <right style="medium">
        <color indexed="64"/>
      </right>
      <top style="medium">
        <color indexed="22"/>
      </top>
      <bottom style="thin">
        <color indexed="64"/>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right style="medium">
        <color indexed="64"/>
      </right>
      <top style="thin">
        <color indexed="64"/>
      </top>
      <bottom style="thin">
        <color indexed="64"/>
      </bottom>
      <diagonal/>
    </border>
    <border>
      <left/>
      <right style="thin">
        <color indexed="22"/>
      </right>
      <top/>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style="thin">
        <color indexed="64"/>
      </top>
      <bottom/>
      <diagonal/>
    </border>
    <border>
      <left style="thin">
        <color indexed="22"/>
      </left>
      <right style="thin">
        <color indexed="22"/>
      </right>
      <top/>
      <bottom style="medium">
        <color indexed="64"/>
      </bottom>
      <diagonal/>
    </border>
  </borders>
  <cellStyleXfs count="413">
    <xf numFmtId="0" fontId="0" fillId="0" borderId="0"/>
    <xf numFmtId="0" fontId="41" fillId="0" borderId="0">
      <alignment vertical="top"/>
    </xf>
    <xf numFmtId="0" fontId="42" fillId="0" borderId="0"/>
    <xf numFmtId="0" fontId="1" fillId="0" borderId="0" applyNumberFormat="0" applyFill="0" applyBorder="0" applyAlignment="0" applyProtection="0"/>
    <xf numFmtId="0" fontId="35"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1"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164" fontId="6" fillId="20" borderId="1">
      <alignment horizontal="center" vertical="center"/>
    </xf>
    <xf numFmtId="213" fontId="79" fillId="20" borderId="1">
      <alignment horizontal="center" vertical="center"/>
    </xf>
    <xf numFmtId="0" fontId="81" fillId="0" borderId="0" applyNumberFormat="0" applyFont="0" applyFill="0" applyBorder="0" applyProtection="0">
      <alignment vertical="top" wrapText="1"/>
    </xf>
    <xf numFmtId="0" fontId="6" fillId="21" borderId="0" applyNumberFormat="0" applyFont="0" applyAlignment="0">
      <alignment vertical="top"/>
    </xf>
    <xf numFmtId="0" fontId="35" fillId="21" borderId="0" applyNumberFormat="0" applyFont="0" applyAlignment="0">
      <alignment vertical="top" wrapText="1"/>
    </xf>
    <xf numFmtId="0" fontId="7" fillId="3" borderId="0" applyNumberFormat="0" applyBorder="0" applyAlignment="0" applyProtection="0"/>
    <xf numFmtId="201" fontId="49" fillId="0" borderId="2" applyNumberFormat="0" applyFill="0" applyBorder="0" applyAlignment="0" applyProtection="0">
      <alignment horizontal="center"/>
    </xf>
    <xf numFmtId="0" fontId="8" fillId="22" borderId="3" applyNumberFormat="0" applyAlignment="0" applyProtection="0"/>
    <xf numFmtId="0" fontId="43" fillId="0" borderId="0"/>
    <xf numFmtId="0" fontId="9" fillId="23" borderId="4" applyNumberFormat="0" applyAlignment="0" applyProtection="0"/>
    <xf numFmtId="165" fontId="10" fillId="0" borderId="0">
      <alignment horizontal="center" wrapText="1"/>
    </xf>
    <xf numFmtId="43" fontId="1" fillId="0" borderId="0" applyFont="0" applyFill="0" applyBorder="0" applyAlignment="0" applyProtection="0"/>
    <xf numFmtId="214" fontId="82" fillId="0" borderId="0" applyFont="0" applyFill="0" applyBorder="0" applyAlignment="0" applyProtection="0">
      <alignment vertical="center"/>
    </xf>
    <xf numFmtId="4" fontId="83" fillId="0" borderId="5" applyFont="0" applyFill="0" applyBorder="0" applyAlignment="0">
      <alignment horizontal="center" vertical="center"/>
    </xf>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7" fillId="0" borderId="0" applyFont="0" applyFill="0" applyBorder="0" applyAlignment="0" applyProtection="0"/>
    <xf numFmtId="43" fontId="79" fillId="0" borderId="0" applyFont="0" applyFill="0" applyBorder="0" applyAlignment="0" applyProtection="0"/>
    <xf numFmtId="43" fontId="35" fillId="0" borderId="0" applyFont="0" applyFill="0" applyBorder="0" applyAlignment="0" applyProtection="0"/>
    <xf numFmtId="43" fontId="76"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38" fontId="2" fillId="0" borderId="0">
      <alignment horizontal="right"/>
    </xf>
    <xf numFmtId="215" fontId="81" fillId="0" borderId="0" applyFont="0" applyFill="0" applyBorder="0" applyAlignment="0" applyProtection="0"/>
    <xf numFmtId="216" fontId="84" fillId="0" borderId="0">
      <protection locked="0"/>
    </xf>
    <xf numFmtId="0" fontId="85" fillId="0" borderId="0"/>
    <xf numFmtId="0" fontId="86" fillId="0" borderId="0"/>
    <xf numFmtId="216" fontId="84" fillId="0" borderId="0">
      <protection locked="0"/>
    </xf>
    <xf numFmtId="212" fontId="79" fillId="0" borderId="0" applyFont="0" applyFill="0" applyBorder="0" applyAlignment="0" applyProtection="0"/>
    <xf numFmtId="212" fontId="79" fillId="0" borderId="0" applyFont="0" applyFill="0" applyBorder="0" applyAlignment="0" applyProtection="0"/>
    <xf numFmtId="4" fontId="79" fillId="0" borderId="0" applyFont="0" applyFill="0" applyBorder="0" applyAlignment="0" applyProtection="0"/>
    <xf numFmtId="4" fontId="79" fillId="0" borderId="0" applyFont="0" applyFill="0" applyBorder="0" applyAlignment="0" applyProtection="0"/>
    <xf numFmtId="4" fontId="44" fillId="0" borderId="0"/>
    <xf numFmtId="209" fontId="28" fillId="0" borderId="0">
      <protection locked="0"/>
    </xf>
    <xf numFmtId="44" fontId="1" fillId="0" borderId="0" applyFont="0" applyFill="0" applyBorder="0" applyAlignment="0" applyProtection="0"/>
    <xf numFmtId="44" fontId="82" fillId="0" borderId="0" applyFont="0" applyFill="0" applyBorder="0" applyAlignment="0" applyProtection="0"/>
    <xf numFmtId="217" fontId="8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6"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18" fontId="84" fillId="0" borderId="0">
      <protection locked="0"/>
    </xf>
    <xf numFmtId="6" fontId="11" fillId="0" borderId="0">
      <protection locked="0"/>
    </xf>
    <xf numFmtId="219" fontId="35" fillId="0" borderId="0" applyFont="0" applyFill="0" applyBorder="0" applyAlignment="0" applyProtection="0">
      <alignment wrapText="1"/>
    </xf>
    <xf numFmtId="219" fontId="35" fillId="0" borderId="0" applyFont="0" applyFill="0" applyBorder="0" applyAlignment="0" applyProtection="0">
      <alignment wrapText="1"/>
    </xf>
    <xf numFmtId="16" fontId="2" fillId="0" borderId="0">
      <alignment horizontal="right"/>
    </xf>
    <xf numFmtId="15" fontId="2" fillId="0" borderId="0">
      <alignment horizontal="right"/>
    </xf>
    <xf numFmtId="166" fontId="12" fillId="0" borderId="0"/>
    <xf numFmtId="0" fontId="13" fillId="0" borderId="0" applyNumberFormat="0" applyFill="0" applyBorder="0" applyAlignment="0" applyProtection="0"/>
    <xf numFmtId="167" fontId="1" fillId="0" borderId="0">
      <protection locked="0"/>
    </xf>
    <xf numFmtId="167" fontId="35" fillId="0" borderId="0">
      <protection locked="0"/>
    </xf>
    <xf numFmtId="167" fontId="35" fillId="0" borderId="0">
      <protection locked="0"/>
    </xf>
    <xf numFmtId="0" fontId="87" fillId="0" borderId="0"/>
    <xf numFmtId="0" fontId="87" fillId="0" borderId="0"/>
    <xf numFmtId="0" fontId="88" fillId="0" borderId="0" applyNumberFormat="0" applyFill="0" applyBorder="0" applyAlignment="0" applyProtection="0"/>
    <xf numFmtId="0" fontId="14" fillId="4" borderId="0" applyNumberFormat="0" applyBorder="0" applyAlignment="0" applyProtection="0"/>
    <xf numFmtId="0" fontId="80" fillId="4" borderId="0" applyNumberFormat="0" applyBorder="0" applyAlignment="0" applyProtection="0"/>
    <xf numFmtId="38" fontId="15" fillId="24" borderId="0" applyNumberFormat="0" applyBorder="0" applyAlignment="0" applyProtection="0"/>
    <xf numFmtId="38" fontId="2" fillId="24"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168" fontId="1" fillId="0" borderId="0">
      <protection locked="0"/>
    </xf>
    <xf numFmtId="168" fontId="35" fillId="0" borderId="0">
      <protection locked="0"/>
    </xf>
    <xf numFmtId="168" fontId="35" fillId="0" borderId="0">
      <protection locked="0"/>
    </xf>
    <xf numFmtId="168" fontId="1" fillId="0" borderId="0">
      <protection locked="0"/>
    </xf>
    <xf numFmtId="168" fontId="35" fillId="0" borderId="0">
      <protection locked="0"/>
    </xf>
    <xf numFmtId="168" fontId="35" fillId="0" borderId="0">
      <protection locked="0"/>
    </xf>
    <xf numFmtId="0" fontId="20" fillId="0" borderId="9" applyNumberFormat="0" applyFill="0" applyAlignment="0" applyProtection="0"/>
    <xf numFmtId="0" fontId="21" fillId="0" borderId="0" applyNumberFormat="0" applyFill="0" applyBorder="0" applyAlignment="0" applyProtection="0"/>
    <xf numFmtId="0" fontId="22" fillId="7" borderId="3" applyNumberFormat="0" applyAlignment="0" applyProtection="0"/>
    <xf numFmtId="10" fontId="15" fillId="25" borderId="10" applyNumberFormat="0" applyBorder="0" applyAlignment="0" applyProtection="0"/>
    <xf numFmtId="10" fontId="2" fillId="25" borderId="10" applyNumberFormat="0" applyBorder="0" applyAlignment="0" applyProtection="0"/>
    <xf numFmtId="210" fontId="28" fillId="0" borderId="0">
      <alignment horizontal="center"/>
      <protection locked="0"/>
    </xf>
    <xf numFmtId="0" fontId="23" fillId="0" borderId="11" applyNumberFormat="0" applyFill="0" applyAlignment="0" applyProtection="0"/>
    <xf numFmtId="220" fontId="35" fillId="0" borderId="0" applyFont="0" applyFill="0" applyBorder="0" applyAlignment="0" applyProtection="0"/>
    <xf numFmtId="221" fontId="35" fillId="0" borderId="0" applyFont="0" applyFill="0" applyBorder="0" applyAlignment="0" applyProtection="0"/>
    <xf numFmtId="0" fontId="24" fillId="26" borderId="0" applyNumberFormat="0" applyBorder="0" applyAlignment="0" applyProtection="0"/>
    <xf numFmtId="37" fontId="25" fillId="0" borderId="0"/>
    <xf numFmtId="169" fontId="26" fillId="0" borderId="0"/>
    <xf numFmtId="222" fontId="79" fillId="0" borderId="0"/>
    <xf numFmtId="37" fontId="45" fillId="0" borderId="0"/>
    <xf numFmtId="0" fontId="97" fillId="0" borderId="0"/>
    <xf numFmtId="0" fontId="35" fillId="0" borderId="0"/>
    <xf numFmtId="0" fontId="35" fillId="0" borderId="0"/>
    <xf numFmtId="0" fontId="97" fillId="0" borderId="0"/>
    <xf numFmtId="0" fontId="4" fillId="0" borderId="0"/>
    <xf numFmtId="0" fontId="97" fillId="0" borderId="0"/>
    <xf numFmtId="0" fontId="35" fillId="0" borderId="0"/>
    <xf numFmtId="0" fontId="97" fillId="0" borderId="0"/>
    <xf numFmtId="0" fontId="97" fillId="0" borderId="0"/>
    <xf numFmtId="0" fontId="35" fillId="0" borderId="0"/>
    <xf numFmtId="0" fontId="97" fillId="0" borderId="0"/>
    <xf numFmtId="0" fontId="35" fillId="0" borderId="0"/>
    <xf numFmtId="0" fontId="97" fillId="0" borderId="0"/>
    <xf numFmtId="0" fontId="97" fillId="0" borderId="0"/>
    <xf numFmtId="0" fontId="35" fillId="0" borderId="0"/>
    <xf numFmtId="0" fontId="97" fillId="0" borderId="0"/>
    <xf numFmtId="0" fontId="35" fillId="0" borderId="0"/>
    <xf numFmtId="0" fontId="35" fillId="0" borderId="0"/>
    <xf numFmtId="0" fontId="35" fillId="0" borderId="0"/>
    <xf numFmtId="0" fontId="35" fillId="0" borderId="0"/>
    <xf numFmtId="0" fontId="98" fillId="0" borderId="0"/>
    <xf numFmtId="0" fontId="35" fillId="0" borderId="0"/>
    <xf numFmtId="0" fontId="35" fillId="0" borderId="0"/>
    <xf numFmtId="0" fontId="35" fillId="0" borderId="0"/>
    <xf numFmtId="0" fontId="35" fillId="0" borderId="0"/>
    <xf numFmtId="0" fontId="35" fillId="0" borderId="0"/>
    <xf numFmtId="0" fontId="9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protection locked="0"/>
    </xf>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7" fillId="0" borderId="0"/>
    <xf numFmtId="0" fontId="97" fillId="0" borderId="0"/>
    <xf numFmtId="0" fontId="97" fillId="0" borderId="0"/>
    <xf numFmtId="189" fontId="28" fillId="0" borderId="0"/>
    <xf numFmtId="0" fontId="89" fillId="0" borderId="0"/>
    <xf numFmtId="0" fontId="97" fillId="0" borderId="0"/>
    <xf numFmtId="0" fontId="97" fillId="0" borderId="0"/>
    <xf numFmtId="0" fontId="97" fillId="0" borderId="0"/>
    <xf numFmtId="0" fontId="97" fillId="0" borderId="0"/>
    <xf numFmtId="0" fontId="35" fillId="0" borderId="0"/>
    <xf numFmtId="0" fontId="35" fillId="0" borderId="0"/>
    <xf numFmtId="0" fontId="35" fillId="0" borderId="0"/>
    <xf numFmtId="0" fontId="35" fillId="0" borderId="0"/>
    <xf numFmtId="0" fontId="35" fillId="0" borderId="0"/>
    <xf numFmtId="0" fontId="41" fillId="0" borderId="0">
      <alignment vertical="top"/>
    </xf>
    <xf numFmtId="0" fontId="97" fillId="0" borderId="0"/>
    <xf numFmtId="0" fontId="97" fillId="0" borderId="0"/>
    <xf numFmtId="189" fontId="78" fillId="0" borderId="0"/>
    <xf numFmtId="0" fontId="35" fillId="0" borderId="0"/>
    <xf numFmtId="0" fontId="8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5" fillId="0" borderId="0"/>
    <xf numFmtId="0" fontId="4" fillId="0" borderId="0"/>
    <xf numFmtId="0" fontId="97" fillId="0" borderId="0"/>
    <xf numFmtId="0" fontId="97" fillId="0" borderId="0"/>
    <xf numFmtId="0" fontId="97" fillId="0" borderId="0"/>
    <xf numFmtId="0" fontId="35" fillId="0" borderId="0"/>
    <xf numFmtId="0" fontId="97" fillId="0" borderId="0"/>
    <xf numFmtId="0" fontId="97" fillId="0" borderId="0"/>
    <xf numFmtId="0" fontId="35" fillId="0" borderId="0"/>
    <xf numFmtId="0" fontId="52" fillId="0" borderId="0"/>
    <xf numFmtId="0" fontId="1" fillId="0" borderId="0"/>
    <xf numFmtId="38" fontId="50" fillId="0" borderId="0"/>
    <xf numFmtId="0" fontId="28" fillId="0" borderId="0"/>
    <xf numFmtId="0" fontId="50" fillId="0" borderId="0"/>
    <xf numFmtId="38" fontId="50" fillId="0" borderId="0"/>
    <xf numFmtId="0" fontId="1" fillId="0" borderId="0"/>
    <xf numFmtId="0" fontId="28" fillId="0" borderId="0"/>
    <xf numFmtId="170" fontId="27" fillId="0" borderId="0" applyProtection="0"/>
    <xf numFmtId="0" fontId="28" fillId="0" borderId="0"/>
    <xf numFmtId="0" fontId="1" fillId="0" borderId="0"/>
    <xf numFmtId="170" fontId="27" fillId="0" borderId="0" applyProtection="0"/>
    <xf numFmtId="38" fontId="50" fillId="0" borderId="0"/>
    <xf numFmtId="41" fontId="12" fillId="0" borderId="0"/>
    <xf numFmtId="0" fontId="1" fillId="0" borderId="0"/>
    <xf numFmtId="41" fontId="77" fillId="0" borderId="0"/>
    <xf numFmtId="0" fontId="28" fillId="0" borderId="0"/>
    <xf numFmtId="189" fontId="28" fillId="0" borderId="0"/>
    <xf numFmtId="0" fontId="28" fillId="27" borderId="12" applyNumberFormat="0" applyFont="0" applyAlignment="0" applyProtection="0"/>
    <xf numFmtId="171" fontId="1" fillId="0" borderId="0"/>
    <xf numFmtId="171" fontId="35" fillId="0" borderId="0"/>
    <xf numFmtId="0" fontId="29" fillId="22" borderId="13" applyNumberFormat="0" applyAlignment="0" applyProtection="0"/>
    <xf numFmtId="9" fontId="1" fillId="0" borderId="0" applyFont="0" applyFill="0" applyBorder="0" applyAlignment="0" applyProtection="0"/>
    <xf numFmtId="223" fontId="82" fillId="0" borderId="0" applyFont="0" applyFill="0" applyBorder="0" applyAlignment="0" applyProtection="0"/>
    <xf numFmtId="10" fontId="1"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24" fontId="84" fillId="0" borderId="0">
      <protection locked="0"/>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47" fillId="0" borderId="14">
      <alignment horizontal="center"/>
    </xf>
    <xf numFmtId="3" fontId="46" fillId="0" borderId="0" applyFont="0" applyFill="0" applyBorder="0" applyAlignment="0" applyProtection="0"/>
    <xf numFmtId="0" fontId="46" fillId="28" borderId="0" applyNumberFormat="0" applyFont="0" applyBorder="0" applyAlignment="0" applyProtection="0"/>
    <xf numFmtId="0" fontId="30" fillId="0" borderId="15"/>
    <xf numFmtId="184" fontId="44" fillId="0" borderId="0"/>
    <xf numFmtId="3" fontId="90" fillId="0" borderId="16" applyBorder="0">
      <alignment horizontal="right" wrapText="1"/>
    </xf>
    <xf numFmtId="4" fontId="90" fillId="0" borderId="17" applyBorder="0">
      <alignment horizontal="right" wrapText="1"/>
    </xf>
    <xf numFmtId="0" fontId="35" fillId="29" borderId="13" applyNumberFormat="0" applyProtection="0">
      <alignment horizontal="left" vertical="center" indent="1"/>
    </xf>
    <xf numFmtId="4" fontId="41" fillId="30" borderId="13" applyNumberFormat="0" applyProtection="0">
      <alignment horizontal="right" vertical="center"/>
    </xf>
    <xf numFmtId="0" fontId="35" fillId="29" borderId="13" applyNumberFormat="0" applyProtection="0">
      <alignment horizontal="left" vertical="center" indent="1"/>
    </xf>
    <xf numFmtId="0" fontId="35" fillId="29" borderId="13" applyNumberFormat="0" applyProtection="0">
      <alignment horizontal="left" vertical="center" indent="1"/>
    </xf>
    <xf numFmtId="0" fontId="81" fillId="31" borderId="0" applyNumberFormat="0" applyFont="0" applyBorder="0" applyAlignment="0" applyProtection="0"/>
    <xf numFmtId="0" fontId="81" fillId="32" borderId="0" applyNumberFormat="0" applyFont="0" applyBorder="0" applyAlignment="0" applyProtection="0"/>
    <xf numFmtId="0" fontId="81" fillId="1" borderId="0" applyNumberFormat="0" applyFont="0" applyBorder="0" applyAlignment="0" applyProtection="0"/>
    <xf numFmtId="225" fontId="81" fillId="0" borderId="0" applyFont="0" applyFill="0" applyBorder="0" applyAlignment="0" applyProtection="0"/>
    <xf numFmtId="226" fontId="81" fillId="0" borderId="0" applyFont="0" applyFill="0" applyBorder="0" applyAlignment="0" applyProtection="0"/>
    <xf numFmtId="227" fontId="81" fillId="0" borderId="0" applyFont="0" applyFill="0" applyBorder="0" applyAlignment="0" applyProtection="0"/>
    <xf numFmtId="0" fontId="41" fillId="0" borderId="0">
      <alignment vertical="top"/>
    </xf>
    <xf numFmtId="0" fontId="6" fillId="33" borderId="18" applyFill="0">
      <alignment horizontal="center"/>
    </xf>
    <xf numFmtId="0" fontId="6" fillId="33" borderId="18" applyFill="0">
      <alignment horizontal="center"/>
    </xf>
    <xf numFmtId="0" fontId="6" fillId="33" borderId="18" applyFill="0">
      <alignment horizontal="center"/>
    </xf>
    <xf numFmtId="0" fontId="6" fillId="33" borderId="18" applyFill="0">
      <alignment horizontal="center"/>
    </xf>
    <xf numFmtId="0" fontId="6" fillId="34" borderId="19" applyNumberFormat="0" applyProtection="0">
      <alignment horizontal="center" wrapText="1"/>
    </xf>
    <xf numFmtId="0" fontId="6" fillId="34" borderId="19" applyNumberFormat="0" applyProtection="0">
      <alignment horizontal="center" wrapText="1"/>
    </xf>
    <xf numFmtId="0" fontId="6" fillId="34" borderId="20" applyNumberFormat="0" applyAlignment="0" applyProtection="0">
      <alignment wrapText="1"/>
    </xf>
    <xf numFmtId="0" fontId="6" fillId="34" borderId="20" applyNumberFormat="0" applyAlignment="0" applyProtection="0">
      <alignment wrapText="1"/>
    </xf>
    <xf numFmtId="0" fontId="35" fillId="35" borderId="0" applyNumberFormat="0" applyBorder="0">
      <alignment horizontal="center" wrapText="1"/>
    </xf>
    <xf numFmtId="0" fontId="35" fillId="35" borderId="0" applyNumberFormat="0" applyBorder="0">
      <alignment horizontal="center" wrapText="1"/>
    </xf>
    <xf numFmtId="0" fontId="35" fillId="35" borderId="0" applyNumberFormat="0" applyBorder="0">
      <alignment wrapText="1"/>
    </xf>
    <xf numFmtId="0" fontId="35" fillId="35" borderId="0" applyNumberFormat="0" applyBorder="0">
      <alignment wrapText="1"/>
    </xf>
    <xf numFmtId="0" fontId="35" fillId="0" borderId="0" applyNumberFormat="0" applyFill="0" applyBorder="0" applyProtection="0">
      <alignment horizontal="right" wrapText="1"/>
    </xf>
    <xf numFmtId="0" fontId="35" fillId="0" borderId="0" applyNumberFormat="0" applyFill="0" applyBorder="0" applyProtection="0">
      <alignment horizontal="right" wrapText="1"/>
    </xf>
    <xf numFmtId="228" fontId="35" fillId="0" borderId="0" applyFill="0" applyBorder="0" applyAlignment="0" applyProtection="0">
      <alignment wrapText="1"/>
    </xf>
    <xf numFmtId="228" fontId="35" fillId="0" borderId="0" applyFill="0" applyBorder="0" applyAlignment="0" applyProtection="0">
      <alignment wrapText="1"/>
    </xf>
    <xf numFmtId="229" fontId="35" fillId="0" borderId="0" applyFill="0" applyBorder="0" applyAlignment="0" applyProtection="0">
      <alignment wrapText="1"/>
    </xf>
    <xf numFmtId="229" fontId="35" fillId="0" borderId="0" applyFill="0" applyBorder="0" applyAlignment="0" applyProtection="0">
      <alignment wrapText="1"/>
    </xf>
    <xf numFmtId="211" fontId="35" fillId="0" borderId="0" applyFill="0" applyBorder="0" applyAlignment="0" applyProtection="0">
      <alignment wrapText="1"/>
    </xf>
    <xf numFmtId="211" fontId="35" fillId="0" borderId="0" applyFill="0" applyBorder="0" applyAlignment="0" applyProtection="0">
      <alignment wrapText="1"/>
    </xf>
    <xf numFmtId="0" fontId="35" fillId="0" borderId="0" applyNumberFormat="0" applyFill="0" applyBorder="0" applyProtection="0">
      <alignment horizontal="right" wrapText="1"/>
    </xf>
    <xf numFmtId="0" fontId="35" fillId="0" borderId="0" applyNumberFormat="0" applyFill="0" applyBorder="0" applyProtection="0">
      <alignment horizontal="right" wrapText="1"/>
    </xf>
    <xf numFmtId="0" fontId="35" fillId="0" borderId="0" applyNumberFormat="0" applyFill="0" applyBorder="0">
      <alignment horizontal="right" wrapText="1"/>
    </xf>
    <xf numFmtId="0" fontId="35" fillId="0" borderId="0" applyNumberFormat="0" applyFill="0" applyBorder="0">
      <alignment horizontal="right" wrapText="1"/>
    </xf>
    <xf numFmtId="17" fontId="35" fillId="0" borderId="0" applyFill="0" applyBorder="0">
      <alignment horizontal="right" wrapText="1"/>
    </xf>
    <xf numFmtId="17" fontId="35" fillId="0" borderId="0" applyFill="0" applyBorder="0">
      <alignment horizontal="right" wrapText="1"/>
    </xf>
    <xf numFmtId="8" fontId="35" fillId="0" borderId="0" applyFill="0" applyBorder="0" applyAlignment="0" applyProtection="0">
      <alignment wrapText="1"/>
    </xf>
    <xf numFmtId="8" fontId="35" fillId="0" borderId="0" applyFill="0" applyBorder="0" applyAlignment="0" applyProtection="0">
      <alignment wrapText="1"/>
    </xf>
    <xf numFmtId="0" fontId="54" fillId="0" borderId="0" applyNumberFormat="0" applyFill="0" applyBorder="0">
      <alignment horizontal="left" wrapText="1"/>
    </xf>
    <xf numFmtId="0" fontId="5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31" fillId="0" borderId="21"/>
    <xf numFmtId="0" fontId="48" fillId="0" borderId="0">
      <alignment horizontal="centerContinuous" vertical="center" wrapText="1"/>
    </xf>
    <xf numFmtId="0" fontId="81" fillId="0" borderId="0" applyNumberFormat="0" applyFont="0" applyFill="0" applyBorder="0" applyProtection="0">
      <alignment horizontal="center" wrapText="1"/>
    </xf>
    <xf numFmtId="0" fontId="81" fillId="0" borderId="0" applyNumberFormat="0" applyFont="0" applyFill="0" applyBorder="0" applyProtection="0">
      <alignment horizontal="centerContinuous" vertical="center" wrapText="1"/>
    </xf>
    <xf numFmtId="0" fontId="1" fillId="0" borderId="0"/>
    <xf numFmtId="0" fontId="35" fillId="0" borderId="0"/>
    <xf numFmtId="172" fontId="1" fillId="0" borderId="0">
      <alignment wrapText="1"/>
    </xf>
    <xf numFmtId="172" fontId="35" fillId="0" borderId="0">
      <alignment wrapText="1"/>
    </xf>
    <xf numFmtId="173" fontId="1" fillId="0" borderId="0">
      <alignment wrapText="1"/>
    </xf>
    <xf numFmtId="173" fontId="35" fillId="0" borderId="0">
      <alignment wrapText="1"/>
    </xf>
    <xf numFmtId="0" fontId="32" fillId="0" borderId="0" applyNumberFormat="0" applyFill="0" applyBorder="0" applyAlignment="0" applyProtection="0"/>
    <xf numFmtId="168" fontId="1" fillId="0" borderId="22">
      <protection locked="0"/>
    </xf>
    <xf numFmtId="37" fontId="15" fillId="21" borderId="0" applyNumberFormat="0" applyBorder="0" applyAlignment="0" applyProtection="0"/>
    <xf numFmtId="37" fontId="2" fillId="21" borderId="0" applyNumberFormat="0" applyBorder="0" applyAlignment="0" applyProtection="0"/>
    <xf numFmtId="37" fontId="2" fillId="0" borderId="0"/>
    <xf numFmtId="37" fontId="2" fillId="0" borderId="0"/>
    <xf numFmtId="3" fontId="33" fillId="0" borderId="9" applyProtection="0"/>
    <xf numFmtId="0" fontId="78" fillId="0" borderId="0"/>
    <xf numFmtId="0" fontId="81" fillId="0" borderId="0" applyNumberFormat="0" applyFont="0" applyFill="0" applyBorder="0" applyProtection="0"/>
    <xf numFmtId="0" fontId="81" fillId="0" borderId="0" applyNumberFormat="0" applyFont="0" applyFill="0" applyBorder="0" applyProtection="0">
      <alignment vertical="center"/>
    </xf>
    <xf numFmtId="0" fontId="81" fillId="0" borderId="0" applyNumberFormat="0" applyFont="0" applyFill="0" applyBorder="0" applyProtection="0">
      <alignment vertical="top"/>
    </xf>
    <xf numFmtId="0" fontId="34" fillId="0" borderId="0" applyNumberFormat="0" applyFill="0" applyBorder="0" applyAlignment="0" applyProtection="0"/>
    <xf numFmtId="0" fontId="81" fillId="0" borderId="0" applyNumberFormat="0" applyFont="0" applyFill="0" applyBorder="0" applyProtection="0">
      <alignment wrapText="1"/>
    </xf>
  </cellStyleXfs>
  <cellXfs count="1286">
    <xf numFmtId="0" fontId="0" fillId="0" borderId="0" xfId="0"/>
    <xf numFmtId="0" fontId="0" fillId="0" borderId="0" xfId="0" applyAlignment="1">
      <alignment horizontal="left" wrapText="1"/>
    </xf>
    <xf numFmtId="0" fontId="36" fillId="0" borderId="23" xfId="0" applyFont="1" applyBorder="1" applyAlignment="1">
      <alignment horizontal="center"/>
    </xf>
    <xf numFmtId="0" fontId="3" fillId="0" borderId="0" xfId="0" applyFont="1" applyAlignment="1">
      <alignment horizontal="center"/>
    </xf>
    <xf numFmtId="0" fontId="3" fillId="21" borderId="0" xfId="0" applyFont="1" applyFill="1" applyAlignment="1">
      <alignment horizontal="center"/>
    </xf>
    <xf numFmtId="0" fontId="20" fillId="0" borderId="0" xfId="248" applyNumberFormat="1" applyFont="1" applyProtection="1">
      <protection locked="0"/>
    </xf>
    <xf numFmtId="0" fontId="35" fillId="0" borderId="0" xfId="248" applyNumberFormat="1" applyFont="1" applyAlignment="1" applyProtection="1">
      <protection locked="0"/>
    </xf>
    <xf numFmtId="0" fontId="35" fillId="0" borderId="0" xfId="0" applyFont="1" applyAlignment="1"/>
    <xf numFmtId="170" fontId="35" fillId="0" borderId="0" xfId="248" applyFont="1" applyAlignment="1"/>
    <xf numFmtId="0" fontId="35" fillId="0" borderId="0" xfId="248" applyNumberFormat="1" applyFont="1" applyProtection="1">
      <protection locked="0"/>
    </xf>
    <xf numFmtId="0" fontId="36" fillId="0" borderId="0" xfId="248" applyNumberFormat="1" applyFont="1" applyAlignment="1" applyProtection="1">
      <protection locked="0"/>
    </xf>
    <xf numFmtId="3" fontId="36" fillId="0" borderId="0" xfId="248" applyNumberFormat="1" applyFont="1" applyAlignment="1" applyProtection="1">
      <protection locked="0"/>
    </xf>
    <xf numFmtId="0" fontId="36" fillId="0" borderId="0" xfId="0" applyFont="1" applyAlignment="1"/>
    <xf numFmtId="3" fontId="35" fillId="0" borderId="0" xfId="248" applyNumberFormat="1" applyFont="1" applyAlignment="1" applyProtection="1">
      <protection locked="0"/>
    </xf>
    <xf numFmtId="49" fontId="35" fillId="0" borderId="0" xfId="248" applyNumberFormat="1" applyFont="1" applyAlignment="1" applyProtection="1">
      <alignment horizontal="center"/>
      <protection locked="0"/>
    </xf>
    <xf numFmtId="0" fontId="37" fillId="0" borderId="0" xfId="248" applyNumberFormat="1" applyFont="1" applyProtection="1">
      <protection locked="0"/>
    </xf>
    <xf numFmtId="49" fontId="35" fillId="0" borderId="0" xfId="248" applyNumberFormat="1" applyFont="1" applyProtection="1">
      <protection locked="0"/>
    </xf>
    <xf numFmtId="0" fontId="38" fillId="0" borderId="0" xfId="248" applyNumberFormat="1" applyFont="1" applyAlignment="1" applyProtection="1">
      <alignment horizontal="center"/>
      <protection locked="0"/>
    </xf>
    <xf numFmtId="0" fontId="35" fillId="0" borderId="0" xfId="248" applyNumberFormat="1" applyFont="1" applyAlignment="1" applyProtection="1">
      <alignment horizontal="center"/>
      <protection locked="0"/>
    </xf>
    <xf numFmtId="3" fontId="35" fillId="0" borderId="0" xfId="248" applyNumberFormat="1" applyFont="1" applyFill="1" applyBorder="1" applyAlignment="1" applyProtection="1">
      <alignment horizontal="center"/>
      <protection locked="0"/>
    </xf>
    <xf numFmtId="0" fontId="35" fillId="0" borderId="0" xfId="248" applyNumberFormat="1" applyFont="1" applyFill="1" applyBorder="1" applyAlignment="1" applyProtection="1">
      <protection locked="0"/>
    </xf>
    <xf numFmtId="3" fontId="35" fillId="0" borderId="0" xfId="248" applyNumberFormat="1" applyFont="1" applyFill="1" applyAlignment="1" applyProtection="1">
      <protection locked="0"/>
    </xf>
    <xf numFmtId="41" fontId="35" fillId="0" borderId="0" xfId="248" applyNumberFormat="1" applyFont="1" applyFill="1" applyAlignment="1" applyProtection="1">
      <protection locked="0"/>
    </xf>
    <xf numFmtId="175" fontId="35" fillId="0" borderId="0" xfId="248" applyNumberFormat="1" applyFont="1" applyFill="1" applyAlignment="1" applyProtection="1">
      <protection locked="0"/>
    </xf>
    <xf numFmtId="0" fontId="35" fillId="0" borderId="0" xfId="248" applyNumberFormat="1" applyFont="1" applyFill="1" applyBorder="1" applyAlignment="1" applyProtection="1">
      <alignment vertical="center"/>
      <protection locked="0"/>
    </xf>
    <xf numFmtId="41" fontId="35" fillId="0" borderId="0" xfId="248" applyNumberFormat="1" applyFont="1" applyFill="1" applyAlignment="1" applyProtection="1">
      <alignment vertical="center"/>
      <protection locked="0"/>
    </xf>
    <xf numFmtId="0" fontId="35" fillId="0" borderId="0" xfId="248" applyNumberFormat="1" applyFont="1" applyFill="1" applyAlignment="1" applyProtection="1">
      <protection locked="0"/>
    </xf>
    <xf numFmtId="41" fontId="35" fillId="0" borderId="0" xfId="248" applyNumberFormat="1" applyFont="1" applyAlignment="1" applyProtection="1">
      <protection locked="0"/>
    </xf>
    <xf numFmtId="170" fontId="35" fillId="0" borderId="0" xfId="248" applyFont="1" applyAlignment="1" applyProtection="1">
      <protection locked="0"/>
    </xf>
    <xf numFmtId="176" fontId="35" fillId="0" borderId="0" xfId="248" applyNumberFormat="1" applyFont="1" applyAlignment="1" applyProtection="1">
      <alignment horizontal="center"/>
      <protection locked="0"/>
    </xf>
    <xf numFmtId="0" fontId="35" fillId="0" borderId="0" xfId="248" applyNumberFormat="1" applyFont="1" applyBorder="1" applyAlignment="1" applyProtection="1">
      <protection locked="0"/>
    </xf>
    <xf numFmtId="175" fontId="35" fillId="0" borderId="0" xfId="248" applyNumberFormat="1" applyFont="1" applyAlignment="1" applyProtection="1">
      <protection locked="0"/>
    </xf>
    <xf numFmtId="41" fontId="35" fillId="0" borderId="0" xfId="248" applyNumberFormat="1" applyFont="1" applyFill="1" applyBorder="1" applyAlignment="1" applyProtection="1">
      <protection locked="0"/>
    </xf>
    <xf numFmtId="170" fontId="35" fillId="0" borderId="0" xfId="248" applyFont="1" applyBorder="1" applyAlignment="1" applyProtection="1">
      <protection locked="0"/>
    </xf>
    <xf numFmtId="170" fontId="35" fillId="0" borderId="0" xfId="248" applyFont="1" applyFill="1" applyAlignment="1" applyProtection="1">
      <protection locked="0"/>
    </xf>
    <xf numFmtId="170" fontId="35" fillId="0" borderId="0" xfId="248" applyFont="1" applyFill="1" applyBorder="1" applyAlignment="1" applyProtection="1">
      <protection locked="0"/>
    </xf>
    <xf numFmtId="41" fontId="35" fillId="0" borderId="0" xfId="248" applyNumberFormat="1" applyFont="1" applyFill="1" applyBorder="1" applyAlignment="1" applyProtection="1">
      <alignment vertical="top"/>
      <protection locked="0"/>
    </xf>
    <xf numFmtId="41" fontId="35" fillId="0" borderId="0" xfId="248" applyNumberFormat="1" applyFont="1" applyBorder="1" applyAlignment="1" applyProtection="1">
      <protection locked="0"/>
    </xf>
    <xf numFmtId="0" fontId="35" fillId="0" borderId="0" xfId="248" applyNumberFormat="1" applyFont="1" applyFill="1" applyProtection="1">
      <protection locked="0"/>
    </xf>
    <xf numFmtId="41" fontId="35" fillId="0" borderId="24" xfId="248" applyNumberFormat="1" applyFont="1" applyBorder="1" applyAlignment="1" applyProtection="1">
      <protection locked="0"/>
    </xf>
    <xf numFmtId="176" fontId="35" fillId="0" borderId="0" xfId="248" applyNumberFormat="1" applyFont="1" applyFill="1" applyBorder="1" applyAlignment="1" applyProtection="1">
      <alignment horizontal="left"/>
      <protection locked="0"/>
    </xf>
    <xf numFmtId="41" fontId="35" fillId="0" borderId="0" xfId="248" applyNumberFormat="1" applyFont="1" applyAlignment="1" applyProtection="1">
      <alignment horizontal="center"/>
      <protection locked="0"/>
    </xf>
    <xf numFmtId="0" fontId="36" fillId="0" borderId="0" xfId="248" applyNumberFormat="1" applyFont="1" applyAlignment="1" applyProtection="1">
      <alignment horizontal="center"/>
      <protection locked="0"/>
    </xf>
    <xf numFmtId="3" fontId="36" fillId="0" borderId="0" xfId="248" applyNumberFormat="1" applyFont="1" applyAlignment="1" applyProtection="1">
      <alignment horizontal="center"/>
      <protection locked="0"/>
    </xf>
    <xf numFmtId="177" fontId="35" fillId="0" borderId="0" xfId="42" applyNumberFormat="1" applyFont="1" applyAlignment="1" applyProtection="1">
      <protection locked="0"/>
    </xf>
    <xf numFmtId="178" fontId="35" fillId="0" borderId="0" xfId="42" applyNumberFormat="1" applyFont="1" applyFill="1" applyAlignment="1" applyProtection="1">
      <protection locked="0"/>
    </xf>
    <xf numFmtId="0" fontId="35" fillId="0" borderId="0" xfId="248" applyNumberFormat="1" applyFont="1" applyFill="1" applyAlignment="1" applyProtection="1">
      <alignment vertical="top" wrapText="1"/>
      <protection locked="0"/>
    </xf>
    <xf numFmtId="41" fontId="35" fillId="0" borderId="0" xfId="248" applyNumberFormat="1" applyFont="1" applyFill="1" applyAlignment="1" applyProtection="1">
      <alignment vertical="top" wrapText="1"/>
      <protection locked="0"/>
    </xf>
    <xf numFmtId="41" fontId="36" fillId="0" borderId="0" xfId="248" applyNumberFormat="1" applyFont="1" applyAlignment="1" applyProtection="1">
      <protection locked="0"/>
    </xf>
    <xf numFmtId="3" fontId="35" fillId="0" borderId="0" xfId="248" applyNumberFormat="1" applyFont="1" applyFill="1" applyAlignment="1" applyProtection="1">
      <alignment horizontal="center"/>
      <protection locked="0"/>
    </xf>
    <xf numFmtId="0" fontId="35" fillId="0" borderId="0" xfId="248" applyNumberFormat="1" applyFont="1" applyBorder="1" applyAlignment="1" applyProtection="1">
      <alignment vertical="center"/>
      <protection locked="0"/>
    </xf>
    <xf numFmtId="174" fontId="35" fillId="0" borderId="0" xfId="248" applyNumberFormat="1" applyFont="1" applyAlignment="1" applyProtection="1">
      <protection locked="0"/>
    </xf>
    <xf numFmtId="176" fontId="35" fillId="0" borderId="0" xfId="248" applyNumberFormat="1" applyFont="1" applyBorder="1" applyAlignment="1" applyProtection="1">
      <alignment horizontal="left"/>
      <protection locked="0"/>
    </xf>
    <xf numFmtId="174" fontId="35" fillId="0" borderId="0" xfId="248" applyNumberFormat="1" applyFont="1" applyAlignment="1" applyProtection="1">
      <alignment horizontal="center"/>
      <protection locked="0"/>
    </xf>
    <xf numFmtId="179" fontId="35" fillId="0" borderId="0" xfId="248" applyNumberFormat="1" applyFont="1" applyFill="1" applyAlignment="1" applyProtection="1">
      <alignment horizontal="right"/>
      <protection locked="0"/>
    </xf>
    <xf numFmtId="41" fontId="35" fillId="0" borderId="0" xfId="248" applyNumberFormat="1" applyFont="1" applyFill="1" applyAlignment="1" applyProtection="1">
      <alignment horizontal="right"/>
      <protection locked="0"/>
    </xf>
    <xf numFmtId="180" fontId="35" fillId="0" borderId="0" xfId="248" applyNumberFormat="1" applyFont="1" applyAlignment="1" applyProtection="1">
      <protection locked="0"/>
    </xf>
    <xf numFmtId="3" fontId="35" fillId="0" borderId="0" xfId="248" applyNumberFormat="1" applyFont="1" applyAlignment="1" applyProtection="1">
      <alignment horizontal="right"/>
      <protection locked="0"/>
    </xf>
    <xf numFmtId="0" fontId="35" fillId="0" borderId="0" xfId="0" applyFont="1" applyAlignment="1">
      <alignment horizontal="left"/>
    </xf>
    <xf numFmtId="3" fontId="35" fillId="0" borderId="0" xfId="248" applyNumberFormat="1" applyFont="1" applyFill="1" applyBorder="1" applyAlignment="1" applyProtection="1">
      <protection locked="0"/>
    </xf>
    <xf numFmtId="170" fontId="35" fillId="0" borderId="0" xfId="248" applyFont="1" applyFill="1" applyBorder="1" applyAlignment="1" applyProtection="1">
      <alignment horizontal="center"/>
      <protection locked="0"/>
    </xf>
    <xf numFmtId="49" fontId="35" fillId="0" borderId="0" xfId="248" applyNumberFormat="1" applyFont="1" applyFill="1" applyBorder="1" applyAlignment="1" applyProtection="1">
      <protection locked="0"/>
    </xf>
    <xf numFmtId="0" fontId="36" fillId="0" borderId="0" xfId="248" applyNumberFormat="1" applyFont="1" applyFill="1" applyAlignment="1" applyProtection="1">
      <protection locked="0"/>
    </xf>
    <xf numFmtId="41" fontId="35" fillId="0" borderId="23" xfId="248" applyNumberFormat="1" applyFont="1" applyFill="1" applyBorder="1" applyAlignment="1" applyProtection="1">
      <protection locked="0"/>
    </xf>
    <xf numFmtId="170" fontId="36" fillId="0" borderId="0" xfId="248" applyFont="1" applyAlignment="1">
      <alignment horizontal="right"/>
    </xf>
    <xf numFmtId="3" fontId="35" fillId="0" borderId="0" xfId="248" applyNumberFormat="1" applyFont="1" applyAlignment="1" applyProtection="1">
      <alignment horizontal="center"/>
      <protection locked="0"/>
    </xf>
    <xf numFmtId="181" fontId="35" fillId="0" borderId="0" xfId="248" applyNumberFormat="1" applyFont="1" applyFill="1" applyAlignment="1" applyProtection="1">
      <protection locked="0"/>
    </xf>
    <xf numFmtId="3" fontId="36" fillId="0" borderId="0" xfId="248" applyNumberFormat="1" applyFont="1" applyFill="1" applyAlignment="1" applyProtection="1">
      <alignment horizontal="right"/>
      <protection locked="0"/>
    </xf>
    <xf numFmtId="181" fontId="36" fillId="0" borderId="0" xfId="248" applyNumberFormat="1" applyFont="1" applyFill="1" applyAlignment="1" applyProtection="1">
      <protection locked="0"/>
    </xf>
    <xf numFmtId="170" fontId="36" fillId="0" borderId="0" xfId="248" applyNumberFormat="1" applyFont="1" applyAlignment="1" applyProtection="1">
      <protection locked="0"/>
    </xf>
    <xf numFmtId="170" fontId="36" fillId="0" borderId="0" xfId="248" applyFont="1" applyAlignment="1"/>
    <xf numFmtId="182" fontId="35" fillId="0" borderId="0" xfId="248" applyNumberFormat="1" applyFont="1" applyProtection="1">
      <protection locked="0"/>
    </xf>
    <xf numFmtId="10" fontId="35" fillId="0" borderId="0" xfId="248" applyNumberFormat="1" applyFont="1" applyFill="1" applyProtection="1">
      <protection locked="0"/>
    </xf>
    <xf numFmtId="0" fontId="35" fillId="0" borderId="0" xfId="0" applyFont="1"/>
    <xf numFmtId="170" fontId="36" fillId="0" borderId="0" xfId="248" applyFont="1" applyAlignment="1" applyProtection="1">
      <protection locked="0"/>
    </xf>
    <xf numFmtId="0" fontId="35" fillId="0" borderId="0" xfId="0" applyFont="1" applyAlignment="1">
      <alignment horizontal="center"/>
    </xf>
    <xf numFmtId="0" fontId="35" fillId="0" borderId="0" xfId="248" applyNumberFormat="1" applyFont="1" applyFill="1" applyAlignment="1" applyProtection="1">
      <alignment horizontal="center"/>
      <protection locked="0"/>
    </xf>
    <xf numFmtId="170" fontId="35" fillId="0" borderId="0" xfId="248" applyFont="1" applyAlignment="1" applyProtection="1">
      <alignment horizontal="center"/>
      <protection locked="0"/>
    </xf>
    <xf numFmtId="170" fontId="35" fillId="0" borderId="0" xfId="248" applyFont="1" applyAlignment="1">
      <alignment horizontal="center"/>
    </xf>
    <xf numFmtId="0" fontId="1" fillId="0" borderId="0" xfId="0" applyFont="1"/>
    <xf numFmtId="0" fontId="1" fillId="0" borderId="0" xfId="0" applyFont="1" applyAlignment="1">
      <alignment horizontal="center"/>
    </xf>
    <xf numFmtId="41" fontId="35" fillId="0" borderId="23" xfId="248" applyNumberFormat="1" applyFont="1" applyFill="1" applyBorder="1" applyAlignment="1" applyProtection="1">
      <alignment vertical="center"/>
      <protection locked="0"/>
    </xf>
    <xf numFmtId="10" fontId="35" fillId="0" borderId="0" xfId="262" applyNumberFormat="1" applyFont="1" applyFill="1" applyAlignment="1" applyProtection="1">
      <protection locked="0"/>
    </xf>
    <xf numFmtId="10" fontId="35" fillId="0" borderId="0" xfId="262" applyNumberFormat="1" applyFont="1" applyAlignment="1" applyProtection="1">
      <alignment horizontal="center"/>
      <protection locked="0"/>
    </xf>
    <xf numFmtId="3" fontId="35" fillId="0" borderId="23" xfId="248" applyNumberFormat="1" applyFont="1" applyFill="1" applyBorder="1" applyAlignment="1" applyProtection="1">
      <protection locked="0"/>
    </xf>
    <xf numFmtId="41" fontId="35" fillId="0" borderId="23" xfId="248" applyNumberFormat="1" applyFont="1" applyBorder="1" applyAlignment="1" applyProtection="1">
      <protection locked="0"/>
    </xf>
    <xf numFmtId="0" fontId="36" fillId="0" borderId="23" xfId="248" applyNumberFormat="1" applyFont="1" applyBorder="1" applyAlignment="1" applyProtection="1">
      <alignment horizontal="center"/>
      <protection locked="0"/>
    </xf>
    <xf numFmtId="10" fontId="35" fillId="0" borderId="0" xfId="262" applyNumberFormat="1" applyFont="1" applyFill="1" applyAlignment="1" applyProtection="1">
      <alignment horizontal="center"/>
      <protection locked="0"/>
    </xf>
    <xf numFmtId="3" fontId="35" fillId="0" borderId="0" xfId="248" applyNumberFormat="1" applyFont="1" applyFill="1" applyAlignment="1" applyProtection="1">
      <alignment horizontal="center" vertical="center"/>
      <protection locked="0"/>
    </xf>
    <xf numFmtId="10" fontId="35" fillId="0" borderId="0" xfId="262" applyNumberFormat="1" applyFont="1" applyFill="1" applyAlignment="1" applyProtection="1">
      <alignment horizontal="center" vertical="center"/>
      <protection locked="0"/>
    </xf>
    <xf numFmtId="10" fontId="36" fillId="0" borderId="0" xfId="262" applyNumberFormat="1" applyFont="1" applyFill="1" applyAlignment="1" applyProtection="1">
      <alignment horizontal="center"/>
      <protection locked="0"/>
    </xf>
    <xf numFmtId="3" fontId="35" fillId="0" borderId="0" xfId="248" applyNumberFormat="1" applyFont="1" applyAlignment="1" applyProtection="1">
      <alignment horizontal="center" vertical="top"/>
      <protection locked="0"/>
    </xf>
    <xf numFmtId="3" fontId="35" fillId="0" borderId="0" xfId="248" applyNumberFormat="1" applyFont="1" applyFill="1" applyAlignment="1" applyProtection="1">
      <alignment horizontal="center" vertical="top" wrapText="1"/>
      <protection locked="0"/>
    </xf>
    <xf numFmtId="9" fontId="35" fillId="0" borderId="0" xfId="262" applyFont="1" applyAlignment="1">
      <alignment horizontal="center"/>
    </xf>
    <xf numFmtId="184" fontId="35" fillId="0" borderId="0" xfId="0" applyNumberFormat="1" applyFont="1"/>
    <xf numFmtId="10" fontId="36" fillId="0" borderId="0" xfId="262" applyNumberFormat="1" applyFont="1" applyFill="1" applyBorder="1" applyAlignment="1" applyProtection="1">
      <alignment horizontal="right"/>
      <protection locked="0"/>
    </xf>
    <xf numFmtId="3" fontId="36" fillId="0" borderId="0" xfId="248" applyNumberFormat="1" applyFont="1" applyFill="1" applyBorder="1" applyAlignment="1" applyProtection="1">
      <alignment horizontal="right"/>
      <protection locked="0"/>
    </xf>
    <xf numFmtId="10" fontId="36" fillId="0" borderId="0" xfId="262" applyNumberFormat="1" applyFont="1" applyAlignment="1"/>
    <xf numFmtId="0" fontId="37" fillId="0" borderId="0" xfId="0" applyFont="1"/>
    <xf numFmtId="0" fontId="36" fillId="0" borderId="0" xfId="0" applyFont="1"/>
    <xf numFmtId="0" fontId="39" fillId="0" borderId="0" xfId="0" applyFont="1"/>
    <xf numFmtId="185" fontId="1" fillId="0" borderId="22" xfId="86" applyNumberFormat="1" applyFont="1" applyBorder="1"/>
    <xf numFmtId="0" fontId="35" fillId="0" borderId="0" xfId="248" applyNumberFormat="1" applyFont="1" applyBorder="1" applyAlignment="1" applyProtection="1">
      <alignment horizontal="left"/>
      <protection locked="0"/>
    </xf>
    <xf numFmtId="0" fontId="37" fillId="0" borderId="0" xfId="248" applyNumberFormat="1" applyFont="1" applyFill="1" applyAlignment="1" applyProtection="1">
      <protection locked="0"/>
    </xf>
    <xf numFmtId="0" fontId="37" fillId="0" borderId="0" xfId="248" applyNumberFormat="1" applyFont="1" applyFill="1" applyAlignment="1" applyProtection="1">
      <alignment horizontal="center"/>
      <protection locked="0"/>
    </xf>
    <xf numFmtId="0" fontId="0" fillId="0" borderId="0" xfId="0" applyAlignment="1">
      <alignment horizontal="left" indent="1"/>
    </xf>
    <xf numFmtId="0" fontId="0" fillId="0" borderId="0" xfId="0" applyAlignment="1">
      <alignment horizontal="center"/>
    </xf>
    <xf numFmtId="37" fontId="0" fillId="0" borderId="0" xfId="0" applyNumberFormat="1" applyAlignment="1">
      <alignment horizontal="right"/>
    </xf>
    <xf numFmtId="37" fontId="0" fillId="0" borderId="0" xfId="0" applyNumberFormat="1"/>
    <xf numFmtId="5" fontId="0" fillId="0" borderId="0" xfId="0" applyNumberFormat="1" applyFill="1"/>
    <xf numFmtId="0" fontId="0" fillId="0" borderId="0" xfId="0" applyFill="1"/>
    <xf numFmtId="0" fontId="0" fillId="0" borderId="0" xfId="0" applyFill="1" applyAlignment="1">
      <alignment horizontal="center"/>
    </xf>
    <xf numFmtId="5" fontId="0" fillId="0" borderId="23" xfId="0" applyNumberFormat="1" applyFill="1" applyBorder="1"/>
    <xf numFmtId="5" fontId="0" fillId="0" borderId="0" xfId="0" applyNumberFormat="1"/>
    <xf numFmtId="0" fontId="40" fillId="0" borderId="0" xfId="0" applyFont="1"/>
    <xf numFmtId="37" fontId="0" fillId="0" borderId="0" xfId="0" applyNumberFormat="1" applyFill="1"/>
    <xf numFmtId="0" fontId="0" fillId="0" borderId="0" xfId="0" applyFill="1" applyBorder="1" applyAlignment="1">
      <alignment horizontal="center"/>
    </xf>
    <xf numFmtId="37" fontId="0" fillId="0" borderId="0" xfId="0" applyNumberFormat="1" applyBorder="1"/>
    <xf numFmtId="10" fontId="0" fillId="0" borderId="0" xfId="0" applyNumberFormat="1"/>
    <xf numFmtId="0" fontId="0" fillId="0" borderId="0" xfId="0" applyFill="1" applyAlignment="1">
      <alignment horizontal="left" indent="1"/>
    </xf>
    <xf numFmtId="0" fontId="35" fillId="0" borderId="0" xfId="0" applyNumberFormat="1" applyFont="1" applyAlignment="1">
      <alignment horizontal="center"/>
    </xf>
    <xf numFmtId="0" fontId="35" fillId="0" borderId="0" xfId="0" applyFont="1" applyAlignment="1">
      <alignment horizontal="left" indent="1"/>
    </xf>
    <xf numFmtId="0" fontId="0" fillId="0" borderId="0" xfId="0" applyAlignment="1">
      <alignment horizontal="left"/>
    </xf>
    <xf numFmtId="37" fontId="36" fillId="0" borderId="23" xfId="0" applyNumberFormat="1" applyFont="1" applyBorder="1" applyAlignment="1">
      <alignment horizontal="center"/>
    </xf>
    <xf numFmtId="0" fontId="35" fillId="0" borderId="0" xfId="248" applyNumberFormat="1" applyFont="1" applyFill="1" applyAlignment="1" applyProtection="1">
      <alignment horizontal="left"/>
      <protection locked="0"/>
    </xf>
    <xf numFmtId="10" fontId="35" fillId="0" borderId="25" xfId="262" applyNumberFormat="1" applyFont="1" applyBorder="1" applyAlignment="1"/>
    <xf numFmtId="181" fontId="35" fillId="0" borderId="23" xfId="248" applyNumberFormat="1" applyFont="1" applyFill="1" applyBorder="1" applyAlignment="1" applyProtection="1">
      <protection locked="0"/>
    </xf>
    <xf numFmtId="0" fontId="35" fillId="0" borderId="23" xfId="248" applyNumberFormat="1" applyFont="1" applyBorder="1" applyAlignment="1" applyProtection="1">
      <alignment horizontal="center"/>
      <protection locked="0"/>
    </xf>
    <xf numFmtId="3" fontId="35" fillId="0" borderId="23" xfId="248" applyNumberFormat="1" applyFont="1" applyBorder="1" applyAlignment="1" applyProtection="1">
      <alignment horizontal="center"/>
      <protection locked="0"/>
    </xf>
    <xf numFmtId="10" fontId="35" fillId="0" borderId="0" xfId="251" applyNumberFormat="1" applyFont="1" applyFill="1" applyAlignment="1">
      <alignment horizontal="right"/>
    </xf>
    <xf numFmtId="10" fontId="35" fillId="0" borderId="0" xfId="248" applyNumberFormat="1" applyFont="1" applyFill="1" applyAlignment="1" applyProtection="1">
      <alignment horizontal="right"/>
      <protection locked="0"/>
    </xf>
    <xf numFmtId="0" fontId="36" fillId="0" borderId="0" xfId="0" applyFont="1" applyAlignment="1">
      <alignment horizontal="left"/>
    </xf>
    <xf numFmtId="184" fontId="1" fillId="0" borderId="26" xfId="42" applyNumberFormat="1" applyBorder="1"/>
    <xf numFmtId="0" fontId="36" fillId="0" borderId="0" xfId="0" applyFont="1" applyAlignment="1">
      <alignment horizontal="right"/>
    </xf>
    <xf numFmtId="184" fontId="1" fillId="0" borderId="0" xfId="42" applyNumberFormat="1"/>
    <xf numFmtId="184" fontId="0" fillId="0" borderId="0" xfId="0" applyNumberFormat="1"/>
    <xf numFmtId="0" fontId="49" fillId="0" borderId="0" xfId="0" applyFont="1"/>
    <xf numFmtId="184" fontId="1" fillId="21" borderId="12" xfId="42" applyNumberFormat="1" applyFill="1" applyBorder="1"/>
    <xf numFmtId="184" fontId="1" fillId="21" borderId="27" xfId="42" applyNumberFormat="1" applyFill="1" applyBorder="1"/>
    <xf numFmtId="184" fontId="1" fillId="0" borderId="0" xfId="42" applyNumberFormat="1" applyFill="1" applyBorder="1"/>
    <xf numFmtId="0" fontId="0" fillId="0" borderId="0" xfId="0" applyAlignment="1">
      <alignment horizontal="center" wrapText="1"/>
    </xf>
    <xf numFmtId="184" fontId="1" fillId="0" borderId="26" xfId="42" applyNumberFormat="1" applyFill="1" applyBorder="1"/>
    <xf numFmtId="0" fontId="0" fillId="0" borderId="0" xfId="0" applyFill="1" applyBorder="1"/>
    <xf numFmtId="0" fontId="36" fillId="0" borderId="0" xfId="0" applyFont="1" applyAlignment="1">
      <alignment horizontal="left" indent="1"/>
    </xf>
    <xf numFmtId="184" fontId="1" fillId="0" borderId="0" xfId="42" applyNumberFormat="1" applyFill="1"/>
    <xf numFmtId="184" fontId="1" fillId="21" borderId="28" xfId="42" applyNumberFormat="1" applyFill="1" applyBorder="1"/>
    <xf numFmtId="0" fontId="36" fillId="0" borderId="23" xfId="0" applyFont="1" applyBorder="1" applyAlignment="1">
      <alignment horizontal="center" wrapText="1"/>
    </xf>
    <xf numFmtId="0" fontId="0" fillId="0" borderId="0" xfId="0" applyAlignment="1">
      <alignment horizontal="right"/>
    </xf>
    <xf numFmtId="189" fontId="51" fillId="0" borderId="0" xfId="245" applyNumberFormat="1" applyFont="1" applyFill="1" applyAlignment="1" applyProtection="1">
      <alignment horizontal="left"/>
    </xf>
    <xf numFmtId="38" fontId="35" fillId="0" borderId="0" xfId="252" applyFont="1"/>
    <xf numFmtId="37" fontId="35" fillId="0" borderId="0" xfId="242" applyNumberFormat="1" applyFont="1"/>
    <xf numFmtId="37" fontId="35" fillId="0" borderId="0" xfId="242" applyNumberFormat="1" applyFont="1" applyFill="1"/>
    <xf numFmtId="37" fontId="35" fillId="0" borderId="0" xfId="252" applyNumberFormat="1" applyFont="1"/>
    <xf numFmtId="189" fontId="51" fillId="0" borderId="0" xfId="245" applyNumberFormat="1" applyFont="1" applyAlignment="1" applyProtection="1">
      <alignment horizontal="left"/>
    </xf>
    <xf numFmtId="189" fontId="51" fillId="0" borderId="0" xfId="244" applyNumberFormat="1" applyFont="1" applyAlignment="1" applyProtection="1">
      <alignment horizontal="left"/>
    </xf>
    <xf numFmtId="37" fontId="36" fillId="0" borderId="0" xfId="242" quotePrefix="1" applyNumberFormat="1" applyFont="1" applyAlignment="1">
      <alignment horizontal="center"/>
    </xf>
    <xf numFmtId="37" fontId="36" fillId="0" borderId="0" xfId="242" applyNumberFormat="1" applyFont="1" applyFill="1" applyAlignment="1">
      <alignment horizontal="center"/>
    </xf>
    <xf numFmtId="37" fontId="36" fillId="0" borderId="0" xfId="252" applyNumberFormat="1" applyFont="1" applyAlignment="1">
      <alignment horizontal="center"/>
    </xf>
    <xf numFmtId="37" fontId="36" fillId="0" borderId="0" xfId="252" quotePrefix="1" applyNumberFormat="1" applyFont="1" applyAlignment="1">
      <alignment horizontal="center"/>
    </xf>
    <xf numFmtId="37" fontId="36" fillId="0" borderId="0" xfId="242" quotePrefix="1" applyNumberFormat="1" applyFont="1" applyFill="1" applyAlignment="1">
      <alignment horizontal="center"/>
    </xf>
    <xf numFmtId="38" fontId="36" fillId="0" borderId="0" xfId="252" applyFont="1" applyAlignment="1">
      <alignment horizontal="center"/>
    </xf>
    <xf numFmtId="189" fontId="51" fillId="0" borderId="0" xfId="244" applyNumberFormat="1" applyFont="1" applyAlignment="1" applyProtection="1">
      <alignment horizontal="center"/>
    </xf>
    <xf numFmtId="38" fontId="35" fillId="0" borderId="0" xfId="252" applyFont="1" applyAlignment="1">
      <alignment horizontal="center"/>
    </xf>
    <xf numFmtId="38" fontId="38" fillId="0" borderId="0" xfId="252" applyFont="1"/>
    <xf numFmtId="0" fontId="0" fillId="0" borderId="0" xfId="0" applyBorder="1"/>
    <xf numFmtId="184" fontId="35" fillId="0" borderId="0" xfId="42" applyNumberFormat="1" applyFont="1" applyFill="1"/>
    <xf numFmtId="184" fontId="35" fillId="0" borderId="0" xfId="42" applyNumberFormat="1" applyFont="1" applyFill="1" applyBorder="1"/>
    <xf numFmtId="184" fontId="35" fillId="0" borderId="23" xfId="42" applyNumberFormat="1" applyFont="1" applyFill="1" applyBorder="1"/>
    <xf numFmtId="189" fontId="51" fillId="0" borderId="23" xfId="244" applyNumberFormat="1" applyFont="1" applyBorder="1" applyAlignment="1" applyProtection="1">
      <alignment horizontal="center"/>
    </xf>
    <xf numFmtId="38" fontId="36" fillId="0" borderId="23" xfId="252" applyFont="1" applyBorder="1" applyAlignment="1">
      <alignment horizontal="center"/>
    </xf>
    <xf numFmtId="37" fontId="36" fillId="0" borderId="23" xfId="252" applyNumberFormat="1" applyFont="1" applyBorder="1" applyAlignment="1">
      <alignment horizontal="center"/>
    </xf>
    <xf numFmtId="189" fontId="51" fillId="0" borderId="0" xfId="244" applyNumberFormat="1" applyFont="1" applyBorder="1" applyAlignment="1" applyProtection="1">
      <alignment horizontal="center"/>
    </xf>
    <xf numFmtId="38" fontId="36" fillId="0" borderId="0" xfId="252" applyFont="1" applyBorder="1" applyAlignment="1">
      <alignment horizontal="center"/>
    </xf>
    <xf numFmtId="0" fontId="36" fillId="0" borderId="0" xfId="0" applyFont="1" applyAlignment="1">
      <alignment horizontal="center"/>
    </xf>
    <xf numFmtId="0" fontId="36" fillId="0" borderId="0" xfId="0" applyFont="1" applyFill="1"/>
    <xf numFmtId="0" fontId="39" fillId="0" borderId="0" xfId="0" applyFont="1" applyFill="1"/>
    <xf numFmtId="0" fontId="36" fillId="0" borderId="0" xfId="0" applyFont="1" applyBorder="1"/>
    <xf numFmtId="184" fontId="1" fillId="0" borderId="23" xfId="42" applyNumberFormat="1" applyBorder="1"/>
    <xf numFmtId="0" fontId="0" fillId="0" borderId="0" xfId="0" applyFill="1" applyBorder="1" applyAlignment="1">
      <alignment horizontal="left" indent="1"/>
    </xf>
    <xf numFmtId="184" fontId="1" fillId="0" borderId="0" xfId="42" applyNumberFormat="1" applyBorder="1"/>
    <xf numFmtId="0" fontId="35" fillId="0" borderId="0" xfId="0" applyFont="1" applyBorder="1" applyAlignment="1">
      <alignment horizontal="left" indent="2"/>
    </xf>
    <xf numFmtId="0" fontId="0" fillId="0" borderId="0" xfId="0" applyAlignment="1">
      <alignment horizontal="left" indent="2"/>
    </xf>
    <xf numFmtId="184" fontId="0" fillId="0" borderId="23" xfId="0" applyNumberFormat="1" applyBorder="1"/>
    <xf numFmtId="184" fontId="0" fillId="0" borderId="26" xfId="0" applyNumberFormat="1" applyBorder="1"/>
    <xf numFmtId="10" fontId="1" fillId="0" borderId="0" xfId="262" applyNumberFormat="1" applyFill="1" applyBorder="1"/>
    <xf numFmtId="0" fontId="36" fillId="0" borderId="23" xfId="0" applyFont="1" applyFill="1" applyBorder="1" applyAlignment="1">
      <alignment horizontal="center" wrapText="1"/>
    </xf>
    <xf numFmtId="184" fontId="1" fillId="0" borderId="23" xfId="42" applyNumberFormat="1" applyFill="1" applyBorder="1"/>
    <xf numFmtId="0" fontId="0" fillId="0" borderId="0" xfId="0" applyFill="1" applyBorder="1" applyAlignment="1">
      <alignment horizontal="left"/>
    </xf>
    <xf numFmtId="0" fontId="36" fillId="0" borderId="0" xfId="0" applyFont="1" applyFill="1" applyBorder="1" applyAlignment="1">
      <alignment horizontal="right"/>
    </xf>
    <xf numFmtId="0" fontId="36" fillId="0" borderId="29" xfId="0" applyFont="1" applyBorder="1"/>
    <xf numFmtId="0" fontId="0" fillId="0" borderId="5" xfId="0" applyBorder="1"/>
    <xf numFmtId="0" fontId="0" fillId="0" borderId="5" xfId="0" applyFill="1" applyBorder="1"/>
    <xf numFmtId="0" fontId="0" fillId="0" borderId="30" xfId="0" applyBorder="1"/>
    <xf numFmtId="0" fontId="0" fillId="0" borderId="2" xfId="0" applyBorder="1"/>
    <xf numFmtId="0" fontId="36" fillId="0" borderId="0" xfId="0" applyFont="1" applyBorder="1" applyAlignment="1">
      <alignment horizontal="center"/>
    </xf>
    <xf numFmtId="0" fontId="0" fillId="0" borderId="18" xfId="0" applyBorder="1"/>
    <xf numFmtId="0" fontId="36" fillId="0" borderId="31" xfId="0" applyFont="1" applyBorder="1" applyAlignment="1">
      <alignment horizontal="center"/>
    </xf>
    <xf numFmtId="0" fontId="36" fillId="0" borderId="32" xfId="0" applyFont="1" applyFill="1" applyBorder="1" applyAlignment="1">
      <alignment horizontal="center" wrapText="1"/>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horizontal="left" indent="1"/>
    </xf>
    <xf numFmtId="184" fontId="0" fillId="0" borderId="0" xfId="0" applyNumberFormat="1" applyBorder="1"/>
    <xf numFmtId="184" fontId="0" fillId="0" borderId="18" xfId="0" applyNumberFormat="1" applyBorder="1"/>
    <xf numFmtId="184" fontId="1" fillId="21" borderId="33" xfId="42" applyNumberFormat="1" applyFill="1" applyBorder="1"/>
    <xf numFmtId="184" fontId="0" fillId="0" borderId="32" xfId="0" applyNumberFormat="1" applyBorder="1"/>
    <xf numFmtId="0" fontId="0" fillId="0" borderId="0" xfId="0" applyBorder="1" applyAlignment="1">
      <alignment horizontal="left" indent="2"/>
    </xf>
    <xf numFmtId="43" fontId="0" fillId="0" borderId="0" xfId="0" applyNumberFormat="1" applyBorder="1"/>
    <xf numFmtId="0" fontId="0" fillId="0" borderId="2" xfId="0" applyFill="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xf>
    <xf numFmtId="0" fontId="1" fillId="0" borderId="2" xfId="0" applyFont="1" applyFill="1" applyBorder="1" applyAlignment="1">
      <alignment horizontal="left"/>
    </xf>
    <xf numFmtId="0" fontId="0" fillId="0" borderId="31" xfId="0" applyBorder="1"/>
    <xf numFmtId="0" fontId="0" fillId="0" borderId="23" xfId="0" applyBorder="1"/>
    <xf numFmtId="0" fontId="0" fillId="0" borderId="23" xfId="0" applyFill="1" applyBorder="1"/>
    <xf numFmtId="0" fontId="0" fillId="0" borderId="32" xfId="0" applyBorder="1"/>
    <xf numFmtId="185" fontId="1" fillId="21" borderId="12" xfId="86" applyNumberFormat="1" applyFill="1" applyBorder="1" applyAlignment="1">
      <alignment horizontal="center"/>
    </xf>
    <xf numFmtId="185" fontId="1" fillId="21" borderId="12" xfId="86" applyNumberFormat="1" applyFill="1" applyBorder="1"/>
    <xf numFmtId="185" fontId="1" fillId="0" borderId="0" xfId="86" applyNumberFormat="1" applyFill="1" applyBorder="1"/>
    <xf numFmtId="184" fontId="1" fillId="21" borderId="12" xfId="42" applyNumberFormat="1" applyFill="1" applyBorder="1" applyAlignment="1">
      <alignment horizontal="center"/>
    </xf>
    <xf numFmtId="185" fontId="1" fillId="0" borderId="0" xfId="86" applyNumberFormat="1"/>
    <xf numFmtId="184" fontId="1" fillId="0" borderId="0" xfId="42" applyNumberFormat="1" applyAlignment="1">
      <alignment horizontal="left" indent="1"/>
    </xf>
    <xf numFmtId="185" fontId="1" fillId="0" borderId="26" xfId="86" applyNumberFormat="1" applyFill="1" applyBorder="1"/>
    <xf numFmtId="184" fontId="35" fillId="0" borderId="0" xfId="42" applyNumberFormat="1" applyFont="1" applyProtection="1">
      <protection locked="0"/>
    </xf>
    <xf numFmtId="184" fontId="35" fillId="21" borderId="12" xfId="42" applyNumberFormat="1" applyFont="1" applyFill="1" applyBorder="1" applyProtection="1">
      <protection locked="0"/>
    </xf>
    <xf numFmtId="184" fontId="35" fillId="21" borderId="27" xfId="42" applyNumberFormat="1" applyFont="1" applyFill="1" applyBorder="1" applyProtection="1">
      <protection locked="0"/>
    </xf>
    <xf numFmtId="0" fontId="35" fillId="0" borderId="0" xfId="248" applyNumberFormat="1" applyFont="1" applyAlignment="1" applyProtection="1">
      <alignment wrapText="1"/>
      <protection locked="0"/>
    </xf>
    <xf numFmtId="0" fontId="35" fillId="0" borderId="0" xfId="248" applyNumberFormat="1" applyFont="1" applyAlignment="1" applyProtection="1">
      <alignment horizontal="left" indent="1"/>
      <protection locked="0"/>
    </xf>
    <xf numFmtId="10" fontId="36" fillId="0" borderId="0" xfId="262" applyNumberFormat="1" applyFont="1" applyProtection="1">
      <protection locked="0"/>
    </xf>
    <xf numFmtId="0" fontId="35" fillId="0" borderId="0" xfId="248" quotePrefix="1" applyNumberFormat="1" applyFont="1" applyProtection="1">
      <protection locked="0"/>
    </xf>
    <xf numFmtId="170" fontId="35" fillId="0" borderId="0" xfId="248" applyFont="1" applyFill="1" applyBorder="1" applyAlignment="1">
      <alignment horizontal="center"/>
    </xf>
    <xf numFmtId="49" fontId="35" fillId="0" borderId="0" xfId="248" applyNumberFormat="1" applyFont="1" applyFill="1" applyBorder="1" applyAlignment="1" applyProtection="1">
      <alignment horizontal="center"/>
      <protection locked="0"/>
    </xf>
    <xf numFmtId="49" fontId="35" fillId="0" borderId="0" xfId="248" applyNumberFormat="1" applyFont="1" applyFill="1" applyBorder="1" applyProtection="1">
      <protection locked="0"/>
    </xf>
    <xf numFmtId="184" fontId="35" fillId="0" borderId="0" xfId="42" applyNumberFormat="1" applyFont="1" applyFill="1" applyBorder="1" applyProtection="1">
      <protection locked="0"/>
    </xf>
    <xf numFmtId="10" fontId="36" fillId="0" borderId="0" xfId="262" applyNumberFormat="1" applyFont="1" applyFill="1" applyBorder="1" applyProtection="1">
      <protection locked="0"/>
    </xf>
    <xf numFmtId="17" fontId="36" fillId="21" borderId="27" xfId="0" applyNumberFormat="1" applyFont="1" applyFill="1" applyBorder="1" applyAlignment="1">
      <alignment horizontal="center"/>
    </xf>
    <xf numFmtId="41" fontId="35" fillId="21" borderId="12" xfId="248" applyNumberFormat="1" applyFont="1" applyFill="1" applyBorder="1" applyAlignment="1" applyProtection="1">
      <protection locked="0"/>
    </xf>
    <xf numFmtId="0" fontId="36" fillId="0" borderId="34" xfId="0" applyFont="1" applyBorder="1" applyAlignment="1">
      <alignment horizontal="left"/>
    </xf>
    <xf numFmtId="0" fontId="35" fillId="0" borderId="0" xfId="0" applyFont="1" applyBorder="1" applyAlignment="1">
      <alignment horizontal="center"/>
    </xf>
    <xf numFmtId="0" fontId="35" fillId="0" borderId="0" xfId="0" applyFont="1" applyBorder="1"/>
    <xf numFmtId="0" fontId="36" fillId="0" borderId="35" xfId="0" applyFont="1" applyBorder="1" applyAlignment="1">
      <alignment horizontal="center"/>
    </xf>
    <xf numFmtId="0" fontId="51" fillId="0" borderId="23" xfId="240" applyFont="1" applyBorder="1" applyAlignment="1">
      <alignment horizontal="center"/>
    </xf>
    <xf numFmtId="0" fontId="51" fillId="0" borderId="0" xfId="240" applyFont="1" applyBorder="1" applyAlignment="1">
      <alignment horizontal="center"/>
    </xf>
    <xf numFmtId="0" fontId="53" fillId="0" borderId="0" xfId="240" applyFont="1" applyBorder="1" applyAlignment="1">
      <alignment horizontal="center"/>
    </xf>
    <xf numFmtId="0" fontId="53" fillId="0" borderId="0" xfId="240" applyFont="1" applyBorder="1" applyAlignment="1">
      <alignment horizontal="left"/>
    </xf>
    <xf numFmtId="184" fontId="35" fillId="21" borderId="12" xfId="42" applyNumberFormat="1" applyFont="1" applyFill="1" applyBorder="1"/>
    <xf numFmtId="184" fontId="35" fillId="0" borderId="0" xfId="42" applyNumberFormat="1" applyFont="1" applyBorder="1"/>
    <xf numFmtId="0" fontId="53" fillId="0" borderId="0" xfId="240" quotePrefix="1" applyFont="1" applyBorder="1" applyAlignment="1">
      <alignment horizontal="center"/>
    </xf>
    <xf numFmtId="184" fontId="35" fillId="21" borderId="27" xfId="42" applyNumberFormat="1" applyFont="1" applyFill="1" applyBorder="1"/>
    <xf numFmtId="184" fontId="35" fillId="0" borderId="23" xfId="42" applyNumberFormat="1" applyFont="1" applyBorder="1"/>
    <xf numFmtId="184" fontId="53" fillId="0" borderId="0" xfId="42" applyNumberFormat="1" applyFont="1" applyBorder="1" applyAlignment="1">
      <alignment horizontal="left"/>
    </xf>
    <xf numFmtId="0" fontId="53" fillId="0" borderId="0" xfId="240" applyFont="1" applyBorder="1"/>
    <xf numFmtId="184" fontId="53" fillId="0" borderId="0" xfId="42" applyNumberFormat="1" applyFont="1" applyBorder="1"/>
    <xf numFmtId="184" fontId="53" fillId="0" borderId="22" xfId="42" applyNumberFormat="1" applyFont="1" applyBorder="1" applyAlignment="1">
      <alignment horizontal="left"/>
    </xf>
    <xf numFmtId="184" fontId="36" fillId="0" borderId="0" xfId="0" applyNumberFormat="1" applyFont="1" applyBorder="1" applyAlignment="1">
      <alignment horizontal="center"/>
    </xf>
    <xf numFmtId="0" fontId="36" fillId="0" borderId="0" xfId="0" applyFont="1" applyBorder="1" applyAlignment="1">
      <alignment horizontal="left"/>
    </xf>
    <xf numFmtId="0" fontId="35" fillId="0" borderId="23" xfId="0" applyFont="1" applyBorder="1"/>
    <xf numFmtId="37" fontId="0" fillId="0" borderId="0" xfId="0" applyNumberFormat="1" applyFill="1" applyBorder="1" applyAlignment="1">
      <alignment horizontal="center"/>
    </xf>
    <xf numFmtId="37" fontId="0" fillId="0" borderId="0" xfId="0" applyNumberFormat="1" applyFill="1" applyBorder="1"/>
    <xf numFmtId="0" fontId="0" fillId="0" borderId="36" xfId="0" applyBorder="1"/>
    <xf numFmtId="0" fontId="0" fillId="0" borderId="37" xfId="0" applyBorder="1"/>
    <xf numFmtId="0" fontId="0" fillId="0" borderId="36" xfId="0" applyBorder="1" applyAlignment="1">
      <alignment horizontal="center"/>
    </xf>
    <xf numFmtId="0" fontId="0" fillId="0" borderId="0" xfId="0" applyNumberFormat="1" applyBorder="1" applyAlignment="1">
      <alignment horizontal="center"/>
    </xf>
    <xf numFmtId="0" fontId="0" fillId="0" borderId="0" xfId="0" applyBorder="1" applyAlignment="1">
      <alignment horizontal="left"/>
    </xf>
    <xf numFmtId="185" fontId="1" fillId="21" borderId="12" xfId="86" quotePrefix="1" applyNumberFormat="1" applyFill="1" applyBorder="1" applyAlignment="1">
      <alignment horizontal="right"/>
    </xf>
    <xf numFmtId="185" fontId="1" fillId="0" borderId="0" xfId="86" applyNumberFormat="1" applyBorder="1"/>
    <xf numFmtId="184" fontId="1" fillId="0" borderId="37" xfId="42" applyNumberFormat="1" applyBorder="1"/>
    <xf numFmtId="184" fontId="1" fillId="21" borderId="12" xfId="42" quotePrefix="1" applyNumberFormat="1" applyFill="1" applyBorder="1" applyAlignment="1">
      <alignment horizontal="right"/>
    </xf>
    <xf numFmtId="184" fontId="1" fillId="0" borderId="0" xfId="42" quotePrefix="1" applyNumberFormat="1" applyFill="1" applyBorder="1" applyAlignment="1">
      <alignment horizontal="right"/>
    </xf>
    <xf numFmtId="190" fontId="0" fillId="0" borderId="0" xfId="0" applyNumberFormat="1" applyBorder="1" applyAlignment="1">
      <alignment horizontal="center"/>
    </xf>
    <xf numFmtId="184" fontId="1" fillId="21" borderId="27" xfId="42" quotePrefix="1" applyNumberFormat="1" applyFill="1" applyBorder="1" applyAlignment="1">
      <alignment horizontal="right"/>
    </xf>
    <xf numFmtId="185" fontId="1" fillId="0" borderId="24" xfId="86" applyNumberFormat="1" applyBorder="1"/>
    <xf numFmtId="0" fontId="0" fillId="0" borderId="38" xfId="0" applyBorder="1"/>
    <xf numFmtId="0" fontId="0" fillId="0" borderId="14" xfId="0" applyBorder="1"/>
    <xf numFmtId="0" fontId="0" fillId="0" borderId="39" xfId="0" applyBorder="1"/>
    <xf numFmtId="0" fontId="36" fillId="0" borderId="23" xfId="0" applyFont="1" applyFill="1" applyBorder="1" applyAlignment="1">
      <alignment horizontal="center"/>
    </xf>
    <xf numFmtId="0" fontId="0" fillId="21" borderId="12" xfId="0" applyFill="1" applyBorder="1" applyAlignment="1">
      <alignment horizontal="center"/>
    </xf>
    <xf numFmtId="0" fontId="0" fillId="21" borderId="12" xfId="0" applyFill="1" applyBorder="1"/>
    <xf numFmtId="184" fontId="0" fillId="0" borderId="0" xfId="42" applyNumberFormat="1" applyFont="1"/>
    <xf numFmtId="37" fontId="35" fillId="0" borderId="23" xfId="252" applyNumberFormat="1" applyFont="1" applyBorder="1"/>
    <xf numFmtId="0" fontId="0" fillId="0" borderId="40" xfId="0" applyBorder="1" applyAlignment="1">
      <alignment horizontal="center"/>
    </xf>
    <xf numFmtId="41" fontId="12" fillId="0" borderId="0" xfId="253" applyBorder="1"/>
    <xf numFmtId="0" fontId="36" fillId="0" borderId="0" xfId="0" applyFont="1" applyFill="1" applyBorder="1" applyAlignment="1">
      <alignment horizontal="center"/>
    </xf>
    <xf numFmtId="0" fontId="0" fillId="0" borderId="0" xfId="0" applyBorder="1" applyAlignment="1">
      <alignment horizontal="center" wrapText="1"/>
    </xf>
    <xf numFmtId="10" fontId="35" fillId="0" borderId="0" xfId="262" applyNumberFormat="1" applyFont="1" applyAlignment="1">
      <alignment horizontal="center"/>
    </xf>
    <xf numFmtId="41" fontId="35" fillId="21" borderId="27" xfId="248" applyNumberFormat="1" applyFont="1" applyFill="1" applyBorder="1" applyAlignment="1" applyProtection="1">
      <protection locked="0"/>
    </xf>
    <xf numFmtId="41" fontId="35" fillId="0" borderId="12" xfId="248" applyNumberFormat="1" applyFont="1" applyFill="1" applyBorder="1" applyAlignment="1" applyProtection="1">
      <protection locked="0"/>
    </xf>
    <xf numFmtId="0" fontId="0" fillId="0" borderId="41" xfId="0" applyBorder="1" applyAlignment="1">
      <alignment horizontal="center"/>
    </xf>
    <xf numFmtId="0" fontId="0" fillId="0" borderId="37" xfId="0" applyBorder="1" applyAlignment="1">
      <alignment horizontal="center"/>
    </xf>
    <xf numFmtId="0" fontId="36" fillId="0" borderId="42" xfId="0" applyFont="1" applyFill="1" applyBorder="1" applyAlignment="1">
      <alignment horizontal="center"/>
    </xf>
    <xf numFmtId="10" fontId="1" fillId="0" borderId="0" xfId="262" applyNumberFormat="1" applyBorder="1"/>
    <xf numFmtId="0" fontId="1" fillId="0" borderId="0" xfId="0" applyFont="1" applyBorder="1"/>
    <xf numFmtId="37" fontId="0" fillId="21" borderId="12" xfId="0" applyNumberFormat="1" applyFill="1" applyBorder="1"/>
    <xf numFmtId="37" fontId="0" fillId="21" borderId="27" xfId="0" applyNumberFormat="1" applyFill="1" applyBorder="1"/>
    <xf numFmtId="37" fontId="0" fillId="0" borderId="37" xfId="0" applyNumberFormat="1" applyBorder="1"/>
    <xf numFmtId="0" fontId="36" fillId="0" borderId="37" xfId="0" applyFont="1" applyBorder="1"/>
    <xf numFmtId="0" fontId="1" fillId="0" borderId="0" xfId="0" applyFont="1" applyBorder="1" applyAlignment="1">
      <alignment horizontal="left" indent="1"/>
    </xf>
    <xf numFmtId="0" fontId="1" fillId="0" borderId="0" xfId="0" applyFont="1" applyBorder="1" applyAlignment="1">
      <alignment horizontal="center"/>
    </xf>
    <xf numFmtId="37" fontId="1" fillId="0" borderId="0" xfId="0" applyNumberFormat="1" applyFont="1" applyBorder="1"/>
    <xf numFmtId="0" fontId="1" fillId="0" borderId="37" xfId="0" applyFont="1" applyBorder="1"/>
    <xf numFmtId="184" fontId="1" fillId="0" borderId="0" xfId="42" applyNumberFormat="1" applyFont="1" applyBorder="1"/>
    <xf numFmtId="10" fontId="35" fillId="0" borderId="0" xfId="262" applyNumberFormat="1" applyFont="1" applyBorder="1" applyAlignment="1" applyProtection="1">
      <protection locked="0"/>
    </xf>
    <xf numFmtId="3" fontId="37" fillId="0" borderId="0" xfId="248" applyNumberFormat="1" applyFont="1" applyAlignment="1" applyProtection="1">
      <protection locked="0"/>
    </xf>
    <xf numFmtId="10" fontId="35" fillId="0" borderId="0" xfId="248" applyNumberFormat="1" applyFont="1" applyFill="1" applyAlignment="1" applyProtection="1">
      <alignment horizontal="left"/>
      <protection locked="0"/>
    </xf>
    <xf numFmtId="0" fontId="35" fillId="0" borderId="0" xfId="248" applyNumberFormat="1" applyFont="1" applyFill="1" applyBorder="1" applyAlignment="1" applyProtection="1">
      <alignment horizontal="left"/>
      <protection locked="0"/>
    </xf>
    <xf numFmtId="0" fontId="36" fillId="0" borderId="34" xfId="0" applyFont="1" applyBorder="1"/>
    <xf numFmtId="0" fontId="0" fillId="0" borderId="40" xfId="0" applyBorder="1"/>
    <xf numFmtId="0" fontId="1" fillId="0" borderId="0" xfId="42" applyNumberFormat="1" applyFill="1" applyBorder="1" applyAlignment="1">
      <alignment horizontal="left"/>
    </xf>
    <xf numFmtId="0" fontId="1" fillId="0" borderId="0" xfId="0" applyFont="1" applyAlignment="1">
      <alignment horizontal="left" indent="1"/>
    </xf>
    <xf numFmtId="0" fontId="35" fillId="0" borderId="0" xfId="0" applyFont="1" applyFill="1"/>
    <xf numFmtId="0" fontId="35" fillId="0" borderId="0" xfId="0" applyFont="1" applyFill="1" applyBorder="1"/>
    <xf numFmtId="184" fontId="35" fillId="0" borderId="0" xfId="42" applyNumberFormat="1" applyFont="1"/>
    <xf numFmtId="0" fontId="35" fillId="0" borderId="0" xfId="0" applyFont="1" applyFill="1" applyBorder="1" applyAlignment="1">
      <alignment horizontal="center"/>
    </xf>
    <xf numFmtId="0" fontId="50" fillId="0" borderId="0" xfId="0" applyFont="1" applyAlignment="1">
      <alignment horizontal="right"/>
    </xf>
    <xf numFmtId="10" fontId="35" fillId="21" borderId="12" xfId="248" applyNumberFormat="1" applyFont="1" applyFill="1" applyBorder="1" applyProtection="1">
      <protection locked="0"/>
    </xf>
    <xf numFmtId="41" fontId="35" fillId="0" borderId="22" xfId="248" applyNumberFormat="1" applyFont="1" applyBorder="1" applyAlignment="1" applyProtection="1">
      <protection locked="0"/>
    </xf>
    <xf numFmtId="185" fontId="1" fillId="0" borderId="0" xfId="86" applyNumberFormat="1" applyFont="1"/>
    <xf numFmtId="38" fontId="35" fillId="0" borderId="0" xfId="252" quotePrefix="1" applyFont="1" applyAlignment="1">
      <alignment horizontal="center"/>
    </xf>
    <xf numFmtId="184" fontId="1" fillId="0" borderId="24" xfId="42" applyNumberFormat="1" applyBorder="1"/>
    <xf numFmtId="0" fontId="35" fillId="21" borderId="16" xfId="243" applyFont="1" applyFill="1" applyBorder="1" applyAlignment="1">
      <alignment horizontal="center"/>
    </xf>
    <xf numFmtId="170" fontId="35" fillId="0" borderId="0" xfId="248" applyFont="1" applyFill="1" applyAlignment="1" applyProtection="1">
      <alignment vertical="top"/>
      <protection locked="0"/>
    </xf>
    <xf numFmtId="184" fontId="0" fillId="0" borderId="26" xfId="42" applyNumberFormat="1" applyFont="1" applyBorder="1"/>
    <xf numFmtId="184" fontId="1" fillId="0" borderId="37" xfId="42" applyNumberFormat="1" applyFill="1" applyBorder="1"/>
    <xf numFmtId="185" fontId="1" fillId="0" borderId="37" xfId="86" applyNumberFormat="1" applyFill="1" applyBorder="1"/>
    <xf numFmtId="0" fontId="0" fillId="0" borderId="38" xfId="0" applyFill="1" applyBorder="1" applyAlignment="1">
      <alignment horizontal="center"/>
    </xf>
    <xf numFmtId="0" fontId="0" fillId="0" borderId="14" xfId="0" applyFill="1" applyBorder="1" applyAlignment="1">
      <alignment horizontal="left" indent="1"/>
    </xf>
    <xf numFmtId="185" fontId="1" fillId="0" borderId="14" xfId="86" applyNumberFormat="1" applyFill="1" applyBorder="1"/>
    <xf numFmtId="185" fontId="1" fillId="0" borderId="39" xfId="86" applyNumberFormat="1" applyFill="1" applyBorder="1"/>
    <xf numFmtId="38" fontId="36" fillId="0" borderId="0" xfId="252" applyFont="1"/>
    <xf numFmtId="41" fontId="35" fillId="0" borderId="0" xfId="248" applyNumberFormat="1" applyFont="1" applyFill="1" applyBorder="1" applyAlignment="1" applyProtection="1">
      <alignment vertical="center"/>
      <protection locked="0"/>
    </xf>
    <xf numFmtId="0" fontId="35" fillId="0" borderId="0" xfId="248" applyNumberFormat="1" applyFont="1" applyBorder="1" applyAlignment="1" applyProtection="1">
      <alignment horizontal="center"/>
      <protection locked="0"/>
    </xf>
    <xf numFmtId="170" fontId="35" fillId="0" borderId="0" xfId="248" applyFont="1" applyFill="1" applyAlignment="1" applyProtection="1">
      <alignment horizontal="center"/>
      <protection locked="0"/>
    </xf>
    <xf numFmtId="10" fontId="35" fillId="0" borderId="0" xfId="248" applyNumberFormat="1" applyFont="1" applyFill="1" applyBorder="1" applyProtection="1">
      <protection locked="0"/>
    </xf>
    <xf numFmtId="0" fontId="1" fillId="0" borderId="0" xfId="0" applyFont="1" applyFill="1" applyAlignment="1">
      <alignment horizontal="center"/>
    </xf>
    <xf numFmtId="0" fontId="36" fillId="0" borderId="0" xfId="247" applyFont="1"/>
    <xf numFmtId="0" fontId="35" fillId="0" borderId="0" xfId="247" applyFont="1"/>
    <xf numFmtId="10" fontId="35" fillId="0" borderId="0" xfId="247" applyNumberFormat="1" applyFont="1"/>
    <xf numFmtId="0" fontId="35" fillId="0" borderId="0" xfId="247" applyFont="1" applyAlignment="1">
      <alignment horizontal="right"/>
    </xf>
    <xf numFmtId="0" fontId="36" fillId="0" borderId="0" xfId="247" applyFont="1" applyAlignment="1">
      <alignment horizontal="right"/>
    </xf>
    <xf numFmtId="0" fontId="35" fillId="0" borderId="0" xfId="247" applyFont="1" applyAlignment="1">
      <alignment horizontal="center"/>
    </xf>
    <xf numFmtId="5" fontId="35" fillId="0" borderId="0" xfId="247" applyNumberFormat="1" applyFont="1"/>
    <xf numFmtId="0" fontId="40" fillId="0" borderId="0" xfId="247" applyFont="1" applyAlignment="1">
      <alignment horizontal="center"/>
    </xf>
    <xf numFmtId="0" fontId="40" fillId="0" borderId="0" xfId="247" applyFont="1"/>
    <xf numFmtId="0" fontId="35" fillId="0" borderId="0" xfId="247" applyFont="1" applyBorder="1"/>
    <xf numFmtId="0" fontId="35" fillId="0" borderId="0" xfId="247" applyNumberFormat="1" applyFont="1" applyFill="1"/>
    <xf numFmtId="0" fontId="35" fillId="0" borderId="23" xfId="247" applyFont="1" applyBorder="1"/>
    <xf numFmtId="5" fontId="35" fillId="0" borderId="22" xfId="247" applyNumberFormat="1" applyFont="1" applyBorder="1"/>
    <xf numFmtId="37" fontId="35" fillId="0" borderId="0" xfId="247" applyNumberFormat="1" applyFont="1"/>
    <xf numFmtId="37" fontId="35" fillId="0" borderId="0" xfId="247" applyNumberFormat="1" applyFont="1" applyBorder="1"/>
    <xf numFmtId="0" fontId="35" fillId="0" borderId="0" xfId="247" applyFont="1" applyFill="1"/>
    <xf numFmtId="187" fontId="35" fillId="0" borderId="0" xfId="247" applyNumberFormat="1" applyFont="1"/>
    <xf numFmtId="0" fontId="35" fillId="0" borderId="0" xfId="247" applyFont="1" applyBorder="1" applyAlignment="1">
      <alignment horizontal="center"/>
    </xf>
    <xf numFmtId="5" fontId="35" fillId="0" borderId="26" xfId="247" applyNumberFormat="1" applyFont="1" applyBorder="1"/>
    <xf numFmtId="10" fontId="35" fillId="0" borderId="0" xfId="247" applyNumberFormat="1" applyFont="1" applyAlignment="1">
      <alignment horizontal="center"/>
    </xf>
    <xf numFmtId="10" fontId="35" fillId="0" borderId="0" xfId="247" applyNumberFormat="1" applyFont="1" applyFill="1" applyBorder="1" applyAlignment="1">
      <alignment horizontal="center"/>
    </xf>
    <xf numFmtId="0" fontId="35" fillId="0" borderId="0" xfId="247" applyFont="1" applyFill="1" applyBorder="1" applyAlignment="1">
      <alignment horizontal="center"/>
    </xf>
    <xf numFmtId="10" fontId="40" fillId="0" borderId="0" xfId="247" applyNumberFormat="1" applyFont="1" applyAlignment="1">
      <alignment horizontal="center"/>
    </xf>
    <xf numFmtId="10" fontId="40" fillId="0" borderId="0" xfId="247" applyNumberFormat="1" applyFont="1" applyFill="1" applyBorder="1" applyAlignment="1">
      <alignment horizontal="center"/>
    </xf>
    <xf numFmtId="0" fontId="40" fillId="0" borderId="0" xfId="247" applyFont="1" applyFill="1" applyBorder="1" applyAlignment="1">
      <alignment horizontal="center"/>
    </xf>
    <xf numFmtId="181" fontId="35" fillId="0" borderId="0" xfId="247" applyNumberFormat="1" applyFont="1"/>
    <xf numFmtId="10" fontId="35" fillId="0" borderId="0" xfId="247" applyNumberFormat="1" applyFont="1" applyFill="1" applyBorder="1"/>
    <xf numFmtId="181" fontId="35" fillId="0" borderId="0" xfId="247" applyNumberFormat="1" applyFont="1" applyFill="1" applyBorder="1"/>
    <xf numFmtId="188" fontId="35" fillId="0" borderId="14" xfId="247" applyNumberFormat="1" applyFont="1" applyBorder="1"/>
    <xf numFmtId="5" fontId="35" fillId="0" borderId="0" xfId="247" applyNumberFormat="1" applyFont="1" applyBorder="1"/>
    <xf numFmtId="184" fontId="1" fillId="0" borderId="0" xfId="42" applyNumberFormat="1" applyFont="1" applyFill="1" applyBorder="1"/>
    <xf numFmtId="0" fontId="36" fillId="0" borderId="0" xfId="248" applyNumberFormat="1" applyFont="1" applyAlignment="1" applyProtection="1">
      <alignment horizontal="right"/>
      <protection locked="0"/>
    </xf>
    <xf numFmtId="37" fontId="36" fillId="0" borderId="0" xfId="252" applyNumberFormat="1" applyFont="1" applyAlignment="1">
      <alignment horizontal="right"/>
    </xf>
    <xf numFmtId="37" fontId="36" fillId="0" borderId="0" xfId="0" applyNumberFormat="1" applyFont="1" applyAlignment="1">
      <alignment horizontal="right"/>
    </xf>
    <xf numFmtId="0" fontId="35" fillId="0" borderId="23" xfId="0" applyFont="1" applyBorder="1" applyAlignment="1"/>
    <xf numFmtId="39" fontId="35" fillId="0" borderId="0" xfId="0" applyNumberFormat="1" applyFont="1"/>
    <xf numFmtId="39" fontId="35" fillId="0" borderId="0" xfId="0" applyNumberFormat="1" applyFont="1" applyFill="1"/>
    <xf numFmtId="43" fontId="35" fillId="0" borderId="0" xfId="42" applyFont="1"/>
    <xf numFmtId="0" fontId="38" fillId="0" borderId="0" xfId="0" applyFont="1" applyFill="1"/>
    <xf numFmtId="0" fontId="35" fillId="21" borderId="12" xfId="0" applyFont="1" applyFill="1" applyBorder="1"/>
    <xf numFmtId="39" fontId="35" fillId="21" borderId="12" xfId="0" applyNumberFormat="1" applyFont="1" applyFill="1" applyBorder="1"/>
    <xf numFmtId="0" fontId="56" fillId="0" borderId="0" xfId="256" applyFont="1"/>
    <xf numFmtId="0" fontId="57" fillId="0" borderId="0" xfId="256" applyFont="1" applyAlignment="1">
      <alignment horizontal="center"/>
    </xf>
    <xf numFmtId="0" fontId="54" fillId="0" borderId="0" xfId="256" applyFont="1"/>
    <xf numFmtId="0" fontId="55" fillId="0" borderId="0" xfId="256" applyFont="1"/>
    <xf numFmtId="3" fontId="56" fillId="0" borderId="0" xfId="256" applyNumberFormat="1" applyFont="1" applyAlignment="1">
      <alignment horizontal="right"/>
    </xf>
    <xf numFmtId="0" fontId="58" fillId="0" borderId="0" xfId="256" applyFont="1"/>
    <xf numFmtId="0" fontId="56" fillId="0" borderId="0" xfId="256" applyFont="1" applyBorder="1"/>
    <xf numFmtId="0" fontId="56" fillId="0" borderId="23" xfId="256" applyFont="1" applyBorder="1" applyAlignment="1">
      <alignment horizontal="center"/>
    </xf>
    <xf numFmtId="181" fontId="56" fillId="0" borderId="0" xfId="256" applyNumberFormat="1" applyFont="1"/>
    <xf numFmtId="174" fontId="56" fillId="0" borderId="0" xfId="256" applyNumberFormat="1" applyFont="1"/>
    <xf numFmtId="0" fontId="59" fillId="0" borderId="0" xfId="256" applyFont="1" applyFill="1"/>
    <xf numFmtId="0" fontId="60" fillId="0" borderId="0" xfId="256" applyFont="1"/>
    <xf numFmtId="7" fontId="56" fillId="0" borderId="0" xfId="256" applyNumberFormat="1" applyFont="1" applyBorder="1" applyAlignment="1">
      <alignment horizontal="center"/>
    </xf>
    <xf numFmtId="0" fontId="56" fillId="0" borderId="0" xfId="256" applyFont="1" applyFill="1"/>
    <xf numFmtId="0" fontId="56" fillId="0" borderId="0" xfId="256" applyFont="1" applyFill="1" applyBorder="1"/>
    <xf numFmtId="3" fontId="56" fillId="0" borderId="0" xfId="256" applyNumberFormat="1" applyFont="1" applyFill="1" applyBorder="1" applyAlignment="1">
      <alignment horizontal="right"/>
    </xf>
    <xf numFmtId="3" fontId="56" fillId="0" borderId="0" xfId="256" applyNumberFormat="1" applyFont="1" applyFill="1" applyAlignment="1">
      <alignment horizontal="right"/>
    </xf>
    <xf numFmtId="0" fontId="61" fillId="0" borderId="0" xfId="256" applyFont="1"/>
    <xf numFmtId="0" fontId="61" fillId="0" borderId="0" xfId="256" quotePrefix="1" applyFont="1"/>
    <xf numFmtId="0" fontId="61" fillId="0" borderId="23" xfId="256" applyFont="1" applyFill="1" applyBorder="1" applyAlignment="1">
      <alignment horizontal="center"/>
    </xf>
    <xf numFmtId="3" fontId="61" fillId="0" borderId="0" xfId="256" applyNumberFormat="1" applyFont="1" applyFill="1" applyBorder="1" applyAlignment="1">
      <alignment horizontal="right"/>
    </xf>
    <xf numFmtId="184" fontId="56" fillId="0" borderId="0" xfId="42" applyNumberFormat="1" applyFont="1" applyFill="1" applyBorder="1"/>
    <xf numFmtId="3" fontId="56" fillId="0" borderId="0" xfId="256" applyNumberFormat="1" applyFont="1" applyAlignment="1">
      <alignment horizontal="left"/>
    </xf>
    <xf numFmtId="0" fontId="63" fillId="0" borderId="0" xfId="256" applyFont="1" applyFill="1" applyBorder="1" applyAlignment="1">
      <alignment horizontal="center"/>
    </xf>
    <xf numFmtId="6" fontId="56" fillId="0" borderId="0" xfId="256" applyNumberFormat="1" applyFont="1" applyFill="1" applyBorder="1"/>
    <xf numFmtId="0" fontId="56" fillId="0" borderId="0" xfId="256" applyFont="1" applyAlignment="1">
      <alignment horizontal="right"/>
    </xf>
    <xf numFmtId="0" fontId="56" fillId="0" borderId="0" xfId="256" applyFont="1" applyAlignment="1">
      <alignment horizontal="left"/>
    </xf>
    <xf numFmtId="184" fontId="55" fillId="0" borderId="0" xfId="42" applyNumberFormat="1" applyFont="1" applyFill="1" applyBorder="1"/>
    <xf numFmtId="0" fontId="56" fillId="0" borderId="23" xfId="256" applyFont="1" applyBorder="1"/>
    <xf numFmtId="174" fontId="55" fillId="0" borderId="10" xfId="256" applyNumberFormat="1" applyFont="1" applyFill="1" applyBorder="1"/>
    <xf numFmtId="3" fontId="56" fillId="0" borderId="23" xfId="256" applyNumberFormat="1" applyFont="1" applyFill="1" applyBorder="1" applyAlignment="1">
      <alignment horizontal="right"/>
    </xf>
    <xf numFmtId="174" fontId="62" fillId="0" borderId="0" xfId="256" applyNumberFormat="1" applyFont="1" applyFill="1" applyBorder="1"/>
    <xf numFmtId="3" fontId="56" fillId="0" borderId="31" xfId="256" applyNumberFormat="1" applyFont="1" applyFill="1" applyBorder="1" applyAlignment="1">
      <alignment horizontal="right"/>
    </xf>
    <xf numFmtId="6" fontId="55" fillId="0" borderId="0" xfId="256" applyNumberFormat="1" applyFont="1"/>
    <xf numFmtId="174" fontId="62" fillId="0" borderId="0" xfId="256" applyNumberFormat="1" applyFont="1" applyFill="1"/>
    <xf numFmtId="174" fontId="62" fillId="0" borderId="0" xfId="256" applyNumberFormat="1" applyFont="1" applyBorder="1"/>
    <xf numFmtId="0" fontId="61" fillId="0" borderId="0" xfId="256" applyFont="1" applyAlignment="1">
      <alignment horizontal="center"/>
    </xf>
    <xf numFmtId="0" fontId="56" fillId="0" borderId="0" xfId="256" applyFont="1" applyAlignment="1">
      <alignment horizontal="center"/>
    </xf>
    <xf numFmtId="0" fontId="63" fillId="0" borderId="0" xfId="256" applyFont="1" applyAlignment="1">
      <alignment horizontal="center"/>
    </xf>
    <xf numFmtId="0" fontId="60" fillId="0" borderId="0" xfId="256" applyFont="1" applyAlignment="1">
      <alignment horizontal="center"/>
    </xf>
    <xf numFmtId="6" fontId="56" fillId="0" borderId="0" xfId="256" applyNumberFormat="1" applyFont="1"/>
    <xf numFmtId="6" fontId="63" fillId="0" borderId="0" xfId="256" applyNumberFormat="1" applyFont="1"/>
    <xf numFmtId="10" fontId="56" fillId="0" borderId="0" xfId="256" applyNumberFormat="1" applyFont="1"/>
    <xf numFmtId="174" fontId="55" fillId="0" borderId="0" xfId="256" applyNumberFormat="1" applyFont="1" applyFill="1"/>
    <xf numFmtId="197" fontId="55" fillId="0" borderId="0" xfId="256" applyNumberFormat="1" applyFont="1" applyFill="1"/>
    <xf numFmtId="3" fontId="56" fillId="0" borderId="0" xfId="256" applyNumberFormat="1" applyFont="1" applyBorder="1" applyAlignment="1">
      <alignment horizontal="right"/>
    </xf>
    <xf numFmtId="0" fontId="56" fillId="0" borderId="23" xfId="256" applyFont="1" applyFill="1" applyBorder="1"/>
    <xf numFmtId="3" fontId="56" fillId="0" borderId="23" xfId="256" applyNumberFormat="1" applyFont="1" applyBorder="1" applyAlignment="1">
      <alignment horizontal="right"/>
    </xf>
    <xf numFmtId="0" fontId="56" fillId="0" borderId="23" xfId="256" applyFont="1" applyBorder="1" applyAlignment="1">
      <alignment horizontal="right"/>
    </xf>
    <xf numFmtId="0" fontId="56" fillId="0" borderId="0" xfId="256" applyFont="1" applyBorder="1" applyAlignment="1">
      <alignment horizontal="right"/>
    </xf>
    <xf numFmtId="176" fontId="55" fillId="0" borderId="0" xfId="262" applyNumberFormat="1" applyFont="1" applyFill="1" applyBorder="1" applyAlignment="1">
      <alignment horizontal="right"/>
    </xf>
    <xf numFmtId="3" fontId="56" fillId="0" borderId="0" xfId="256" applyNumberFormat="1" applyFont="1" applyFill="1"/>
    <xf numFmtId="199" fontId="55" fillId="0" borderId="10" xfId="42" applyNumberFormat="1" applyFont="1" applyFill="1" applyBorder="1"/>
    <xf numFmtId="0" fontId="56" fillId="0" borderId="0" xfId="0" applyFont="1"/>
    <xf numFmtId="182" fontId="0" fillId="0" borderId="0" xfId="0" applyNumberFormat="1"/>
    <xf numFmtId="0" fontId="58" fillId="0" borderId="0" xfId="0" applyFont="1" applyAlignment="1">
      <alignment horizontal="center"/>
    </xf>
    <xf numFmtId="170" fontId="0" fillId="0" borderId="0" xfId="0" applyNumberFormat="1"/>
    <xf numFmtId="182" fontId="0" fillId="0" borderId="0" xfId="0" applyNumberFormat="1" applyFill="1"/>
    <xf numFmtId="198" fontId="0" fillId="0" borderId="0" xfId="0" applyNumberFormat="1"/>
    <xf numFmtId="0" fontId="0" fillId="0" borderId="0" xfId="0" applyAlignment="1"/>
    <xf numFmtId="174" fontId="0" fillId="0" borderId="0" xfId="0" applyNumberFormat="1"/>
    <xf numFmtId="43" fontId="1" fillId="0" borderId="0" xfId="42"/>
    <xf numFmtId="0" fontId="0" fillId="0" borderId="14" xfId="0" applyFill="1" applyBorder="1"/>
    <xf numFmtId="0" fontId="1" fillId="0" borderId="0" xfId="250" applyAlignment="1">
      <alignment horizontal="center"/>
    </xf>
    <xf numFmtId="0" fontId="1" fillId="0" borderId="0" xfId="250" applyFont="1" applyAlignment="1">
      <alignment horizontal="center"/>
    </xf>
    <xf numFmtId="3" fontId="0" fillId="0" borderId="0" xfId="0" applyNumberFormat="1" applyBorder="1"/>
    <xf numFmtId="182" fontId="65" fillId="0" borderId="0" xfId="0" applyNumberFormat="1" applyFont="1"/>
    <xf numFmtId="3" fontId="40" fillId="0" borderId="0" xfId="0" applyNumberFormat="1" applyFont="1" applyBorder="1"/>
    <xf numFmtId="170" fontId="0" fillId="0" borderId="0" xfId="0" applyNumberFormat="1" applyAlignment="1">
      <alignment horizontal="right"/>
    </xf>
    <xf numFmtId="0" fontId="6" fillId="0" borderId="0" xfId="0" applyFont="1" applyAlignment="1">
      <alignment horizontal="center"/>
    </xf>
    <xf numFmtId="193" fontId="0" fillId="0" borderId="0" xfId="0" applyNumberFormat="1"/>
    <xf numFmtId="0" fontId="1" fillId="0" borderId="0" xfId="250" applyFont="1"/>
    <xf numFmtId="0" fontId="1" fillId="0" borderId="0" xfId="250" applyBorder="1"/>
    <xf numFmtId="0" fontId="0" fillId="0" borderId="0" xfId="0" applyFill="1" applyAlignment="1"/>
    <xf numFmtId="0" fontId="0" fillId="0" borderId="0" xfId="0" applyFill="1" applyAlignment="1">
      <alignment horizontal="left"/>
    </xf>
    <xf numFmtId="185" fontId="40" fillId="0" borderId="0" xfId="86" applyNumberFormat="1" applyFont="1"/>
    <xf numFmtId="0" fontId="35" fillId="0" borderId="0" xfId="0" applyFont="1" applyFill="1" applyAlignment="1">
      <alignment horizontal="center"/>
    </xf>
    <xf numFmtId="0" fontId="0" fillId="0" borderId="0" xfId="0"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0" fillId="0" borderId="0" xfId="0" applyBorder="1" applyAlignment="1"/>
    <xf numFmtId="0" fontId="0" fillId="0" borderId="23" xfId="0" applyBorder="1" applyAlignment="1">
      <alignment horizontal="center"/>
    </xf>
    <xf numFmtId="0" fontId="35" fillId="0" borderId="23" xfId="0" applyFont="1" applyBorder="1" applyAlignment="1">
      <alignment horizontal="center"/>
    </xf>
    <xf numFmtId="0" fontId="40" fillId="0" borderId="0" xfId="0" applyFont="1" applyAlignment="1"/>
    <xf numFmtId="0" fontId="35" fillId="0" borderId="23" xfId="0" applyFont="1" applyFill="1" applyBorder="1" applyAlignment="1">
      <alignment horizontal="center"/>
    </xf>
    <xf numFmtId="0" fontId="40" fillId="0" borderId="0" xfId="0" applyFont="1" applyAlignment="1">
      <alignment horizontal="centerContinuous"/>
    </xf>
    <xf numFmtId="0" fontId="35" fillId="0" borderId="0" xfId="0" applyFont="1" applyBorder="1" applyAlignment="1"/>
    <xf numFmtId="184" fontId="0" fillId="0" borderId="22" xfId="42" applyNumberFormat="1" applyFont="1" applyBorder="1"/>
    <xf numFmtId="200" fontId="0" fillId="21" borderId="12" xfId="0" applyNumberFormat="1" applyFill="1" applyBorder="1" applyAlignment="1">
      <alignment horizontal="center"/>
    </xf>
    <xf numFmtId="184" fontId="0" fillId="21" borderId="12" xfId="42" applyNumberFormat="1" applyFont="1" applyFill="1" applyBorder="1"/>
    <xf numFmtId="184" fontId="0" fillId="21" borderId="27" xfId="42" applyNumberFormat="1" applyFont="1" applyFill="1" applyBorder="1"/>
    <xf numFmtId="184" fontId="1" fillId="0" borderId="0" xfId="42" applyNumberFormat="1" applyFont="1" applyFill="1"/>
    <xf numFmtId="0" fontId="0" fillId="0" borderId="23" xfId="0" applyFill="1" applyBorder="1" applyAlignment="1">
      <alignment horizontal="center"/>
    </xf>
    <xf numFmtId="182" fontId="36" fillId="0" borderId="0" xfId="0" applyNumberFormat="1" applyFont="1" applyAlignment="1">
      <alignment horizontal="right"/>
    </xf>
    <xf numFmtId="0" fontId="1" fillId="0" borderId="0" xfId="0" applyFont="1" applyFill="1" applyBorder="1"/>
    <xf numFmtId="0" fontId="39" fillId="0" borderId="0" xfId="0" applyFont="1" applyFill="1" applyAlignment="1">
      <alignment horizontal="center"/>
    </xf>
    <xf numFmtId="0" fontId="36" fillId="0" borderId="0" xfId="248" applyNumberFormat="1" applyFont="1" applyAlignment="1" applyProtection="1">
      <alignment horizontal="left"/>
      <protection locked="0"/>
    </xf>
    <xf numFmtId="0" fontId="1" fillId="0" borderId="23" xfId="0" applyFont="1" applyBorder="1"/>
    <xf numFmtId="191" fontId="1" fillId="0" borderId="0" xfId="86" applyNumberFormat="1" applyFont="1" applyFill="1" applyAlignment="1">
      <alignment horizontal="center"/>
    </xf>
    <xf numFmtId="192" fontId="1" fillId="0" borderId="0" xfId="86" applyNumberFormat="1" applyFont="1" applyFill="1"/>
    <xf numFmtId="0" fontId="1" fillId="0" borderId="0" xfId="0" applyFont="1" applyFill="1" applyBorder="1" applyAlignment="1"/>
    <xf numFmtId="0" fontId="1" fillId="0" borderId="14" xfId="0" applyFont="1" applyFill="1" applyBorder="1" applyAlignment="1"/>
    <xf numFmtId="185" fontId="1" fillId="0" borderId="26" xfId="86" applyNumberFormat="1" applyBorder="1"/>
    <xf numFmtId="0" fontId="36" fillId="0" borderId="0" xfId="256" applyFont="1" applyAlignment="1">
      <alignment horizontal="right"/>
    </xf>
    <xf numFmtId="0" fontId="36" fillId="0" borderId="0" xfId="256" applyFont="1"/>
    <xf numFmtId="185" fontId="1" fillId="0" borderId="22" xfId="86" applyNumberFormat="1" applyBorder="1"/>
    <xf numFmtId="184" fontId="0" fillId="0" borderId="0" xfId="42" applyNumberFormat="1" applyFont="1" applyFill="1" applyBorder="1"/>
    <xf numFmtId="184" fontId="0" fillId="0" borderId="0" xfId="0" applyNumberFormat="1" applyFill="1" applyBorder="1"/>
    <xf numFmtId="184" fontId="0" fillId="21" borderId="28" xfId="42" applyNumberFormat="1" applyFont="1" applyFill="1" applyBorder="1"/>
    <xf numFmtId="184" fontId="0" fillId="0" borderId="0" xfId="42" applyNumberFormat="1" applyFont="1" applyFill="1"/>
    <xf numFmtId="0" fontId="35" fillId="0" borderId="0" xfId="246" applyFont="1" applyFill="1"/>
    <xf numFmtId="0" fontId="36" fillId="0" borderId="0" xfId="246" applyFont="1" applyFill="1" applyAlignment="1">
      <alignment horizontal="right"/>
    </xf>
    <xf numFmtId="0" fontId="35" fillId="0" borderId="0" xfId="246" applyFont="1" applyFill="1" applyAlignment="1">
      <alignment horizontal="center"/>
    </xf>
    <xf numFmtId="0" fontId="35" fillId="0" borderId="0" xfId="246" applyFont="1" applyFill="1" applyAlignment="1">
      <alignment horizontal="left"/>
    </xf>
    <xf numFmtId="184" fontId="39" fillId="0" borderId="0" xfId="42" applyNumberFormat="1" applyFont="1" applyBorder="1"/>
    <xf numFmtId="0" fontId="35" fillId="0" borderId="0" xfId="246" applyFont="1" applyFill="1" applyAlignment="1"/>
    <xf numFmtId="3" fontId="36" fillId="0" borderId="0" xfId="248" applyNumberFormat="1" applyFont="1" applyFill="1" applyAlignment="1" applyProtection="1">
      <alignment horizontal="center"/>
      <protection locked="0"/>
    </xf>
    <xf numFmtId="170" fontId="35" fillId="0" borderId="0" xfId="248" applyFont="1" applyFill="1" applyAlignment="1">
      <alignment horizontal="center"/>
    </xf>
    <xf numFmtId="41" fontId="35" fillId="0" borderId="0" xfId="248" applyNumberFormat="1" applyFont="1" applyFill="1" applyAlignment="1"/>
    <xf numFmtId="0" fontId="39" fillId="0" borderId="0" xfId="0" applyFont="1" applyBorder="1"/>
    <xf numFmtId="0" fontId="35" fillId="0" borderId="23" xfId="0" applyFont="1" applyBorder="1" applyAlignment="1">
      <alignment horizontal="centerContinuous"/>
    </xf>
    <xf numFmtId="182" fontId="1" fillId="0" borderId="0" xfId="0" applyNumberFormat="1" applyFont="1"/>
    <xf numFmtId="182" fontId="68" fillId="0" borderId="0" xfId="0" applyNumberFormat="1" applyFont="1" applyFill="1"/>
    <xf numFmtId="182" fontId="68" fillId="0" borderId="0" xfId="0" applyNumberFormat="1" applyFont="1"/>
    <xf numFmtId="183" fontId="68" fillId="0" borderId="0" xfId="42" applyNumberFormat="1" applyFont="1" applyFill="1"/>
    <xf numFmtId="195" fontId="68" fillId="0" borderId="0" xfId="262" applyNumberFormat="1" applyFont="1" applyFill="1"/>
    <xf numFmtId="182" fontId="1" fillId="0" borderId="0" xfId="0" applyNumberFormat="1" applyFont="1" applyFill="1"/>
    <xf numFmtId="0" fontId="0" fillId="0" borderId="0" xfId="0" quotePrefix="1"/>
    <xf numFmtId="2" fontId="35" fillId="0" borderId="0" xfId="246" applyNumberFormat="1" applyFont="1" applyFill="1" applyAlignment="1">
      <alignment horizontal="center"/>
    </xf>
    <xf numFmtId="2" fontId="35" fillId="0" borderId="0" xfId="246" applyNumberFormat="1" applyFont="1" applyFill="1" applyAlignment="1">
      <alignment wrapText="1"/>
    </xf>
    <xf numFmtId="2" fontId="35" fillId="0" borderId="0" xfId="246" applyNumberFormat="1" applyFont="1" applyFill="1" applyAlignment="1">
      <alignment horizontal="center" wrapText="1"/>
    </xf>
    <xf numFmtId="0" fontId="0" fillId="0" borderId="0" xfId="0" applyFill="1" applyBorder="1" applyAlignment="1">
      <alignment horizontal="left" wrapText="1" indent="1"/>
    </xf>
    <xf numFmtId="10" fontId="1" fillId="0" borderId="0" xfId="262" applyNumberFormat="1" applyFont="1"/>
    <xf numFmtId="184" fontId="1" fillId="0" borderId="0" xfId="42" applyNumberFormat="1" applyFont="1"/>
    <xf numFmtId="43" fontId="1" fillId="0" borderId="0" xfId="0" applyNumberFormat="1" applyFont="1"/>
    <xf numFmtId="0" fontId="0" fillId="0" borderId="0" xfId="0" applyFill="1" applyAlignment="1">
      <alignment horizontal="centerContinuous"/>
    </xf>
    <xf numFmtId="0" fontId="35" fillId="21" borderId="12" xfId="247" applyNumberFormat="1" applyFont="1" applyFill="1" applyBorder="1"/>
    <xf numFmtId="42" fontId="35" fillId="21" borderId="12" xfId="247" applyNumberFormat="1" applyFont="1" applyFill="1" applyBorder="1"/>
    <xf numFmtId="42" fontId="35" fillId="21" borderId="12" xfId="86" applyNumberFormat="1" applyFont="1" applyFill="1" applyBorder="1"/>
    <xf numFmtId="37" fontId="35" fillId="21" borderId="12" xfId="247" applyNumberFormat="1" applyFont="1" applyFill="1" applyBorder="1"/>
    <xf numFmtId="17" fontId="35" fillId="21" borderId="12" xfId="247" quotePrefix="1" applyNumberFormat="1" applyFont="1" applyFill="1" applyBorder="1"/>
    <xf numFmtId="10" fontId="35" fillId="21" borderId="12" xfId="247" applyNumberFormat="1" applyFont="1" applyFill="1" applyBorder="1"/>
    <xf numFmtId="196" fontId="35" fillId="21" borderId="12" xfId="247" applyNumberFormat="1" applyFont="1" applyFill="1" applyBorder="1"/>
    <xf numFmtId="0" fontId="55" fillId="0" borderId="0" xfId="256" applyFont="1" applyFill="1"/>
    <xf numFmtId="0" fontId="69" fillId="0" borderId="0" xfId="256" applyFont="1" applyFill="1" applyAlignment="1">
      <alignment horizontal="center"/>
    </xf>
    <xf numFmtId="0" fontId="55" fillId="0" borderId="0" xfId="256" applyFont="1" applyFill="1" applyBorder="1"/>
    <xf numFmtId="6" fontId="55" fillId="0" borderId="0" xfId="256" applyNumberFormat="1" applyFont="1" applyBorder="1"/>
    <xf numFmtId="3" fontId="64" fillId="0" borderId="0" xfId="256" applyNumberFormat="1" applyFont="1" applyFill="1" applyBorder="1" applyAlignment="1">
      <alignment horizontal="right"/>
    </xf>
    <xf numFmtId="3" fontId="64" fillId="0" borderId="0" xfId="256" applyNumberFormat="1" applyFont="1" applyFill="1" applyBorder="1" applyAlignment="1">
      <alignment horizontal="left"/>
    </xf>
    <xf numFmtId="180" fontId="55" fillId="21" borderId="12" xfId="256" applyNumberFormat="1" applyFont="1" applyFill="1" applyBorder="1" applyAlignment="1">
      <alignment horizontal="right"/>
    </xf>
    <xf numFmtId="184" fontId="55" fillId="0" borderId="23" xfId="42" applyNumberFormat="1" applyFont="1" applyBorder="1"/>
    <xf numFmtId="3" fontId="55" fillId="0" borderId="0" xfId="256" applyNumberFormat="1" applyFont="1" applyFill="1" applyBorder="1" applyAlignment="1">
      <alignment horizontal="right"/>
    </xf>
    <xf numFmtId="0" fontId="38" fillId="21" borderId="12" xfId="0" applyFont="1" applyFill="1" applyBorder="1"/>
    <xf numFmtId="185" fontId="65" fillId="0" borderId="0" xfId="86" applyNumberFormat="1" applyFont="1"/>
    <xf numFmtId="185" fontId="0" fillId="0" borderId="0" xfId="86" applyNumberFormat="1" applyFont="1" applyFill="1"/>
    <xf numFmtId="185" fontId="0" fillId="0" borderId="0" xfId="86" applyNumberFormat="1" applyFont="1"/>
    <xf numFmtId="184" fontId="0" fillId="0" borderId="0" xfId="42" applyNumberFormat="1" applyFont="1" applyBorder="1"/>
    <xf numFmtId="184" fontId="65" fillId="0" borderId="0" xfId="42" applyNumberFormat="1" applyFont="1"/>
    <xf numFmtId="184" fontId="0" fillId="0" borderId="0" xfId="42" applyNumberFormat="1" applyFont="1" applyAlignment="1">
      <alignment horizontal="center"/>
    </xf>
    <xf numFmtId="185" fontId="40" fillId="0" borderId="0" xfId="86" applyNumberFormat="1" applyFont="1" applyBorder="1"/>
    <xf numFmtId="0" fontId="0" fillId="21" borderId="12" xfId="0" applyNumberFormat="1" applyFill="1" applyBorder="1" applyAlignment="1">
      <alignment horizontal="center"/>
    </xf>
    <xf numFmtId="0" fontId="0" fillId="0" borderId="0" xfId="0" applyNumberFormat="1" applyFill="1" applyAlignment="1">
      <alignment horizontal="center"/>
    </xf>
    <xf numFmtId="37" fontId="35" fillId="21" borderId="12" xfId="0" applyNumberFormat="1" applyFont="1" applyFill="1" applyBorder="1"/>
    <xf numFmtId="37" fontId="35" fillId="0" borderId="0" xfId="0" applyNumberFormat="1" applyFont="1" applyFill="1"/>
    <xf numFmtId="37" fontId="35" fillId="0" borderId="26" xfId="0" applyNumberFormat="1" applyFont="1" applyFill="1" applyBorder="1"/>
    <xf numFmtId="37" fontId="35" fillId="0" borderId="0" xfId="0" applyNumberFormat="1" applyFont="1" applyFill="1" applyBorder="1"/>
    <xf numFmtId="37" fontId="35" fillId="0" borderId="23" xfId="0" applyNumberFormat="1" applyFont="1" applyFill="1" applyBorder="1"/>
    <xf numFmtId="37" fontId="35" fillId="0" borderId="0" xfId="0" applyNumberFormat="1" applyFont="1"/>
    <xf numFmtId="185" fontId="1" fillId="21" borderId="12" xfId="86" applyNumberFormat="1" applyFill="1" applyBorder="1" applyAlignment="1">
      <alignment horizontal="left" indent="2"/>
    </xf>
    <xf numFmtId="184" fontId="1" fillId="21" borderId="12" xfId="42" applyNumberFormat="1" applyFill="1" applyBorder="1" applyAlignment="1">
      <alignment horizontal="left" indent="2"/>
    </xf>
    <xf numFmtId="0" fontId="36" fillId="0" borderId="0" xfId="0" applyFont="1" applyFill="1" applyAlignment="1">
      <alignment horizontal="left" indent="1"/>
    </xf>
    <xf numFmtId="185" fontId="1" fillId="0" borderId="12" xfId="86" applyNumberFormat="1" applyFill="1" applyBorder="1" applyAlignment="1">
      <alignment horizontal="left" indent="2"/>
    </xf>
    <xf numFmtId="184" fontId="1" fillId="0" borderId="12" xfId="42" applyNumberFormat="1" applyFill="1" applyBorder="1" applyAlignment="1">
      <alignment horizontal="left" indent="2"/>
    </xf>
    <xf numFmtId="0" fontId="0" fillId="0" borderId="0" xfId="0" applyFill="1" applyAlignment="1">
      <alignment horizontal="left" indent="2"/>
    </xf>
    <xf numFmtId="0" fontId="35" fillId="0" borderId="0" xfId="0" applyFont="1" applyAlignment="1">
      <alignment horizontal="center" wrapText="1"/>
    </xf>
    <xf numFmtId="0" fontId="51" fillId="0" borderId="32" xfId="240" applyFont="1" applyFill="1" applyBorder="1" applyAlignment="1">
      <alignment horizontal="center"/>
    </xf>
    <xf numFmtId="0" fontId="51" fillId="0" borderId="31" xfId="240" applyFont="1" applyBorder="1" applyAlignment="1">
      <alignment horizontal="center"/>
    </xf>
    <xf numFmtId="185" fontId="0" fillId="0" borderId="0" xfId="0" applyNumberFormat="1"/>
    <xf numFmtId="176" fontId="0" fillId="0" borderId="0" xfId="262" applyNumberFormat="1" applyFont="1"/>
    <xf numFmtId="184" fontId="1" fillId="21" borderId="43" xfId="42" applyNumberFormat="1" applyFill="1" applyBorder="1" applyAlignment="1">
      <alignment horizontal="center"/>
    </xf>
    <xf numFmtId="0" fontId="37" fillId="0" borderId="0" xfId="0" applyFont="1" applyAlignment="1">
      <alignment horizontal="left"/>
    </xf>
    <xf numFmtId="0" fontId="49" fillId="0" borderId="0" xfId="0" applyFont="1" applyAlignment="1">
      <alignment horizontal="left"/>
    </xf>
    <xf numFmtId="0" fontId="56" fillId="0" borderId="0" xfId="256" applyFont="1" applyFill="1" applyAlignment="1">
      <alignment horizontal="right"/>
    </xf>
    <xf numFmtId="0" fontId="36" fillId="0" borderId="40" xfId="0" applyFont="1" applyBorder="1" applyAlignment="1">
      <alignment horizontal="center"/>
    </xf>
    <xf numFmtId="0" fontId="36" fillId="0" borderId="36" xfId="0" applyFont="1" applyBorder="1" applyAlignment="1">
      <alignment horizontal="center"/>
    </xf>
    <xf numFmtId="0" fontId="0" fillId="21" borderId="12" xfId="42" applyNumberFormat="1" applyFont="1" applyFill="1" applyBorder="1" applyAlignment="1">
      <alignment horizontal="center"/>
    </xf>
    <xf numFmtId="0" fontId="36" fillId="0" borderId="35" xfId="0" applyFont="1" applyBorder="1"/>
    <xf numFmtId="185" fontId="0" fillId="0" borderId="0" xfId="86" applyNumberFormat="1" applyFont="1" applyFill="1" applyBorder="1"/>
    <xf numFmtId="185" fontId="0" fillId="0" borderId="26" xfId="86" applyNumberFormat="1" applyFont="1" applyFill="1" applyBorder="1"/>
    <xf numFmtId="0" fontId="36" fillId="0" borderId="0" xfId="0" applyFont="1" applyFill="1" applyAlignment="1">
      <alignment horizontal="left"/>
    </xf>
    <xf numFmtId="0" fontId="1" fillId="0" borderId="0" xfId="42" applyNumberFormat="1" applyFill="1" applyBorder="1" applyAlignment="1">
      <alignment horizontal="center"/>
    </xf>
    <xf numFmtId="0" fontId="36" fillId="0" borderId="34" xfId="0" applyFont="1" applyFill="1" applyBorder="1"/>
    <xf numFmtId="0" fontId="0" fillId="0" borderId="40" xfId="0" applyFill="1" applyBorder="1"/>
    <xf numFmtId="0" fontId="0" fillId="0" borderId="41" xfId="0" applyFill="1" applyBorder="1"/>
    <xf numFmtId="0" fontId="0" fillId="0" borderId="36" xfId="0" applyFill="1" applyBorder="1"/>
    <xf numFmtId="0" fontId="36" fillId="0" borderId="37" xfId="0" applyFont="1" applyFill="1" applyBorder="1" applyAlignment="1">
      <alignment horizontal="center"/>
    </xf>
    <xf numFmtId="0" fontId="36" fillId="0" borderId="35" xfId="0" applyFont="1" applyFill="1" applyBorder="1" applyAlignment="1">
      <alignment horizontal="center"/>
    </xf>
    <xf numFmtId="0" fontId="0" fillId="0" borderId="36" xfId="0" applyFill="1" applyBorder="1" applyAlignment="1">
      <alignment horizontal="center"/>
    </xf>
    <xf numFmtId="0" fontId="0" fillId="0" borderId="38" xfId="0" applyFill="1" applyBorder="1"/>
    <xf numFmtId="0" fontId="0" fillId="0" borderId="39" xfId="0" applyFill="1" applyBorder="1"/>
    <xf numFmtId="0" fontId="1" fillId="0" borderId="0" xfId="0" applyFont="1" applyFill="1" applyBorder="1" applyAlignment="1">
      <alignment horizontal="left"/>
    </xf>
    <xf numFmtId="0" fontId="0" fillId="0" borderId="0" xfId="0" applyFill="1" applyAlignment="1">
      <alignment horizontal="center" wrapText="1"/>
    </xf>
    <xf numFmtId="0" fontId="0" fillId="0" borderId="36" xfId="0" applyBorder="1" applyAlignment="1">
      <alignment horizontal="center" vertical="center"/>
    </xf>
    <xf numFmtId="0" fontId="36" fillId="0" borderId="0" xfId="0" applyFont="1" applyFill="1" applyAlignment="1">
      <alignment horizontal="right"/>
    </xf>
    <xf numFmtId="41" fontId="36" fillId="0" borderId="26" xfId="248" applyNumberFormat="1" applyFont="1" applyBorder="1" applyAlignment="1" applyProtection="1">
      <protection locked="0"/>
    </xf>
    <xf numFmtId="9" fontId="35" fillId="0" borderId="0" xfId="262" applyFont="1" applyAlignment="1" applyProtection="1">
      <protection locked="0"/>
    </xf>
    <xf numFmtId="10" fontId="35" fillId="0" borderId="0" xfId="262" applyNumberFormat="1" applyFont="1" applyAlignment="1" applyProtection="1">
      <alignment horizontal="right"/>
      <protection locked="0"/>
    </xf>
    <xf numFmtId="9" fontId="35" fillId="0" borderId="0" xfId="262" applyFont="1" applyBorder="1" applyAlignment="1" applyProtection="1">
      <protection locked="0"/>
    </xf>
    <xf numFmtId="184" fontId="35" fillId="0" borderId="0" xfId="42" applyNumberFormat="1" applyFont="1" applyAlignment="1" applyProtection="1">
      <protection locked="0"/>
    </xf>
    <xf numFmtId="43" fontId="35" fillId="0" borderId="0" xfId="42" applyFont="1" applyFill="1" applyAlignment="1" applyProtection="1">
      <protection locked="0"/>
    </xf>
    <xf numFmtId="0" fontId="0" fillId="0" borderId="0" xfId="42" applyNumberFormat="1" applyFont="1" applyFill="1" applyBorder="1" applyAlignment="1">
      <alignment horizontal="center"/>
    </xf>
    <xf numFmtId="49" fontId="36" fillId="0" borderId="23" xfId="249" applyNumberFormat="1" applyFont="1" applyBorder="1" applyAlignment="1">
      <alignment horizontal="center" wrapText="1"/>
    </xf>
    <xf numFmtId="202" fontId="36" fillId="0" borderId="42" xfId="249" applyNumberFormat="1" applyFont="1" applyFill="1" applyBorder="1" applyAlignment="1">
      <alignment horizontal="center" wrapText="1"/>
    </xf>
    <xf numFmtId="0" fontId="0" fillId="0" borderId="25" xfId="0" applyBorder="1"/>
    <xf numFmtId="49" fontId="36" fillId="0" borderId="23" xfId="249" applyNumberFormat="1" applyFont="1" applyFill="1" applyBorder="1" applyAlignment="1">
      <alignment horizontal="center" wrapText="1"/>
    </xf>
    <xf numFmtId="0" fontId="0" fillId="0" borderId="44" xfId="0" applyBorder="1"/>
    <xf numFmtId="0" fontId="0" fillId="0" borderId="41" xfId="0" applyBorder="1"/>
    <xf numFmtId="0" fontId="0" fillId="0" borderId="45" xfId="0" applyFill="1" applyBorder="1"/>
    <xf numFmtId="0" fontId="0" fillId="21" borderId="46" xfId="0" applyFill="1" applyBorder="1"/>
    <xf numFmtId="0" fontId="0" fillId="21" borderId="45" xfId="0" applyFill="1" applyBorder="1"/>
    <xf numFmtId="0" fontId="0" fillId="0" borderId="47" xfId="0" applyBorder="1"/>
    <xf numFmtId="0" fontId="35" fillId="0" borderId="0" xfId="248" applyNumberFormat="1" applyFont="1" applyFill="1" applyBorder="1" applyAlignment="1" applyProtection="1">
      <alignment vertical="top" wrapText="1"/>
      <protection locked="0"/>
    </xf>
    <xf numFmtId="0" fontId="35" fillId="21" borderId="12" xfId="243" applyFont="1" applyFill="1" applyBorder="1" applyAlignment="1">
      <alignment horizontal="center"/>
    </xf>
    <xf numFmtId="0" fontId="36" fillId="0" borderId="42" xfId="0" applyFont="1" applyBorder="1" applyAlignment="1">
      <alignment horizontal="center" wrapText="1"/>
    </xf>
    <xf numFmtId="184" fontId="0" fillId="0" borderId="37" xfId="0" applyNumberFormat="1" applyFill="1" applyBorder="1"/>
    <xf numFmtId="185" fontId="0" fillId="0" borderId="37" xfId="86" applyNumberFormat="1" applyFont="1" applyFill="1" applyBorder="1"/>
    <xf numFmtId="0" fontId="36" fillId="0" borderId="35" xfId="0" applyFont="1" applyBorder="1" applyAlignment="1">
      <alignment horizontal="center" wrapText="1"/>
    </xf>
    <xf numFmtId="0" fontId="36" fillId="0" borderId="42" xfId="0" applyFont="1" applyBorder="1" applyAlignment="1">
      <alignment horizontal="center"/>
    </xf>
    <xf numFmtId="185" fontId="1" fillId="0" borderId="37" xfId="86" applyNumberFormat="1" applyBorder="1"/>
    <xf numFmtId="0" fontId="0" fillId="0" borderId="38" xfId="0" applyBorder="1" applyAlignment="1">
      <alignment horizontal="center"/>
    </xf>
    <xf numFmtId="0" fontId="0" fillId="0" borderId="14" xfId="0" applyBorder="1" applyAlignment="1">
      <alignment horizontal="center"/>
    </xf>
    <xf numFmtId="0" fontId="0" fillId="0" borderId="14" xfId="0" applyBorder="1" applyAlignment="1">
      <alignment horizontal="left" indent="2"/>
    </xf>
    <xf numFmtId="185" fontId="1" fillId="0" borderId="14" xfId="86" applyNumberFormat="1" applyBorder="1"/>
    <xf numFmtId="185" fontId="1" fillId="0" borderId="39" xfId="86" applyNumberFormat="1" applyBorder="1"/>
    <xf numFmtId="0" fontId="36" fillId="0" borderId="42" xfId="0" applyFont="1" applyFill="1" applyBorder="1" applyAlignment="1">
      <alignment horizontal="center" wrapText="1"/>
    </xf>
    <xf numFmtId="184" fontId="0" fillId="0" borderId="37" xfId="0" applyNumberFormat="1" applyBorder="1"/>
    <xf numFmtId="184" fontId="0" fillId="0" borderId="42" xfId="0" applyNumberFormat="1" applyBorder="1"/>
    <xf numFmtId="37" fontId="1" fillId="21" borderId="12" xfId="0" applyNumberFormat="1" applyFont="1" applyFill="1" applyBorder="1"/>
    <xf numFmtId="37" fontId="1" fillId="21" borderId="27" xfId="0" applyNumberFormat="1" applyFont="1" applyFill="1" applyBorder="1"/>
    <xf numFmtId="0" fontId="65" fillId="0" borderId="0" xfId="0" applyFont="1" applyAlignment="1">
      <alignment horizontal="left"/>
    </xf>
    <xf numFmtId="9" fontId="35" fillId="0" borderId="0" xfId="262" applyNumberFormat="1" applyFont="1" applyFill="1" applyAlignment="1" applyProtection="1">
      <alignment horizontal="center" vertical="center"/>
      <protection locked="0"/>
    </xf>
    <xf numFmtId="0" fontId="70" fillId="0" borderId="0" xfId="0" applyFont="1" applyAlignment="1">
      <alignment horizontal="center"/>
    </xf>
    <xf numFmtId="0" fontId="71" fillId="0" borderId="0" xfId="0" applyFont="1" applyAlignment="1">
      <alignment horizontal="center"/>
    </xf>
    <xf numFmtId="3" fontId="0" fillId="0" borderId="0" xfId="0" applyNumberFormat="1" applyBorder="1" applyAlignment="1">
      <alignment horizontal="center"/>
    </xf>
    <xf numFmtId="3" fontId="40" fillId="0" borderId="0" xfId="0" applyNumberFormat="1" applyFont="1" applyBorder="1" applyAlignment="1">
      <alignment horizontal="center"/>
    </xf>
    <xf numFmtId="3" fontId="0" fillId="0" borderId="0" xfId="42" applyNumberFormat="1" applyFont="1" applyAlignment="1">
      <alignment horizontal="center"/>
    </xf>
    <xf numFmtId="3" fontId="0" fillId="0" borderId="0" xfId="42" applyNumberFormat="1" applyFont="1" applyBorder="1" applyAlignment="1">
      <alignment horizontal="center"/>
    </xf>
    <xf numFmtId="9" fontId="1" fillId="0" borderId="0" xfId="0" applyNumberFormat="1" applyFont="1" applyAlignment="1">
      <alignment horizontal="center"/>
    </xf>
    <xf numFmtId="178" fontId="35" fillId="0" borderId="0" xfId="42" applyNumberFormat="1" applyFont="1" applyFill="1" applyAlignment="1" applyProtection="1">
      <alignment horizontal="right"/>
      <protection locked="0"/>
    </xf>
    <xf numFmtId="0" fontId="35" fillId="0" borderId="0" xfId="0" applyFont="1" applyFill="1" applyAlignment="1">
      <alignment horizontal="left"/>
    </xf>
    <xf numFmtId="170" fontId="35" fillId="0" borderId="0" xfId="248" applyFont="1" applyFill="1" applyAlignment="1"/>
    <xf numFmtId="0" fontId="35" fillId="0" borderId="0" xfId="248" applyNumberFormat="1" applyFont="1" applyAlignment="1" applyProtection="1">
      <alignment horizontal="left"/>
      <protection locked="0"/>
    </xf>
    <xf numFmtId="0" fontId="0" fillId="0" borderId="0" xfId="0" applyFill="1" applyBorder="1" applyAlignment="1">
      <alignment horizontal="center" vertical="center"/>
    </xf>
    <xf numFmtId="0" fontId="53" fillId="0" borderId="0" xfId="240" applyFont="1" applyBorder="1" applyAlignment="1">
      <alignment horizontal="left" indent="2"/>
    </xf>
    <xf numFmtId="38" fontId="35" fillId="0" borderId="0" xfId="252" applyFont="1" applyFill="1"/>
    <xf numFmtId="38" fontId="35" fillId="0" borderId="0" xfId="252" applyFont="1" applyFill="1" applyAlignment="1">
      <alignment horizontal="center"/>
    </xf>
    <xf numFmtId="184" fontId="1" fillId="0" borderId="0" xfId="42" applyNumberFormat="1" applyFont="1" applyAlignment="1">
      <alignment horizontal="center"/>
    </xf>
    <xf numFmtId="0" fontId="36" fillId="0" borderId="23" xfId="0" applyFont="1" applyBorder="1"/>
    <xf numFmtId="182" fontId="1" fillId="0" borderId="26" xfId="0" applyNumberFormat="1" applyFont="1" applyFill="1" applyBorder="1"/>
    <xf numFmtId="182" fontId="36" fillId="0" borderId="23" xfId="0" applyNumberFormat="1" applyFont="1" applyBorder="1" applyAlignment="1">
      <alignment horizontal="center"/>
    </xf>
    <xf numFmtId="0" fontId="1" fillId="0" borderId="0" xfId="0" applyFont="1" applyAlignment="1">
      <alignment horizontal="right" indent="1"/>
    </xf>
    <xf numFmtId="0" fontId="1" fillId="0" borderId="0" xfId="250" applyBorder="1" applyAlignment="1">
      <alignment horizontal="center"/>
    </xf>
    <xf numFmtId="203" fontId="0" fillId="0" borderId="0" xfId="0" applyNumberFormat="1"/>
    <xf numFmtId="203" fontId="0" fillId="0" borderId="0" xfId="0" applyNumberFormat="1" applyBorder="1"/>
    <xf numFmtId="174" fontId="35" fillId="0" borderId="0" xfId="256" applyNumberFormat="1" applyFont="1" applyAlignment="1">
      <alignment horizontal="center"/>
    </xf>
    <xf numFmtId="0" fontId="35" fillId="0" borderId="0" xfId="256" applyFont="1" applyAlignment="1">
      <alignment horizontal="center"/>
    </xf>
    <xf numFmtId="181" fontId="35" fillId="0" borderId="0" xfId="256" applyNumberFormat="1" applyFont="1" applyAlignment="1">
      <alignment horizontal="center"/>
    </xf>
    <xf numFmtId="174" fontId="35" fillId="0" borderId="14" xfId="256" applyNumberFormat="1" applyFont="1" applyBorder="1" applyAlignment="1">
      <alignment horizontal="center"/>
    </xf>
    <xf numFmtId="0" fontId="1" fillId="0" borderId="0" xfId="256" applyFont="1" applyBorder="1" applyAlignment="1">
      <alignment horizontal="center"/>
    </xf>
    <xf numFmtId="0" fontId="56" fillId="0" borderId="0" xfId="256" quotePrefix="1" applyFont="1"/>
    <xf numFmtId="3" fontId="56" fillId="0" borderId="0" xfId="256" applyNumberFormat="1" applyFont="1" applyBorder="1" applyAlignment="1">
      <alignment horizontal="center"/>
    </xf>
    <xf numFmtId="177" fontId="68" fillId="0" borderId="0" xfId="42" applyNumberFormat="1" applyFont="1"/>
    <xf numFmtId="182" fontId="1" fillId="0" borderId="24" xfId="0" applyNumberFormat="1" applyFont="1" applyFill="1" applyBorder="1"/>
    <xf numFmtId="0" fontId="37" fillId="0" borderId="0" xfId="0" applyFont="1" applyAlignment="1">
      <alignment horizontal="left" indent="1"/>
    </xf>
    <xf numFmtId="182" fontId="35" fillId="0" borderId="0" xfId="0" applyNumberFormat="1" applyFont="1" applyFill="1" applyBorder="1"/>
    <xf numFmtId="182" fontId="35" fillId="0" borderId="48" xfId="0" applyNumberFormat="1" applyFont="1" applyFill="1" applyBorder="1"/>
    <xf numFmtId="182" fontId="1" fillId="0" borderId="48" xfId="0" applyNumberFormat="1" applyFont="1" applyFill="1" applyBorder="1"/>
    <xf numFmtId="0" fontId="61" fillId="0" borderId="23" xfId="256" applyFont="1" applyBorder="1" applyAlignment="1">
      <alignment horizontal="center"/>
    </xf>
    <xf numFmtId="0" fontId="56" fillId="0" borderId="0" xfId="256" applyFont="1" applyAlignment="1">
      <alignment horizontal="left" indent="1"/>
    </xf>
    <xf numFmtId="0" fontId="56" fillId="0" borderId="0" xfId="256" applyFont="1" applyAlignment="1">
      <alignment horizontal="left" indent="2"/>
    </xf>
    <xf numFmtId="3" fontId="56" fillId="0" borderId="0" xfId="256" applyNumberFormat="1" applyFont="1" applyFill="1" applyBorder="1"/>
    <xf numFmtId="0" fontId="66" fillId="0" borderId="0" xfId="256" applyFont="1" applyFill="1" applyBorder="1"/>
    <xf numFmtId="0" fontId="56" fillId="0" borderId="32" xfId="256" applyFont="1" applyBorder="1"/>
    <xf numFmtId="10" fontId="56" fillId="0" borderId="0" xfId="262" applyNumberFormat="1" applyFont="1" applyFill="1" applyAlignment="1">
      <alignment horizontal="right"/>
    </xf>
    <xf numFmtId="10" fontId="56" fillId="0" borderId="0" xfId="262" applyNumberFormat="1" applyFont="1" applyBorder="1"/>
    <xf numFmtId="0" fontId="56" fillId="0" borderId="0" xfId="256" applyFont="1" applyFill="1" applyBorder="1" applyAlignment="1">
      <alignment horizontal="right"/>
    </xf>
    <xf numFmtId="184" fontId="55" fillId="0" borderId="0" xfId="42" applyNumberFormat="1" applyFont="1" applyBorder="1"/>
    <xf numFmtId="203" fontId="40" fillId="0" borderId="0" xfId="0" applyNumberFormat="1" applyFont="1"/>
    <xf numFmtId="204" fontId="40" fillId="0" borderId="0" xfId="0" applyNumberFormat="1" applyFont="1"/>
    <xf numFmtId="10" fontId="56" fillId="0" borderId="0" xfId="262" applyNumberFormat="1" applyFont="1" applyAlignment="1">
      <alignment horizontal="center"/>
    </xf>
    <xf numFmtId="10" fontId="56" fillId="0" borderId="0" xfId="262" applyNumberFormat="1" applyFont="1" applyFill="1" applyAlignment="1">
      <alignment horizontal="center"/>
    </xf>
    <xf numFmtId="10" fontId="56" fillId="0" borderId="0" xfId="262" applyNumberFormat="1" applyFont="1" applyBorder="1" applyAlignment="1">
      <alignment horizontal="center"/>
    </xf>
    <xf numFmtId="10" fontId="56" fillId="0" borderId="23" xfId="262" applyNumberFormat="1" applyFont="1" applyBorder="1" applyAlignment="1">
      <alignment horizontal="center"/>
    </xf>
    <xf numFmtId="10" fontId="56" fillId="0" borderId="23" xfId="262" applyNumberFormat="1" applyFont="1" applyFill="1" applyBorder="1" applyAlignment="1">
      <alignment horizontal="center"/>
    </xf>
    <xf numFmtId="0" fontId="63" fillId="0" borderId="0" xfId="256" applyFont="1" applyAlignment="1">
      <alignment horizontal="right"/>
    </xf>
    <xf numFmtId="9" fontId="56" fillId="0" borderId="0" xfId="262" applyFont="1" applyBorder="1"/>
    <xf numFmtId="10" fontId="56" fillId="0" borderId="23" xfId="262" applyNumberFormat="1" applyFont="1" applyBorder="1"/>
    <xf numFmtId="0" fontId="56" fillId="0" borderId="0" xfId="256" applyFont="1" applyFill="1" applyAlignment="1">
      <alignment horizontal="left" indent="1"/>
    </xf>
    <xf numFmtId="3" fontId="56" fillId="0" borderId="0" xfId="256" applyNumberFormat="1" applyFont="1" applyFill="1" applyAlignment="1">
      <alignment horizontal="left"/>
    </xf>
    <xf numFmtId="0" fontId="56" fillId="0" borderId="0" xfId="256" applyFont="1" applyFill="1" applyAlignment="1">
      <alignment horizontal="left"/>
    </xf>
    <xf numFmtId="0" fontId="55" fillId="0" borderId="0" xfId="0" applyFont="1" applyBorder="1"/>
    <xf numFmtId="0" fontId="55" fillId="0" borderId="0" xfId="0" applyFont="1" applyBorder="1" applyAlignment="1">
      <alignment horizontal="left" indent="1"/>
    </xf>
    <xf numFmtId="0" fontId="55" fillId="0" borderId="0" xfId="0" applyFont="1" applyBorder="1" applyAlignment="1">
      <alignment horizontal="left"/>
    </xf>
    <xf numFmtId="0" fontId="55" fillId="0" borderId="0" xfId="0" applyFont="1" applyBorder="1" applyAlignment="1">
      <alignment horizontal="left" indent="2"/>
    </xf>
    <xf numFmtId="0" fontId="55" fillId="0" borderId="0" xfId="0" applyFont="1" applyFill="1" applyBorder="1"/>
    <xf numFmtId="0" fontId="55" fillId="0" borderId="0" xfId="0" applyFont="1" applyFill="1" applyBorder="1" applyAlignment="1">
      <alignment horizontal="center"/>
    </xf>
    <xf numFmtId="6" fontId="56" fillId="0" borderId="0" xfId="256" applyNumberFormat="1" applyFont="1" applyBorder="1"/>
    <xf numFmtId="6" fontId="56" fillId="0" borderId="23" xfId="256" applyNumberFormat="1" applyFont="1" applyBorder="1"/>
    <xf numFmtId="9" fontId="56" fillId="0" borderId="23" xfId="262" applyFont="1" applyBorder="1"/>
    <xf numFmtId="0" fontId="56" fillId="0" borderId="23" xfId="256" applyFont="1" applyFill="1" applyBorder="1" applyAlignment="1">
      <alignment horizontal="right"/>
    </xf>
    <xf numFmtId="10" fontId="55" fillId="0" borderId="0" xfId="262" applyNumberFormat="1" applyFont="1" applyBorder="1"/>
    <xf numFmtId="184" fontId="56" fillId="0" borderId="0" xfId="42" applyNumberFormat="1" applyFont="1"/>
    <xf numFmtId="43" fontId="56" fillId="0" borderId="0" xfId="256" applyNumberFormat="1" applyFont="1" applyBorder="1"/>
    <xf numFmtId="176" fontId="55" fillId="0" borderId="0" xfId="262" applyNumberFormat="1" applyFont="1" applyBorder="1"/>
    <xf numFmtId="176" fontId="56" fillId="0" borderId="0" xfId="262" applyNumberFormat="1" applyFont="1" applyBorder="1" applyAlignment="1">
      <alignment horizontal="right"/>
    </xf>
    <xf numFmtId="0" fontId="55" fillId="0" borderId="0" xfId="248" applyNumberFormat="1" applyFont="1" applyBorder="1" applyAlignment="1" applyProtection="1">
      <protection locked="0"/>
    </xf>
    <xf numFmtId="174" fontId="56" fillId="0" borderId="0" xfId="256" applyNumberFormat="1" applyFont="1" applyFill="1" applyBorder="1"/>
    <xf numFmtId="10" fontId="56" fillId="0" borderId="25" xfId="262" applyNumberFormat="1" applyFont="1" applyFill="1" applyBorder="1" applyAlignment="1">
      <alignment horizontal="right"/>
    </xf>
    <xf numFmtId="176" fontId="36" fillId="0" borderId="0" xfId="262" applyNumberFormat="1" applyFont="1" applyProtection="1">
      <protection locked="0"/>
    </xf>
    <xf numFmtId="184" fontId="35" fillId="0" borderId="26" xfId="42" applyNumberFormat="1" applyFont="1" applyFill="1" applyBorder="1"/>
    <xf numFmtId="0" fontId="0" fillId="0" borderId="0" xfId="0" applyBorder="1" applyAlignment="1">
      <alignment horizontal="right"/>
    </xf>
    <xf numFmtId="184" fontId="35" fillId="21" borderId="43" xfId="42" applyNumberFormat="1" applyFont="1" applyFill="1" applyBorder="1"/>
    <xf numFmtId="184" fontId="35" fillId="0" borderId="26" xfId="42" applyNumberFormat="1" applyFont="1" applyBorder="1"/>
    <xf numFmtId="184" fontId="53" fillId="0" borderId="26" xfId="42" applyNumberFormat="1" applyFont="1" applyBorder="1" applyAlignment="1">
      <alignment horizontal="left"/>
    </xf>
    <xf numFmtId="185" fontId="1" fillId="21" borderId="26" xfId="86" applyNumberFormat="1" applyFill="1" applyBorder="1"/>
    <xf numFmtId="0" fontId="0" fillId="21" borderId="26" xfId="0" applyFill="1" applyBorder="1"/>
    <xf numFmtId="184" fontId="1" fillId="0" borderId="49" xfId="42" applyNumberFormat="1" applyBorder="1"/>
    <xf numFmtId="0" fontId="0" fillId="21" borderId="43" xfId="0" applyFill="1" applyBorder="1"/>
    <xf numFmtId="37" fontId="0" fillId="0" borderId="26" xfId="0" applyNumberFormat="1" applyBorder="1"/>
    <xf numFmtId="10" fontId="1" fillId="0" borderId="26" xfId="262" applyNumberFormat="1" applyBorder="1"/>
    <xf numFmtId="182" fontId="0" fillId="0" borderId="48" xfId="0" applyNumberFormat="1" applyBorder="1"/>
    <xf numFmtId="184" fontId="0" fillId="0" borderId="48" xfId="42" applyNumberFormat="1" applyFont="1" applyBorder="1"/>
    <xf numFmtId="174" fontId="0" fillId="0" borderId="48" xfId="0" applyNumberFormat="1" applyBorder="1"/>
    <xf numFmtId="185" fontId="0" fillId="0" borderId="48" xfId="86" applyNumberFormat="1" applyFont="1" applyBorder="1"/>
    <xf numFmtId="38" fontId="35" fillId="0" borderId="0" xfId="252" applyFont="1" applyAlignment="1">
      <alignment horizontal="center" vertical="top"/>
    </xf>
    <xf numFmtId="184" fontId="39" fillId="0" borderId="0" xfId="42" applyNumberFormat="1" applyFont="1"/>
    <xf numFmtId="10" fontId="39" fillId="0" borderId="0" xfId="262" applyNumberFormat="1" applyFont="1"/>
    <xf numFmtId="3" fontId="0" fillId="0" borderId="0" xfId="0" applyNumberFormat="1"/>
    <xf numFmtId="3" fontId="0" fillId="0" borderId="0" xfId="0" applyNumberFormat="1" applyAlignment="1">
      <alignment horizontal="center"/>
    </xf>
    <xf numFmtId="0" fontId="36" fillId="0" borderId="50" xfId="0" quotePrefix="1" applyNumberFormat="1" applyFont="1" applyBorder="1" applyAlignment="1">
      <alignment horizontal="center"/>
    </xf>
    <xf numFmtId="205" fontId="36" fillId="0" borderId="50" xfId="0" quotePrefix="1" applyNumberFormat="1" applyFont="1" applyBorder="1" applyAlignment="1">
      <alignment horizontal="center"/>
    </xf>
    <xf numFmtId="3" fontId="36" fillId="0" borderId="26" xfId="0" applyNumberFormat="1" applyFont="1" applyBorder="1" applyAlignment="1">
      <alignment horizontal="center"/>
    </xf>
    <xf numFmtId="0" fontId="36" fillId="0" borderId="51" xfId="0" applyFont="1" applyBorder="1" applyAlignment="1">
      <alignment horizontal="center" wrapText="1"/>
    </xf>
    <xf numFmtId="0" fontId="36" fillId="0" borderId="51" xfId="0" quotePrefix="1" applyNumberFormat="1" applyFont="1" applyBorder="1" applyAlignment="1">
      <alignment horizontal="center"/>
    </xf>
    <xf numFmtId="205" fontId="36" fillId="0" borderId="51" xfId="0" quotePrefix="1" applyNumberFormat="1" applyFont="1" applyBorder="1" applyAlignment="1">
      <alignment horizontal="center"/>
    </xf>
    <xf numFmtId="205" fontId="36" fillId="0" borderId="52" xfId="0" quotePrefix="1" applyNumberFormat="1" applyFont="1" applyBorder="1" applyAlignment="1">
      <alignment horizontal="center"/>
    </xf>
    <xf numFmtId="0" fontId="36" fillId="0" borderId="51" xfId="0" applyFont="1" applyBorder="1" applyAlignment="1">
      <alignment horizontal="center"/>
    </xf>
    <xf numFmtId="0" fontId="36" fillId="0" borderId="53" xfId="0" applyFont="1" applyBorder="1" applyAlignment="1">
      <alignment horizontal="center" wrapText="1"/>
    </xf>
    <xf numFmtId="0" fontId="36" fillId="0" borderId="0" xfId="0" applyFont="1" applyBorder="1" applyAlignment="1">
      <alignment horizontal="center" wrapText="1"/>
    </xf>
    <xf numFmtId="37" fontId="36" fillId="0" borderId="0" xfId="0" quotePrefix="1" applyNumberFormat="1" applyFont="1" applyBorder="1" applyAlignment="1">
      <alignment horizontal="center"/>
    </xf>
    <xf numFmtId="1" fontId="0" fillId="0" borderId="0" xfId="0" applyNumberFormat="1" applyBorder="1"/>
    <xf numFmtId="10" fontId="0" fillId="0" borderId="26" xfId="262" applyNumberFormat="1" applyFont="1" applyBorder="1"/>
    <xf numFmtId="0" fontId="1" fillId="0" borderId="0" xfId="0" applyFont="1" applyBorder="1" applyAlignment="1">
      <alignment horizontal="left"/>
    </xf>
    <xf numFmtId="0" fontId="1" fillId="0" borderId="0" xfId="0" applyFont="1" applyAlignment="1">
      <alignment wrapText="1"/>
    </xf>
    <xf numFmtId="178" fontId="1" fillId="0" borderId="0" xfId="0" applyNumberFormat="1" applyFont="1" applyAlignment="1">
      <alignment horizontal="center"/>
    </xf>
    <xf numFmtId="184" fontId="35" fillId="0" borderId="0" xfId="0" applyNumberFormat="1" applyFont="1" applyFill="1"/>
    <xf numFmtId="0" fontId="40" fillId="0" borderId="0" xfId="0" applyFont="1" applyFill="1" applyAlignment="1">
      <alignment horizontal="centerContinuous"/>
    </xf>
    <xf numFmtId="0" fontId="35" fillId="0" borderId="0" xfId="246" applyFont="1" applyFill="1" applyAlignment="1">
      <alignment horizontal="center" vertical="top"/>
    </xf>
    <xf numFmtId="201" fontId="0" fillId="0" borderId="0" xfId="42" applyNumberFormat="1" applyFont="1"/>
    <xf numFmtId="180" fontId="55" fillId="0" borderId="0" xfId="256" applyNumberFormat="1" applyFont="1" applyFill="1" applyBorder="1" applyAlignment="1">
      <alignment horizontal="right"/>
    </xf>
    <xf numFmtId="203" fontId="20" fillId="0" borderId="0" xfId="0" applyNumberFormat="1" applyFont="1"/>
    <xf numFmtId="181" fontId="0" fillId="0" borderId="0" xfId="0" applyNumberFormat="1" applyAlignment="1">
      <alignment horizontal="center"/>
    </xf>
    <xf numFmtId="0" fontId="56" fillId="0" borderId="0" xfId="256" applyFont="1" applyFill="1" applyAlignment="1">
      <alignment horizontal="center"/>
    </xf>
    <xf numFmtId="3" fontId="55" fillId="0" borderId="27" xfId="256" applyNumberFormat="1" applyFont="1" applyFill="1" applyBorder="1" applyAlignment="1">
      <alignment horizontal="right"/>
    </xf>
    <xf numFmtId="185" fontId="1" fillId="0" borderId="0" xfId="86" applyNumberFormat="1" applyFont="1" applyFill="1"/>
    <xf numFmtId="192" fontId="0" fillId="0" borderId="0" xfId="86" applyNumberFormat="1" applyFont="1"/>
    <xf numFmtId="0" fontId="0" fillId="0" borderId="23" xfId="0" applyFill="1" applyBorder="1" applyAlignment="1">
      <alignment horizontal="left"/>
    </xf>
    <xf numFmtId="10" fontId="1" fillId="0" borderId="37" xfId="262" applyNumberFormat="1" applyFill="1" applyBorder="1"/>
    <xf numFmtId="0" fontId="0" fillId="0" borderId="14" xfId="0" applyFill="1" applyBorder="1" applyAlignment="1">
      <alignment horizontal="left"/>
    </xf>
    <xf numFmtId="0" fontId="36" fillId="0" borderId="34" xfId="0" applyFont="1" applyBorder="1" applyAlignment="1"/>
    <xf numFmtId="0" fontId="36" fillId="0" borderId="37" xfId="0" applyFont="1" applyBorder="1" applyAlignment="1">
      <alignment horizontal="center" wrapText="1"/>
    </xf>
    <xf numFmtId="185" fontId="1" fillId="21" borderId="54" xfId="86" applyNumberFormat="1" applyFill="1" applyBorder="1"/>
    <xf numFmtId="184" fontId="1" fillId="21" borderId="54" xfId="42" applyNumberFormat="1" applyFill="1" applyBorder="1"/>
    <xf numFmtId="0" fontId="0" fillId="21" borderId="12" xfId="0" applyFill="1" applyBorder="1" applyAlignment="1">
      <alignment horizontal="left"/>
    </xf>
    <xf numFmtId="0" fontId="36" fillId="0" borderId="0" xfId="0" applyFont="1" applyBorder="1" applyAlignment="1"/>
    <xf numFmtId="184" fontId="1" fillId="21" borderId="55" xfId="42" applyNumberFormat="1" applyFill="1" applyBorder="1" applyAlignment="1">
      <alignment horizontal="left" indent="2"/>
    </xf>
    <xf numFmtId="184" fontId="1" fillId="0" borderId="56" xfId="42" applyNumberFormat="1" applyFill="1" applyBorder="1"/>
    <xf numFmtId="176" fontId="0" fillId="0" borderId="0" xfId="262" applyNumberFormat="1" applyFont="1" applyBorder="1"/>
    <xf numFmtId="184" fontId="1" fillId="21" borderId="57" xfId="42" applyNumberFormat="1" applyFill="1" applyBorder="1"/>
    <xf numFmtId="185" fontId="1" fillId="0" borderId="0" xfId="0" applyNumberFormat="1" applyFont="1"/>
    <xf numFmtId="184" fontId="0" fillId="0" borderId="0" xfId="0" applyNumberFormat="1" applyFill="1" applyBorder="1" applyAlignment="1">
      <alignment horizontal="left" wrapText="1"/>
    </xf>
    <xf numFmtId="192" fontId="1" fillId="0" borderId="0" xfId="86" applyNumberFormat="1" applyFont="1" applyFill="1" applyAlignment="1">
      <alignment horizontal="center"/>
    </xf>
    <xf numFmtId="186" fontId="0" fillId="0" borderId="0" xfId="0" applyNumberFormat="1"/>
    <xf numFmtId="0" fontId="35" fillId="0" borderId="0" xfId="246" applyFont="1" applyFill="1" applyAlignment="1">
      <alignment wrapText="1"/>
    </xf>
    <xf numFmtId="185" fontId="0" fillId="21" borderId="12" xfId="86" applyNumberFormat="1" applyFont="1" applyFill="1" applyBorder="1" applyAlignment="1">
      <alignment horizontal="center"/>
    </xf>
    <xf numFmtId="185" fontId="1" fillId="21" borderId="28" xfId="86" applyNumberFormat="1" applyFill="1" applyBorder="1"/>
    <xf numFmtId="192" fontId="0" fillId="0" borderId="0" xfId="86" applyNumberFormat="1" applyFont="1" applyBorder="1"/>
    <xf numFmtId="0" fontId="73" fillId="0" borderId="0" xfId="0" applyFont="1"/>
    <xf numFmtId="185" fontId="1" fillId="21" borderId="12" xfId="86" applyNumberFormat="1" applyFill="1" applyBorder="1" applyAlignment="1">
      <alignment horizontal="left"/>
    </xf>
    <xf numFmtId="184" fontId="1" fillId="21" borderId="12" xfId="42" applyNumberFormat="1" applyFill="1" applyBorder="1" applyAlignment="1">
      <alignment horizontal="left"/>
    </xf>
    <xf numFmtId="184" fontId="1" fillId="21" borderId="55" xfId="42" applyNumberFormat="1" applyFill="1" applyBorder="1" applyAlignment="1">
      <alignment horizontal="left"/>
    </xf>
    <xf numFmtId="178" fontId="68" fillId="0" borderId="0" xfId="42" applyNumberFormat="1" applyFont="1"/>
    <xf numFmtId="181" fontId="1" fillId="0" borderId="0" xfId="0" applyNumberFormat="1" applyFont="1" applyFill="1"/>
    <xf numFmtId="37" fontId="0" fillId="0" borderId="0" xfId="0" applyNumberFormat="1" applyFill="1" applyAlignment="1">
      <alignment horizontal="left"/>
    </xf>
    <xf numFmtId="0" fontId="1" fillId="0" borderId="0" xfId="0" applyFont="1" applyFill="1" applyAlignment="1">
      <alignment horizontal="left" indent="1"/>
    </xf>
    <xf numFmtId="0" fontId="1" fillId="0" borderId="0" xfId="0" applyFont="1" applyFill="1"/>
    <xf numFmtId="0" fontId="1" fillId="0" borderId="0" xfId="0" applyFont="1" applyFill="1" applyAlignment="1">
      <alignment horizontal="left" wrapText="1" indent="1"/>
    </xf>
    <xf numFmtId="10" fontId="1" fillId="0" borderId="0" xfId="262" applyNumberFormat="1" applyFont="1" applyFill="1" applyAlignment="1">
      <alignment horizontal="center"/>
    </xf>
    <xf numFmtId="10" fontId="0" fillId="0" borderId="0" xfId="0" applyNumberFormat="1" applyFill="1"/>
    <xf numFmtId="0" fontId="36" fillId="0" borderId="23" xfId="248" applyNumberFormat="1" applyFont="1" applyFill="1" applyBorder="1" applyAlignment="1" applyProtection="1">
      <alignment horizontal="center"/>
      <protection locked="0"/>
    </xf>
    <xf numFmtId="170" fontId="36" fillId="0" borderId="23" xfId="248" applyFont="1" applyFill="1" applyBorder="1" applyAlignment="1" applyProtection="1">
      <alignment horizontal="center"/>
      <protection locked="0"/>
    </xf>
    <xf numFmtId="49" fontId="35" fillId="0" borderId="0" xfId="248" applyNumberFormat="1" applyFont="1" applyFill="1" applyAlignment="1" applyProtection="1">
      <alignment horizontal="center"/>
      <protection locked="0"/>
    </xf>
    <xf numFmtId="170" fontId="36" fillId="0" borderId="0" xfId="248" applyFont="1" applyFill="1" applyAlignment="1" applyProtection="1">
      <alignment horizontal="center"/>
      <protection locked="0"/>
    </xf>
    <xf numFmtId="3" fontId="36" fillId="0" borderId="23" xfId="248" applyNumberFormat="1" applyFont="1" applyFill="1" applyBorder="1" applyAlignment="1" applyProtection="1">
      <alignment horizontal="center"/>
      <protection locked="0"/>
    </xf>
    <xf numFmtId="9" fontId="35" fillId="0" borderId="0" xfId="262" applyFont="1" applyFill="1" applyAlignment="1">
      <alignment horizontal="center"/>
    </xf>
    <xf numFmtId="184" fontId="35" fillId="0" borderId="0" xfId="0" applyNumberFormat="1" applyFont="1" applyFill="1" applyBorder="1"/>
    <xf numFmtId="184" fontId="35" fillId="0" borderId="23" xfId="0" applyNumberFormat="1" applyFont="1" applyFill="1" applyBorder="1"/>
    <xf numFmtId="0" fontId="36" fillId="0" borderId="0" xfId="248" applyNumberFormat="1" applyFont="1" applyFill="1" applyAlignment="1" applyProtection="1">
      <alignment horizontal="center"/>
      <protection locked="0"/>
    </xf>
    <xf numFmtId="0" fontId="38" fillId="0" borderId="0" xfId="248" applyNumberFormat="1" applyFont="1" applyFill="1" applyAlignment="1" applyProtection="1">
      <alignment horizontal="center"/>
      <protection locked="0"/>
    </xf>
    <xf numFmtId="0" fontId="35" fillId="0" borderId="0" xfId="0" applyFont="1" applyFill="1" applyAlignment="1">
      <alignment horizontal="left" indent="1"/>
    </xf>
    <xf numFmtId="37" fontId="36" fillId="0" borderId="0" xfId="252" applyNumberFormat="1" applyFont="1" applyFill="1" applyBorder="1" applyAlignment="1">
      <alignment horizontal="center"/>
    </xf>
    <xf numFmtId="37" fontId="36" fillId="0" borderId="0" xfId="252" applyNumberFormat="1" applyFont="1" applyFill="1" applyAlignment="1">
      <alignment horizontal="center"/>
    </xf>
    <xf numFmtId="38" fontId="38" fillId="0" borderId="0" xfId="252" applyFont="1" applyFill="1"/>
    <xf numFmtId="38" fontId="35" fillId="0" borderId="0" xfId="252" applyFont="1" applyFill="1" applyAlignment="1">
      <alignment horizontal="left" wrapText="1"/>
    </xf>
    <xf numFmtId="37" fontId="35" fillId="0" borderId="0" xfId="252" applyNumberFormat="1" applyFont="1" applyFill="1"/>
    <xf numFmtId="0" fontId="36" fillId="0" borderId="0" xfId="0" applyFont="1" applyFill="1" applyAlignment="1">
      <alignment horizontal="center"/>
    </xf>
    <xf numFmtId="0" fontId="0" fillId="0" borderId="18" xfId="0" applyFill="1" applyBorder="1" applyAlignment="1">
      <alignment horizontal="center"/>
    </xf>
    <xf numFmtId="0" fontId="0" fillId="0" borderId="37" xfId="0" applyFill="1" applyBorder="1" applyAlignment="1">
      <alignment horizontal="center"/>
    </xf>
    <xf numFmtId="0" fontId="1" fillId="0" borderId="0" xfId="0" applyFont="1" applyFill="1" applyBorder="1" applyAlignment="1">
      <alignment horizontal="center"/>
    </xf>
    <xf numFmtId="0" fontId="1" fillId="0" borderId="37" xfId="0" applyFont="1" applyFill="1" applyBorder="1" applyAlignment="1">
      <alignment horizontal="center"/>
    </xf>
    <xf numFmtId="0" fontId="53" fillId="0" borderId="0" xfId="240" applyFont="1" applyFill="1" applyBorder="1" applyAlignment="1">
      <alignment horizontal="center"/>
    </xf>
    <xf numFmtId="184" fontId="53" fillId="0" borderId="26" xfId="42" applyNumberFormat="1" applyFont="1" applyFill="1" applyBorder="1" applyAlignment="1">
      <alignment horizontal="left"/>
    </xf>
    <xf numFmtId="184" fontId="1" fillId="0" borderId="24" xfId="42" applyNumberFormat="1" applyFill="1" applyBorder="1"/>
    <xf numFmtId="0" fontId="0" fillId="21" borderId="10" xfId="0" applyFill="1" applyBorder="1"/>
    <xf numFmtId="0" fontId="36" fillId="0" borderId="23" xfId="254" applyFont="1" applyFill="1" applyBorder="1" applyAlignment="1">
      <alignment horizontal="center"/>
    </xf>
    <xf numFmtId="0" fontId="35" fillId="21" borderId="12" xfId="254" applyFont="1" applyFill="1" applyBorder="1"/>
    <xf numFmtId="0" fontId="0" fillId="0" borderId="0" xfId="0" applyFill="1" applyBorder="1" applyAlignment="1">
      <alignment horizontal="left" indent="2"/>
    </xf>
    <xf numFmtId="0" fontId="1" fillId="0" borderId="0" xfId="0" applyFont="1" applyFill="1" applyBorder="1" applyAlignment="1">
      <alignment horizontal="left" wrapText="1" indent="1"/>
    </xf>
    <xf numFmtId="0" fontId="1" fillId="0" borderId="0" xfId="0" applyFont="1" applyFill="1" applyBorder="1" applyAlignment="1">
      <alignment horizontal="left" wrapText="1" indent="2"/>
    </xf>
    <xf numFmtId="0" fontId="1" fillId="0" borderId="0" xfId="0" applyFont="1" applyFill="1" applyBorder="1" applyAlignment="1">
      <alignment horizontal="left" indent="1"/>
    </xf>
    <xf numFmtId="0" fontId="35" fillId="0" borderId="0" xfId="246" applyFont="1" applyFill="1" applyAlignment="1">
      <alignment horizontal="left" indent="1"/>
    </xf>
    <xf numFmtId="2" fontId="35" fillId="0" borderId="0" xfId="246" applyNumberFormat="1" applyFont="1" applyFill="1"/>
    <xf numFmtId="0" fontId="35" fillId="0" borderId="0" xfId="246" applyFont="1" applyFill="1" applyAlignment="1">
      <alignment horizontal="center" wrapText="1"/>
    </xf>
    <xf numFmtId="0" fontId="38" fillId="0" borderId="0" xfId="0" applyFont="1" applyFill="1" applyAlignment="1">
      <alignment horizontal="left"/>
    </xf>
    <xf numFmtId="186" fontId="0" fillId="0" borderId="0" xfId="0" applyNumberFormat="1" applyFill="1"/>
    <xf numFmtId="194" fontId="1" fillId="0" borderId="0" xfId="0" applyNumberFormat="1" applyFont="1" applyFill="1"/>
    <xf numFmtId="194" fontId="35" fillId="0" borderId="0" xfId="0" applyNumberFormat="1" applyFont="1" applyFill="1"/>
    <xf numFmtId="194" fontId="68" fillId="0" borderId="0" xfId="0" applyNumberFormat="1" applyFont="1" applyFill="1"/>
    <xf numFmtId="0" fontId="1" fillId="0" borderId="0" xfId="250" applyFill="1" applyAlignment="1">
      <alignment horizontal="center"/>
    </xf>
    <xf numFmtId="194" fontId="0" fillId="0" borderId="0" xfId="0" applyNumberFormat="1" applyFill="1" applyAlignment="1">
      <alignment horizontal="right"/>
    </xf>
    <xf numFmtId="194" fontId="0" fillId="0" borderId="0" xfId="0" applyNumberFormat="1" applyFill="1"/>
    <xf numFmtId="0" fontId="1" fillId="0" borderId="0" xfId="0" applyFont="1" applyFill="1" applyAlignment="1">
      <alignment horizontal="right" indent="1"/>
    </xf>
    <xf numFmtId="0" fontId="56" fillId="0" borderId="0" xfId="0" applyFont="1" applyFill="1"/>
    <xf numFmtId="0" fontId="0" fillId="0" borderId="23" xfId="0" quotePrefix="1" applyFill="1" applyBorder="1" applyAlignment="1">
      <alignment horizontal="center"/>
    </xf>
    <xf numFmtId="0" fontId="1" fillId="0" borderId="23" xfId="250" applyFont="1" applyFill="1" applyBorder="1" applyAlignment="1">
      <alignment horizontal="center"/>
    </xf>
    <xf numFmtId="0" fontId="1" fillId="0" borderId="23" xfId="250" applyFill="1" applyBorder="1" applyAlignment="1">
      <alignment horizontal="center"/>
    </xf>
    <xf numFmtId="174" fontId="35" fillId="0" borderId="0" xfId="256" applyNumberFormat="1" applyFont="1" applyFill="1" applyAlignment="1">
      <alignment horizontal="center"/>
    </xf>
    <xf numFmtId="0" fontId="35" fillId="0" borderId="0" xfId="256" applyFont="1" applyFill="1" applyAlignment="1">
      <alignment horizontal="center"/>
    </xf>
    <xf numFmtId="0" fontId="56" fillId="0" borderId="0" xfId="0" applyFont="1" applyFill="1" applyAlignment="1">
      <alignment horizontal="left" indent="1"/>
    </xf>
    <xf numFmtId="3" fontId="55" fillId="0" borderId="23" xfId="256" applyNumberFormat="1" applyFont="1" applyFill="1" applyBorder="1" applyAlignment="1">
      <alignment horizontal="right"/>
    </xf>
    <xf numFmtId="177" fontId="55" fillId="0" borderId="26" xfId="42" applyNumberFormat="1" applyFont="1" applyFill="1" applyBorder="1"/>
    <xf numFmtId="175" fontId="55" fillId="0" borderId="26" xfId="256" applyNumberFormat="1" applyFont="1" applyFill="1" applyBorder="1" applyAlignment="1">
      <alignment horizontal="right"/>
    </xf>
    <xf numFmtId="10" fontId="37" fillId="0" borderId="0" xfId="247" applyNumberFormat="1" applyFont="1"/>
    <xf numFmtId="37" fontId="1" fillId="21" borderId="43" xfId="0" applyNumberFormat="1" applyFont="1" applyFill="1" applyBorder="1"/>
    <xf numFmtId="37" fontId="1" fillId="21" borderId="33" xfId="0" applyNumberFormat="1" applyFont="1" applyFill="1" applyBorder="1"/>
    <xf numFmtId="0" fontId="55" fillId="0" borderId="0" xfId="256" applyFont="1" applyAlignment="1">
      <alignment horizontal="right"/>
    </xf>
    <xf numFmtId="184" fontId="35" fillId="0" borderId="26" xfId="0" applyNumberFormat="1" applyFont="1" applyFill="1" applyBorder="1"/>
    <xf numFmtId="185" fontId="1" fillId="0" borderId="16" xfId="86" applyNumberFormat="1" applyFill="1" applyBorder="1"/>
    <xf numFmtId="0" fontId="56" fillId="0" borderId="0" xfId="256" applyFont="1" applyAlignment="1">
      <alignment horizontal="center" vertical="top"/>
    </xf>
    <xf numFmtId="0" fontId="56" fillId="0" borderId="0" xfId="256" applyFont="1" applyAlignment="1">
      <alignment vertical="top"/>
    </xf>
    <xf numFmtId="0" fontId="56" fillId="0" borderId="0" xfId="256" applyFont="1" applyFill="1" applyAlignment="1">
      <alignment horizontal="left" vertical="top"/>
    </xf>
    <xf numFmtId="3" fontId="55" fillId="0" borderId="16" xfId="256" applyNumberFormat="1" applyFont="1" applyFill="1" applyBorder="1" applyAlignment="1">
      <alignment horizontal="right"/>
    </xf>
    <xf numFmtId="185" fontId="1" fillId="21" borderId="12" xfId="86" applyNumberFormat="1" applyFont="1" applyFill="1" applyBorder="1"/>
    <xf numFmtId="3" fontId="1" fillId="21" borderId="12" xfId="256" applyNumberFormat="1" applyFont="1" applyFill="1" applyBorder="1" applyAlignment="1">
      <alignment horizontal="right"/>
    </xf>
    <xf numFmtId="182" fontId="1" fillId="21" borderId="12" xfId="0" applyNumberFormat="1" applyFont="1" applyFill="1" applyBorder="1"/>
    <xf numFmtId="184" fontId="1" fillId="21" borderId="12" xfId="42" applyNumberFormat="1" applyFont="1" applyFill="1" applyBorder="1"/>
    <xf numFmtId="0" fontId="53" fillId="0" borderId="37" xfId="240" applyFont="1" applyFill="1" applyBorder="1" applyAlignment="1">
      <alignment horizontal="center"/>
    </xf>
    <xf numFmtId="196" fontId="35" fillId="0" borderId="0" xfId="247" applyNumberFormat="1" applyFont="1" applyFill="1" applyBorder="1"/>
    <xf numFmtId="5" fontId="1" fillId="0" borderId="0" xfId="0" applyNumberFormat="1" applyFont="1"/>
    <xf numFmtId="0" fontId="36" fillId="0" borderId="48" xfId="0" applyFont="1" applyBorder="1" applyAlignment="1">
      <alignment horizontal="center" wrapText="1"/>
    </xf>
    <xf numFmtId="184" fontId="0" fillId="0" borderId="37" xfId="42" applyNumberFormat="1" applyFont="1" applyBorder="1"/>
    <xf numFmtId="9" fontId="56" fillId="0" borderId="0" xfId="262" applyFont="1" applyBorder="1" applyAlignment="1">
      <alignment horizontal="center"/>
    </xf>
    <xf numFmtId="10" fontId="56" fillId="0" borderId="10" xfId="262" applyNumberFormat="1" applyFont="1" applyBorder="1" applyAlignment="1">
      <alignment horizontal="center"/>
    </xf>
    <xf numFmtId="174" fontId="62" fillId="0" borderId="0" xfId="256" applyNumberFormat="1" applyFont="1" applyFill="1" applyBorder="1" applyAlignment="1">
      <alignment vertical="center" wrapText="1"/>
    </xf>
    <xf numFmtId="182" fontId="36" fillId="0" borderId="0" xfId="0" applyNumberFormat="1" applyFont="1"/>
    <xf numFmtId="0" fontId="56" fillId="0" borderId="0" xfId="256" applyFont="1" applyFill="1" applyAlignment="1">
      <alignment horizontal="left" indent="2"/>
    </xf>
    <xf numFmtId="184" fontId="1" fillId="21" borderId="27" xfId="42" applyNumberFormat="1" applyFont="1" applyFill="1" applyBorder="1"/>
    <xf numFmtId="184" fontId="1" fillId="21" borderId="57" xfId="42" applyNumberFormat="1" applyFont="1" applyFill="1" applyBorder="1"/>
    <xf numFmtId="0" fontId="54" fillId="0" borderId="0" xfId="0" applyFont="1"/>
    <xf numFmtId="184" fontId="35" fillId="21" borderId="12" xfId="132" applyNumberFormat="1" applyFont="1" applyFill="1" applyBorder="1"/>
    <xf numFmtId="185" fontId="1" fillId="0" borderId="5" xfId="86" applyNumberFormat="1" applyBorder="1"/>
    <xf numFmtId="185" fontId="1" fillId="21" borderId="12" xfId="86" applyNumberFormat="1" applyFont="1" applyFill="1" applyBorder="1" applyAlignment="1">
      <alignment horizontal="right"/>
    </xf>
    <xf numFmtId="185" fontId="0" fillId="21" borderId="58" xfId="86" applyNumberFormat="1" applyFont="1" applyFill="1" applyBorder="1"/>
    <xf numFmtId="0" fontId="0" fillId="36" borderId="0" xfId="0" applyFill="1"/>
    <xf numFmtId="14" fontId="0" fillId="37" borderId="0" xfId="0" applyNumberFormat="1" applyFill="1"/>
    <xf numFmtId="0" fontId="0" fillId="37" borderId="0" xfId="0" applyFill="1"/>
    <xf numFmtId="38" fontId="0" fillId="37" borderId="0" xfId="0" applyNumberFormat="1" applyFill="1"/>
    <xf numFmtId="38" fontId="35" fillId="37" borderId="0" xfId="0" applyNumberFormat="1" applyFont="1" applyFill="1"/>
    <xf numFmtId="9" fontId="6" fillId="21" borderId="0" xfId="262" applyFont="1" applyFill="1" applyAlignment="1">
      <alignment horizontal="right"/>
    </xf>
    <xf numFmtId="10" fontId="6" fillId="21" borderId="0" xfId="262" applyNumberFormat="1" applyFont="1" applyFill="1"/>
    <xf numFmtId="3" fontId="55" fillId="21" borderId="12" xfId="256" applyNumberFormat="1" applyFont="1" applyFill="1" applyBorder="1" applyAlignment="1">
      <alignment horizontal="right"/>
    </xf>
    <xf numFmtId="3" fontId="55" fillId="21" borderId="27" xfId="256" applyNumberFormat="1" applyFont="1" applyFill="1" applyBorder="1" applyAlignment="1">
      <alignment horizontal="right"/>
    </xf>
    <xf numFmtId="3" fontId="55" fillId="21" borderId="12" xfId="256" applyNumberFormat="1" applyFont="1" applyFill="1" applyBorder="1" applyAlignment="1">
      <alignment horizontal="right" vertical="top"/>
    </xf>
    <xf numFmtId="174" fontId="35" fillId="0" borderId="26" xfId="256" applyNumberFormat="1" applyFont="1" applyBorder="1" applyAlignment="1">
      <alignment horizontal="center"/>
    </xf>
    <xf numFmtId="5" fontId="0" fillId="21" borderId="74" xfId="0" applyNumberFormat="1" applyFill="1" applyBorder="1"/>
    <xf numFmtId="0" fontId="0" fillId="0" borderId="74" xfId="0" applyFill="1" applyBorder="1"/>
    <xf numFmtId="5" fontId="0" fillId="0" borderId="74" xfId="0" applyNumberFormat="1" applyBorder="1"/>
    <xf numFmtId="184" fontId="55" fillId="21" borderId="23" xfId="42" applyNumberFormat="1" applyFont="1" applyFill="1" applyBorder="1"/>
    <xf numFmtId="3" fontId="55" fillId="21" borderId="16" xfId="256" applyNumberFormat="1" applyFont="1" applyFill="1" applyBorder="1" applyAlignment="1">
      <alignment horizontal="right"/>
    </xf>
    <xf numFmtId="184" fontId="1" fillId="37" borderId="12" xfId="42" applyNumberFormat="1" applyFill="1" applyBorder="1"/>
    <xf numFmtId="184" fontId="1" fillId="21" borderId="59" xfId="42" applyNumberFormat="1" applyFill="1" applyBorder="1"/>
    <xf numFmtId="37" fontId="0" fillId="37" borderId="12" xfId="0" applyNumberFormat="1" applyFill="1" applyBorder="1"/>
    <xf numFmtId="0" fontId="0" fillId="37" borderId="12" xfId="0" applyFill="1" applyBorder="1"/>
    <xf numFmtId="37" fontId="0" fillId="37" borderId="27" xfId="0" applyNumberFormat="1" applyFill="1" applyBorder="1"/>
    <xf numFmtId="37" fontId="35" fillId="37" borderId="43" xfId="0" applyNumberFormat="1" applyFont="1" applyFill="1" applyBorder="1"/>
    <xf numFmtId="43" fontId="1" fillId="21" borderId="12" xfId="42" applyFill="1" applyBorder="1"/>
    <xf numFmtId="0" fontId="6" fillId="0" borderId="0" xfId="246" applyFont="1" applyFill="1" applyAlignment="1">
      <alignment horizontal="left"/>
    </xf>
    <xf numFmtId="0" fontId="35" fillId="0" borderId="0" xfId="246" quotePrefix="1" applyFont="1" applyFill="1" applyAlignment="1">
      <alignment horizontal="center"/>
    </xf>
    <xf numFmtId="0" fontId="6" fillId="0" borderId="0" xfId="246" applyFont="1" applyFill="1" applyAlignment="1">
      <alignment horizontal="left" indent="1"/>
    </xf>
    <xf numFmtId="0" fontId="35" fillId="0" borderId="0" xfId="246" applyFont="1" applyFill="1" applyAlignment="1">
      <alignment horizontal="left" vertical="center" wrapText="1"/>
    </xf>
    <xf numFmtId="0" fontId="35" fillId="0" borderId="0" xfId="246" applyFont="1" applyFill="1" applyAlignment="1">
      <alignment horizontal="left" vertical="center"/>
    </xf>
    <xf numFmtId="184" fontId="35" fillId="21" borderId="28" xfId="42" applyNumberFormat="1" applyFont="1" applyFill="1" applyBorder="1"/>
    <xf numFmtId="184" fontId="53" fillId="0" borderId="5" xfId="42" applyNumberFormat="1" applyFont="1" applyBorder="1" applyAlignment="1">
      <alignment horizontal="left"/>
    </xf>
    <xf numFmtId="185" fontId="1" fillId="21" borderId="28" xfId="86" applyNumberFormat="1" applyFont="1" applyFill="1" applyBorder="1" applyAlignment="1">
      <alignment horizontal="right"/>
    </xf>
    <xf numFmtId="184" fontId="0" fillId="0" borderId="12" xfId="42" applyNumberFormat="1" applyFont="1" applyFill="1" applyBorder="1"/>
    <xf numFmtId="184" fontId="0" fillId="0" borderId="27" xfId="42" applyNumberFormat="1" applyFont="1" applyFill="1" applyBorder="1"/>
    <xf numFmtId="41" fontId="1" fillId="21" borderId="12" xfId="86" applyNumberFormat="1" applyFont="1" applyFill="1" applyBorder="1" applyAlignment="1">
      <alignment horizontal="right"/>
    </xf>
    <xf numFmtId="5" fontId="6" fillId="0" borderId="34" xfId="247" applyNumberFormat="1" applyFont="1" applyBorder="1"/>
    <xf numFmtId="0" fontId="6" fillId="0" borderId="40" xfId="247" applyFont="1" applyBorder="1"/>
    <xf numFmtId="0" fontId="6" fillId="0" borderId="41" xfId="247" applyFont="1" applyBorder="1"/>
    <xf numFmtId="5" fontId="6" fillId="0" borderId="38" xfId="247" applyNumberFormat="1" applyFont="1" applyBorder="1"/>
    <xf numFmtId="0" fontId="6" fillId="0" borderId="14" xfId="247" applyFont="1" applyBorder="1"/>
    <xf numFmtId="0" fontId="6" fillId="0" borderId="39" xfId="247" applyFont="1" applyBorder="1"/>
    <xf numFmtId="0" fontId="6" fillId="0" borderId="0" xfId="247" applyFont="1" applyAlignment="1">
      <alignment horizontal="right"/>
    </xf>
    <xf numFmtId="0" fontId="6" fillId="0" borderId="0" xfId="0" applyFont="1" applyAlignment="1">
      <alignment horizontal="right"/>
    </xf>
    <xf numFmtId="0" fontId="6" fillId="0" borderId="0" xfId="0" applyFont="1" applyFill="1" applyAlignment="1">
      <alignment horizontal="left"/>
    </xf>
    <xf numFmtId="0" fontId="74" fillId="0" borderId="0" xfId="0" applyFont="1" applyFill="1" applyAlignment="1">
      <alignment horizontal="left" wrapText="1" indent="1"/>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xf numFmtId="192" fontId="74" fillId="0" borderId="0" xfId="86" applyNumberFormat="1" applyFont="1" applyFill="1" applyAlignment="1">
      <alignment horizontal="center"/>
    </xf>
    <xf numFmtId="0" fontId="35" fillId="0" borderId="0" xfId="0" applyFont="1" applyFill="1" applyAlignment="1">
      <alignment horizontal="left" wrapText="1" indent="1"/>
    </xf>
    <xf numFmtId="0" fontId="75" fillId="0" borderId="0" xfId="0" applyFont="1" applyFill="1"/>
    <xf numFmtId="44" fontId="35" fillId="0" borderId="0" xfId="86" applyNumberFormat="1" applyFont="1" applyFill="1" applyProtection="1">
      <protection locked="0"/>
    </xf>
    <xf numFmtId="0" fontId="41" fillId="0" borderId="0" xfId="0" applyFont="1"/>
    <xf numFmtId="189" fontId="35" fillId="0" borderId="0" xfId="257" applyFont="1" applyFill="1"/>
    <xf numFmtId="189" fontId="35" fillId="0" borderId="0" xfId="257" applyFont="1" applyFill="1" applyProtection="1">
      <protection locked="0"/>
    </xf>
    <xf numFmtId="184" fontId="35" fillId="0" borderId="0" xfId="62" applyNumberFormat="1" applyFont="1" applyFill="1" applyProtection="1">
      <protection locked="0"/>
    </xf>
    <xf numFmtId="189" fontId="35" fillId="0" borderId="23" xfId="257" applyFont="1" applyFill="1" applyBorder="1" applyAlignment="1" applyProtection="1">
      <alignment horizontal="center" wrapText="1"/>
      <protection locked="0"/>
    </xf>
    <xf numFmtId="41" fontId="35" fillId="0" borderId="23" xfId="255" applyFont="1" applyFill="1" applyBorder="1" applyAlignment="1" applyProtection="1">
      <alignment horizontal="center" wrapText="1"/>
      <protection locked="0"/>
    </xf>
    <xf numFmtId="184" fontId="35" fillId="0" borderId="23" xfId="62" applyNumberFormat="1" applyFont="1" applyFill="1" applyBorder="1" applyAlignment="1" applyProtection="1">
      <alignment horizontal="center" wrapText="1"/>
      <protection locked="0"/>
    </xf>
    <xf numFmtId="184" fontId="41" fillId="0" borderId="23" xfId="62" applyNumberFormat="1" applyFont="1" applyFill="1" applyBorder="1" applyAlignment="1" applyProtection="1">
      <alignment horizontal="center" wrapText="1"/>
      <protection locked="0"/>
    </xf>
    <xf numFmtId="189" fontId="41" fillId="0" borderId="23" xfId="257" applyFont="1" applyFill="1" applyBorder="1" applyAlignment="1" applyProtection="1">
      <alignment horizontal="center" wrapText="1"/>
      <protection locked="0"/>
    </xf>
    <xf numFmtId="206" fontId="35" fillId="0" borderId="0" xfId="257" applyNumberFormat="1" applyFont="1" applyFill="1" applyAlignment="1" applyProtection="1">
      <alignment horizontal="center"/>
      <protection locked="0"/>
    </xf>
    <xf numFmtId="0" fontId="35" fillId="0" borderId="0" xfId="257" applyNumberFormat="1" applyFont="1" applyFill="1" applyAlignment="1" applyProtection="1">
      <alignment horizontal="center"/>
      <protection locked="0"/>
    </xf>
    <xf numFmtId="189" fontId="35" fillId="0" borderId="0" xfId="257" applyFont="1" applyFill="1" applyAlignment="1" applyProtection="1">
      <alignment horizontal="center"/>
      <protection locked="0"/>
    </xf>
    <xf numFmtId="207" fontId="35" fillId="0" borderId="0" xfId="95" applyNumberFormat="1" applyFont="1" applyFill="1" applyProtection="1">
      <protection locked="0"/>
    </xf>
    <xf numFmtId="37" fontId="35" fillId="0" borderId="0" xfId="257" applyNumberFormat="1" applyFont="1" applyFill="1" applyProtection="1">
      <protection locked="0"/>
    </xf>
    <xf numFmtId="193" fontId="35" fillId="0" borderId="0" xfId="262" applyNumberFormat="1" applyFont="1" applyFill="1" applyAlignment="1" applyProtection="1">
      <alignment horizontal="center"/>
      <protection locked="0"/>
    </xf>
    <xf numFmtId="39" fontId="35" fillId="0" borderId="0" xfId="95" applyNumberFormat="1" applyFont="1" applyFill="1" applyProtection="1">
      <protection locked="0"/>
    </xf>
    <xf numFmtId="39" fontId="35" fillId="0" borderId="0" xfId="95" applyNumberFormat="1" applyFont="1" applyFill="1" applyAlignment="1" applyProtection="1">
      <alignment horizontal="right"/>
      <protection locked="0"/>
    </xf>
    <xf numFmtId="39" fontId="35" fillId="0" borderId="0" xfId="257" applyNumberFormat="1" applyFont="1" applyFill="1" applyProtection="1">
      <protection locked="0"/>
    </xf>
    <xf numFmtId="0" fontId="41" fillId="0" borderId="0" xfId="0" applyFont="1" applyFill="1"/>
    <xf numFmtId="0" fontId="35" fillId="0" borderId="0" xfId="257" applyNumberFormat="1" applyFont="1" applyFill="1" applyAlignment="1" applyProtection="1">
      <alignment horizontal="right"/>
      <protection locked="0"/>
    </xf>
    <xf numFmtId="39" fontId="35" fillId="0" borderId="5" xfId="95" applyNumberFormat="1" applyFont="1" applyFill="1" applyBorder="1" applyProtection="1">
      <protection locked="0"/>
    </xf>
    <xf numFmtId="0" fontId="35" fillId="0" borderId="0" xfId="257" applyNumberFormat="1" applyFont="1" applyFill="1" applyAlignment="1">
      <alignment horizontal="right"/>
    </xf>
    <xf numFmtId="10" fontId="35" fillId="0" borderId="0" xfId="257" applyNumberFormat="1" applyFont="1" applyFill="1" applyProtection="1">
      <protection locked="0"/>
    </xf>
    <xf numFmtId="0" fontId="35" fillId="0" borderId="0" xfId="62" applyNumberFormat="1" applyFont="1" applyFill="1" applyAlignment="1" applyProtection="1">
      <alignment horizontal="right"/>
      <protection locked="0"/>
    </xf>
    <xf numFmtId="37" fontId="41" fillId="0" borderId="10" xfId="95" applyNumberFormat="1" applyFont="1" applyFill="1" applyBorder="1" applyProtection="1">
      <protection locked="0"/>
    </xf>
    <xf numFmtId="189" fontId="35" fillId="0" borderId="23" xfId="257" applyFont="1" applyFill="1" applyBorder="1" applyAlignment="1" applyProtection="1">
      <alignment horizontal="center"/>
      <protection locked="0"/>
    </xf>
    <xf numFmtId="184" fontId="35" fillId="0" borderId="0" xfId="42" applyNumberFormat="1" applyFont="1" applyFill="1" applyProtection="1">
      <protection locked="0"/>
    </xf>
    <xf numFmtId="10" fontId="35" fillId="0" borderId="0" xfId="262" applyNumberFormat="1" applyFont="1" applyFill="1" applyProtection="1">
      <protection locked="0"/>
    </xf>
    <xf numFmtId="192" fontId="35" fillId="0" borderId="0" xfId="86" applyNumberFormat="1" applyFont="1" applyFill="1" applyProtection="1">
      <protection locked="0"/>
    </xf>
    <xf numFmtId="0" fontId="35" fillId="0" borderId="0" xfId="0" quotePrefix="1" applyFont="1" applyFill="1"/>
    <xf numFmtId="189" fontId="35" fillId="0" borderId="0" xfId="257" quotePrefix="1" applyFont="1" applyFill="1"/>
    <xf numFmtId="189" fontId="35" fillId="0" borderId="0" xfId="257" quotePrefix="1" applyFont="1" applyFill="1" applyProtection="1">
      <protection locked="0"/>
    </xf>
    <xf numFmtId="0" fontId="51" fillId="0" borderId="0" xfId="0" applyFont="1"/>
    <xf numFmtId="189" fontId="6" fillId="0" borderId="0" xfId="257" applyFont="1" applyFill="1"/>
    <xf numFmtId="37" fontId="41" fillId="0" borderId="0" xfId="0" applyNumberFormat="1" applyFont="1" applyFill="1"/>
    <xf numFmtId="189" fontId="6" fillId="0" borderId="0" xfId="257" quotePrefix="1" applyFont="1" applyFill="1"/>
    <xf numFmtId="0" fontId="51" fillId="0" borderId="0" xfId="218" applyFont="1"/>
    <xf numFmtId="0" fontId="97" fillId="0" borderId="0" xfId="218"/>
    <xf numFmtId="0" fontId="41" fillId="0" borderId="0" xfId="218" applyFont="1"/>
    <xf numFmtId="0" fontId="41" fillId="0" borderId="0" xfId="218" applyFont="1" applyFill="1"/>
    <xf numFmtId="189" fontId="20" fillId="0" borderId="0" xfId="257" applyFont="1" applyFill="1" applyProtection="1">
      <protection locked="0"/>
    </xf>
    <xf numFmtId="0" fontId="41" fillId="0" borderId="0" xfId="218" quotePrefix="1" applyFont="1"/>
    <xf numFmtId="0" fontId="35" fillId="0" borderId="0" xfId="218" applyFont="1"/>
    <xf numFmtId="188" fontId="91" fillId="0" borderId="0" xfId="257" applyNumberFormat="1" applyFont="1" applyFill="1" applyProtection="1">
      <protection locked="0"/>
    </xf>
    <xf numFmtId="184" fontId="91" fillId="0" borderId="0" xfId="62" applyNumberFormat="1" applyFont="1" applyFill="1" applyProtection="1">
      <protection locked="0"/>
    </xf>
    <xf numFmtId="208" fontId="91" fillId="0" borderId="0" xfId="257" applyNumberFormat="1" applyFont="1" applyFill="1" applyAlignment="1" applyProtection="1">
      <alignment horizontal="right"/>
      <protection locked="0"/>
    </xf>
    <xf numFmtId="0" fontId="41" fillId="0" borderId="0" xfId="218" quotePrefix="1" applyFont="1" applyFill="1"/>
    <xf numFmtId="0" fontId="51" fillId="0" borderId="0" xfId="219" applyFont="1"/>
    <xf numFmtId="0" fontId="97" fillId="0" borderId="0" xfId="219"/>
    <xf numFmtId="0" fontId="41" fillId="0" borderId="0" xfId="219" applyFont="1" applyFill="1"/>
    <xf numFmtId="0" fontId="41" fillId="0" borderId="0" xfId="219" quotePrefix="1" applyFont="1"/>
    <xf numFmtId="41" fontId="41" fillId="0" borderId="23" xfId="255" applyFont="1" applyFill="1" applyBorder="1" applyAlignment="1" applyProtection="1">
      <alignment horizontal="center" wrapText="1"/>
      <protection locked="0"/>
    </xf>
    <xf numFmtId="0" fontId="35" fillId="0" borderId="0" xfId="219" applyFont="1"/>
    <xf numFmtId="37" fontId="35" fillId="21" borderId="0" xfId="257" applyNumberFormat="1" applyFont="1" applyFill="1" applyProtection="1">
      <protection locked="0"/>
    </xf>
    <xf numFmtId="37" fontId="35" fillId="0" borderId="0" xfId="95" applyNumberFormat="1" applyFont="1" applyFill="1" applyProtection="1">
      <protection locked="0"/>
    </xf>
    <xf numFmtId="182" fontId="35" fillId="0" borderId="0" xfId="0" applyNumberFormat="1" applyFont="1"/>
    <xf numFmtId="0" fontId="51" fillId="0" borderId="0" xfId="226" applyFont="1"/>
    <xf numFmtId="0" fontId="97" fillId="0" borderId="0" xfId="227"/>
    <xf numFmtId="0" fontId="41" fillId="0" borderId="0" xfId="227" applyFont="1" applyFill="1"/>
    <xf numFmtId="0" fontId="41" fillId="0" borderId="0" xfId="227" quotePrefix="1" applyFont="1"/>
    <xf numFmtId="188" fontId="35" fillId="0" borderId="0" xfId="95" applyNumberFormat="1" applyFont="1" applyFill="1" applyProtection="1">
      <protection locked="0"/>
    </xf>
    <xf numFmtId="230" fontId="35" fillId="0" borderId="0" xfId="95" applyNumberFormat="1" applyFont="1" applyFill="1" applyProtection="1">
      <protection locked="0"/>
    </xf>
    <xf numFmtId="10" fontId="74" fillId="0" borderId="0" xfId="262" applyNumberFormat="1" applyFont="1" applyFill="1" applyAlignment="1">
      <alignment horizontal="center"/>
    </xf>
    <xf numFmtId="10" fontId="35" fillId="0" borderId="0" xfId="0" applyNumberFormat="1" applyFont="1" applyFill="1" applyAlignment="1">
      <alignment horizontal="center"/>
    </xf>
    <xf numFmtId="44" fontId="1" fillId="0" borderId="26" xfId="86" applyNumberFormat="1" applyFill="1" applyBorder="1"/>
    <xf numFmtId="185" fontId="1" fillId="0" borderId="5" xfId="86" applyNumberFormat="1" applyFill="1" applyBorder="1"/>
    <xf numFmtId="184" fontId="74" fillId="37" borderId="12" xfId="42" applyNumberFormat="1" applyFont="1" applyFill="1" applyBorder="1"/>
    <xf numFmtId="38" fontId="0" fillId="0" borderId="0" xfId="0" applyNumberFormat="1"/>
    <xf numFmtId="0" fontId="6" fillId="0" borderId="0" xfId="256" applyFont="1"/>
    <xf numFmtId="3" fontId="0" fillId="0" borderId="0" xfId="0" applyNumberFormat="1" applyFill="1" applyAlignment="1">
      <alignment horizontal="center"/>
    </xf>
    <xf numFmtId="3" fontId="0" fillId="0" borderId="0" xfId="0" applyNumberFormat="1" applyFill="1"/>
    <xf numFmtId="0" fontId="6" fillId="0" borderId="0" xfId="0" applyFont="1" applyAlignment="1">
      <alignment horizontal="left"/>
    </xf>
    <xf numFmtId="0" fontId="6" fillId="0" borderId="0" xfId="0" applyFont="1" applyFill="1" applyAlignment="1">
      <alignment horizontal="center"/>
    </xf>
    <xf numFmtId="0" fontId="6" fillId="0" borderId="23" xfId="0" applyFont="1" applyBorder="1" applyAlignment="1">
      <alignment horizontal="center"/>
    </xf>
    <xf numFmtId="0" fontId="6" fillId="0" borderId="23" xfId="0" applyFont="1" applyBorder="1" applyAlignment="1">
      <alignment horizontal="center" wrapText="1"/>
    </xf>
    <xf numFmtId="0" fontId="6" fillId="0" borderId="0" xfId="0" applyFont="1" applyFill="1" applyBorder="1"/>
    <xf numFmtId="0" fontId="35" fillId="21" borderId="43" xfId="0" applyFont="1" applyFill="1" applyBorder="1" applyAlignment="1">
      <alignment horizontal="left" indent="1"/>
    </xf>
    <xf numFmtId="0" fontId="35" fillId="0" borderId="0" xfId="0" applyFont="1" applyFill="1" applyBorder="1" applyAlignment="1">
      <alignment horizontal="left" indent="1"/>
    </xf>
    <xf numFmtId="0" fontId="35" fillId="21" borderId="12" xfId="0" applyFont="1" applyFill="1" applyBorder="1" applyAlignment="1">
      <alignment horizontal="left" indent="1"/>
    </xf>
    <xf numFmtId="184" fontId="35" fillId="0" borderId="60" xfId="42" applyNumberFormat="1" applyFont="1" applyBorder="1"/>
    <xf numFmtId="10" fontId="35" fillId="0" borderId="23" xfId="262" applyNumberFormat="1" applyFont="1" applyFill="1" applyBorder="1"/>
    <xf numFmtId="184" fontId="35" fillId="37" borderId="0" xfId="42" applyNumberFormat="1" applyFont="1" applyFill="1" applyBorder="1"/>
    <xf numFmtId="184" fontId="35" fillId="0" borderId="56" xfId="42" applyNumberFormat="1" applyFont="1" applyBorder="1"/>
    <xf numFmtId="184" fontId="35" fillId="0" borderId="5" xfId="42" applyNumberFormat="1" applyFont="1" applyBorder="1"/>
    <xf numFmtId="10" fontId="35" fillId="0" borderId="23" xfId="262" applyNumberFormat="1" applyFont="1" applyBorder="1"/>
    <xf numFmtId="0" fontId="35" fillId="0" borderId="0" xfId="0" applyFont="1" applyAlignment="1">
      <alignment horizontal="left" indent="2"/>
    </xf>
    <xf numFmtId="184" fontId="35" fillId="21" borderId="16" xfId="42" applyNumberFormat="1" applyFont="1" applyFill="1" applyBorder="1"/>
    <xf numFmtId="184" fontId="35" fillId="0" borderId="23" xfId="0" applyNumberFormat="1" applyFont="1" applyBorder="1"/>
    <xf numFmtId="184" fontId="35" fillId="0" borderId="26" xfId="0" applyNumberFormat="1" applyFont="1" applyBorder="1"/>
    <xf numFmtId="0" fontId="35" fillId="0" borderId="0" xfId="0" applyFont="1" applyAlignment="1">
      <alignment horizontal="center" vertical="top"/>
    </xf>
    <xf numFmtId="0" fontId="6" fillId="0" borderId="0" xfId="0" applyFont="1" applyFill="1" applyBorder="1" applyAlignment="1">
      <alignment horizontal="left"/>
    </xf>
    <xf numFmtId="0" fontId="6" fillId="0" borderId="0" xfId="0" applyFont="1" applyFill="1" applyBorder="1" applyAlignment="1">
      <alignment horizontal="right"/>
    </xf>
    <xf numFmtId="184" fontId="35" fillId="0" borderId="61" xfId="42" applyNumberFormat="1" applyFont="1" applyFill="1" applyBorder="1"/>
    <xf numFmtId="184" fontId="35" fillId="0" borderId="62" xfId="42" applyNumberFormat="1" applyFont="1" applyBorder="1"/>
    <xf numFmtId="0" fontId="6" fillId="0" borderId="0" xfId="0" applyFont="1" applyFill="1"/>
    <xf numFmtId="184" fontId="35" fillId="0" borderId="22" xfId="0" applyNumberFormat="1" applyFont="1" applyBorder="1"/>
    <xf numFmtId="184" fontId="35" fillId="21" borderId="55" xfId="42" applyNumberFormat="1" applyFont="1" applyFill="1" applyBorder="1"/>
    <xf numFmtId="184" fontId="6" fillId="0" borderId="0" xfId="0" applyNumberFormat="1" applyFont="1"/>
    <xf numFmtId="0" fontId="6" fillId="0" borderId="0" xfId="0" applyFont="1"/>
    <xf numFmtId="0" fontId="6" fillId="0" borderId="10" xfId="0" applyFont="1" applyBorder="1" applyAlignment="1">
      <alignment horizontal="center" wrapText="1"/>
    </xf>
    <xf numFmtId="9" fontId="6" fillId="0" borderId="10" xfId="262" applyFont="1" applyBorder="1" applyAlignment="1">
      <alignment horizontal="center" wrapText="1"/>
    </xf>
    <xf numFmtId="0" fontId="35" fillId="0" borderId="0" xfId="0" applyFont="1" applyFill="1" applyAlignment="1">
      <alignment horizontal="center" wrapText="1"/>
    </xf>
    <xf numFmtId="183" fontId="35" fillId="21" borderId="27" xfId="42" applyNumberFormat="1" applyFont="1" applyFill="1" applyBorder="1"/>
    <xf numFmtId="43" fontId="35" fillId="21" borderId="27" xfId="42" applyFont="1" applyFill="1" applyBorder="1"/>
    <xf numFmtId="0" fontId="6" fillId="0" borderId="23" xfId="0" applyFont="1" applyBorder="1" applyAlignment="1">
      <alignment wrapText="1"/>
    </xf>
    <xf numFmtId="184" fontId="35" fillId="21" borderId="26" xfId="42" applyNumberFormat="1" applyFont="1" applyFill="1" applyBorder="1"/>
    <xf numFmtId="0" fontId="6" fillId="0" borderId="0" xfId="0" applyFont="1" applyAlignment="1">
      <alignment horizontal="left" indent="1"/>
    </xf>
    <xf numFmtId="0" fontId="6" fillId="0" borderId="10" xfId="0" applyFont="1" applyFill="1" applyBorder="1" applyAlignment="1">
      <alignment horizontal="center"/>
    </xf>
    <xf numFmtId="0" fontId="6" fillId="0" borderId="10" xfId="0" applyFont="1" applyFill="1" applyBorder="1" applyAlignment="1">
      <alignment horizontal="center" wrapText="1"/>
    </xf>
    <xf numFmtId="184" fontId="6" fillId="0" borderId="10" xfId="42" applyNumberFormat="1" applyFont="1" applyFill="1" applyBorder="1" applyAlignment="1">
      <alignment horizontal="center"/>
    </xf>
    <xf numFmtId="184" fontId="35" fillId="0" borderId="52" xfId="42" applyNumberFormat="1" applyFont="1" applyFill="1" applyBorder="1"/>
    <xf numFmtId="0" fontId="6" fillId="0" borderId="63" xfId="0" applyFont="1" applyFill="1" applyBorder="1" applyAlignment="1">
      <alignment horizontal="center"/>
    </xf>
    <xf numFmtId="0" fontId="6" fillId="0" borderId="63" xfId="0" applyFont="1" applyFill="1" applyBorder="1" applyAlignment="1">
      <alignment horizontal="center" wrapText="1"/>
    </xf>
    <xf numFmtId="184" fontId="6" fillId="0" borderId="63" xfId="42" applyNumberFormat="1" applyFont="1" applyFill="1" applyBorder="1" applyAlignment="1">
      <alignment horizontal="center"/>
    </xf>
    <xf numFmtId="0" fontId="35" fillId="0" borderId="0" xfId="0" applyFont="1" applyFill="1" applyBorder="1" applyAlignment="1">
      <alignment horizontal="left" wrapText="1"/>
    </xf>
    <xf numFmtId="0" fontId="6" fillId="0" borderId="31" xfId="0" applyFont="1" applyBorder="1" applyAlignment="1">
      <alignment horizontal="center" wrapText="1"/>
    </xf>
    <xf numFmtId="0" fontId="6" fillId="0" borderId="32" xfId="0" applyFont="1" applyBorder="1"/>
    <xf numFmtId="184" fontId="35" fillId="21" borderId="26" xfId="0" applyNumberFormat="1" applyFont="1" applyFill="1" applyBorder="1"/>
    <xf numFmtId="0" fontId="6" fillId="0" borderId="0" xfId="241" applyFont="1" applyFill="1" applyAlignment="1">
      <alignment horizontal="center"/>
    </xf>
    <xf numFmtId="0" fontId="6" fillId="0" borderId="23" xfId="241" applyFont="1" applyFill="1" applyBorder="1" applyAlignment="1">
      <alignment horizontal="center"/>
    </xf>
    <xf numFmtId="0" fontId="35" fillId="21" borderId="27" xfId="0" applyFont="1" applyFill="1" applyBorder="1"/>
    <xf numFmtId="0" fontId="35" fillId="21" borderId="28" xfId="0" applyFont="1" applyFill="1" applyBorder="1"/>
    <xf numFmtId="0" fontId="35" fillId="0" borderId="0" xfId="0" applyFont="1" applyAlignment="1">
      <alignment horizontal="right"/>
    </xf>
    <xf numFmtId="184" fontId="35" fillId="21" borderId="52" xfId="42" applyNumberFormat="1" applyFont="1" applyFill="1" applyBorder="1"/>
    <xf numFmtId="184" fontId="35" fillId="21" borderId="12" xfId="42" applyNumberFormat="1" applyFont="1" applyFill="1" applyBorder="1" applyAlignment="1">
      <alignment horizontal="left" indent="1"/>
    </xf>
    <xf numFmtId="185" fontId="0" fillId="21" borderId="12" xfId="0" applyNumberFormat="1" applyFill="1" applyBorder="1"/>
    <xf numFmtId="0" fontId="99" fillId="0" borderId="0" xfId="0" applyFont="1" applyAlignment="1">
      <alignment horizontal="center"/>
    </xf>
    <xf numFmtId="0" fontId="55" fillId="0" borderId="0" xfId="0" applyFont="1"/>
    <xf numFmtId="0" fontId="55" fillId="0" borderId="0" xfId="256" applyFont="1" applyFill="1" applyAlignment="1">
      <alignment horizontal="left"/>
    </xf>
    <xf numFmtId="184" fontId="92" fillId="37" borderId="27" xfId="42" applyNumberFormat="1" applyFont="1" applyFill="1" applyBorder="1"/>
    <xf numFmtId="184" fontId="35" fillId="21" borderId="0" xfId="42" quotePrefix="1" applyNumberFormat="1" applyFont="1" applyFill="1" applyProtection="1">
      <protection locked="0"/>
    </xf>
    <xf numFmtId="37" fontId="35" fillId="21" borderId="0" xfId="257" quotePrefix="1" applyNumberFormat="1" applyFont="1" applyFill="1" applyProtection="1">
      <protection locked="0"/>
    </xf>
    <xf numFmtId="184" fontId="35" fillId="21" borderId="0" xfId="42" applyNumberFormat="1" applyFont="1" applyFill="1" applyProtection="1">
      <protection locked="0"/>
    </xf>
    <xf numFmtId="0" fontId="35" fillId="0" borderId="0" xfId="0" applyFont="1" applyFill="1" applyBorder="1" applyAlignment="1"/>
    <xf numFmtId="0" fontId="55" fillId="0" borderId="0" xfId="256" applyFont="1" applyAlignment="1">
      <alignment horizontal="left" indent="1"/>
    </xf>
    <xf numFmtId="0" fontId="6" fillId="0" borderId="23" xfId="246" applyFont="1" applyFill="1" applyBorder="1" applyAlignment="1">
      <alignment horizontal="center"/>
    </xf>
    <xf numFmtId="0" fontId="6" fillId="0" borderId="0" xfId="246" applyFont="1" applyFill="1" applyAlignment="1">
      <alignment horizontal="right"/>
    </xf>
    <xf numFmtId="0" fontId="6" fillId="0" borderId="0" xfId="246" applyFont="1" applyFill="1" applyAlignment="1">
      <alignment horizontal="center"/>
    </xf>
    <xf numFmtId="0" fontId="6" fillId="0" borderId="23" xfId="246" applyFont="1" applyFill="1" applyBorder="1" applyAlignment="1"/>
    <xf numFmtId="0" fontId="35" fillId="0" borderId="0" xfId="246" applyFont="1" applyFill="1" applyAlignment="1">
      <alignment horizontal="left" wrapText="1" indent="1"/>
    </xf>
    <xf numFmtId="0" fontId="37" fillId="0" borderId="0" xfId="246" applyFont="1" applyFill="1"/>
    <xf numFmtId="0" fontId="35" fillId="0" borderId="0" xfId="246" applyFont="1" applyFill="1" applyAlignment="1">
      <alignment horizontal="center" vertical="center" wrapText="1"/>
    </xf>
    <xf numFmtId="0" fontId="35" fillId="0" borderId="0" xfId="246" applyFont="1" applyFill="1" applyAlignment="1">
      <alignment vertical="top"/>
    </xf>
    <xf numFmtId="0" fontId="35" fillId="0" borderId="23" xfId="250" applyFont="1" applyFill="1" applyBorder="1" applyAlignment="1">
      <alignment horizontal="center"/>
    </xf>
    <xf numFmtId="184" fontId="99" fillId="0" borderId="0" xfId="42" applyNumberFormat="1" applyFont="1" applyFill="1"/>
    <xf numFmtId="0" fontId="21" fillId="38" borderId="0" xfId="132" applyFill="1"/>
    <xf numFmtId="10" fontId="35" fillId="38" borderId="0" xfId="247" applyNumberFormat="1" applyFont="1" applyFill="1"/>
    <xf numFmtId="0" fontId="35" fillId="38" borderId="0" xfId="247" applyFont="1" applyFill="1"/>
    <xf numFmtId="0" fontId="60" fillId="0" borderId="23" xfId="256" applyFont="1" applyFill="1" applyBorder="1" applyAlignment="1">
      <alignment horizontal="center"/>
    </xf>
    <xf numFmtId="0" fontId="6" fillId="0" borderId="0" xfId="228" applyFont="1" applyAlignment="1">
      <alignment horizontal="center"/>
    </xf>
    <xf numFmtId="0" fontId="100" fillId="0" borderId="0" xfId="228" applyFont="1" applyBorder="1" applyAlignment="1">
      <alignment vertical="center"/>
    </xf>
    <xf numFmtId="0" fontId="6" fillId="0" borderId="0" xfId="228" applyFont="1"/>
    <xf numFmtId="0" fontId="44" fillId="0" borderId="0" xfId="228" applyFont="1" applyAlignment="1">
      <alignment horizontal="center"/>
    </xf>
    <xf numFmtId="0" fontId="101" fillId="0" borderId="0" xfId="228" applyFont="1" applyAlignment="1">
      <alignment horizontal="right"/>
    </xf>
    <xf numFmtId="0" fontId="102" fillId="37" borderId="0" xfId="228" applyFont="1" applyFill="1"/>
    <xf numFmtId="0" fontId="44" fillId="0" borderId="0" xfId="228" applyFont="1"/>
    <xf numFmtId="0" fontId="101" fillId="0" borderId="0" xfId="228" applyFont="1" applyAlignment="1">
      <alignment horizontal="center"/>
    </xf>
    <xf numFmtId="0" fontId="101" fillId="0" borderId="0" xfId="228" applyFont="1"/>
    <xf numFmtId="0" fontId="103" fillId="0" borderId="0" xfId="228" applyFont="1"/>
    <xf numFmtId="0" fontId="101" fillId="0" borderId="0" xfId="228" applyFont="1" applyFill="1" applyBorder="1" applyAlignment="1">
      <alignment horizontal="center"/>
    </xf>
    <xf numFmtId="0" fontId="104" fillId="0" borderId="0" xfId="228" applyFont="1" applyFill="1" applyBorder="1"/>
    <xf numFmtId="0" fontId="101" fillId="0" borderId="0" xfId="228" applyFont="1" applyFill="1" applyBorder="1"/>
    <xf numFmtId="0" fontId="103" fillId="0" borderId="0" xfId="228" applyFont="1" applyFill="1"/>
    <xf numFmtId="0" fontId="104" fillId="0" borderId="0" xfId="228" applyFont="1" applyBorder="1" applyAlignment="1">
      <alignment horizontal="center" vertical="center" wrapText="1"/>
    </xf>
    <xf numFmtId="0" fontId="104" fillId="0" borderId="63" xfId="228" applyFont="1" applyBorder="1" applyAlignment="1">
      <alignment horizontal="center" vertical="center"/>
    </xf>
    <xf numFmtId="0" fontId="104" fillId="0" borderId="63" xfId="228" applyFont="1" applyFill="1" applyBorder="1" applyAlignment="1">
      <alignment horizontal="center" vertical="center"/>
    </xf>
    <xf numFmtId="0" fontId="101" fillId="0" borderId="64" xfId="228" applyFont="1" applyBorder="1" applyAlignment="1">
      <alignment horizontal="center" vertical="center" wrapText="1"/>
    </xf>
    <xf numFmtId="0" fontId="101" fillId="0" borderId="0" xfId="228" applyFont="1" applyBorder="1" applyAlignment="1">
      <alignment horizontal="center" vertical="center" wrapText="1"/>
    </xf>
    <xf numFmtId="0" fontId="101" fillId="0" borderId="64" xfId="228" applyFont="1" applyFill="1" applyBorder="1" applyAlignment="1">
      <alignment horizontal="center" vertical="center" wrapText="1"/>
    </xf>
    <xf numFmtId="0" fontId="101" fillId="0" borderId="0" xfId="228" applyFont="1" applyFill="1"/>
    <xf numFmtId="184" fontId="101" fillId="0" borderId="0" xfId="59" applyNumberFormat="1" applyFont="1" applyBorder="1" applyAlignment="1">
      <alignment horizontal="right" vertical="center" wrapText="1"/>
    </xf>
    <xf numFmtId="184" fontId="101" fillId="0" borderId="0" xfId="59" applyNumberFormat="1" applyFont="1" applyBorder="1" applyAlignment="1">
      <alignment vertical="center" wrapText="1"/>
    </xf>
    <xf numFmtId="184" fontId="105" fillId="0" borderId="0" xfId="59" applyNumberFormat="1" applyFont="1" applyFill="1" applyBorder="1" applyAlignment="1">
      <alignment vertical="center" wrapText="1"/>
    </xf>
    <xf numFmtId="184" fontId="104" fillId="0" borderId="0" xfId="59" applyNumberFormat="1" applyFont="1" applyFill="1" applyBorder="1" applyAlignment="1">
      <alignment vertical="center" wrapText="1"/>
    </xf>
    <xf numFmtId="184" fontId="101" fillId="0" borderId="0" xfId="59" applyNumberFormat="1" applyFont="1" applyFill="1" applyBorder="1" applyAlignment="1">
      <alignment vertical="center" wrapText="1"/>
    </xf>
    <xf numFmtId="184" fontId="106" fillId="0" borderId="0" xfId="59" applyNumberFormat="1" applyFont="1" applyFill="1" applyBorder="1" applyAlignment="1">
      <alignment vertical="center" wrapText="1"/>
    </xf>
    <xf numFmtId="15" fontId="101" fillId="0" borderId="0" xfId="228" applyNumberFormat="1" applyFont="1" applyBorder="1" applyAlignment="1">
      <alignment vertical="center" wrapText="1"/>
    </xf>
    <xf numFmtId="184" fontId="101" fillId="0" borderId="0" xfId="59" applyNumberFormat="1" applyFont="1" applyFill="1" applyBorder="1" applyAlignment="1">
      <alignment horizontal="right" vertical="center" wrapText="1"/>
    </xf>
    <xf numFmtId="10" fontId="101" fillId="0" borderId="0" xfId="331" applyNumberFormat="1" applyFont="1"/>
    <xf numFmtId="184" fontId="101" fillId="37" borderId="0" xfId="59" applyNumberFormat="1" applyFont="1" applyFill="1" applyBorder="1" applyAlignment="1">
      <alignment vertical="center" wrapText="1"/>
    </xf>
    <xf numFmtId="0" fontId="101" fillId="0" borderId="5" xfId="228" applyFont="1" applyBorder="1" applyAlignment="1">
      <alignment vertical="center" wrapText="1"/>
    </xf>
    <xf numFmtId="184" fontId="101" fillId="0" borderId="5" xfId="228" applyNumberFormat="1" applyFont="1" applyBorder="1" applyAlignment="1">
      <alignment vertical="center" wrapText="1"/>
    </xf>
    <xf numFmtId="0" fontId="101" fillId="0" borderId="5" xfId="228" applyFont="1" applyBorder="1" applyAlignment="1">
      <alignment horizontal="right" vertical="center" wrapText="1"/>
    </xf>
    <xf numFmtId="184" fontId="101" fillId="0" borderId="5" xfId="59" applyNumberFormat="1" applyFont="1" applyBorder="1" applyAlignment="1">
      <alignment vertical="center" wrapText="1"/>
    </xf>
    <xf numFmtId="184" fontId="101" fillId="0" borderId="5" xfId="228" applyNumberFormat="1" applyFont="1" applyBorder="1"/>
    <xf numFmtId="184" fontId="101" fillId="0" borderId="5" xfId="228" applyNumberFormat="1" applyFont="1" applyFill="1" applyBorder="1"/>
    <xf numFmtId="0" fontId="101" fillId="0" borderId="0" xfId="228" applyFont="1" applyBorder="1" applyAlignment="1">
      <alignment vertical="center" wrapText="1"/>
    </xf>
    <xf numFmtId="184" fontId="101" fillId="0" borderId="0" xfId="228" applyNumberFormat="1" applyFont="1" applyBorder="1" applyAlignment="1">
      <alignment vertical="center" wrapText="1"/>
    </xf>
    <xf numFmtId="0" fontId="101" fillId="0" borderId="0" xfId="228" applyFont="1" applyBorder="1" applyAlignment="1">
      <alignment horizontal="right" vertical="center" wrapText="1"/>
    </xf>
    <xf numFmtId="184" fontId="101" fillId="0" borderId="0" xfId="228" applyNumberFormat="1" applyFont="1" applyBorder="1" applyAlignment="1">
      <alignment horizontal="right" vertical="center" wrapText="1"/>
    </xf>
    <xf numFmtId="184" fontId="101" fillId="0" borderId="0" xfId="228" applyNumberFormat="1" applyFont="1" applyBorder="1"/>
    <xf numFmtId="10" fontId="101" fillId="0" borderId="0" xfId="267" applyNumberFormat="1" applyFont="1" applyBorder="1" applyAlignment="1">
      <alignment vertical="center" wrapText="1"/>
    </xf>
    <xf numFmtId="0" fontId="101" fillId="0" borderId="0" xfId="228" applyFont="1" applyBorder="1" applyAlignment="1">
      <alignment vertical="center"/>
    </xf>
    <xf numFmtId="0" fontId="101" fillId="0" borderId="0" xfId="228" applyFont="1" applyBorder="1"/>
    <xf numFmtId="0" fontId="101" fillId="0" borderId="0" xfId="228" applyFont="1" applyBorder="1" applyAlignment="1">
      <alignment horizontal="justify" vertical="center" wrapText="1"/>
    </xf>
    <xf numFmtId="0" fontId="101" fillId="0" borderId="0" xfId="229" applyFont="1"/>
    <xf numFmtId="0" fontId="101" fillId="0" borderId="0" xfId="229" applyFont="1" applyFill="1"/>
    <xf numFmtId="0" fontId="101" fillId="0" borderId="0" xfId="229" applyFont="1" applyBorder="1" applyAlignment="1">
      <alignment horizontal="right" vertical="center" wrapText="1"/>
    </xf>
    <xf numFmtId="184" fontId="101" fillId="0" borderId="0" xfId="229" applyNumberFormat="1" applyFont="1"/>
    <xf numFmtId="0" fontId="101" fillId="0" borderId="0" xfId="229" applyFont="1" applyBorder="1" applyAlignment="1">
      <alignment horizontal="center" vertical="center" wrapText="1"/>
    </xf>
    <xf numFmtId="184" fontId="101" fillId="0" borderId="5" xfId="59" applyNumberFormat="1" applyFont="1" applyFill="1" applyBorder="1" applyAlignment="1">
      <alignment vertical="center" wrapText="1"/>
    </xf>
    <xf numFmtId="43" fontId="101" fillId="0" borderId="0" xfId="229" applyNumberFormat="1" applyFont="1"/>
    <xf numFmtId="184" fontId="101" fillId="0" borderId="23" xfId="229" applyNumberFormat="1" applyFont="1" applyBorder="1"/>
    <xf numFmtId="0" fontId="2" fillId="0" borderId="0" xfId="0" applyFont="1"/>
    <xf numFmtId="0" fontId="104" fillId="0" borderId="0" xfId="228" applyFont="1" applyBorder="1" applyAlignment="1">
      <alignment vertical="center"/>
    </xf>
    <xf numFmtId="0" fontId="107" fillId="0" borderId="0" xfId="228" applyFont="1" applyFill="1"/>
    <xf numFmtId="0" fontId="108" fillId="0" borderId="0" xfId="228" applyFont="1" applyFill="1"/>
    <xf numFmtId="0" fontId="101" fillId="0" borderId="0" xfId="228" applyFont="1" applyFill="1" applyAlignment="1">
      <alignment horizontal="center"/>
    </xf>
    <xf numFmtId="184" fontId="101" fillId="0" borderId="0" xfId="228" applyNumberFormat="1" applyFont="1" applyFill="1"/>
    <xf numFmtId="0" fontId="101" fillId="0" borderId="0" xfId="228" applyFont="1" applyFill="1" applyBorder="1" applyAlignment="1">
      <alignment vertical="center" wrapText="1"/>
    </xf>
    <xf numFmtId="0" fontId="101" fillId="0" borderId="0" xfId="228" applyFont="1" applyFill="1" applyBorder="1" applyAlignment="1">
      <alignment horizontal="right" vertical="center" wrapText="1"/>
    </xf>
    <xf numFmtId="0" fontId="101" fillId="0" borderId="0" xfId="228" applyFont="1" applyFill="1" applyBorder="1" applyAlignment="1">
      <alignment horizontal="justify" vertical="center" wrapText="1"/>
    </xf>
    <xf numFmtId="0" fontId="101" fillId="0" borderId="0" xfId="228" applyFont="1" applyFill="1" applyBorder="1" applyAlignment="1">
      <alignment vertical="center"/>
    </xf>
    <xf numFmtId="184" fontId="101" fillId="0" borderId="0" xfId="228" applyNumberFormat="1" applyFont="1" applyFill="1" applyBorder="1" applyAlignment="1">
      <alignment vertical="center" wrapText="1"/>
    </xf>
    <xf numFmtId="0" fontId="101" fillId="0" borderId="0" xfId="229" applyFont="1" applyFill="1" applyBorder="1" applyAlignment="1">
      <alignment horizontal="right" vertical="center" wrapText="1"/>
    </xf>
    <xf numFmtId="184" fontId="101" fillId="0" borderId="0" xfId="229" applyNumberFormat="1" applyFont="1" applyFill="1"/>
    <xf numFmtId="0" fontId="101" fillId="0" borderId="0" xfId="229" applyFont="1" applyFill="1" applyBorder="1" applyAlignment="1">
      <alignment horizontal="center" vertical="center" wrapText="1"/>
    </xf>
    <xf numFmtId="43" fontId="101" fillId="0" borderId="0" xfId="229" applyNumberFormat="1" applyFont="1" applyFill="1"/>
    <xf numFmtId="184" fontId="101" fillId="0" borderId="23" xfId="229" applyNumberFormat="1" applyFont="1" applyFill="1" applyBorder="1"/>
    <xf numFmtId="0" fontId="2" fillId="0" borderId="0" xfId="0" applyFont="1" applyFill="1"/>
    <xf numFmtId="0" fontId="103" fillId="0" borderId="0" xfId="228" applyFont="1" applyAlignment="1">
      <alignment horizontal="center"/>
    </xf>
    <xf numFmtId="0" fontId="6" fillId="0" borderId="0" xfId="228" applyFont="1" applyAlignment="1"/>
    <xf numFmtId="0" fontId="6" fillId="0" borderId="0" xfId="228" applyFont="1" applyFill="1" applyAlignment="1"/>
    <xf numFmtId="0" fontId="35" fillId="0" borderId="0" xfId="248" applyNumberFormat="1" applyFont="1" applyFill="1" applyAlignment="1" applyProtection="1">
      <alignment horizontal="center" vertical="top"/>
      <protection locked="0"/>
    </xf>
    <xf numFmtId="0" fontId="40" fillId="0" borderId="0" xfId="0" applyFont="1" applyFill="1" applyBorder="1" applyAlignment="1">
      <alignment horizontal="left" wrapText="1"/>
    </xf>
    <xf numFmtId="0" fontId="40" fillId="0" borderId="0" xfId="0" applyFont="1" applyAlignment="1">
      <alignment horizontal="left"/>
    </xf>
    <xf numFmtId="0" fontId="35" fillId="0" borderId="0" xfId="240" applyFont="1" applyFill="1" applyBorder="1" applyAlignment="1">
      <alignment horizontal="center"/>
    </xf>
    <xf numFmtId="0" fontId="60" fillId="0" borderId="0" xfId="256" quotePrefix="1" applyFont="1" applyAlignment="1">
      <alignment horizontal="center"/>
    </xf>
    <xf numFmtId="0" fontId="35" fillId="0" borderId="0" xfId="0" applyFont="1" applyFill="1" applyAlignment="1">
      <alignment horizontal="right"/>
    </xf>
    <xf numFmtId="185" fontId="35" fillId="21" borderId="57" xfId="42" applyNumberFormat="1" applyFont="1" applyFill="1" applyBorder="1"/>
    <xf numFmtId="184" fontId="35" fillId="21" borderId="12" xfId="45" applyNumberFormat="1" applyFont="1" applyFill="1" applyBorder="1"/>
    <xf numFmtId="49" fontId="6" fillId="21" borderId="12" xfId="248" applyNumberFormat="1" applyFont="1" applyFill="1" applyBorder="1" applyAlignment="1" applyProtection="1">
      <alignment horizontal="center"/>
      <protection locked="0"/>
    </xf>
    <xf numFmtId="184" fontId="35" fillId="0" borderId="37" xfId="42" applyNumberFormat="1" applyFont="1" applyBorder="1"/>
    <xf numFmtId="184" fontId="99" fillId="0" borderId="0" xfId="42" applyNumberFormat="1" applyFont="1" applyFill="1" applyBorder="1"/>
    <xf numFmtId="10" fontId="6" fillId="21" borderId="12" xfId="267" applyNumberFormat="1" applyFont="1" applyFill="1" applyBorder="1" applyAlignment="1">
      <alignment horizontal="right"/>
    </xf>
    <xf numFmtId="182" fontId="35" fillId="21" borderId="12" xfId="0" applyNumberFormat="1" applyFont="1" applyFill="1" applyBorder="1"/>
    <xf numFmtId="184" fontId="93" fillId="21" borderId="74" xfId="42" applyNumberFormat="1" applyFont="1" applyFill="1" applyBorder="1"/>
    <xf numFmtId="184" fontId="93" fillId="0" borderId="74" xfId="42" applyNumberFormat="1" applyFont="1" applyBorder="1"/>
    <xf numFmtId="184" fontId="35" fillId="21" borderId="74" xfId="42" applyNumberFormat="1" applyFont="1" applyFill="1" applyBorder="1"/>
    <xf numFmtId="17" fontId="6" fillId="21" borderId="27" xfId="0" applyNumberFormat="1" applyFont="1" applyFill="1" applyBorder="1" applyAlignment="1">
      <alignment horizontal="center"/>
    </xf>
    <xf numFmtId="231" fontId="35" fillId="0" borderId="0" xfId="257" applyNumberFormat="1" applyFont="1" applyFill="1" applyAlignment="1" applyProtection="1">
      <alignment horizontal="right"/>
      <protection locked="0"/>
    </xf>
    <xf numFmtId="0" fontId="6" fillId="0" borderId="0" xfId="247" applyFont="1" applyFill="1" applyAlignment="1">
      <alignment horizontal="right"/>
    </xf>
    <xf numFmtId="179" fontId="35" fillId="21" borderId="12" xfId="248" applyNumberFormat="1" applyFont="1" applyFill="1" applyBorder="1" applyAlignment="1" applyProtection="1">
      <protection locked="0"/>
    </xf>
    <xf numFmtId="184" fontId="94" fillId="37" borderId="12" xfId="57" applyNumberFormat="1" applyFont="1" applyFill="1" applyBorder="1" applyAlignment="1"/>
    <xf numFmtId="43" fontId="35" fillId="0" borderId="0" xfId="42" applyNumberFormat="1" applyFont="1" applyFill="1" applyBorder="1"/>
    <xf numFmtId="0" fontId="35" fillId="0" borderId="0" xfId="0" applyFont="1" applyFill="1" applyAlignment="1">
      <alignment horizontal="left" wrapText="1"/>
    </xf>
    <xf numFmtId="189" fontId="6" fillId="0" borderId="0" xfId="245" applyNumberFormat="1" applyFont="1" applyFill="1" applyAlignment="1" applyProtection="1">
      <alignment horizontal="left"/>
    </xf>
    <xf numFmtId="14" fontId="6" fillId="21" borderId="27" xfId="0" applyNumberFormat="1" applyFont="1" applyFill="1" applyBorder="1" applyAlignment="1">
      <alignment horizontal="center"/>
    </xf>
    <xf numFmtId="184" fontId="35" fillId="0" borderId="0" xfId="45" applyNumberFormat="1" applyFont="1" applyAlignment="1">
      <alignment horizontal="left"/>
    </xf>
    <xf numFmtId="184" fontId="35" fillId="0" borderId="65" xfId="42" applyNumberFormat="1" applyFont="1" applyFill="1" applyBorder="1"/>
    <xf numFmtId="184" fontId="35" fillId="0" borderId="5" xfId="45" applyNumberFormat="1" applyFont="1" applyBorder="1" applyAlignment="1">
      <alignment horizontal="left"/>
    </xf>
    <xf numFmtId="184" fontId="35" fillId="0" borderId="0" xfId="45" applyNumberFormat="1" applyFont="1" applyFill="1"/>
    <xf numFmtId="184" fontId="35" fillId="0" borderId="0" xfId="45" applyNumberFormat="1" applyFont="1"/>
    <xf numFmtId="184" fontId="35" fillId="0" borderId="5" xfId="45" applyNumberFormat="1" applyFont="1" applyFill="1" applyBorder="1"/>
    <xf numFmtId="0" fontId="35" fillId="0" borderId="0" xfId="0" applyFont="1" applyAlignment="1">
      <alignment horizontal="left" wrapText="1"/>
    </xf>
    <xf numFmtId="184" fontId="35" fillId="21" borderId="5" xfId="42" applyNumberFormat="1" applyFont="1" applyFill="1" applyBorder="1"/>
    <xf numFmtId="184" fontId="0" fillId="0" borderId="42" xfId="42" applyNumberFormat="1" applyFont="1" applyBorder="1"/>
    <xf numFmtId="0" fontId="6"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43" fontId="1" fillId="21" borderId="12" xfId="262" applyNumberFormat="1" applyFill="1" applyBorder="1"/>
    <xf numFmtId="20" fontId="0" fillId="21" borderId="12" xfId="0" applyNumberFormat="1" applyFill="1" applyBorder="1" applyAlignment="1">
      <alignment horizontal="center"/>
    </xf>
    <xf numFmtId="0" fontId="41" fillId="21" borderId="12" xfId="191" applyFont="1" applyFill="1" applyBorder="1" applyAlignment="1">
      <alignment horizontal="left" indent="1"/>
    </xf>
    <xf numFmtId="0" fontId="36" fillId="0" borderId="0" xfId="248" applyNumberFormat="1" applyFont="1" applyFill="1" applyAlignment="1" applyProtection="1">
      <alignment horizontal="right"/>
      <protection locked="0"/>
    </xf>
    <xf numFmtId="10" fontId="35" fillId="0" borderId="0" xfId="262" applyNumberFormat="1" applyFont="1" applyFill="1" applyBorder="1" applyAlignment="1" applyProtection="1">
      <protection locked="0"/>
    </xf>
    <xf numFmtId="41" fontId="35" fillId="0" borderId="24" xfId="248" applyNumberFormat="1" applyFont="1" applyFill="1" applyBorder="1" applyAlignment="1" applyProtection="1">
      <protection locked="0"/>
    </xf>
    <xf numFmtId="41" fontId="36" fillId="0" borderId="0" xfId="248" applyNumberFormat="1" applyFont="1" applyFill="1" applyAlignment="1" applyProtection="1">
      <protection locked="0"/>
    </xf>
    <xf numFmtId="41" fontId="35" fillId="0" borderId="0" xfId="248" applyNumberFormat="1" applyFont="1" applyFill="1" applyAlignment="1" applyProtection="1">
      <alignment horizontal="center"/>
      <protection locked="0"/>
    </xf>
    <xf numFmtId="41" fontId="36" fillId="0" borderId="26" xfId="248" applyNumberFormat="1" applyFont="1" applyFill="1" applyBorder="1" applyAlignment="1" applyProtection="1">
      <protection locked="0"/>
    </xf>
    <xf numFmtId="10" fontId="36" fillId="0" borderId="0" xfId="262" applyNumberFormat="1" applyFont="1" applyFill="1" applyAlignment="1"/>
    <xf numFmtId="10" fontId="35" fillId="0" borderId="25" xfId="262" applyNumberFormat="1" applyFont="1" applyFill="1" applyBorder="1" applyAlignment="1"/>
    <xf numFmtId="0" fontId="35" fillId="0" borderId="23" xfId="248" applyNumberFormat="1" applyFont="1" applyFill="1" applyBorder="1" applyAlignment="1" applyProtection="1">
      <alignment horizontal="center"/>
      <protection locked="0"/>
    </xf>
    <xf numFmtId="182" fontId="35" fillId="0" borderId="0" xfId="248" applyNumberFormat="1" applyFont="1" applyFill="1" applyProtection="1">
      <protection locked="0"/>
    </xf>
    <xf numFmtId="201" fontId="35" fillId="0" borderId="0" xfId="42" applyNumberFormat="1" applyFont="1" applyAlignment="1" applyProtection="1">
      <protection locked="0"/>
    </xf>
    <xf numFmtId="0" fontId="6" fillId="0" borderId="0" xfId="247" applyFont="1"/>
    <xf numFmtId="42" fontId="35" fillId="21" borderId="12" xfId="92" applyNumberFormat="1" applyFont="1" applyFill="1" applyBorder="1"/>
    <xf numFmtId="5" fontId="6" fillId="0" borderId="53" xfId="247" applyNumberFormat="1" applyFont="1" applyBorder="1"/>
    <xf numFmtId="0" fontId="6" fillId="0" borderId="51" xfId="247" applyFont="1" applyBorder="1"/>
    <xf numFmtId="0" fontId="6" fillId="0" borderId="52" xfId="247" applyFont="1" applyBorder="1"/>
    <xf numFmtId="185" fontId="1" fillId="21" borderId="27" xfId="86" applyNumberFormat="1" applyFill="1" applyBorder="1"/>
    <xf numFmtId="10" fontId="110" fillId="0" borderId="0" xfId="262" applyNumberFormat="1" applyFont="1"/>
    <xf numFmtId="184" fontId="110" fillId="0" borderId="0" xfId="42" applyNumberFormat="1" applyFont="1"/>
    <xf numFmtId="184" fontId="110" fillId="0" borderId="0" xfId="42" applyNumberFormat="1" applyFont="1" applyFill="1"/>
    <xf numFmtId="0" fontId="35" fillId="39" borderId="0" xfId="0" applyFont="1" applyFill="1"/>
    <xf numFmtId="184" fontId="35" fillId="39" borderId="0" xfId="0" applyNumberFormat="1" applyFont="1" applyFill="1"/>
    <xf numFmtId="0" fontId="111" fillId="39" borderId="0" xfId="0" applyFont="1" applyFill="1" applyAlignment="1">
      <alignment horizontal="right"/>
    </xf>
    <xf numFmtId="184" fontId="6" fillId="39" borderId="0" xfId="0" applyNumberFormat="1" applyFont="1" applyFill="1"/>
    <xf numFmtId="0" fontId="111" fillId="39" borderId="0" xfId="0" applyFont="1" applyFill="1"/>
    <xf numFmtId="0" fontId="1" fillId="0" borderId="0" xfId="248" applyNumberFormat="1" applyFont="1" applyAlignment="1" applyProtection="1">
      <alignment horizontal="center"/>
      <protection locked="0"/>
    </xf>
    <xf numFmtId="9" fontId="1" fillId="0" borderId="0" xfId="262" applyFont="1" applyAlignment="1">
      <alignment horizontal="center"/>
    </xf>
    <xf numFmtId="184" fontId="1" fillId="0" borderId="0" xfId="0" applyNumberFormat="1" applyFont="1"/>
    <xf numFmtId="41" fontId="35" fillId="38" borderId="0" xfId="248" applyNumberFormat="1" applyFont="1" applyFill="1" applyAlignment="1" applyProtection="1">
      <protection locked="0"/>
    </xf>
    <xf numFmtId="0" fontId="1" fillId="21" borderId="12" xfId="0" applyFont="1" applyFill="1" applyBorder="1"/>
    <xf numFmtId="185" fontId="1" fillId="37" borderId="12" xfId="86" applyNumberFormat="1" applyFill="1" applyBorder="1"/>
    <xf numFmtId="184" fontId="1" fillId="37" borderId="27" xfId="42" applyNumberFormat="1" applyFill="1" applyBorder="1"/>
    <xf numFmtId="37" fontId="1" fillId="21" borderId="12" xfId="42" applyNumberFormat="1" applyFont="1" applyFill="1" applyBorder="1"/>
    <xf numFmtId="184" fontId="1" fillId="21" borderId="12" xfId="42" quotePrefix="1" applyNumberFormat="1" applyFont="1" applyFill="1" applyBorder="1" applyAlignment="1">
      <alignment horizontal="right"/>
    </xf>
    <xf numFmtId="10" fontId="35" fillId="21" borderId="12" xfId="262" applyNumberFormat="1" applyFont="1" applyFill="1" applyBorder="1" applyAlignment="1" applyProtection="1">
      <protection locked="0"/>
    </xf>
    <xf numFmtId="41" fontId="35" fillId="0" borderId="0" xfId="0" applyNumberFormat="1" applyFont="1"/>
    <xf numFmtId="0" fontId="35" fillId="0" borderId="0" xfId="0" applyFont="1" applyFill="1" applyAlignment="1">
      <alignment horizontal="center"/>
    </xf>
    <xf numFmtId="0" fontId="6" fillId="0" borderId="0" xfId="0" applyFont="1" applyAlignment="1">
      <alignment horizontal="center"/>
    </xf>
    <xf numFmtId="0" fontId="6" fillId="0" borderId="10" xfId="0" applyFont="1" applyFill="1" applyBorder="1" applyAlignment="1">
      <alignment horizontal="center"/>
    </xf>
    <xf numFmtId="0" fontId="36" fillId="0" borderId="23" xfId="0" applyFont="1" applyBorder="1" applyAlignment="1">
      <alignment horizontal="center"/>
    </xf>
    <xf numFmtId="0" fontId="1" fillId="0" borderId="0" xfId="0" applyFont="1" applyFill="1" applyAlignment="1">
      <alignment horizontal="left" wrapText="1"/>
    </xf>
    <xf numFmtId="0" fontId="0" fillId="0" borderId="0" xfId="0" applyAlignment="1">
      <alignment horizontal="left" wrapText="1"/>
    </xf>
    <xf numFmtId="0" fontId="36" fillId="0" borderId="23" xfId="248" applyNumberFormat="1" applyFont="1" applyFill="1" applyBorder="1" applyAlignment="1" applyProtection="1">
      <alignment horizontal="center"/>
      <protection locked="0"/>
    </xf>
    <xf numFmtId="0" fontId="35" fillId="0" borderId="23" xfId="0" applyFont="1" applyFill="1" applyBorder="1" applyAlignment="1"/>
    <xf numFmtId="49" fontId="35" fillId="0" borderId="0" xfId="248" applyNumberFormat="1" applyFont="1" applyFill="1" applyAlignment="1" applyProtection="1">
      <alignment horizontal="center"/>
      <protection locked="0"/>
    </xf>
    <xf numFmtId="0" fontId="35" fillId="0" borderId="0" xfId="0" applyFont="1" applyFill="1" applyAlignment="1">
      <alignment horizontal="center"/>
    </xf>
    <xf numFmtId="0" fontId="35" fillId="0" borderId="0" xfId="248" applyNumberFormat="1" applyFont="1" applyFill="1" applyAlignment="1" applyProtection="1">
      <alignment horizontal="left" wrapText="1"/>
      <protection locked="0"/>
    </xf>
    <xf numFmtId="0" fontId="35" fillId="21" borderId="68" xfId="247" applyNumberFormat="1" applyFont="1" applyFill="1" applyBorder="1" applyAlignment="1">
      <alignment horizontal="left" vertical="top"/>
    </xf>
    <xf numFmtId="0" fontId="35" fillId="21" borderId="44" xfId="247" applyNumberFormat="1" applyFont="1" applyFill="1" applyBorder="1" applyAlignment="1">
      <alignment horizontal="left" vertical="top"/>
    </xf>
    <xf numFmtId="0" fontId="35" fillId="21" borderId="69" xfId="247" applyNumberFormat="1" applyFont="1" applyFill="1" applyBorder="1" applyAlignment="1">
      <alignment horizontal="left" vertical="top"/>
    </xf>
    <xf numFmtId="0" fontId="35" fillId="21" borderId="58" xfId="247" applyNumberFormat="1" applyFont="1" applyFill="1" applyBorder="1" applyAlignment="1">
      <alignment horizontal="left" vertical="top"/>
    </xf>
    <xf numFmtId="0" fontId="35" fillId="21" borderId="70" xfId="247" applyNumberFormat="1" applyFont="1" applyFill="1" applyBorder="1" applyAlignment="1">
      <alignment horizontal="left" vertical="top"/>
    </xf>
    <xf numFmtId="0" fontId="35" fillId="21" borderId="71" xfId="247" applyNumberFormat="1" applyFont="1" applyFill="1" applyBorder="1" applyAlignment="1">
      <alignment horizontal="left" vertical="top"/>
    </xf>
    <xf numFmtId="0" fontId="35" fillId="21" borderId="68" xfId="247" applyNumberFormat="1" applyFont="1" applyFill="1" applyBorder="1" applyAlignment="1">
      <alignment horizontal="left" vertical="top" wrapText="1"/>
    </xf>
    <xf numFmtId="0" fontId="35" fillId="21" borderId="44" xfId="247" applyNumberFormat="1" applyFont="1" applyFill="1" applyBorder="1" applyAlignment="1">
      <alignment horizontal="left" vertical="top" wrapText="1"/>
    </xf>
    <xf numFmtId="0" fontId="35" fillId="21" borderId="69" xfId="247" applyNumberFormat="1" applyFont="1" applyFill="1" applyBorder="1" applyAlignment="1">
      <alignment horizontal="left" vertical="top" wrapText="1"/>
    </xf>
    <xf numFmtId="0" fontId="35" fillId="21" borderId="58" xfId="247" applyNumberFormat="1" applyFont="1" applyFill="1" applyBorder="1" applyAlignment="1">
      <alignment horizontal="left" vertical="top" wrapText="1"/>
    </xf>
    <xf numFmtId="0" fontId="35" fillId="21" borderId="70" xfId="247" applyNumberFormat="1" applyFont="1" applyFill="1" applyBorder="1" applyAlignment="1">
      <alignment horizontal="left" vertical="top" wrapText="1"/>
    </xf>
    <xf numFmtId="0" fontId="35" fillId="21" borderId="71" xfId="247" applyNumberFormat="1" applyFont="1" applyFill="1" applyBorder="1" applyAlignment="1">
      <alignment horizontal="left" vertical="top" wrapText="1"/>
    </xf>
    <xf numFmtId="0" fontId="6" fillId="0" borderId="0" xfId="0" applyFont="1" applyAlignment="1">
      <alignment horizontal="center"/>
    </xf>
    <xf numFmtId="0" fontId="35" fillId="0" borderId="0" xfId="0" applyFont="1" applyAlignment="1">
      <alignment horizontal="left" wrapText="1"/>
    </xf>
    <xf numFmtId="0" fontId="35" fillId="0" borderId="2" xfId="0" applyFont="1" applyFill="1" applyBorder="1" applyAlignment="1">
      <alignment horizontal="left" wrapText="1"/>
    </xf>
    <xf numFmtId="0" fontId="1" fillId="0" borderId="0" xfId="0" applyFont="1" applyFill="1" applyBorder="1" applyAlignment="1">
      <alignment horizontal="left" wrapText="1"/>
    </xf>
    <xf numFmtId="0" fontId="1" fillId="0" borderId="18" xfId="0" applyFont="1" applyFill="1" applyBorder="1" applyAlignment="1">
      <alignment horizontal="left" wrapText="1"/>
    </xf>
    <xf numFmtId="0" fontId="36" fillId="0" borderId="66" xfId="0" applyFont="1" applyBorder="1" applyAlignment="1">
      <alignment horizontal="center" wrapText="1"/>
    </xf>
    <xf numFmtId="0" fontId="36" fillId="0" borderId="48" xfId="0" applyFont="1" applyBorder="1" applyAlignment="1">
      <alignment horizontal="center" wrapText="1"/>
    </xf>
    <xf numFmtId="0" fontId="36" fillId="0" borderId="67" xfId="0" applyFont="1" applyBorder="1" applyAlignment="1">
      <alignment horizontal="center" wrapText="1"/>
    </xf>
    <xf numFmtId="0" fontId="36" fillId="0" borderId="40" xfId="0" applyFont="1" applyBorder="1" applyAlignment="1">
      <alignment horizontal="center"/>
    </xf>
    <xf numFmtId="0" fontId="36" fillId="0" borderId="41" xfId="0" applyFont="1" applyBorder="1" applyAlignment="1">
      <alignment horizontal="center"/>
    </xf>
    <xf numFmtId="0" fontId="36" fillId="0" borderId="66" xfId="0" applyFont="1" applyBorder="1" applyAlignment="1">
      <alignment horizontal="center"/>
    </xf>
    <xf numFmtId="0" fontId="36" fillId="0" borderId="48" xfId="0" applyFont="1" applyBorder="1" applyAlignment="1">
      <alignment horizontal="center"/>
    </xf>
    <xf numFmtId="0" fontId="36" fillId="0" borderId="72" xfId="0" applyFont="1" applyBorder="1" applyAlignment="1">
      <alignment horizontal="center"/>
    </xf>
    <xf numFmtId="0" fontId="6" fillId="0" borderId="66" xfId="0" applyFont="1" applyBorder="1" applyAlignment="1">
      <alignment horizontal="center"/>
    </xf>
    <xf numFmtId="0" fontId="6" fillId="0" borderId="48" xfId="0" applyFont="1" applyBorder="1" applyAlignment="1">
      <alignment horizontal="center"/>
    </xf>
    <xf numFmtId="0" fontId="6" fillId="0" borderId="67" xfId="0" applyFont="1" applyBorder="1" applyAlignment="1">
      <alignment horizontal="center"/>
    </xf>
    <xf numFmtId="0" fontId="6" fillId="0" borderId="10" xfId="0" applyFont="1" applyFill="1" applyBorder="1" applyAlignment="1">
      <alignment horizontal="center"/>
    </xf>
    <xf numFmtId="0" fontId="6" fillId="0" borderId="66" xfId="0" applyFont="1" applyFill="1" applyBorder="1" applyAlignment="1">
      <alignment horizontal="center" wrapText="1"/>
    </xf>
    <xf numFmtId="0" fontId="6" fillId="0" borderId="48" xfId="0" applyFont="1" applyFill="1" applyBorder="1" applyAlignment="1">
      <alignment horizontal="center" wrapText="1"/>
    </xf>
    <xf numFmtId="0" fontId="6" fillId="0" borderId="67" xfId="0" applyFont="1" applyFill="1" applyBorder="1" applyAlignment="1">
      <alignment horizontal="center" wrapText="1"/>
    </xf>
    <xf numFmtId="0" fontId="35" fillId="0" borderId="0" xfId="0" applyFont="1" applyAlignment="1">
      <alignment horizontal="center" vertical="top" wrapText="1"/>
    </xf>
    <xf numFmtId="0" fontId="35" fillId="0" borderId="0" xfId="0" applyFont="1" applyAlignment="1">
      <alignment horizontal="center" wrapText="1"/>
    </xf>
    <xf numFmtId="0" fontId="36" fillId="0" borderId="67" xfId="0" applyFont="1" applyBorder="1" applyAlignment="1">
      <alignment horizontal="center"/>
    </xf>
    <xf numFmtId="0" fontId="35" fillId="0" borderId="0" xfId="0" applyFont="1" applyFill="1" applyAlignment="1">
      <alignment horizontal="left" wrapText="1"/>
    </xf>
    <xf numFmtId="0" fontId="35" fillId="0" borderId="0" xfId="0" applyFont="1" applyBorder="1" applyAlignment="1">
      <alignment horizontal="left" wrapText="1"/>
    </xf>
    <xf numFmtId="0" fontId="35" fillId="0" borderId="37" xfId="0" applyFont="1" applyBorder="1" applyAlignment="1">
      <alignment horizontal="left" wrapText="1"/>
    </xf>
    <xf numFmtId="0" fontId="0" fillId="0" borderId="0" xfId="0" applyBorder="1" applyAlignment="1">
      <alignment horizontal="left" wrapText="1"/>
    </xf>
    <xf numFmtId="0" fontId="35" fillId="0" borderId="0" xfId="246" applyFont="1" applyFill="1" applyAlignment="1">
      <alignment horizontal="left" wrapText="1"/>
    </xf>
    <xf numFmtId="0" fontId="36" fillId="0" borderId="14" xfId="0" applyFont="1" applyBorder="1" applyAlignment="1">
      <alignment horizontal="center"/>
    </xf>
    <xf numFmtId="0" fontId="56" fillId="0" borderId="0" xfId="256" applyFont="1" applyFill="1" applyBorder="1" applyAlignment="1">
      <alignment horizontal="left" wrapText="1"/>
    </xf>
    <xf numFmtId="0" fontId="0" fillId="0" borderId="73" xfId="0" applyFill="1" applyBorder="1" applyAlignment="1">
      <alignment wrapText="1"/>
    </xf>
    <xf numFmtId="0" fontId="109" fillId="0" borderId="23" xfId="228" applyFont="1" applyBorder="1" applyAlignment="1">
      <alignment horizontal="left"/>
    </xf>
    <xf numFmtId="0" fontId="104" fillId="0" borderId="29" xfId="228" applyFont="1" applyBorder="1" applyAlignment="1">
      <alignment horizontal="center" vertical="center"/>
    </xf>
    <xf numFmtId="0" fontId="104" fillId="0" borderId="5" xfId="228" applyFont="1" applyBorder="1" applyAlignment="1">
      <alignment horizontal="center" vertical="center"/>
    </xf>
    <xf numFmtId="0" fontId="104" fillId="0" borderId="30" xfId="228" applyFont="1" applyBorder="1" applyAlignment="1">
      <alignment horizontal="center" vertical="center"/>
    </xf>
    <xf numFmtId="0" fontId="104" fillId="0" borderId="66" xfId="228" applyFont="1" applyBorder="1" applyAlignment="1">
      <alignment horizontal="center" vertical="center"/>
    </xf>
    <xf numFmtId="0" fontId="104" fillId="0" borderId="48" xfId="228" applyFont="1" applyBorder="1" applyAlignment="1">
      <alignment horizontal="center" vertical="center"/>
    </xf>
    <xf numFmtId="0" fontId="104" fillId="0" borderId="67" xfId="228" applyFont="1" applyBorder="1" applyAlignment="1">
      <alignment horizontal="center" vertical="center"/>
    </xf>
    <xf numFmtId="0" fontId="101" fillId="0" borderId="0" xfId="228" applyFont="1" applyBorder="1" applyAlignment="1">
      <alignment horizontal="left" vertical="center"/>
    </xf>
    <xf numFmtId="0" fontId="104" fillId="0" borderId="0" xfId="228" applyFont="1" applyAlignment="1">
      <alignment horizontal="left"/>
    </xf>
    <xf numFmtId="0" fontId="104" fillId="0" borderId="23" xfId="228" applyFont="1" applyBorder="1" applyAlignment="1">
      <alignment horizontal="left"/>
    </xf>
    <xf numFmtId="0" fontId="36" fillId="0" borderId="23" xfId="248" applyNumberFormat="1" applyFont="1" applyFill="1" applyBorder="1" applyAlignment="1" applyProtection="1">
      <alignment horizontal="center" wrapText="1"/>
      <protection locked="0"/>
    </xf>
    <xf numFmtId="0" fontId="36" fillId="0" borderId="0" xfId="248" applyNumberFormat="1" applyFont="1" applyFill="1" applyBorder="1" applyAlignment="1" applyProtection="1">
      <alignment horizontal="center" wrapText="1"/>
      <protection locked="0"/>
    </xf>
    <xf numFmtId="0" fontId="6" fillId="0" borderId="66" xfId="0" applyFont="1" applyFill="1" applyBorder="1" applyAlignment="1">
      <alignment horizontal="center"/>
    </xf>
    <xf numFmtId="0" fontId="6" fillId="0" borderId="48" xfId="0" applyFont="1" applyFill="1" applyBorder="1" applyAlignment="1">
      <alignment horizontal="center"/>
    </xf>
    <xf numFmtId="0" fontId="6" fillId="0" borderId="67" xfId="0" applyFont="1" applyFill="1" applyBorder="1" applyAlignment="1">
      <alignment horizontal="center"/>
    </xf>
    <xf numFmtId="0" fontId="35" fillId="0" borderId="0" xfId="0" applyFont="1" applyAlignment="1">
      <alignment vertical="top" wrapText="1"/>
    </xf>
    <xf numFmtId="0" fontId="35" fillId="0" borderId="0" xfId="0" applyFont="1" applyAlignment="1">
      <alignment wrapText="1"/>
    </xf>
    <xf numFmtId="37" fontId="112" fillId="0" borderId="0" xfId="0" applyNumberFormat="1" applyFont="1"/>
    <xf numFmtId="10" fontId="112" fillId="0" borderId="0" xfId="262" applyNumberFormat="1" applyFont="1"/>
    <xf numFmtId="0" fontId="0" fillId="0" borderId="0" xfId="0" applyAlignment="1">
      <alignment wrapText="1"/>
    </xf>
    <xf numFmtId="0" fontId="6" fillId="0" borderId="23" xfId="0" applyFont="1" applyFill="1" applyBorder="1" applyAlignment="1">
      <alignment horizontal="center" wrapText="1"/>
    </xf>
    <xf numFmtId="184" fontId="35" fillId="0" borderId="75" xfId="42" applyNumberFormat="1" applyFont="1" applyBorder="1"/>
    <xf numFmtId="184" fontId="35" fillId="0" borderId="59" xfId="42" applyNumberFormat="1" applyFont="1" applyBorder="1"/>
    <xf numFmtId="184" fontId="35" fillId="0" borderId="76" xfId="42" applyNumberFormat="1" applyFont="1" applyBorder="1"/>
  </cellXfs>
  <cellStyles count="413">
    <cellStyle name=" 1" xfId="1"/>
    <cellStyle name="_Book200 Acq Adj by Plant Acct (w Alloc %)" xfId="2"/>
    <cellStyle name="_x0010_“+ˆÉ•?pý¤" xfId="3"/>
    <cellStyle name="_x0010_“+ˆÉ•?pý¤ 2" xfId="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5 2" xfId="10"/>
    <cellStyle name="20% - Accent6" xfId="11" builtinId="50" customBuiltin="1"/>
    <cellStyle name="40% - Accent1" xfId="12" builtinId="31" customBuiltin="1"/>
    <cellStyle name="40% - Accent2" xfId="13" builtinId="35" customBuiltin="1"/>
    <cellStyle name="40% - Accent3" xfId="14" builtinId="39" customBuiltin="1"/>
    <cellStyle name="40% - Accent4" xfId="15" builtinId="43" customBuiltin="1"/>
    <cellStyle name="40% - Accent5" xfId="16" builtinId="47" customBuiltin="1"/>
    <cellStyle name="40% - Accent6" xfId="17" builtinId="51" customBuiltin="1"/>
    <cellStyle name="40% - Accent6 2" xfId="18"/>
    <cellStyle name="60% - Accent1" xfId="19" builtinId="32" customBuiltin="1"/>
    <cellStyle name="60% - Accent2" xfId="20" builtinId="36" customBuiltin="1"/>
    <cellStyle name="60% - Accent3" xfId="21" builtinId="40" customBuiltin="1"/>
    <cellStyle name="60% - Accent4" xfId="22" builtinId="44" customBuiltin="1"/>
    <cellStyle name="60% - Accent5" xfId="23" builtinId="48" customBuiltin="1"/>
    <cellStyle name="60% - Accent6" xfId="24" builtinId="52" customBuiltin="1"/>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Actual Date" xfId="31"/>
    <cellStyle name="Actual Date 2" xfId="32"/>
    <cellStyle name="Align-top" xfId="33"/>
    <cellStyle name="Alternate Rows" xfId="34"/>
    <cellStyle name="Alternate Yellow" xfId="35"/>
    <cellStyle name="Bad" xfId="36" builtinId="27" customBuiltin="1"/>
    <cellStyle name="Bold Red" xfId="37"/>
    <cellStyle name="Calculation" xfId="38" builtinId="22" customBuiltin="1"/>
    <cellStyle name="Cancel" xfId="39"/>
    <cellStyle name="Check Cell" xfId="40" builtinId="23" customBuiltin="1"/>
    <cellStyle name="Column.Head" xfId="41"/>
    <cellStyle name="Comma" xfId="42" builtinId="3"/>
    <cellStyle name="Comma [1]" xfId="43"/>
    <cellStyle name="Comma [2]"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 3" xfId="57"/>
    <cellStyle name="Comma 20" xfId="58"/>
    <cellStyle name="Comma 27" xfId="59"/>
    <cellStyle name="Comma 3" xfId="60"/>
    <cellStyle name="Comma 3 2" xfId="61"/>
    <cellStyle name="Comma 4" xfId="62"/>
    <cellStyle name="Comma 4 2" xfId="63"/>
    <cellStyle name="Comma 5" xfId="64"/>
    <cellStyle name="Comma 5 2" xfId="65"/>
    <cellStyle name="Comma 6" xfId="66"/>
    <cellStyle name="Comma 6 2" xfId="67"/>
    <cellStyle name="Comma 6 3" xfId="68"/>
    <cellStyle name="Comma 7" xfId="69"/>
    <cellStyle name="Comma 7 2" xfId="70"/>
    <cellStyle name="Comma 8" xfId="71"/>
    <cellStyle name="Comma 8 2" xfId="72"/>
    <cellStyle name="Comma 9" xfId="73"/>
    <cellStyle name="Comma(0)" xfId="74"/>
    <cellStyle name="Comma, No spaces" xfId="75"/>
    <cellStyle name="Comma0" xfId="76"/>
    <cellStyle name="Comma0 - Style1" xfId="77"/>
    <cellStyle name="Comma0 - Style2" xfId="78"/>
    <cellStyle name="Comma0_currency data update to Oct" xfId="79"/>
    <cellStyle name="Comma1" xfId="80"/>
    <cellStyle name="Comma1 2" xfId="81"/>
    <cellStyle name="Comma2" xfId="82"/>
    <cellStyle name="Comma2 2" xfId="83"/>
    <cellStyle name="ConvVer" xfId="84"/>
    <cellStyle name="cost_per_kw" xfId="85"/>
    <cellStyle name="Currency" xfId="86" builtinId="4"/>
    <cellStyle name="Currency [2]" xfId="87"/>
    <cellStyle name="Currency [4]" xfId="88"/>
    <cellStyle name="Currency 10" xfId="89"/>
    <cellStyle name="Currency 11" xfId="90"/>
    <cellStyle name="Currency 12" xfId="91"/>
    <cellStyle name="Currency 13" xfId="92"/>
    <cellStyle name="Currency 2" xfId="93"/>
    <cellStyle name="Currency 2 2" xfId="94"/>
    <cellStyle name="Currency 3" xfId="95"/>
    <cellStyle name="Currency 4" xfId="96"/>
    <cellStyle name="Currency 5" xfId="97"/>
    <cellStyle name="Currency 6" xfId="98"/>
    <cellStyle name="Currency 7" xfId="99"/>
    <cellStyle name="Currency 8" xfId="100"/>
    <cellStyle name="Currency 9" xfId="101"/>
    <cellStyle name="Currency0" xfId="102"/>
    <cellStyle name="Date" xfId="103"/>
    <cellStyle name="DateTime" xfId="104"/>
    <cellStyle name="DateTime 2" xfId="105"/>
    <cellStyle name="d-mmm" xfId="106"/>
    <cellStyle name="d-mmm-yy" xfId="107"/>
    <cellStyle name="Dot" xfId="108"/>
    <cellStyle name="Explanatory Text" xfId="109" builtinId="53" customBuiltin="1"/>
    <cellStyle name="Fixed" xfId="110"/>
    <cellStyle name="Fixed 2" xfId="111"/>
    <cellStyle name="Fixed 3" xfId="112"/>
    <cellStyle name="Fixed1 - Style1" xfId="113"/>
    <cellStyle name="General" xfId="114"/>
    <cellStyle name="Geneva 9" xfId="115"/>
    <cellStyle name="Good" xfId="116" builtinId="26" customBuiltin="1"/>
    <cellStyle name="Good 2" xfId="117"/>
    <cellStyle name="Grey" xfId="118"/>
    <cellStyle name="Grey 2" xfId="119"/>
    <cellStyle name="HEADER" xfId="120"/>
    <cellStyle name="Heading 1" xfId="121" builtinId="16" customBuiltin="1"/>
    <cellStyle name="Heading 2" xfId="122" builtinId="17" customBuiltin="1"/>
    <cellStyle name="Heading 3" xfId="123" builtinId="18" customBuiltin="1"/>
    <cellStyle name="Heading 4" xfId="124" builtinId="19" customBuiltin="1"/>
    <cellStyle name="Heading1" xfId="125"/>
    <cellStyle name="Heading1 2" xfId="126"/>
    <cellStyle name="Heading1 3" xfId="127"/>
    <cellStyle name="Heading2" xfId="128"/>
    <cellStyle name="Heading2 2" xfId="129"/>
    <cellStyle name="Heading2 3" xfId="130"/>
    <cellStyle name="HIGHLIGHT" xfId="131"/>
    <cellStyle name="Hyperlink" xfId="132" builtinId="8"/>
    <cellStyle name="Input" xfId="133" builtinId="20" customBuiltin="1"/>
    <cellStyle name="Input [yellow]" xfId="134"/>
    <cellStyle name="Input [yellow] 2" xfId="135"/>
    <cellStyle name="kwh_centered" xfId="136"/>
    <cellStyle name="Linked Cell" xfId="137" builtinId="24" customBuiltin="1"/>
    <cellStyle name="Moneda [0]_Mex-Braz-Arg" xfId="138"/>
    <cellStyle name="Moneda_Mex-Braz-Arg" xfId="139"/>
    <cellStyle name="Neutral" xfId="140" builtinId="28" customBuiltin="1"/>
    <cellStyle name="no dec" xfId="141"/>
    <cellStyle name="Normal" xfId="0" builtinId="0"/>
    <cellStyle name="Normal - Style1" xfId="142"/>
    <cellStyle name="Normal - Style1 2" xfId="143"/>
    <cellStyle name="Normal - Style2" xfId="144"/>
    <cellStyle name="Normal 10" xfId="145"/>
    <cellStyle name="Normal 10 2" xfId="146"/>
    <cellStyle name="Normal 10 7" xfId="147"/>
    <cellStyle name="Normal 11" xfId="148"/>
    <cellStyle name="Normal 11 2" xfId="149"/>
    <cellStyle name="Normal 12" xfId="150"/>
    <cellStyle name="Normal 12 2" xfId="151"/>
    <cellStyle name="Normal 13" xfId="152"/>
    <cellStyle name="Normal 13 2" xfId="153"/>
    <cellStyle name="Normal 13 3" xfId="154"/>
    <cellStyle name="Normal 14" xfId="155"/>
    <cellStyle name="Normal 14 2" xfId="156"/>
    <cellStyle name="Normal 15" xfId="157"/>
    <cellStyle name="Normal 16" xfId="158"/>
    <cellStyle name="Normal 17" xfId="159"/>
    <cellStyle name="Normal 18" xfId="160"/>
    <cellStyle name="Normal 19" xfId="161"/>
    <cellStyle name="Normal 2" xfId="162"/>
    <cellStyle name="Normal 2 10" xfId="163"/>
    <cellStyle name="Normal 2 2" xfId="164"/>
    <cellStyle name="Normal 2 20" xfId="165"/>
    <cellStyle name="Normal 2 3" xfId="166"/>
    <cellStyle name="Normal 2 4" xfId="167"/>
    <cellStyle name="Normal 2 5" xfId="168"/>
    <cellStyle name="Normal 20" xfId="169"/>
    <cellStyle name="Normal 21" xfId="170"/>
    <cellStyle name="Normal 22" xfId="171"/>
    <cellStyle name="Normal 23" xfId="172"/>
    <cellStyle name="Normal 24" xfId="173"/>
    <cellStyle name="Normal 25" xfId="174"/>
    <cellStyle name="Normal 26" xfId="175"/>
    <cellStyle name="Normal 27" xfId="176"/>
    <cellStyle name="Normal 28" xfId="177"/>
    <cellStyle name="Normal 29" xfId="178"/>
    <cellStyle name="Normal 3" xfId="179"/>
    <cellStyle name="Normal 3 2" xfId="180"/>
    <cellStyle name="Normal 3 3" xfId="181"/>
    <cellStyle name="Normal 30" xfId="182"/>
    <cellStyle name="Normal 31" xfId="183"/>
    <cellStyle name="Normal 32" xfId="184"/>
    <cellStyle name="Normal 33" xfId="185"/>
    <cellStyle name="Normal 34" xfId="186"/>
    <cellStyle name="Normal 35" xfId="187"/>
    <cellStyle name="Normal 36" xfId="188"/>
    <cellStyle name="Normal 37" xfId="189"/>
    <cellStyle name="Normal 38" xfId="190"/>
    <cellStyle name="Normal 39" xfId="191"/>
    <cellStyle name="Normal 4" xfId="192"/>
    <cellStyle name="Normal 4 2" xfId="193"/>
    <cellStyle name="Normal 4 3" xfId="194"/>
    <cellStyle name="Normal 4_gen_exist" xfId="195"/>
    <cellStyle name="Normal 40" xfId="196"/>
    <cellStyle name="Normal 41" xfId="197"/>
    <cellStyle name="Normal 42" xfId="198"/>
    <cellStyle name="Normal 43" xfId="199"/>
    <cellStyle name="Normal 44" xfId="200"/>
    <cellStyle name="Normal 45" xfId="201"/>
    <cellStyle name="Normal 46" xfId="202"/>
    <cellStyle name="Normal 47" xfId="203"/>
    <cellStyle name="Normal 48" xfId="204"/>
    <cellStyle name="Normal 49" xfId="205"/>
    <cellStyle name="Normal 5" xfId="206"/>
    <cellStyle name="Normal 5 2" xfId="207"/>
    <cellStyle name="Normal 50" xfId="208"/>
    <cellStyle name="Normal 51" xfId="209"/>
    <cellStyle name="Normal 52" xfId="210"/>
    <cellStyle name="Normal 53" xfId="211"/>
    <cellStyle name="Normal 54" xfId="212"/>
    <cellStyle name="Normal 54 2" xfId="213"/>
    <cellStyle name="Normal 55" xfId="214"/>
    <cellStyle name="Normal 55 2" xfId="215"/>
    <cellStyle name="Normal 56" xfId="216"/>
    <cellStyle name="Normal 57" xfId="217"/>
    <cellStyle name="Normal 58" xfId="218"/>
    <cellStyle name="Normal 59" xfId="219"/>
    <cellStyle name="Normal 6" xfId="220"/>
    <cellStyle name="Normal 6 2" xfId="221"/>
    <cellStyle name="Normal 6 3" xfId="222"/>
    <cellStyle name="Normal 60" xfId="223"/>
    <cellStyle name="Normal 61" xfId="224"/>
    <cellStyle name="Normal 62" xfId="225"/>
    <cellStyle name="Normal 63" xfId="226"/>
    <cellStyle name="Normal 64" xfId="227"/>
    <cellStyle name="Normal 69" xfId="228"/>
    <cellStyle name="Normal 69 3" xfId="229"/>
    <cellStyle name="Normal 7" xfId="230"/>
    <cellStyle name="Normal 7 2" xfId="231"/>
    <cellStyle name="Normal 72" xfId="232"/>
    <cellStyle name="Normal 8" xfId="233"/>
    <cellStyle name="Normal 8 14" xfId="234"/>
    <cellStyle name="Normal 8 2" xfId="235"/>
    <cellStyle name="Normal 8 3" xfId="236"/>
    <cellStyle name="Normal 9" xfId="237"/>
    <cellStyle name="Normal 9 2" xfId="238"/>
    <cellStyle name="Normal 9 3" xfId="239"/>
    <cellStyle name="Normal_0112 No Link Exp" xfId="240"/>
    <cellStyle name="Normal_ADITAnalysisID090805" xfId="241"/>
    <cellStyle name="Normal_Book2" xfId="242"/>
    <cellStyle name="Normal_Book2_SPS_Attachment O 2011 Transmission Formula Rate Annual Update Rev1 (3)" xfId="243"/>
    <cellStyle name="Normal_Book3_1" xfId="244"/>
    <cellStyle name="Normal_Book4_1" xfId="245"/>
    <cellStyle name="Normal_Copy of PSCo Depreciation Rates w CACJA" xfId="246"/>
    <cellStyle name="Normal_Final Joint Term Sheet Worksheet A 1 6-30-09 (0010403) (2)" xfId="247"/>
    <cellStyle name="Normal_FN1 Ratebase Draft SPP template (6-11-04) v2" xfId="248"/>
    <cellStyle name="Normal_Historical AFUDC" xfId="249"/>
    <cellStyle name="Normal_KCPL TopSheet Type Ancillaries Worksheet(9-17-03)" xfId="250"/>
    <cellStyle name="Normal_nonlevelized-Form 1 (v3)" xfId="251"/>
    <cellStyle name="Normal_PSCo Attachment O Transmission Formula-2010(Revision No. 1- Final)" xfId="252"/>
    <cellStyle name="Normal_PSCo Production Formula" xfId="253"/>
    <cellStyle name="Normal_Revised Table 8 &amp; 22" xfId="254"/>
    <cellStyle name="Normal_Sensitivity Anals AmerenUE Ancil 11-1-06 (Attach A&amp;B) v1" xfId="255"/>
    <cellStyle name="Normal_SIERRA &amp; NEVADA-FCR EXHIBIT 3 PG 5-14" xfId="256"/>
    <cellStyle name="Normal_SP ANCILLARIES_9-10(clean 9-19)(a)" xfId="257"/>
    <cellStyle name="Note" xfId="258" builtinId="10" customBuiltin="1"/>
    <cellStyle name="nozero" xfId="259"/>
    <cellStyle name="nozero 2" xfId="260"/>
    <cellStyle name="Output" xfId="261" builtinId="21" customBuiltin="1"/>
    <cellStyle name="Percent" xfId="262" builtinId="5"/>
    <cellStyle name="Percent [0]" xfId="263"/>
    <cellStyle name="Percent [2]" xfId="264"/>
    <cellStyle name="Percent [2] 2" xfId="265"/>
    <cellStyle name="Percent [2] 3" xfId="266"/>
    <cellStyle name="Percent 10" xfId="267"/>
    <cellStyle name="Percent 11" xfId="268"/>
    <cellStyle name="Percent 12" xfId="269"/>
    <cellStyle name="Percent 13" xfId="270"/>
    <cellStyle name="Percent 14" xfId="271"/>
    <cellStyle name="Percent 15" xfId="272"/>
    <cellStyle name="Percent 16" xfId="273"/>
    <cellStyle name="Percent 17" xfId="274"/>
    <cellStyle name="Percent 18" xfId="275"/>
    <cellStyle name="Percent 19" xfId="276"/>
    <cellStyle name="Percent 2" xfId="277"/>
    <cellStyle name="Percent 2 2" xfId="278"/>
    <cellStyle name="Percent 20" xfId="279"/>
    <cellStyle name="Percent 21" xfId="280"/>
    <cellStyle name="Percent 22" xfId="281"/>
    <cellStyle name="Percent 23" xfId="282"/>
    <cellStyle name="Percent 24" xfId="283"/>
    <cellStyle name="Percent 25" xfId="284"/>
    <cellStyle name="Percent 26" xfId="285"/>
    <cellStyle name="Percent 27" xfId="286"/>
    <cellStyle name="Percent 28" xfId="287"/>
    <cellStyle name="Percent 29" xfId="288"/>
    <cellStyle name="Percent 3" xfId="289"/>
    <cellStyle name="Percent 3 2" xfId="290"/>
    <cellStyle name="Percent 30" xfId="291"/>
    <cellStyle name="Percent 31" xfId="292"/>
    <cellStyle name="Percent 32" xfId="293"/>
    <cellStyle name="Percent 33" xfId="294"/>
    <cellStyle name="Percent 34" xfId="295"/>
    <cellStyle name="Percent 35" xfId="296"/>
    <cellStyle name="Percent 36" xfId="297"/>
    <cellStyle name="Percent 37" xfId="298"/>
    <cellStyle name="Percent 38" xfId="299"/>
    <cellStyle name="Percent 39" xfId="300"/>
    <cellStyle name="Percent 4" xfId="301"/>
    <cellStyle name="Percent 4 2" xfId="302"/>
    <cellStyle name="Percent 40" xfId="303"/>
    <cellStyle name="Percent 41" xfId="304"/>
    <cellStyle name="Percent 42" xfId="305"/>
    <cellStyle name="Percent 43" xfId="306"/>
    <cellStyle name="Percent 44" xfId="307"/>
    <cellStyle name="Percent 45" xfId="308"/>
    <cellStyle name="Percent 46" xfId="309"/>
    <cellStyle name="Percent 47" xfId="310"/>
    <cellStyle name="Percent 48" xfId="311"/>
    <cellStyle name="Percent 49" xfId="312"/>
    <cellStyle name="Percent 5" xfId="313"/>
    <cellStyle name="Percent 50" xfId="314"/>
    <cellStyle name="Percent 50 2" xfId="315"/>
    <cellStyle name="Percent 51" xfId="316"/>
    <cellStyle name="Percent 51 2" xfId="317"/>
    <cellStyle name="Percent 52" xfId="318"/>
    <cellStyle name="Percent 53" xfId="319"/>
    <cellStyle name="Percent 54" xfId="320"/>
    <cellStyle name="Percent 55" xfId="321"/>
    <cellStyle name="Percent 56" xfId="322"/>
    <cellStyle name="Percent 57" xfId="323"/>
    <cellStyle name="Percent 58" xfId="324"/>
    <cellStyle name="Percent 59" xfId="325"/>
    <cellStyle name="Percent 6" xfId="326"/>
    <cellStyle name="Percent 60" xfId="327"/>
    <cellStyle name="Percent 61" xfId="328"/>
    <cellStyle name="Percent 62" xfId="329"/>
    <cellStyle name="Percent 7" xfId="330"/>
    <cellStyle name="Percent 70" xfId="331"/>
    <cellStyle name="Percent 8" xfId="332"/>
    <cellStyle name="Percent 9" xfId="333"/>
    <cellStyle name="Percent0" xfId="334"/>
    <cellStyle name="PSChar" xfId="335"/>
    <cellStyle name="PSDate" xfId="336"/>
    <cellStyle name="PSDec" xfId="337"/>
    <cellStyle name="PSHeading" xfId="338"/>
    <cellStyle name="PSInt" xfId="339"/>
    <cellStyle name="PSSpacer" xfId="340"/>
    <cellStyle name="RangeBelow" xfId="341"/>
    <cellStyle name="Reports" xfId="342"/>
    <cellStyle name="Reports-0" xfId="343"/>
    <cellStyle name="Reports-2" xfId="344"/>
    <cellStyle name="SAPBEXchaText" xfId="345"/>
    <cellStyle name="SAPBEXstdData" xfId="346"/>
    <cellStyle name="SAPBEXstdItem" xfId="347"/>
    <cellStyle name="SAPBEXstdItemX" xfId="348"/>
    <cellStyle name="Shading - Heavy" xfId="349"/>
    <cellStyle name="Shading - Light" xfId="350"/>
    <cellStyle name="Shading - Medium" xfId="351"/>
    <cellStyle name="Spaces-2" xfId="352"/>
    <cellStyle name="Spaces-4" xfId="353"/>
    <cellStyle name="Spaces-6" xfId="354"/>
    <cellStyle name="Style 1" xfId="355"/>
    <cellStyle name="Style 1 2" xfId="356"/>
    <cellStyle name="Style 1 3" xfId="357"/>
    <cellStyle name="Style 1 4" xfId="358"/>
    <cellStyle name="Style 1 5" xfId="359"/>
    <cellStyle name="Style 21" xfId="360"/>
    <cellStyle name="Style 21 2" xfId="361"/>
    <cellStyle name="Style 22" xfId="362"/>
    <cellStyle name="Style 22 2" xfId="363"/>
    <cellStyle name="Style 23" xfId="364"/>
    <cellStyle name="Style 23 2" xfId="365"/>
    <cellStyle name="Style 24" xfId="366"/>
    <cellStyle name="Style 24 2" xfId="367"/>
    <cellStyle name="Style 25" xfId="368"/>
    <cellStyle name="Style 25 2" xfId="369"/>
    <cellStyle name="Style 26" xfId="370"/>
    <cellStyle name="Style 26 2" xfId="371"/>
    <cellStyle name="Style 27" xfId="372"/>
    <cellStyle name="Style 27 2" xfId="373"/>
    <cellStyle name="Style 28" xfId="374"/>
    <cellStyle name="Style 28 2" xfId="375"/>
    <cellStyle name="Style 29" xfId="376"/>
    <cellStyle name="Style 29 2" xfId="377"/>
    <cellStyle name="Style 30" xfId="378"/>
    <cellStyle name="Style 30 2" xfId="379"/>
    <cellStyle name="Style 31" xfId="380"/>
    <cellStyle name="Style 31 2" xfId="381"/>
    <cellStyle name="Style 32" xfId="382"/>
    <cellStyle name="Style 32 2" xfId="383"/>
    <cellStyle name="Style 33" xfId="384"/>
    <cellStyle name="Style 33 2" xfId="385"/>
    <cellStyle name="Style 34" xfId="386"/>
    <cellStyle name="Style 34 2" xfId="387"/>
    <cellStyle name="Style 35" xfId="388"/>
    <cellStyle name="Style 35 2" xfId="389"/>
    <cellStyle name="SubRoutine" xfId="390"/>
    <cellStyle name="Tabs" xfId="391"/>
    <cellStyle name="Text Wrap" xfId="392"/>
    <cellStyle name="Text Wrap Across Cells" xfId="393"/>
    <cellStyle name="þ(Î'_x000c_ïþ÷_x000c_âþÖ_x0006__x0002_Þ”_x0013__x0007__x0001__x0001_" xfId="394"/>
    <cellStyle name="þ(Î'_x000c_ïþ÷_x000c_âþÖ_x0006__x0002_Þ”_x0013__x0007__x0001__x0001_ 2" xfId="395"/>
    <cellStyle name="Thousands" xfId="396"/>
    <cellStyle name="Thousands 2" xfId="397"/>
    <cellStyle name="Thousands1" xfId="398"/>
    <cellStyle name="Thousands1 2" xfId="399"/>
    <cellStyle name="Title" xfId="400" builtinId="15" customBuiltin="1"/>
    <cellStyle name="Total" xfId="401" builtinId="25" customBuiltin="1"/>
    <cellStyle name="Unprot" xfId="402"/>
    <cellStyle name="Unprot 2" xfId="403"/>
    <cellStyle name="Unprot$" xfId="404"/>
    <cellStyle name="Unprot$ 2" xfId="405"/>
    <cellStyle name="Unprotect" xfId="406"/>
    <cellStyle name="User_Defined_A" xfId="407"/>
    <cellStyle name="Valign-bottom" xfId="408"/>
    <cellStyle name="Valign-centre" xfId="409"/>
    <cellStyle name="Valign-top" xfId="410"/>
    <cellStyle name="Warning Text" xfId="411" builtinId="11" customBuiltin="1"/>
    <cellStyle name="Wrap Text" xfId="41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0</xdr:colOff>
      <xdr:row>0</xdr:row>
      <xdr:rowOff>0</xdr:rowOff>
    </xdr:to>
    <xdr:sp macro="" textlink="">
      <xdr:nvSpPr>
        <xdr:cNvPr id="1025" name="WordArt 1"/>
        <xdr:cNvSpPr>
          <a:spLocks noChangeArrowheads="1" noChangeShapeType="1" noTextEdit="1"/>
        </xdr:cNvSpPr>
      </xdr:nvSpPr>
      <xdr:spPr bwMode="auto">
        <a:xfrm rot="-16056844">
          <a:off x="15420975" y="0"/>
          <a:ext cx="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400" kern="10" spc="0">
              <a:ln w="9525">
                <a:solidFill>
                  <a:srgbClr val="000000"/>
                </a:solidFill>
                <a:round/>
                <a:headEnd/>
                <a:tailEnd/>
              </a:ln>
              <a:solidFill>
                <a:srgbClr val="000000"/>
              </a:solidFill>
              <a:effectLst/>
              <a:latin typeface="Arial"/>
              <a:cs typeface="Arial"/>
            </a:rPr>
            <a:t>Worksheet B</a:t>
          </a:r>
        </a:p>
        <a:p>
          <a:pPr algn="ctr" rtl="0">
            <a:buNone/>
          </a:pPr>
          <a:r>
            <a:rPr lang="en-US" sz="1400" kern="10" spc="0">
              <a:ln w="9525">
                <a:solidFill>
                  <a:srgbClr val="000000"/>
                </a:solidFill>
                <a:round/>
                <a:headEnd/>
                <a:tailEnd/>
              </a:ln>
              <a:solidFill>
                <a:srgbClr val="000000"/>
              </a:solidFill>
              <a:effectLst/>
              <a:latin typeface="Arial"/>
              <a:cs typeface="Arial"/>
            </a:rPr>
            <a:t>Page 16 of 55</a:t>
          </a:r>
        </a:p>
      </xdr:txBody>
    </xdr:sp>
    <xdr:clientData/>
  </xdr:twoCellAnchor>
  <xdr:twoCellAnchor>
    <xdr:from>
      <xdr:col>18</xdr:col>
      <xdr:colOff>0</xdr:colOff>
      <xdr:row>64</xdr:row>
      <xdr:rowOff>0</xdr:rowOff>
    </xdr:from>
    <xdr:to>
      <xdr:col>18</xdr:col>
      <xdr:colOff>0</xdr:colOff>
      <xdr:row>64</xdr:row>
      <xdr:rowOff>0</xdr:rowOff>
    </xdr:to>
    <xdr:sp macro="" textlink="">
      <xdr:nvSpPr>
        <xdr:cNvPr id="1027" name="WordArt 3"/>
        <xdr:cNvSpPr>
          <a:spLocks noChangeArrowheads="1" noChangeShapeType="1" noTextEdit="1"/>
        </xdr:cNvSpPr>
      </xdr:nvSpPr>
      <xdr:spPr bwMode="auto">
        <a:xfrm rot="-16056844">
          <a:off x="15420975" y="9915525"/>
          <a:ext cx="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400" kern="10" spc="0">
              <a:ln w="9525">
                <a:solidFill>
                  <a:srgbClr val="000000"/>
                </a:solidFill>
                <a:round/>
                <a:headEnd/>
                <a:tailEnd/>
              </a:ln>
              <a:solidFill>
                <a:srgbClr val="000000"/>
              </a:solidFill>
              <a:effectLst/>
              <a:latin typeface="Arial"/>
              <a:cs typeface="Arial"/>
            </a:rPr>
            <a:t>Worksheet B</a:t>
          </a:r>
        </a:p>
        <a:p>
          <a:pPr algn="ctr" rtl="0">
            <a:buNone/>
          </a:pPr>
          <a:r>
            <a:rPr lang="en-US" sz="1400" kern="10" spc="0">
              <a:ln w="9525">
                <a:solidFill>
                  <a:srgbClr val="000000"/>
                </a:solidFill>
                <a:round/>
                <a:headEnd/>
                <a:tailEnd/>
              </a:ln>
              <a:solidFill>
                <a:srgbClr val="000000"/>
              </a:solidFill>
              <a:effectLst/>
              <a:latin typeface="Arial"/>
              <a:cs typeface="Arial"/>
            </a:rPr>
            <a:t>Page 18 of 55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657225</xdr:colOff>
      <xdr:row>419</xdr:row>
      <xdr:rowOff>0</xdr:rowOff>
    </xdr:from>
    <xdr:to>
      <xdr:col>2</xdr:col>
      <xdr:colOff>714375</xdr:colOff>
      <xdr:row>419</xdr:row>
      <xdr:rowOff>0</xdr:rowOff>
    </xdr:to>
    <xdr:sp macro="" textlink="">
      <xdr:nvSpPr>
        <xdr:cNvPr id="29511" name="AutoShape 4"/>
        <xdr:cNvSpPr>
          <a:spLocks/>
        </xdr:cNvSpPr>
      </xdr:nvSpPr>
      <xdr:spPr bwMode="auto">
        <a:xfrm flipV="1">
          <a:off x="5048250" y="70265925"/>
          <a:ext cx="571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657225</xdr:colOff>
      <xdr:row>419</xdr:row>
      <xdr:rowOff>0</xdr:rowOff>
    </xdr:from>
    <xdr:to>
      <xdr:col>2</xdr:col>
      <xdr:colOff>714375</xdr:colOff>
      <xdr:row>419</xdr:row>
      <xdr:rowOff>0</xdr:rowOff>
    </xdr:to>
    <xdr:sp macro="" textlink="">
      <xdr:nvSpPr>
        <xdr:cNvPr id="29512" name="AutoShape 4"/>
        <xdr:cNvSpPr>
          <a:spLocks/>
        </xdr:cNvSpPr>
      </xdr:nvSpPr>
      <xdr:spPr bwMode="auto">
        <a:xfrm flipV="1">
          <a:off x="5048250" y="70265925"/>
          <a:ext cx="571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SP-SS/REVREQ/EXCEL/PSCo/Formula%20Rate%20Templates/Transmission/2017/Informational%20Filing/PSCo%20Transmission%20Formula%202017%20Estimate_FINAL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Est. Rates"/>
      <sheetName val="Actual Rates"/>
      <sheetName val="ATRR Est."/>
      <sheetName val="ATRR Act"/>
      <sheetName val="WP_A-2 (1)"/>
      <sheetName val="WP_A-2 (2)"/>
      <sheetName val="WP_A-2 (3)"/>
      <sheetName val="WP_A-2 (4)"/>
      <sheetName val="WP_A-2 (5)"/>
      <sheetName val="WP_A-2 (6)"/>
      <sheetName val="WP_A-2 (7)"/>
      <sheetName val="WP_B-1"/>
      <sheetName val="WP_B-2"/>
      <sheetName val="WP_B-3"/>
      <sheetName val="WP_B-4"/>
      <sheetName val="WP_B-5"/>
      <sheetName val="WP_B-6"/>
      <sheetName val="WP_B-7"/>
      <sheetName val="WP_B-8"/>
      <sheetName val="WP_B-Inputs Est."/>
      <sheetName val="WP_B-Inputs Act."/>
      <sheetName val="WP_C-1"/>
      <sheetName val="WP_C-2"/>
      <sheetName val="WP_C-3"/>
      <sheetName val="WP_C-4"/>
      <sheetName val="WP_D-1"/>
      <sheetName val="WP_E-1"/>
      <sheetName val="WP_F-1"/>
      <sheetName val="WP_G-1"/>
      <sheetName val="WP_H-1 "/>
      <sheetName val="WP_I-1"/>
      <sheetName val="Schedule 1"/>
      <sheetName val="Schedule 2"/>
      <sheetName val="Schedule 3 and 3A"/>
      <sheetName val="Schedule 5"/>
      <sheetName val="Schedule 6"/>
      <sheetName val="WP_FCR"/>
      <sheetName val="WP_Cost per Unit"/>
      <sheetName val="WP_Load Factor"/>
      <sheetName val="Schedule 16"/>
      <sheetName val="WP_Installed Cost"/>
      <sheetName val="WP_O&amp;M Cost"/>
      <sheetName val="WP_Reactive Cost"/>
      <sheetName val="WP_ADIT Prorate"/>
    </sheetNames>
    <sheetDataSet>
      <sheetData sheetId="0">
        <row r="5">
          <cell r="A5" t="str">
            <v>Public Service Company of Colorado</v>
          </cell>
        </row>
      </sheetData>
      <sheetData sheetId="1"/>
      <sheetData sheetId="2"/>
      <sheetData sheetId="3"/>
      <sheetData sheetId="4">
        <row r="45">
          <cell r="F45">
            <v>0.18055531137819167</v>
          </cell>
        </row>
        <row r="158">
          <cell r="G158">
            <v>0.97270000000000001</v>
          </cell>
        </row>
        <row r="168">
          <cell r="G168">
            <v>0.11383</v>
          </cell>
        </row>
        <row r="172">
          <cell r="G172">
            <v>8.1738818739999997E-2</v>
          </cell>
        </row>
        <row r="179">
          <cell r="G179">
            <v>7.4300000000000005E-2</v>
          </cell>
        </row>
      </sheetData>
      <sheetData sheetId="5">
        <row r="45">
          <cell r="F45">
            <v>0</v>
          </cell>
        </row>
        <row r="158">
          <cell r="G158">
            <v>0</v>
          </cell>
        </row>
        <row r="168">
          <cell r="G168">
            <v>0</v>
          </cell>
        </row>
        <row r="172">
          <cell r="G172">
            <v>8.1738818739999997E-2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ferc.gov/enforcement/acct-matts/interest-rates.as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ferc.gov/enforcement/acct-matts/interest-rates.as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ferc.gov/enforcement/acct-matts/interest-rates.as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FERC/PSCo%20Transmission%20Formula/2016%20Estimate/Annual%20Update%20Docs/Section%202a%20(i)%20PSCo%20Transmission%20Formula/Data%20Sources/WP%20B-7/TSB-2015%20Amortization.xls'!M5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erc.gov/enforcement/acct-matts/interest-rates.as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ferc.gov/enforcement/acct-matts/interest-rate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7"/>
  <sheetViews>
    <sheetView workbookViewId="0">
      <selection activeCell="E27" sqref="E27"/>
    </sheetView>
  </sheetViews>
  <sheetFormatPr defaultRowHeight="12.75"/>
  <cols>
    <col min="1" max="1" width="7.42578125" style="1168" customWidth="1"/>
    <col min="2" max="2" width="9.7109375" style="1166" bestFit="1" customWidth="1"/>
    <col min="3" max="3" width="12.28515625" style="1166" customWidth="1"/>
    <col min="4" max="4" width="39.7109375" style="1166" bestFit="1" customWidth="1"/>
    <col min="5" max="5" width="46.5703125" style="1167" bestFit="1" customWidth="1"/>
    <col min="6" max="6" width="24" style="1166" bestFit="1" customWidth="1"/>
    <col min="7" max="7" width="11.85546875" style="1166" customWidth="1"/>
    <col min="8" max="16384" width="9.140625" style="1166"/>
  </cols>
  <sheetData>
    <row r="1" spans="1:7">
      <c r="A1" s="1165" t="s">
        <v>774</v>
      </c>
    </row>
    <row r="2" spans="1:7">
      <c r="A2" s="1165" t="s">
        <v>1830</v>
      </c>
    </row>
    <row r="3" spans="1:7">
      <c r="A3" s="1165" t="s">
        <v>1823</v>
      </c>
    </row>
    <row r="4" spans="1:7">
      <c r="A4" s="106"/>
      <c r="B4" s="433"/>
      <c r="C4" s="433"/>
      <c r="D4" s="433"/>
      <c r="E4" s="1281"/>
      <c r="F4" s="433"/>
      <c r="G4" s="433"/>
    </row>
    <row r="5" spans="1:7" s="1167" customFormat="1" ht="51">
      <c r="A5" s="982" t="s">
        <v>1824</v>
      </c>
      <c r="B5" s="982" t="s">
        <v>133</v>
      </c>
      <c r="C5" s="982" t="s">
        <v>1825</v>
      </c>
      <c r="D5" s="982" t="s">
        <v>1826</v>
      </c>
      <c r="E5" s="1282" t="s">
        <v>1827</v>
      </c>
      <c r="F5" s="1282" t="s">
        <v>1828</v>
      </c>
      <c r="G5" s="1282" t="s">
        <v>1829</v>
      </c>
    </row>
    <row r="6" spans="1:7">
      <c r="B6" s="1168"/>
    </row>
    <row r="7" spans="1:7">
      <c r="B7" s="116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198"/>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(3)</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1761</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215516586.21599439</v>
      </c>
    </row>
    <row r="21" spans="1:10">
      <c r="A21" s="338"/>
      <c r="C21" s="334"/>
      <c r="E21" s="334"/>
      <c r="I21" s="339"/>
    </row>
    <row r="22" spans="1:10">
      <c r="A22" s="338">
        <f>A20+1</f>
        <v>11</v>
      </c>
      <c r="B22" s="334" t="s">
        <v>1230</v>
      </c>
      <c r="C22" s="334"/>
      <c r="E22" s="334"/>
      <c r="I22" s="512">
        <v>215516498.39549667</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-87.82049772143364</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-87.82049772143364</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-87.82049772143364</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0</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0</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-87.82049772143364</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0</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hyperlinks>
    <hyperlink ref="B97" r:id="rId1"/>
  </hyperlinks>
  <pageMargins left="0.7" right="0.7" top="0.75" bottom="0.75" header="0.3" footer="0.3"/>
  <pageSetup scale="71"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98"/>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(4)</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1762</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215516498.39549667</v>
      </c>
    </row>
    <row r="21" spans="1:10">
      <c r="A21" s="338"/>
      <c r="C21" s="334"/>
      <c r="E21" s="334"/>
      <c r="I21" s="339"/>
    </row>
    <row r="22" spans="1:10">
      <c r="A22" s="338">
        <f>A20+1</f>
        <v>11</v>
      </c>
      <c r="B22" s="334" t="s">
        <v>1230</v>
      </c>
      <c r="C22" s="334"/>
      <c r="E22" s="334"/>
      <c r="I22" s="512">
        <v>215521002.68703932</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4504.2915426492691</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4504.2915426492691</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4504.2915426492691</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13</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468</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4504.2915426492691</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468</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hyperlinks>
    <hyperlink ref="B97" r:id="rId1"/>
  </hyperlinks>
  <pageMargins left="0.7" right="0.7" top="0.75" bottom="0.75" header="0.3" footer="0.3"/>
  <pageSetup scale="71"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J198"/>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(5)</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1763</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215521002.68703932</v>
      </c>
    </row>
    <row r="21" spans="1:10">
      <c r="A21" s="338"/>
      <c r="C21" s="334"/>
      <c r="E21" s="334"/>
      <c r="I21" s="339"/>
    </row>
    <row r="22" spans="1:10">
      <c r="A22" s="338">
        <f>A20+1</f>
        <v>11</v>
      </c>
      <c r="B22" s="334" t="s">
        <v>1230</v>
      </c>
      <c r="C22" s="334"/>
      <c r="E22" s="334"/>
      <c r="I22" s="512">
        <v>215521295.40674734</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292.71970802545547</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292.71970802545547</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292.71970802545547</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1</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36</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292.71970802545547</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36</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hyperlinks>
    <hyperlink ref="B97" r:id="rId1"/>
  </hyperlinks>
  <pageMargins left="0.7" right="0.7" top="0.75" bottom="0.75" header="0.3" footer="0.3"/>
  <pageSetup scale="71"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198"/>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(6)</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1764</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215521295.40674734</v>
      </c>
    </row>
    <row r="21" spans="1:10">
      <c r="A21" s="338"/>
      <c r="C21" s="334"/>
      <c r="E21" s="334"/>
      <c r="I21" s="339"/>
    </row>
    <row r="22" spans="1:10">
      <c r="A22" s="338">
        <f>A20+1</f>
        <v>11</v>
      </c>
      <c r="B22" s="334" t="s">
        <v>1230</v>
      </c>
      <c r="C22" s="334"/>
      <c r="E22" s="334"/>
      <c r="I22" s="512">
        <v>215514368.37269258</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-6927.0340547561646</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-6927.0340547561646</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-6927.0340547561646</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-19</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-684</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-6927.0340547561646</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-684</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hyperlinks>
    <hyperlink ref="B97" r:id="rId1"/>
  </hyperlinks>
  <pageMargins left="0.7" right="0.7" top="0.75" bottom="0.75" header="0.3" footer="0.3"/>
  <pageSetup scale="71"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J190"/>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5.5703125" style="334" customWidth="1"/>
    <col min="10" max="10" width="3.28515625" style="334" bestFit="1" customWidth="1"/>
    <col min="11" max="16384" width="11.42578125" style="334"/>
  </cols>
  <sheetData>
    <row r="1" spans="1:10">
      <c r="A1" s="1183" t="s">
        <v>774</v>
      </c>
      <c r="G1" s="336"/>
      <c r="I1" s="897" t="s">
        <v>139</v>
      </c>
      <c r="J1" s="897"/>
    </row>
    <row r="2" spans="1:10">
      <c r="A2" s="1183" t="s">
        <v>378</v>
      </c>
      <c r="I2" s="898" t="str">
        <f ca="1">MID(CELL("filename",$A$1),FIND("]",CELL("filename",$A$1))+1,LEN(CELL("filename",$A$1))-FIND("]",CELL("filename",$A$1)))</f>
        <v>WP_A-2 (7)</v>
      </c>
      <c r="J2" s="897"/>
    </row>
    <row r="3" spans="1:10">
      <c r="A3" s="1183" t="s">
        <v>1720</v>
      </c>
      <c r="I3" s="1149" t="s">
        <v>1760</v>
      </c>
    </row>
    <row r="4" spans="1:10">
      <c r="A4" s="1183" t="s">
        <v>192</v>
      </c>
    </row>
    <row r="5" spans="1:10">
      <c r="A5" s="1183"/>
    </row>
    <row r="6" spans="1:10">
      <c r="A6" s="1183"/>
      <c r="C6" s="826"/>
    </row>
    <row r="7" spans="1:10">
      <c r="A7" s="338" t="s">
        <v>86</v>
      </c>
      <c r="B7" s="1183"/>
      <c r="C7" s="334"/>
      <c r="E7" s="334"/>
      <c r="I7" s="339"/>
    </row>
    <row r="8" spans="1:10">
      <c r="A8" s="340" t="s">
        <v>87</v>
      </c>
      <c r="C8" s="334"/>
      <c r="E8" s="334"/>
      <c r="I8" s="339"/>
    </row>
    <row r="9" spans="1:10">
      <c r="A9" s="338">
        <f>1</f>
        <v>1</v>
      </c>
      <c r="B9" s="341" t="s">
        <v>1225</v>
      </c>
      <c r="C9" s="334"/>
      <c r="E9" s="334"/>
      <c r="I9" s="339"/>
    </row>
    <row r="10" spans="1:10" ht="39" customHeight="1">
      <c r="A10" s="338">
        <f>A9+1</f>
        <v>2</v>
      </c>
      <c r="B10" s="1225" t="s">
        <v>1836</v>
      </c>
      <c r="C10" s="1226"/>
      <c r="D10" s="1226"/>
      <c r="E10" s="1226"/>
      <c r="F10" s="1226"/>
      <c r="G10" s="1226"/>
      <c r="H10" s="1227"/>
    </row>
    <row r="11" spans="1:10" ht="42" customHeight="1">
      <c r="A11" s="338">
        <f>A10+1</f>
        <v>3</v>
      </c>
      <c r="B11" s="1228"/>
      <c r="C11" s="1229"/>
      <c r="D11" s="1229"/>
      <c r="E11" s="1229"/>
      <c r="F11" s="1229"/>
      <c r="G11" s="1229"/>
      <c r="H11" s="1230"/>
    </row>
    <row r="12" spans="1:10">
      <c r="A12" s="340"/>
      <c r="B12" s="341"/>
      <c r="C12" s="334"/>
      <c r="E12" s="334"/>
      <c r="I12" s="339"/>
    </row>
    <row r="13" spans="1:10">
      <c r="A13" s="338">
        <f>A11+1</f>
        <v>4</v>
      </c>
      <c r="B13" s="342" t="s">
        <v>1226</v>
      </c>
      <c r="C13" s="334"/>
      <c r="E13" s="334"/>
      <c r="I13" s="510"/>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0</v>
      </c>
    </row>
    <row r="15" spans="1:10">
      <c r="A15" s="338">
        <f>A14+1</f>
        <v>6</v>
      </c>
      <c r="B15" s="342" t="s">
        <v>1228</v>
      </c>
      <c r="C15" s="334"/>
      <c r="E15" s="334"/>
      <c r="I15" s="510"/>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0</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0</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f>223937412+230022508+245025374</f>
        <v>698985294</v>
      </c>
    </row>
    <row r="21" spans="1:10">
      <c r="A21" s="338"/>
      <c r="C21" s="334"/>
      <c r="E21" s="334"/>
      <c r="I21" s="339"/>
    </row>
    <row r="22" spans="1:10">
      <c r="A22" s="338">
        <f>A20+1</f>
        <v>11</v>
      </c>
      <c r="B22" s="334" t="s">
        <v>1230</v>
      </c>
      <c r="C22" s="334"/>
      <c r="E22" s="334"/>
      <c r="I22" s="1184">
        <f>225383448+230012479+245920438+73305</f>
        <v>701389670</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2404376</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2404376</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ht="13.5" thickBot="1">
      <c r="A83" s="338">
        <f t="shared" si="0"/>
        <v>63</v>
      </c>
    </row>
    <row r="84" spans="1:9" ht="13.5" thickBot="1">
      <c r="A84" s="338">
        <f t="shared" si="0"/>
        <v>64</v>
      </c>
      <c r="B84" s="334" t="str">
        <f>"Prior Period Correction Adjustment (ln "&amp;A39&amp;")"</f>
        <v>Prior Period Correction Adjustment (ln 20)</v>
      </c>
      <c r="D84" s="339"/>
      <c r="E84" s="30"/>
      <c r="F84" s="1185">
        <f>I39</f>
        <v>2404376</v>
      </c>
      <c r="G84" s="1186" t="str">
        <f>"(Input to Annual Update)"</f>
        <v>(Input to Annual Update)</v>
      </c>
      <c r="H84" s="1187"/>
    </row>
    <row r="85" spans="1:9">
      <c r="D85" s="362"/>
    </row>
    <row r="86" spans="1:9">
      <c r="B86" s="334" t="s">
        <v>870</v>
      </c>
    </row>
    <row r="87" spans="1:9">
      <c r="B87" t="s">
        <v>590</v>
      </c>
    </row>
    <row r="88" spans="1:9">
      <c r="B88" s="334" t="s">
        <v>911</v>
      </c>
    </row>
    <row r="89" spans="1:9">
      <c r="B89" s="1053" t="s">
        <v>1705</v>
      </c>
      <c r="C89" s="1054"/>
      <c r="D89" s="1055"/>
      <c r="E89" s="1054"/>
    </row>
    <row r="190" spans="1:2">
      <c r="A190" s="348"/>
      <c r="B190" s="348"/>
    </row>
  </sheetData>
  <mergeCells count="1">
    <mergeCell ref="B10:H11"/>
  </mergeCells>
  <hyperlinks>
    <hyperlink ref="B89" r:id="rId1"/>
  </hyperlinks>
  <pageMargins left="0.7" right="0.7" top="0.75" bottom="0.75" header="0.3" footer="0.3"/>
  <pageSetup scale="62" orientation="portrait" r:id="rId2"/>
  <headerFooter>
    <oddHeader>&amp;RPage &amp;P of &amp;N</oddHead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I90"/>
  <sheetViews>
    <sheetView view="pageBreakPreview" zoomScale="60" zoomScaleNormal="100" workbookViewId="0">
      <selection activeCell="Z34" sqref="Z34"/>
    </sheetView>
  </sheetViews>
  <sheetFormatPr defaultColWidth="11.42578125" defaultRowHeight="12.75"/>
  <cols>
    <col min="1" max="1" width="8.5703125" style="149" bestFit="1" customWidth="1"/>
    <col min="2" max="2" width="41" style="149" customWidth="1"/>
    <col min="3" max="3" width="23" style="149" bestFit="1" customWidth="1"/>
    <col min="4" max="4" width="18.7109375" style="152" bestFit="1" customWidth="1"/>
    <col min="5" max="5" width="22.5703125" style="152" bestFit="1" customWidth="1"/>
    <col min="6" max="6" width="23" style="152" bestFit="1" customWidth="1"/>
    <col min="7" max="7" width="21.28515625" style="152" bestFit="1" customWidth="1"/>
    <col min="8" max="16384" width="11.42578125" style="149"/>
  </cols>
  <sheetData>
    <row r="1" spans="1:9">
      <c r="A1" s="148" t="str">
        <f>'Cover Page'!A5</f>
        <v>Public Service Company of Colorado</v>
      </c>
      <c r="B1" s="148"/>
      <c r="D1" s="150"/>
      <c r="E1" s="150"/>
      <c r="F1" s="151"/>
      <c r="G1" s="365" t="str">
        <f>'Table of Contents'!A15</f>
        <v>Table 7</v>
      </c>
      <c r="H1" s="152"/>
      <c r="I1" s="151"/>
    </row>
    <row r="2" spans="1:9">
      <c r="A2" s="148" t="str">
        <f>'Cover Page'!A6</f>
        <v>Transmission Formula Rate Template</v>
      </c>
      <c r="B2" s="153"/>
      <c r="D2" s="150"/>
      <c r="E2" s="150"/>
      <c r="F2" s="151"/>
      <c r="G2" s="133" t="str">
        <f ca="1">MID(CELL("filename",$A$1),FIND("]",CELL("filename",$A$1))+1,LEN(CELL("filename",$A$1))-FIND("]",CELL("filename",$A$1)))</f>
        <v>WP_B-1</v>
      </c>
      <c r="H2" s="152"/>
      <c r="I2" s="151"/>
    </row>
    <row r="3" spans="1:9">
      <c r="A3" s="148" t="str">
        <f>'Cover Page'!A7</f>
        <v>Twelve Months Ended December 31, 2017</v>
      </c>
      <c r="B3" s="154"/>
      <c r="D3" s="155"/>
      <c r="E3" s="155"/>
      <c r="F3" s="156"/>
      <c r="G3" s="158"/>
      <c r="H3" s="152"/>
      <c r="I3" s="151"/>
    </row>
    <row r="4" spans="1:9">
      <c r="A4" s="154" t="s">
        <v>651</v>
      </c>
      <c r="B4" s="154"/>
      <c r="H4" s="152"/>
      <c r="I4" s="151"/>
    </row>
    <row r="5" spans="1:9">
      <c r="C5" s="160"/>
      <c r="D5" s="155"/>
      <c r="E5" s="155"/>
      <c r="F5" s="159"/>
      <c r="G5" s="158"/>
    </row>
    <row r="6" spans="1:9">
      <c r="A6" s="327" t="s">
        <v>983</v>
      </c>
      <c r="C6" s="160"/>
      <c r="D6" s="155"/>
      <c r="E6" s="155"/>
      <c r="F6" s="159"/>
      <c r="G6" s="158"/>
    </row>
    <row r="7" spans="1:9">
      <c r="A7" s="161"/>
      <c r="B7" s="162"/>
      <c r="D7" s="157" t="s">
        <v>978</v>
      </c>
      <c r="E7" s="157" t="s">
        <v>217</v>
      </c>
      <c r="F7" s="157" t="s">
        <v>972</v>
      </c>
      <c r="G7" s="157" t="s">
        <v>977</v>
      </c>
    </row>
    <row r="8" spans="1:9">
      <c r="A8" s="168" t="s">
        <v>862</v>
      </c>
      <c r="B8" s="169" t="s">
        <v>973</v>
      </c>
      <c r="C8" s="169" t="s">
        <v>864</v>
      </c>
      <c r="D8" s="170" t="s">
        <v>951</v>
      </c>
      <c r="E8" s="170" t="s">
        <v>510</v>
      </c>
      <c r="F8" s="170" t="s">
        <v>219</v>
      </c>
      <c r="G8" s="170" t="s">
        <v>951</v>
      </c>
    </row>
    <row r="9" spans="1:9">
      <c r="A9" s="171"/>
      <c r="B9" s="172"/>
      <c r="C9" s="172"/>
      <c r="D9" s="784" t="s">
        <v>358</v>
      </c>
      <c r="E9" s="784" t="s">
        <v>357</v>
      </c>
      <c r="F9" s="784" t="s">
        <v>359</v>
      </c>
      <c r="G9" s="785" t="s">
        <v>360</v>
      </c>
    </row>
    <row r="10" spans="1:9" ht="13.5" thickBot="1">
      <c r="A10" s="162">
        <f>1</f>
        <v>1</v>
      </c>
      <c r="B10" s="163" t="s">
        <v>974</v>
      </c>
    </row>
    <row r="11" spans="1:9" ht="13.5" thickBot="1">
      <c r="A11" s="162">
        <f t="shared" ref="A11:A39" si="0">A10+1</f>
        <v>2</v>
      </c>
      <c r="B11" s="149" t="s">
        <v>627</v>
      </c>
      <c r="C11" s="316" t="str">
        <f>'WP_B-Inputs Est.'!L2&amp;" Line "&amp;'WP_B-Inputs Est.'!A27</f>
        <v>WP_B-Inputs Est. Line 17</v>
      </c>
      <c r="D11" s="165">
        <f>SUM('WP_B-Inputs Est.'!D27:F27)</f>
        <v>5375484640.9723091</v>
      </c>
      <c r="E11" s="165">
        <f>SUM('WP_B-Inputs Est.'!C129:E129)</f>
        <v>59208847.540000007</v>
      </c>
      <c r="F11" s="165">
        <v>0</v>
      </c>
      <c r="G11" s="693">
        <f>SUM(D11:F11)</f>
        <v>5434693488.5123091</v>
      </c>
    </row>
    <row r="12" spans="1:9" ht="13.5" thickBot="1">
      <c r="A12" s="162">
        <f t="shared" si="0"/>
        <v>3</v>
      </c>
      <c r="B12" s="149" t="s">
        <v>789</v>
      </c>
      <c r="C12" s="162" t="str">
        <f>'WP_B-Inputs Est.'!L2&amp;" Line "&amp;'WP_B-Inputs Est.'!A27</f>
        <v>WP_B-Inputs Est. Line 17</v>
      </c>
      <c r="D12" s="165">
        <f>'WP_B-Inputs Est.'!G27</f>
        <v>2154635332.074616</v>
      </c>
      <c r="E12" s="165">
        <f>-'WP_B-Inputs Est.'!C129</f>
        <v>-58964184.360000007</v>
      </c>
      <c r="F12" s="165">
        <v>0</v>
      </c>
      <c r="G12" s="693">
        <f t="shared" ref="G12:G17" si="1">SUM(D12:F12)</f>
        <v>2095671147.7146161</v>
      </c>
    </row>
    <row r="13" spans="1:9" ht="13.5" thickBot="1">
      <c r="A13" s="162">
        <f t="shared" si="0"/>
        <v>4</v>
      </c>
      <c r="B13" s="149" t="s">
        <v>628</v>
      </c>
      <c r="C13" s="162" t="str">
        <f>'WP_B-Inputs Est.'!L2&amp;" Line "&amp;'WP_B-Inputs Est.'!A27</f>
        <v>WP_B-Inputs Est. Line 17</v>
      </c>
      <c r="D13" s="165">
        <f>'WP_B-Inputs Est.'!H27</f>
        <v>4679160977.0153847</v>
      </c>
      <c r="E13" s="165">
        <f>-'WP_B-Inputs Est.'!D129</f>
        <v>-189174.00000000003</v>
      </c>
      <c r="F13" s="165">
        <f>-'WP_B-Inputs Est.'!F77</f>
        <v>-1386360.8900000004</v>
      </c>
      <c r="G13" s="693">
        <f t="shared" si="1"/>
        <v>4677585442.1253843</v>
      </c>
    </row>
    <row r="14" spans="1:9" ht="13.5" thickBot="1">
      <c r="A14" s="162">
        <f t="shared" si="0"/>
        <v>5</v>
      </c>
      <c r="B14" s="628" t="s">
        <v>629</v>
      </c>
      <c r="C14" s="629" t="str">
        <f>'WP_B-Inputs Est.'!L2&amp;" Line "&amp;'WP_B-Inputs Est.'!A27</f>
        <v>WP_B-Inputs Est. Line 17</v>
      </c>
      <c r="D14" s="165">
        <f>'WP_B-Inputs Est.'!I27</f>
        <v>269140332.01076913</v>
      </c>
      <c r="E14" s="165">
        <f>-'WP_B-Inputs Est.'!E129</f>
        <v>-55489.179999999971</v>
      </c>
      <c r="F14" s="165">
        <f>-'WP_B-Inputs Est.'!G77</f>
        <v>-16635319</v>
      </c>
      <c r="G14" s="693">
        <f t="shared" si="1"/>
        <v>252449523.83076912</v>
      </c>
    </row>
    <row r="15" spans="1:9" ht="13.5" thickBot="1">
      <c r="A15" s="162">
        <f t="shared" ref="A15:A20" si="2">A14+1</f>
        <v>6</v>
      </c>
      <c r="B15" s="149" t="s">
        <v>220</v>
      </c>
      <c r="C15" s="162" t="str">
        <f>'WP_B-Inputs Est.'!L2&amp;" Line "&amp;'WP_B-Inputs Est.'!A27</f>
        <v>WP_B-Inputs Est. Line 17</v>
      </c>
      <c r="D15" s="166">
        <f>'WP_B-Inputs Est.'!C27</f>
        <v>110865199.88906294</v>
      </c>
      <c r="E15" s="166"/>
      <c r="F15" s="166">
        <f>-'WP_B-Inputs Est.'!E77</f>
        <v>-30397502.505482536</v>
      </c>
      <c r="G15" s="693">
        <f t="shared" si="1"/>
        <v>80467697.383580402</v>
      </c>
    </row>
    <row r="16" spans="1:9" ht="13.5" thickBot="1">
      <c r="A16" s="162">
        <f t="shared" si="2"/>
        <v>7</v>
      </c>
      <c r="B16" s="149" t="s">
        <v>878</v>
      </c>
      <c r="C16" s="162" t="str">
        <f>'WP_B-Inputs Est.'!L2&amp;" Line "&amp;'WP_B-Inputs Est.'!A27</f>
        <v>WP_B-Inputs Est. Line 17</v>
      </c>
      <c r="D16" s="166">
        <f>'WP_B-Inputs Est.'!J27</f>
        <v>457044466.15846151</v>
      </c>
      <c r="E16" s="166"/>
      <c r="F16" s="166">
        <f>-'WP_B-Inputs Est.'!K77</f>
        <v>-90350642.779999986</v>
      </c>
      <c r="G16" s="693">
        <f t="shared" si="1"/>
        <v>366693823.37846154</v>
      </c>
    </row>
    <row r="17" spans="1:7" ht="13.5" thickBot="1">
      <c r="A17" s="162">
        <f t="shared" si="2"/>
        <v>8</v>
      </c>
      <c r="B17" s="149" t="s">
        <v>879</v>
      </c>
      <c r="C17" s="162" t="str">
        <f>'WP_B-Inputs Est.'!L2&amp;" Line "&amp;'WP_B-Inputs Est.'!A27</f>
        <v>WP_B-Inputs Est. Line 17</v>
      </c>
      <c r="D17" s="167">
        <f>'WP_B-Inputs Est.'!K27</f>
        <v>443320054.7423076</v>
      </c>
      <c r="E17" s="167"/>
      <c r="F17" s="167">
        <f>-'WP_B-Inputs Est.'!L77</f>
        <v>-416351.37999999995</v>
      </c>
      <c r="G17" s="693">
        <f t="shared" si="1"/>
        <v>442903703.36230761</v>
      </c>
    </row>
    <row r="18" spans="1:7">
      <c r="A18" s="162">
        <f t="shared" si="2"/>
        <v>9</v>
      </c>
      <c r="B18" s="149" t="s">
        <v>975</v>
      </c>
      <c r="C18" s="162" t="str">
        <f>"Sum Lines "&amp;A11&amp;" through "&amp;A17</f>
        <v>Sum Lines 2 through 8</v>
      </c>
      <c r="D18" s="165">
        <f>SUM(D11:D17)</f>
        <v>13489651002.862909</v>
      </c>
      <c r="E18" s="165">
        <f>SUM(E11:E17)</f>
        <v>-2.9831426218152046E-10</v>
      </c>
      <c r="F18" s="165">
        <f>SUM(F11:F17)</f>
        <v>-139186176.55548251</v>
      </c>
      <c r="G18" s="165">
        <f>SUM(G11:G17)</f>
        <v>13350464826.30743</v>
      </c>
    </row>
    <row r="19" spans="1:7">
      <c r="A19" s="162">
        <f t="shared" si="2"/>
        <v>10</v>
      </c>
      <c r="C19" s="162"/>
      <c r="D19" s="165"/>
      <c r="E19" s="165"/>
      <c r="F19" s="165"/>
      <c r="G19" s="165"/>
    </row>
    <row r="20" spans="1:7" ht="13.5" thickBot="1">
      <c r="A20" s="162">
        <f t="shared" si="2"/>
        <v>11</v>
      </c>
      <c r="B20" s="786" t="s">
        <v>1307</v>
      </c>
      <c r="C20" s="162"/>
      <c r="D20" s="165"/>
      <c r="E20" s="165"/>
      <c r="F20" s="165"/>
      <c r="G20" s="165"/>
    </row>
    <row r="21" spans="1:7" ht="13.5" thickBot="1">
      <c r="A21" s="162">
        <f t="shared" si="0"/>
        <v>12</v>
      </c>
      <c r="B21" s="628" t="s">
        <v>627</v>
      </c>
      <c r="C21" s="162" t="str">
        <f>'WP_B-Inputs Est.'!L2&amp;" Line "&amp;'WP_B-Inputs Est.'!A50</f>
        <v>WP_B-Inputs Est. Line 40</v>
      </c>
      <c r="D21" s="165">
        <f>SUM('WP_B-Inputs Est.'!D50:F50)</f>
        <v>1719197971.9230769</v>
      </c>
      <c r="E21" s="165">
        <f>SUM('WP_B-Inputs Est.'!F129:H129)</f>
        <v>23985862.62416409</v>
      </c>
      <c r="F21" s="165">
        <v>0</v>
      </c>
      <c r="G21" s="693">
        <f>SUM(D21:F21)</f>
        <v>1743183834.547241</v>
      </c>
    </row>
    <row r="22" spans="1:7" ht="13.5" thickBot="1">
      <c r="A22" s="162">
        <f t="shared" si="0"/>
        <v>13</v>
      </c>
      <c r="B22" s="628" t="s">
        <v>789</v>
      </c>
      <c r="C22" s="162" t="str">
        <f>'WP_B-Inputs Est.'!L2&amp;" Line "&amp;'WP_B-Inputs Est.'!A50</f>
        <v>WP_B-Inputs Est. Line 40</v>
      </c>
      <c r="D22" s="165">
        <f>'WP_B-Inputs Est.'!G50</f>
        <v>479310378.2753846</v>
      </c>
      <c r="E22" s="165">
        <f>-'WP_B-Inputs Est.'!F129</f>
        <v>-23797222.494164091</v>
      </c>
      <c r="F22" s="165">
        <v>0</v>
      </c>
      <c r="G22" s="693">
        <f t="shared" ref="G22:G27" si="3">SUM(D22:F22)</f>
        <v>455513155.7812205</v>
      </c>
    </row>
    <row r="23" spans="1:7" ht="13.5" thickBot="1">
      <c r="A23" s="162">
        <f t="shared" si="0"/>
        <v>14</v>
      </c>
      <c r="B23" s="628" t="s">
        <v>628</v>
      </c>
      <c r="C23" s="162" t="str">
        <f>'WP_B-Inputs Est.'!L2&amp;" Line "&amp;'WP_B-Inputs Est.'!A50</f>
        <v>WP_B-Inputs Est. Line 40</v>
      </c>
      <c r="D23" s="165">
        <f>'WP_B-Inputs Est.'!H50</f>
        <v>1381631286.2284608</v>
      </c>
      <c r="E23" s="165">
        <f>-'WP_B-Inputs Est.'!G129</f>
        <v>-133150.94999999995</v>
      </c>
      <c r="F23" s="165">
        <f>-'WP_B-Inputs Est.'!F96</f>
        <v>-782714.19306106737</v>
      </c>
      <c r="G23" s="693">
        <f t="shared" si="3"/>
        <v>1380715421.0853996</v>
      </c>
    </row>
    <row r="24" spans="1:7" ht="13.5" thickBot="1">
      <c r="A24" s="162">
        <f t="shared" si="0"/>
        <v>15</v>
      </c>
      <c r="B24" s="628" t="s">
        <v>629</v>
      </c>
      <c r="C24" s="162" t="str">
        <f>'WP_B-Inputs Est.'!L2&amp;" Line "&amp;'WP_B-Inputs Est.'!A50</f>
        <v>WP_B-Inputs Est. Line 40</v>
      </c>
      <c r="D24" s="166">
        <f>'WP_B-Inputs Est.'!I50</f>
        <v>105082657.70384613</v>
      </c>
      <c r="E24" s="166">
        <f>-'WP_B-Inputs Est.'!H129</f>
        <v>-55489.179999999986</v>
      </c>
      <c r="F24" s="165">
        <f>-'WP_B-Inputs Est.'!G96</f>
        <v>-8506957.8030018136</v>
      </c>
      <c r="G24" s="693">
        <f t="shared" si="3"/>
        <v>96520210.720844299</v>
      </c>
    </row>
    <row r="25" spans="1:7" ht="13.5" thickBot="1">
      <c r="A25" s="162">
        <f t="shared" si="0"/>
        <v>16</v>
      </c>
      <c r="B25" s="628" t="s">
        <v>220</v>
      </c>
      <c r="C25" s="162" t="str">
        <f>'WP_B-Inputs Est.'!L2&amp;" Line "&amp;'WP_B-Inputs Est.'!A50</f>
        <v>WP_B-Inputs Est. Line 40</v>
      </c>
      <c r="D25" s="165">
        <f>'WP_B-Inputs Est.'!C50</f>
        <v>61024654.751538463</v>
      </c>
      <c r="E25" s="165"/>
      <c r="F25" s="166">
        <f>-'WP_B-Inputs Est.'!E96</f>
        <v>-14500608.256923076</v>
      </c>
      <c r="G25" s="693">
        <f t="shared" si="3"/>
        <v>46524046.494615391</v>
      </c>
    </row>
    <row r="26" spans="1:7" ht="13.5" thickBot="1">
      <c r="A26" s="162">
        <f t="shared" si="0"/>
        <v>17</v>
      </c>
      <c r="B26" s="628" t="s">
        <v>878</v>
      </c>
      <c r="C26" s="162" t="str">
        <f>'WP_B-Inputs Est.'!L2&amp;" Line "&amp;'WP_B-Inputs Est.'!A50</f>
        <v>WP_B-Inputs Est. Line 40</v>
      </c>
      <c r="D26" s="165">
        <f>'WP_B-Inputs Est.'!J50</f>
        <v>288538579.81230778</v>
      </c>
      <c r="E26" s="165"/>
      <c r="F26" s="166">
        <f>-'WP_B-Inputs Est.'!K96</f>
        <v>-86610947.434615374</v>
      </c>
      <c r="G26" s="693">
        <f t="shared" si="3"/>
        <v>201927632.3776924</v>
      </c>
    </row>
    <row r="27" spans="1:7" ht="13.5" thickBot="1">
      <c r="A27" s="162">
        <f t="shared" si="0"/>
        <v>18</v>
      </c>
      <c r="B27" s="628" t="s">
        <v>879</v>
      </c>
      <c r="C27" s="162" t="str">
        <f>'WP_B-Inputs Est.'!L2&amp;" Line "&amp;'WP_B-Inputs Est.'!A50</f>
        <v>WP_B-Inputs Est. Line 40</v>
      </c>
      <c r="D27" s="167">
        <f>'WP_B-Inputs Est.'!K50</f>
        <v>203191266.7323077</v>
      </c>
      <c r="E27" s="167"/>
      <c r="F27" s="167">
        <f>-'WP_B-Inputs Est.'!L96</f>
        <v>-416351.37999999995</v>
      </c>
      <c r="G27" s="693">
        <f t="shared" si="3"/>
        <v>202774915.35230771</v>
      </c>
    </row>
    <row r="28" spans="1:7" ht="25.5">
      <c r="A28" s="708">
        <f t="shared" si="0"/>
        <v>19</v>
      </c>
      <c r="B28" s="787" t="s">
        <v>934</v>
      </c>
      <c r="C28" s="162" t="str">
        <f>"Sum Lines "&amp;A21&amp;" through "&amp;A27</f>
        <v>Sum Lines 12 through 18</v>
      </c>
      <c r="D28" s="165">
        <f>SUM(D21:D27)</f>
        <v>4237976795.4269223</v>
      </c>
      <c r="E28" s="165">
        <f>SUM(E21:E27)</f>
        <v>-9.822542779147625E-10</v>
      </c>
      <c r="F28" s="165">
        <f>SUM(F21:F27)</f>
        <v>-110817579.06760132</v>
      </c>
      <c r="G28" s="165">
        <f>SUM(G21:G27)</f>
        <v>4127159216.3593211</v>
      </c>
    </row>
    <row r="29" spans="1:7">
      <c r="A29" s="162">
        <f t="shared" si="0"/>
        <v>20</v>
      </c>
      <c r="B29" s="628"/>
      <c r="C29" s="162"/>
      <c r="D29" s="165"/>
      <c r="E29" s="165"/>
      <c r="F29" s="165"/>
      <c r="G29" s="165"/>
    </row>
    <row r="30" spans="1:7">
      <c r="A30" s="162">
        <f t="shared" si="0"/>
        <v>21</v>
      </c>
      <c r="B30" s="628"/>
      <c r="C30" s="162"/>
      <c r="D30" s="157" t="s">
        <v>978</v>
      </c>
      <c r="E30" s="157" t="s">
        <v>217</v>
      </c>
      <c r="F30" s="157" t="s">
        <v>972</v>
      </c>
      <c r="G30" s="157" t="s">
        <v>977</v>
      </c>
    </row>
    <row r="31" spans="1:7">
      <c r="A31" s="162">
        <f t="shared" si="0"/>
        <v>22</v>
      </c>
      <c r="B31" s="786" t="s">
        <v>1308</v>
      </c>
      <c r="C31" s="162"/>
      <c r="D31" s="170" t="s">
        <v>70</v>
      </c>
      <c r="E31" s="170" t="s">
        <v>221</v>
      </c>
      <c r="F31" s="170" t="s">
        <v>630</v>
      </c>
      <c r="G31" s="170" t="s">
        <v>70</v>
      </c>
    </row>
    <row r="32" spans="1:7" ht="13.5" thickBot="1">
      <c r="A32" s="162">
        <f t="shared" si="0"/>
        <v>23</v>
      </c>
      <c r="B32" s="628" t="s">
        <v>627</v>
      </c>
      <c r="C32" s="162" t="str">
        <f>'WP_B-Inputs Est.'!L2&amp;" Line "&amp;'WP_B-Inputs Est.'!A56</f>
        <v>WP_B-Inputs Est. Line 46</v>
      </c>
      <c r="D32" s="165">
        <f>'WP_B-Inputs Est.'!D56+'WP_B-Inputs Est.'!E56+'WP_B-Inputs Est.'!F56</f>
        <v>131001741.95999999</v>
      </c>
      <c r="E32" s="165">
        <f>SUM('WP_B-Inputs Est.'!F134:H134)</f>
        <v>954741.5264263592</v>
      </c>
      <c r="F32" s="165">
        <v>0</v>
      </c>
      <c r="G32" s="166">
        <f>SUM(D32:F32)</f>
        <v>131956483.48642635</v>
      </c>
    </row>
    <row r="33" spans="1:7" ht="13.5" thickBot="1">
      <c r="A33" s="162">
        <f t="shared" si="0"/>
        <v>24</v>
      </c>
      <c r="B33" s="628" t="s">
        <v>789</v>
      </c>
      <c r="C33" s="162" t="str">
        <f>'WP_B-Inputs Est.'!L2&amp;" Line "&amp;'WP_B-Inputs Est.'!A56</f>
        <v>WP_B-Inputs Est. Line 46</v>
      </c>
      <c r="D33" s="165">
        <f>'WP_B-Inputs Est.'!G56</f>
        <v>35495908.439999983</v>
      </c>
      <c r="E33" s="165">
        <f>-'WP_B-Inputs Est.'!F134</f>
        <v>-950871.04642635921</v>
      </c>
      <c r="F33" s="165">
        <v>0</v>
      </c>
      <c r="G33" s="693">
        <f t="shared" ref="G33:G38" si="4">SUM(D33:F33)</f>
        <v>34545037.393573627</v>
      </c>
    </row>
    <row r="34" spans="1:7" ht="13.5" thickBot="1">
      <c r="A34" s="162">
        <f t="shared" si="0"/>
        <v>25</v>
      </c>
      <c r="B34" s="149" t="s">
        <v>628</v>
      </c>
      <c r="C34" s="162" t="str">
        <f>'WP_B-Inputs Est.'!L2&amp;" Line "&amp;'WP_B-Inputs Est.'!A56</f>
        <v>WP_B-Inputs Est. Line 46</v>
      </c>
      <c r="D34" s="165">
        <f>'WP_B-Inputs Est.'!H56</f>
        <v>104355080.35000001</v>
      </c>
      <c r="E34" s="165">
        <f>-'WP_B-Inputs Est.'!G134</f>
        <v>-3870.48</v>
      </c>
      <c r="F34" s="165">
        <f>-'WP_B-Inputs Est.'!F102</f>
        <v>-89977.975164999996</v>
      </c>
      <c r="G34" s="166">
        <f t="shared" si="4"/>
        <v>104261231.89483501</v>
      </c>
    </row>
    <row r="35" spans="1:7" ht="13.5" thickBot="1">
      <c r="A35" s="162">
        <f t="shared" si="0"/>
        <v>26</v>
      </c>
      <c r="B35" s="628" t="s">
        <v>629</v>
      </c>
      <c r="C35" s="162" t="str">
        <f>'WP_B-Inputs Est.'!L2&amp;" Line "&amp;'WP_B-Inputs Est.'!A56</f>
        <v>WP_B-Inputs Est. Line 46</v>
      </c>
      <c r="D35" s="165">
        <f>'WP_B-Inputs Est.'!I56</f>
        <v>11914496.499999989</v>
      </c>
      <c r="E35" s="165">
        <f>-'WP_B-Inputs Est.'!H134</f>
        <v>0</v>
      </c>
      <c r="F35" s="165">
        <f>-'WP_B-Inputs Est.'!G102</f>
        <v>-1109575.7958999996</v>
      </c>
      <c r="G35" s="693">
        <f t="shared" si="4"/>
        <v>10804920.704099989</v>
      </c>
    </row>
    <row r="36" spans="1:7" ht="13.5" thickBot="1">
      <c r="A36" s="162">
        <f t="shared" si="0"/>
        <v>27</v>
      </c>
      <c r="B36" s="149" t="s">
        <v>220</v>
      </c>
      <c r="C36" s="162" t="str">
        <f>'WP_B-Inputs Est.'!L2&amp;" Line "&amp;'WP_B-Inputs Est.'!A56</f>
        <v>WP_B-Inputs Est. Line 46</v>
      </c>
      <c r="D36" s="165">
        <f>'WP_B-Inputs Est.'!C56</f>
        <v>10388695.520000001</v>
      </c>
      <c r="E36" s="165"/>
      <c r="F36" s="165">
        <f>-'WP_B-Inputs Est.'!E102</f>
        <v>-652464.67999999598</v>
      </c>
      <c r="G36" s="693">
        <f t="shared" si="4"/>
        <v>9736230.8400000054</v>
      </c>
    </row>
    <row r="37" spans="1:7" ht="13.5" thickBot="1">
      <c r="A37" s="162">
        <f t="shared" si="0"/>
        <v>28</v>
      </c>
      <c r="B37" s="149" t="s">
        <v>878</v>
      </c>
      <c r="C37" s="316" t="str">
        <f>'WP_B-Inputs Est.'!L2&amp;" Line "&amp;'WP_B-Inputs Est.'!A56</f>
        <v>WP_B-Inputs Est. Line 46</v>
      </c>
      <c r="D37" s="166">
        <f>'WP_B-Inputs Est.'!J56</f>
        <v>31544513.199999999</v>
      </c>
      <c r="E37" s="166"/>
      <c r="F37" s="166">
        <f>-'WP_B-Inputs Est.'!K102</f>
        <v>-1236842.8689999916</v>
      </c>
      <c r="G37" s="693">
        <f t="shared" si="4"/>
        <v>30307670.331000008</v>
      </c>
    </row>
    <row r="38" spans="1:7" ht="13.5" thickBot="1">
      <c r="A38" s="162">
        <f t="shared" si="0"/>
        <v>29</v>
      </c>
      <c r="B38" s="149" t="s">
        <v>879</v>
      </c>
      <c r="C38" s="162" t="str">
        <f>'WP_B-Inputs Est.'!L2&amp;" Line "&amp;'WP_B-Inputs Est.'!A56</f>
        <v>WP_B-Inputs Est. Line 46</v>
      </c>
      <c r="D38" s="167">
        <f>'WP_B-Inputs Est.'!K56</f>
        <v>32179517.079999998</v>
      </c>
      <c r="E38" s="167"/>
      <c r="F38" s="278">
        <f>-'WP_B-Inputs Est.'!L102</f>
        <v>0</v>
      </c>
      <c r="G38" s="693">
        <f t="shared" si="4"/>
        <v>32179517.079999998</v>
      </c>
    </row>
    <row r="39" spans="1:7">
      <c r="A39" s="162">
        <f t="shared" si="0"/>
        <v>30</v>
      </c>
      <c r="B39" s="149" t="s">
        <v>71</v>
      </c>
      <c r="C39" s="162" t="str">
        <f>"Sum Lines "&amp;A32&amp;" through "&amp;A38</f>
        <v>Sum Lines 23 through 29</v>
      </c>
      <c r="D39" s="165">
        <f>SUM(D32:D38)</f>
        <v>356879953.04999995</v>
      </c>
      <c r="E39" s="165">
        <f>SUM(E32:E38)</f>
        <v>-1.8644641386345029E-11</v>
      </c>
      <c r="F39" s="165">
        <f>SUM(F32:F38)</f>
        <v>-3088861.3200649871</v>
      </c>
      <c r="G39" s="165">
        <f>SUM(G32:G38)</f>
        <v>353791091.72993505</v>
      </c>
    </row>
    <row r="41" spans="1:7">
      <c r="B41" s="238" t="s">
        <v>89</v>
      </c>
    </row>
    <row r="42" spans="1:7">
      <c r="B42" s="149" t="s">
        <v>222</v>
      </c>
    </row>
    <row r="43" spans="1:7">
      <c r="B43" s="149" t="str">
        <f>"2. Adjustments are shown on WP_B-Inputs Est. Lines "&amp;'WP_B-Inputs Est.'!A77&amp;", "&amp;'WP_B-Inputs Est.'!A96&amp;", "&amp;'WP_B-Inputs Est.'!A102</f>
        <v>2. Adjustments are shown on WP_B-Inputs Est. Lines 67, 86, 92</v>
      </c>
    </row>
    <row r="44" spans="1:7">
      <c r="B44" s="309" t="s">
        <v>877</v>
      </c>
    </row>
    <row r="45" spans="1:7">
      <c r="B45" s="238" t="s">
        <v>601</v>
      </c>
    </row>
    <row r="46" spans="1:7">
      <c r="A46" s="628"/>
      <c r="B46" s="309" t="s">
        <v>602</v>
      </c>
      <c r="C46" s="628"/>
      <c r="D46" s="788"/>
      <c r="E46" s="788"/>
      <c r="F46" s="788"/>
      <c r="G46" s="788"/>
    </row>
    <row r="47" spans="1:7">
      <c r="A47" s="628"/>
      <c r="B47" s="309" t="s">
        <v>1306</v>
      </c>
      <c r="C47" s="628"/>
      <c r="D47" s="788"/>
      <c r="E47" s="788"/>
      <c r="F47" s="788"/>
      <c r="G47" s="788"/>
    </row>
    <row r="48" spans="1:7">
      <c r="A48" s="628"/>
      <c r="B48" s="628"/>
      <c r="C48" s="628"/>
      <c r="D48" s="788"/>
      <c r="E48" s="788"/>
      <c r="F48" s="788"/>
      <c r="G48" s="788"/>
    </row>
    <row r="49" spans="1:7">
      <c r="A49" s="327" t="s">
        <v>1064</v>
      </c>
    </row>
    <row r="50" spans="1:7">
      <c r="A50" s="161"/>
      <c r="B50" s="162"/>
      <c r="D50" s="157" t="s">
        <v>978</v>
      </c>
      <c r="E50" s="157" t="s">
        <v>217</v>
      </c>
      <c r="F50" s="157" t="s">
        <v>972</v>
      </c>
      <c r="G50" s="157" t="s">
        <v>977</v>
      </c>
    </row>
    <row r="51" spans="1:7">
      <c r="A51" s="168" t="s">
        <v>862</v>
      </c>
      <c r="B51" s="169" t="s">
        <v>973</v>
      </c>
      <c r="C51" s="169" t="s">
        <v>864</v>
      </c>
      <c r="D51" s="170" t="s">
        <v>951</v>
      </c>
      <c r="E51" s="170" t="s">
        <v>510</v>
      </c>
      <c r="F51" s="170" t="s">
        <v>219</v>
      </c>
      <c r="G51" s="170" t="s">
        <v>951</v>
      </c>
    </row>
    <row r="52" spans="1:7">
      <c r="A52" s="171"/>
      <c r="B52" s="172"/>
      <c r="C52" s="172"/>
      <c r="D52" s="784" t="s">
        <v>358</v>
      </c>
      <c r="E52" s="784" t="s">
        <v>357</v>
      </c>
      <c r="F52" s="784" t="s">
        <v>359</v>
      </c>
      <c r="G52" s="785" t="s">
        <v>360</v>
      </c>
    </row>
    <row r="53" spans="1:7" ht="13.5" thickBot="1">
      <c r="A53" s="162">
        <f>1</f>
        <v>1</v>
      </c>
      <c r="B53" s="163" t="s">
        <v>974</v>
      </c>
    </row>
    <row r="54" spans="1:7" ht="13.5" thickBot="1">
      <c r="A54" s="162">
        <f>A53+1</f>
        <v>2</v>
      </c>
      <c r="B54" s="149" t="s">
        <v>627</v>
      </c>
      <c r="C54" s="316" t="str">
        <f>'WP_B-Inputs Act.'!L2&amp;" Line "&amp;'WP_B-Inputs Act.'!A27</f>
        <v>WP_B-Inputs Act. Line 17</v>
      </c>
      <c r="D54" s="165">
        <f>SUM('WP_B-Inputs Act.'!D27:F27)</f>
        <v>5279270425.4346151</v>
      </c>
      <c r="E54" s="165">
        <f>SUM('WP_B-Inputs Act.'!C128:E128)</f>
        <v>57207399.039999984</v>
      </c>
      <c r="F54" s="165">
        <v>0</v>
      </c>
      <c r="G54" s="693">
        <f t="shared" ref="G54:G60" si="5">SUM(D54:F54)</f>
        <v>5336477824.4746151</v>
      </c>
    </row>
    <row r="55" spans="1:7" ht="13.5" thickBot="1">
      <c r="A55" s="162">
        <f>A54+1</f>
        <v>3</v>
      </c>
      <c r="B55" s="149" t="s">
        <v>789</v>
      </c>
      <c r="C55" s="162" t="str">
        <f>'WP_B-Inputs Act.'!L2&amp;" Line "&amp;'WP_B-Inputs Act.'!A27</f>
        <v>WP_B-Inputs Act. Line 17</v>
      </c>
      <c r="D55" s="165">
        <f>'WP_B-Inputs Act.'!G27</f>
        <v>2086174606.6730773</v>
      </c>
      <c r="E55" s="165">
        <f>-'WP_B-Inputs Act.'!C128</f>
        <v>-56962735.859999985</v>
      </c>
      <c r="F55" s="165">
        <v>0</v>
      </c>
      <c r="G55" s="693">
        <f t="shared" si="5"/>
        <v>2029211870.8130774</v>
      </c>
    </row>
    <row r="56" spans="1:7" ht="13.5" thickBot="1">
      <c r="A56" s="162">
        <f>A55+1</f>
        <v>4</v>
      </c>
      <c r="B56" s="149" t="s">
        <v>628</v>
      </c>
      <c r="C56" s="162" t="str">
        <f>'WP_B-Inputs Act.'!L2&amp;" Line "&amp;'WP_B-Inputs Act.'!A27</f>
        <v>WP_B-Inputs Act. Line 17</v>
      </c>
      <c r="D56" s="165">
        <f>'WP_B-Inputs Act.'!H27</f>
        <v>4698314131.0523062</v>
      </c>
      <c r="E56" s="165">
        <f>-'WP_B-Inputs Act.'!D128</f>
        <v>-189174</v>
      </c>
      <c r="F56" s="165">
        <f>-'WP_B-Inputs Act.'!F76</f>
        <v>-1386360.8900000004</v>
      </c>
      <c r="G56" s="693">
        <f t="shared" si="5"/>
        <v>4696738596.1623058</v>
      </c>
    </row>
    <row r="57" spans="1:7" ht="13.5" thickBot="1">
      <c r="A57" s="162">
        <f>A56+1</f>
        <v>5</v>
      </c>
      <c r="B57" s="628" t="s">
        <v>629</v>
      </c>
      <c r="C57" s="162" t="str">
        <f>'WP_B-Inputs Act.'!L2&amp;" Line "&amp;'WP_B-Inputs Act.'!A27</f>
        <v>WP_B-Inputs Act. Line 17</v>
      </c>
      <c r="D57" s="165">
        <f>'WP_B-Inputs Act.'!I27</f>
        <v>248234786.03230765</v>
      </c>
      <c r="E57" s="165">
        <f>-'WP_B-Inputs Act.'!E128</f>
        <v>-55489.180000000015</v>
      </c>
      <c r="F57" s="165">
        <f>-'WP_B-Inputs Act.'!G76</f>
        <v>-16635319</v>
      </c>
      <c r="G57" s="693">
        <f t="shared" si="5"/>
        <v>231543977.85230765</v>
      </c>
    </row>
    <row r="58" spans="1:7" ht="13.5" thickBot="1">
      <c r="A58" s="162">
        <f>A57+1</f>
        <v>6</v>
      </c>
      <c r="B58" s="149" t="s">
        <v>220</v>
      </c>
      <c r="C58" s="162" t="str">
        <f>'WP_B-Inputs Act.'!L2&amp;" Line "&amp;'WP_B-Inputs Act.'!A27</f>
        <v>WP_B-Inputs Act. Line 17</v>
      </c>
      <c r="D58" s="166">
        <f>'WP_B-Inputs Act.'!C27</f>
        <v>107687361.90538462</v>
      </c>
      <c r="E58" s="166"/>
      <c r="F58" s="166">
        <f>-'WP_B-Inputs Act.'!E76</f>
        <v>-26511208.730769232</v>
      </c>
      <c r="G58" s="693">
        <f t="shared" si="5"/>
        <v>81176153.174615383</v>
      </c>
    </row>
    <row r="59" spans="1:7" ht="13.5" thickBot="1">
      <c r="A59" s="162">
        <f t="shared" ref="A59:A82" si="6">A58+1</f>
        <v>7</v>
      </c>
      <c r="B59" s="149" t="s">
        <v>878</v>
      </c>
      <c r="C59" s="162" t="str">
        <f>'WP_B-Inputs Act.'!L2&amp;" Line "&amp;'WP_B-Inputs Act.'!A27</f>
        <v>WP_B-Inputs Act. Line 17</v>
      </c>
      <c r="D59" s="166">
        <f>'WP_B-Inputs Act.'!J27</f>
        <v>390547965.05307698</v>
      </c>
      <c r="E59" s="166"/>
      <c r="F59" s="166">
        <f>-'WP_B-Inputs Act.'!K76</f>
        <v>-84702645.598461539</v>
      </c>
      <c r="G59" s="693">
        <f t="shared" si="5"/>
        <v>305845319.45461547</v>
      </c>
    </row>
    <row r="60" spans="1:7" ht="13.5" thickBot="1">
      <c r="A60" s="162">
        <f t="shared" si="6"/>
        <v>8</v>
      </c>
      <c r="B60" s="149" t="s">
        <v>879</v>
      </c>
      <c r="C60" s="162" t="str">
        <f>'WP_B-Inputs Act.'!L2&amp;" Line "&amp;'WP_B-Inputs Act.'!A27</f>
        <v>WP_B-Inputs Act. Line 17</v>
      </c>
      <c r="D60" s="167">
        <f>'WP_B-Inputs Act.'!K27</f>
        <v>398028827.34769243</v>
      </c>
      <c r="E60" s="167"/>
      <c r="F60" s="167">
        <f>-'WP_B-Inputs Act.'!L76</f>
        <v>-416351.37999999995</v>
      </c>
      <c r="G60" s="693">
        <f t="shared" si="5"/>
        <v>397612475.96769243</v>
      </c>
    </row>
    <row r="61" spans="1:7">
      <c r="A61" s="162">
        <f t="shared" si="6"/>
        <v>9</v>
      </c>
      <c r="B61" s="149" t="s">
        <v>975</v>
      </c>
      <c r="C61" s="162" t="str">
        <f>"Sum Lines "&amp;A54&amp;" through "&amp;A60</f>
        <v>Sum Lines 2 through 8</v>
      </c>
      <c r="D61" s="165">
        <f>SUM(D54:D60)</f>
        <v>13208258103.498463</v>
      </c>
      <c r="E61" s="165">
        <f>SUM(E54:E60)</f>
        <v>-3.1286617740988731E-10</v>
      </c>
      <c r="F61" s="165">
        <f>SUM(F54:F60)</f>
        <v>-129651885.59923077</v>
      </c>
      <c r="G61" s="165">
        <f>SUM(G54:G60)</f>
        <v>13078606217.899231</v>
      </c>
    </row>
    <row r="62" spans="1:7">
      <c r="A62" s="162">
        <f t="shared" si="6"/>
        <v>10</v>
      </c>
      <c r="B62" s="628"/>
      <c r="C62" s="162"/>
      <c r="D62" s="165"/>
      <c r="E62" s="165"/>
      <c r="F62" s="165"/>
      <c r="G62" s="165"/>
    </row>
    <row r="63" spans="1:7" ht="13.5" thickBot="1">
      <c r="A63" s="162">
        <f t="shared" si="6"/>
        <v>11</v>
      </c>
      <c r="B63" s="786" t="s">
        <v>1307</v>
      </c>
      <c r="C63" s="162"/>
      <c r="D63" s="165"/>
      <c r="E63" s="165"/>
      <c r="F63" s="165"/>
      <c r="G63" s="165"/>
    </row>
    <row r="64" spans="1:7" ht="13.5" thickBot="1">
      <c r="A64" s="162">
        <f t="shared" si="6"/>
        <v>12</v>
      </c>
      <c r="B64" s="628" t="s">
        <v>627</v>
      </c>
      <c r="C64" s="162" t="str">
        <f>'WP_B-Inputs Act.'!L2&amp;" Line "&amp;'WP_B-Inputs Act.'!A50</f>
        <v>WP_B-Inputs Act. Line 40</v>
      </c>
      <c r="D64" s="165">
        <f>SUM('WP_B-Inputs Act.'!D50:F50)</f>
        <v>1622503001.6661534</v>
      </c>
      <c r="E64" s="165">
        <f>SUM('WP_B-Inputs Act.'!F128:H128)</f>
        <v>22203337.223076917</v>
      </c>
      <c r="F64" s="165">
        <v>0</v>
      </c>
      <c r="G64" s="693">
        <f>SUM(D64:F64)</f>
        <v>1644706338.8892303</v>
      </c>
    </row>
    <row r="65" spans="1:7" ht="13.5" thickBot="1">
      <c r="A65" s="162">
        <f t="shared" si="6"/>
        <v>13</v>
      </c>
      <c r="B65" s="628" t="s">
        <v>789</v>
      </c>
      <c r="C65" s="162" t="str">
        <f>'WP_B-Inputs Act.'!L2&amp;" Line "&amp;'WP_B-Inputs Act.'!A50</f>
        <v>WP_B-Inputs Act. Line 40</v>
      </c>
      <c r="D65" s="165">
        <f>'WP_B-Inputs Act.'!G50</f>
        <v>470617251.08230764</v>
      </c>
      <c r="E65" s="165">
        <f>-'WP_B-Inputs Act.'!F128</f>
        <v>-22049132.003076918</v>
      </c>
      <c r="F65" s="165">
        <v>0</v>
      </c>
      <c r="G65" s="693">
        <f t="shared" ref="G65:G70" si="7">SUM(D65:F65)</f>
        <v>448568119.07923073</v>
      </c>
    </row>
    <row r="66" spans="1:7" ht="13.5" thickBot="1">
      <c r="A66" s="162">
        <f t="shared" si="6"/>
        <v>14</v>
      </c>
      <c r="B66" s="628" t="s">
        <v>628</v>
      </c>
      <c r="C66" s="162" t="str">
        <f>'WP_B-Inputs Act.'!L2&amp;" Line "&amp;'WP_B-Inputs Act.'!A50</f>
        <v>WP_B-Inputs Act. Line 40</v>
      </c>
      <c r="D66" s="165">
        <f>'WP_B-Inputs Act.'!H50</f>
        <v>1359168623.5738461</v>
      </c>
      <c r="E66" s="165">
        <f>-'WP_B-Inputs Act.'!G128</f>
        <v>-133150.95000000001</v>
      </c>
      <c r="F66" s="165">
        <f>-'WP_B-Inputs Act.'!F95</f>
        <v>-782714.19306106621</v>
      </c>
      <c r="G66" s="693">
        <f t="shared" si="7"/>
        <v>1358252758.4307849</v>
      </c>
    </row>
    <row r="67" spans="1:7" ht="13.5" thickBot="1">
      <c r="A67" s="162">
        <f t="shared" si="6"/>
        <v>15</v>
      </c>
      <c r="B67" s="628" t="s">
        <v>629</v>
      </c>
      <c r="C67" s="162" t="str">
        <f>'WP_B-Inputs Act.'!L2&amp;" Line "&amp;'WP_B-Inputs Act.'!A50</f>
        <v>WP_B-Inputs Act. Line 40</v>
      </c>
      <c r="D67" s="166">
        <f>'WP_B-Inputs Act.'!I50</f>
        <v>99167954.475384608</v>
      </c>
      <c r="E67" s="166">
        <f>-'WP_B-Inputs Act.'!H128</f>
        <v>-21054.27</v>
      </c>
      <c r="F67" s="165">
        <f>-'WP_B-Inputs Act.'!G95</f>
        <v>-8506957.8030018285</v>
      </c>
      <c r="G67" s="693">
        <f t="shared" si="7"/>
        <v>90639942.402382791</v>
      </c>
    </row>
    <row r="68" spans="1:7" ht="13.5" thickBot="1">
      <c r="A68" s="162">
        <f t="shared" si="6"/>
        <v>16</v>
      </c>
      <c r="B68" s="628" t="s">
        <v>220</v>
      </c>
      <c r="C68" s="162" t="str">
        <f>'WP_B-Inputs Act.'!L2&amp;" Line "&amp;'WP_B-Inputs Act.'!A50</f>
        <v>WP_B-Inputs Act. Line 40</v>
      </c>
      <c r="D68" s="165">
        <f>'WP_B-Inputs Act.'!C50</f>
        <v>57570461.073846154</v>
      </c>
      <c r="E68" s="165"/>
      <c r="F68" s="166">
        <f>-'WP_B-Inputs Act.'!E95</f>
        <v>-14291887.43923077</v>
      </c>
      <c r="G68" s="693">
        <f t="shared" si="7"/>
        <v>43278573.634615384</v>
      </c>
    </row>
    <row r="69" spans="1:7" ht="13.5" thickBot="1">
      <c r="A69" s="162">
        <f t="shared" si="6"/>
        <v>17</v>
      </c>
      <c r="B69" s="628" t="s">
        <v>878</v>
      </c>
      <c r="C69" s="162" t="str">
        <f>'WP_B-Inputs Act.'!L2&amp;" Line "&amp;'WP_B-Inputs Act.'!A50</f>
        <v>WP_B-Inputs Act. Line 40</v>
      </c>
      <c r="D69" s="165">
        <f>'WP_B-Inputs Act.'!J50</f>
        <v>242258814</v>
      </c>
      <c r="E69" s="165"/>
      <c r="F69" s="166">
        <f>-'WP_B-Inputs Act.'!K95</f>
        <v>-82566927.736923084</v>
      </c>
      <c r="G69" s="693">
        <f t="shared" si="7"/>
        <v>159691886.2630769</v>
      </c>
    </row>
    <row r="70" spans="1:7" ht="13.5" thickBot="1">
      <c r="A70" s="162">
        <f t="shared" si="6"/>
        <v>18</v>
      </c>
      <c r="B70" s="628" t="s">
        <v>879</v>
      </c>
      <c r="C70" s="162" t="str">
        <f>'WP_B-Inputs Act.'!L2&amp;" Line "&amp;'WP_B-Inputs Act.'!A50</f>
        <v>WP_B-Inputs Act. Line 40</v>
      </c>
      <c r="D70" s="167">
        <f>'WP_B-Inputs Act.'!K50</f>
        <v>172580156.34846154</v>
      </c>
      <c r="E70" s="167"/>
      <c r="F70" s="167">
        <f>-'WP_B-Inputs Act.'!L95</f>
        <v>-416351.37999999995</v>
      </c>
      <c r="G70" s="693">
        <f t="shared" si="7"/>
        <v>172163804.96846154</v>
      </c>
    </row>
    <row r="71" spans="1:7" ht="25.5">
      <c r="A71" s="708">
        <f t="shared" si="6"/>
        <v>19</v>
      </c>
      <c r="B71" s="787" t="s">
        <v>934</v>
      </c>
      <c r="C71" s="162" t="str">
        <f>"Sum Lines "&amp;A64&amp;" through "&amp;A70</f>
        <v>Sum Lines 12 through 18</v>
      </c>
      <c r="D71" s="165">
        <f>SUM(D64:D70)</f>
        <v>4023866262.2199998</v>
      </c>
      <c r="E71" s="165">
        <f>SUM(E64:E70)</f>
        <v>-1.204170985147357E-9</v>
      </c>
      <c r="F71" s="165">
        <f>SUM(F64:F70)</f>
        <v>-106564838.55221674</v>
      </c>
      <c r="G71" s="165">
        <f>SUM(G64:G70)</f>
        <v>3917301423.6677828</v>
      </c>
    </row>
    <row r="72" spans="1:7">
      <c r="A72" s="162">
        <f t="shared" si="6"/>
        <v>20</v>
      </c>
      <c r="B72" s="628"/>
      <c r="C72" s="162"/>
      <c r="D72" s="165"/>
      <c r="E72" s="165"/>
      <c r="F72" s="165"/>
      <c r="G72" s="165"/>
    </row>
    <row r="73" spans="1:7">
      <c r="A73" s="162">
        <f t="shared" si="6"/>
        <v>21</v>
      </c>
      <c r="B73" s="628"/>
      <c r="C73" s="162"/>
      <c r="D73" s="157" t="s">
        <v>978</v>
      </c>
      <c r="E73" s="157" t="s">
        <v>217</v>
      </c>
      <c r="F73" s="157" t="s">
        <v>972</v>
      </c>
      <c r="G73" s="157" t="s">
        <v>977</v>
      </c>
    </row>
    <row r="74" spans="1:7">
      <c r="A74" s="162">
        <f t="shared" si="6"/>
        <v>22</v>
      </c>
      <c r="B74" s="786" t="s">
        <v>1308</v>
      </c>
      <c r="C74" s="162"/>
      <c r="D74" s="170" t="s">
        <v>70</v>
      </c>
      <c r="E74" s="170" t="s">
        <v>221</v>
      </c>
      <c r="F74" s="170" t="s">
        <v>630</v>
      </c>
      <c r="G74" s="170" t="s">
        <v>70</v>
      </c>
    </row>
    <row r="75" spans="1:7" ht="13.5" thickBot="1">
      <c r="A75" s="162">
        <f t="shared" si="6"/>
        <v>23</v>
      </c>
      <c r="B75" s="628" t="s">
        <v>627</v>
      </c>
      <c r="C75" s="162" t="str">
        <f>'WP_B-Inputs Act.'!L2&amp;" Line "&amp;'WP_B-Inputs Act.'!A56</f>
        <v>WP_B-Inputs Act. Line 46</v>
      </c>
      <c r="D75" s="165">
        <f>'WP_B-Inputs Act.'!D56+'WP_B-Inputs Act.'!E56+'WP_B-Inputs Act.'!F56</f>
        <v>125853194.40999997</v>
      </c>
      <c r="E75" s="165">
        <f>SUM('WP_B-Inputs Act.'!F133:H133)</f>
        <v>918803.69000000006</v>
      </c>
      <c r="F75" s="165">
        <v>0</v>
      </c>
      <c r="G75" s="166">
        <f>SUM(D75:F75)</f>
        <v>126771998.09999996</v>
      </c>
    </row>
    <row r="76" spans="1:7" ht="13.5" thickBot="1">
      <c r="A76" s="162">
        <f t="shared" si="6"/>
        <v>24</v>
      </c>
      <c r="B76" s="149" t="s">
        <v>789</v>
      </c>
      <c r="C76" s="162" t="str">
        <f>'WP_B-Inputs Act.'!L2&amp;" Line "&amp;'WP_B-Inputs Act.'!A56</f>
        <v>WP_B-Inputs Act. Line 46</v>
      </c>
      <c r="D76" s="165">
        <f>'WP_B-Inputs Act.'!G56</f>
        <v>34366297.740000002</v>
      </c>
      <c r="E76" s="165">
        <f>-'WP_B-Inputs Act.'!F133</f>
        <v>-912706.85000000009</v>
      </c>
      <c r="F76" s="165">
        <v>0</v>
      </c>
      <c r="G76" s="693">
        <f t="shared" ref="G76:G81" si="8">SUM(D76:F76)</f>
        <v>33453590.890000001</v>
      </c>
    </row>
    <row r="77" spans="1:7" ht="13.5" thickBot="1">
      <c r="A77" s="162">
        <f t="shared" si="6"/>
        <v>25</v>
      </c>
      <c r="B77" s="149" t="s">
        <v>628</v>
      </c>
      <c r="C77" s="162" t="str">
        <f>'WP_B-Inputs Act.'!L2&amp;" Line "&amp;'WP_B-Inputs Act.'!A56</f>
        <v>WP_B-Inputs Act. Line 46</v>
      </c>
      <c r="D77" s="165">
        <f>'WP_B-Inputs Act.'!H56</f>
        <v>108338272.47000003</v>
      </c>
      <c r="E77" s="165">
        <f>-'WP_B-Inputs Act.'!G133</f>
        <v>-3870.4800000000009</v>
      </c>
      <c r="F77" s="165">
        <f>-'WP_B-Inputs Act.'!F101</f>
        <v>-89977.975164999996</v>
      </c>
      <c r="G77" s="166">
        <f t="shared" si="8"/>
        <v>108244424.01483503</v>
      </c>
    </row>
    <row r="78" spans="1:7" ht="13.5" thickBot="1">
      <c r="A78" s="162">
        <f t="shared" si="6"/>
        <v>26</v>
      </c>
      <c r="B78" s="628" t="s">
        <v>629</v>
      </c>
      <c r="C78" s="162" t="str">
        <f>'WP_B-Inputs Act.'!L2&amp;" Line "&amp;'WP_B-Inputs Act.'!A56</f>
        <v>WP_B-Inputs Act. Line 46</v>
      </c>
      <c r="D78" s="165">
        <f>'WP_B-Inputs Act.'!I56</f>
        <v>10261900.299999997</v>
      </c>
      <c r="E78" s="165">
        <f>-'WP_B-Inputs Act.'!H133</f>
        <v>-2226.36</v>
      </c>
      <c r="F78" s="165">
        <f>-'WP_B-Inputs Act.'!G101</f>
        <v>-1109575.7958999996</v>
      </c>
      <c r="G78" s="693">
        <f t="shared" si="8"/>
        <v>9150098.1440999974</v>
      </c>
    </row>
    <row r="79" spans="1:7" ht="13.5" thickBot="1">
      <c r="A79" s="162">
        <f t="shared" si="6"/>
        <v>27</v>
      </c>
      <c r="B79" s="149" t="s">
        <v>220</v>
      </c>
      <c r="C79" s="162" t="str">
        <f>'WP_B-Inputs Act.'!L2&amp;" Line "&amp;'WP_B-Inputs Act.'!A56</f>
        <v>WP_B-Inputs Act. Line 46</v>
      </c>
      <c r="D79" s="165">
        <f>'WP_B-Inputs Act.'!C56</f>
        <v>10340199.310000001</v>
      </c>
      <c r="E79" s="165"/>
      <c r="F79" s="165">
        <f>-'WP_B-Inputs Act.'!E101</f>
        <v>-460783.15999999736</v>
      </c>
      <c r="G79" s="693">
        <f t="shared" si="8"/>
        <v>9879416.1500000022</v>
      </c>
    </row>
    <row r="80" spans="1:7" ht="13.5" thickBot="1">
      <c r="A80" s="162">
        <f t="shared" si="6"/>
        <v>28</v>
      </c>
      <c r="B80" s="149" t="s">
        <v>878</v>
      </c>
      <c r="C80" s="316" t="str">
        <f>'WP_B-Inputs Act.'!L2&amp;" Line "&amp;'WP_B-Inputs Act.'!A56</f>
        <v>WP_B-Inputs Act. Line 46</v>
      </c>
      <c r="D80" s="166">
        <f>'WP_B-Inputs Act.'!J56</f>
        <v>28260902.219999999</v>
      </c>
      <c r="E80" s="166"/>
      <c r="F80" s="166">
        <f>-'WP_B-Inputs Act.'!K101</f>
        <v>-711669.86</v>
      </c>
      <c r="G80" s="693">
        <f t="shared" si="8"/>
        <v>27549232.359999999</v>
      </c>
    </row>
    <row r="81" spans="1:7" ht="13.5" thickBot="1">
      <c r="A81" s="162">
        <f t="shared" si="6"/>
        <v>29</v>
      </c>
      <c r="B81" s="149" t="s">
        <v>879</v>
      </c>
      <c r="C81" s="162" t="str">
        <f>'WP_B-Inputs Act.'!L2&amp;" Line "&amp;'WP_B-Inputs Act.'!A56</f>
        <v>WP_B-Inputs Act. Line 46</v>
      </c>
      <c r="D81" s="167">
        <f>'WP_B-Inputs Act.'!K56</f>
        <v>28137477.030000005</v>
      </c>
      <c r="E81" s="167"/>
      <c r="F81" s="248">
        <f>-'WP_B-Inputs Act.'!L101</f>
        <v>0</v>
      </c>
      <c r="G81" s="693">
        <f t="shared" si="8"/>
        <v>28137477.030000005</v>
      </c>
    </row>
    <row r="82" spans="1:7">
      <c r="A82" s="162">
        <f t="shared" si="6"/>
        <v>30</v>
      </c>
      <c r="B82" s="149" t="s">
        <v>71</v>
      </c>
      <c r="C82" s="162" t="str">
        <f>"Sum Lines "&amp;A75&amp;" through "&amp;A81</f>
        <v>Sum Lines 23 through 29</v>
      </c>
      <c r="D82" s="165">
        <f>SUM(D75:D81)</f>
        <v>345558243.48000008</v>
      </c>
      <c r="E82" s="165">
        <f>SUM(E75:E81)</f>
        <v>-3.3651303965598345E-11</v>
      </c>
      <c r="F82" s="165">
        <f>SUM(F75:F81)</f>
        <v>-2372006.7910649967</v>
      </c>
      <c r="G82" s="165">
        <f>SUM(G75:G81)</f>
        <v>343186236.68893504</v>
      </c>
    </row>
    <row r="84" spans="1:7">
      <c r="B84" s="238" t="s">
        <v>89</v>
      </c>
    </row>
    <row r="85" spans="1:7">
      <c r="B85" s="149" t="s">
        <v>218</v>
      </c>
    </row>
    <row r="86" spans="1:7">
      <c r="B86" s="149" t="str">
        <f>"2. Adjustments are shown on WP_B-Inputs Est. Lines "&amp;'WP_B-Inputs Est.'!A120&amp;", "&amp;'WP_B-Inputs Est.'!A139&amp;", "&amp;'WP_B-Inputs Est.'!A145</f>
        <v>2. Adjustments are shown on WP_B-Inputs Est. Lines 110, 129, 135</v>
      </c>
    </row>
    <row r="87" spans="1:7">
      <c r="B87" s="309" t="s">
        <v>877</v>
      </c>
    </row>
    <row r="88" spans="1:7">
      <c r="B88" s="238" t="s">
        <v>601</v>
      </c>
    </row>
    <row r="89" spans="1:7">
      <c r="B89" s="238" t="s">
        <v>602</v>
      </c>
    </row>
    <row r="90" spans="1:7">
      <c r="B90" s="309" t="s">
        <v>1306</v>
      </c>
      <c r="C90" s="628"/>
      <c r="D90" s="788"/>
      <c r="E90" s="788"/>
      <c r="F90" s="788"/>
    </row>
  </sheetData>
  <phoneticPr fontId="15" type="noConversion"/>
  <printOptions horizontalCentered="1"/>
  <pageMargins left="0.75" right="0.75" top="1" bottom="1" header="0.5" footer="0.5"/>
  <pageSetup scale="57" fitToHeight="2" orientation="portrait" r:id="rId1"/>
  <headerFooter alignWithMargins="0">
    <oddHeader>&amp;RPage &amp;P of &amp;N</oddHeader>
  </headerFooter>
  <rowBreaks count="1" manualBreakCount="1">
    <brk id="47" max="5"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K212"/>
  <sheetViews>
    <sheetView view="pageBreakPreview" topLeftCell="A145" zoomScale="60" zoomScaleNormal="100" workbookViewId="0">
      <selection activeCell="Z34" sqref="Z34"/>
    </sheetView>
  </sheetViews>
  <sheetFormatPr defaultRowHeight="12.75"/>
  <cols>
    <col min="1" max="1" width="9.140625" style="75"/>
    <col min="2" max="2" width="56.140625" style="73" customWidth="1"/>
    <col min="3" max="4" width="19" style="73" bestFit="1" customWidth="1"/>
    <col min="5" max="5" width="20.85546875" style="73" bestFit="1" customWidth="1"/>
    <col min="6" max="6" width="17.28515625" style="73" bestFit="1" customWidth="1"/>
    <col min="7" max="7" width="15" style="73" customWidth="1"/>
    <col min="8" max="8" width="12.85546875" style="73" bestFit="1" customWidth="1"/>
    <col min="9" max="9" width="24.140625" style="308" bestFit="1" customWidth="1"/>
    <col min="10" max="10" width="17.42578125" style="73" bestFit="1" customWidth="1"/>
    <col min="11" max="11" width="14.5703125" style="73" bestFit="1" customWidth="1"/>
    <col min="12" max="16384" width="9.140625" style="73"/>
  </cols>
  <sheetData>
    <row r="1" spans="1:9">
      <c r="A1" s="979" t="s">
        <v>774</v>
      </c>
      <c r="G1" s="898" t="s">
        <v>141</v>
      </c>
      <c r="I1" s="1192"/>
    </row>
    <row r="2" spans="1:9">
      <c r="A2" s="979" t="s">
        <v>378</v>
      </c>
      <c r="G2" s="898" t="s">
        <v>1573</v>
      </c>
      <c r="I2" s="1192"/>
    </row>
    <row r="3" spans="1:9">
      <c r="A3" s="1154" t="str">
        <f>'Cover Page'!A7</f>
        <v>Twelve Months Ended December 31, 2017</v>
      </c>
      <c r="C3" s="308"/>
      <c r="I3" s="1192"/>
    </row>
    <row r="4" spans="1:9">
      <c r="A4" s="979" t="s">
        <v>982</v>
      </c>
      <c r="I4" s="1192"/>
    </row>
    <row r="5" spans="1:9">
      <c r="I5" s="1192"/>
    </row>
    <row r="6" spans="1:9">
      <c r="A6" s="979" t="s">
        <v>983</v>
      </c>
      <c r="I6" s="1192"/>
    </row>
    <row r="7" spans="1:9">
      <c r="A7" s="443"/>
      <c r="B7" s="443"/>
      <c r="C7" s="1231" t="s">
        <v>970</v>
      </c>
      <c r="D7" s="1231"/>
      <c r="E7" s="443"/>
      <c r="F7" s="443"/>
      <c r="G7" s="443" t="s">
        <v>971</v>
      </c>
      <c r="I7" s="1196" t="s">
        <v>1838</v>
      </c>
    </row>
    <row r="8" spans="1:9" ht="25.5">
      <c r="A8" s="981" t="s">
        <v>862</v>
      </c>
      <c r="B8" s="981" t="s">
        <v>984</v>
      </c>
      <c r="C8" s="1155">
        <v>42735</v>
      </c>
      <c r="D8" s="1155">
        <v>43100</v>
      </c>
      <c r="E8" s="982" t="s">
        <v>1574</v>
      </c>
      <c r="F8" s="982" t="s">
        <v>986</v>
      </c>
      <c r="G8" s="982" t="s">
        <v>985</v>
      </c>
      <c r="I8" s="1192"/>
    </row>
    <row r="9" spans="1:9">
      <c r="C9" s="980" t="s">
        <v>358</v>
      </c>
      <c r="D9" s="980" t="s">
        <v>357</v>
      </c>
      <c r="E9" s="980" t="s">
        <v>359</v>
      </c>
      <c r="F9" s="980" t="s">
        <v>360</v>
      </c>
      <c r="G9" s="980" t="s">
        <v>361</v>
      </c>
      <c r="I9" s="1192"/>
    </row>
    <row r="10" spans="1:9">
      <c r="A10" s="75">
        <v>1</v>
      </c>
      <c r="B10" s="983" t="s">
        <v>1310</v>
      </c>
      <c r="I10" s="1192"/>
    </row>
    <row r="11" spans="1:9">
      <c r="A11" s="75">
        <f t="shared" ref="A11:A80" si="0">A10+1</f>
        <v>2</v>
      </c>
      <c r="B11" s="984" t="s">
        <v>987</v>
      </c>
      <c r="C11" s="247">
        <v>-126912392.34999999</v>
      </c>
      <c r="D11" s="247">
        <v>-130239185.64</v>
      </c>
      <c r="E11" s="245">
        <f>AVERAGE(C11:D11)</f>
        <v>-128575788.995</v>
      </c>
      <c r="F11" s="247">
        <f>-E11</f>
        <v>128575788.995</v>
      </c>
      <c r="G11" s="990">
        <f>SUM(E11:F11)</f>
        <v>0</v>
      </c>
      <c r="I11" s="1192"/>
    </row>
    <row r="12" spans="1:9" ht="13.5" thickBot="1">
      <c r="A12" s="75">
        <f t="shared" si="0"/>
        <v>3</v>
      </c>
      <c r="B12" s="58" t="s">
        <v>1579</v>
      </c>
      <c r="C12" s="1156"/>
      <c r="D12" s="1156"/>
      <c r="E12" s="1157">
        <f>'WP_ADIT Prorate'!J130</f>
        <v>892841.44118607044</v>
      </c>
      <c r="G12" s="310">
        <f>+E12</f>
        <v>892841.44118607044</v>
      </c>
      <c r="I12" s="1192"/>
    </row>
    <row r="13" spans="1:9" ht="13.5" thickBot="1">
      <c r="A13" s="75">
        <f t="shared" si="0"/>
        <v>4</v>
      </c>
      <c r="B13" s="985" t="s">
        <v>1298</v>
      </c>
      <c r="C13" s="166">
        <f>SUM(C11)</f>
        <v>-126912392.34999999</v>
      </c>
      <c r="D13" s="166">
        <f>SUM(D11)</f>
        <v>-130239185.64</v>
      </c>
      <c r="E13" s="693">
        <f>SUM(E11:E12)</f>
        <v>-127682947.55381393</v>
      </c>
      <c r="F13" s="166">
        <f>SUM(F11)</f>
        <v>128575788.995</v>
      </c>
      <c r="G13" s="696">
        <f>SUM(G11:G12)</f>
        <v>892841.44118607044</v>
      </c>
      <c r="I13" s="1192"/>
    </row>
    <row r="14" spans="1:9">
      <c r="A14" s="75">
        <f t="shared" si="0"/>
        <v>5</v>
      </c>
      <c r="B14" s="308"/>
      <c r="C14" s="310"/>
      <c r="D14" s="310"/>
      <c r="E14" s="310"/>
      <c r="F14" s="310"/>
      <c r="G14" s="310"/>
      <c r="I14" s="1192"/>
    </row>
    <row r="15" spans="1:9">
      <c r="A15" s="75">
        <f t="shared" si="0"/>
        <v>6</v>
      </c>
      <c r="B15" s="983" t="s">
        <v>1312</v>
      </c>
      <c r="C15" s="310"/>
      <c r="D15" s="310"/>
      <c r="E15" s="310"/>
      <c r="F15" s="310"/>
      <c r="G15" s="310"/>
      <c r="I15" s="1192"/>
    </row>
    <row r="16" spans="1:9">
      <c r="A16" s="75">
        <f t="shared" si="0"/>
        <v>7</v>
      </c>
      <c r="B16" s="58" t="s">
        <v>1294</v>
      </c>
      <c r="C16" s="310"/>
      <c r="D16" s="310"/>
      <c r="E16" s="310"/>
      <c r="F16" s="310"/>
      <c r="G16" s="310"/>
      <c r="I16" s="1192"/>
    </row>
    <row r="17" spans="1:9">
      <c r="A17" s="75">
        <f t="shared" si="0"/>
        <v>8</v>
      </c>
      <c r="B17" s="986" t="s">
        <v>989</v>
      </c>
      <c r="C17" s="244">
        <v>-1112863863.5200002</v>
      </c>
      <c r="D17" s="244">
        <v>-1174186664.8599989</v>
      </c>
      <c r="E17" s="310">
        <f t="shared" ref="E17:E25" si="1">AVERAGE(C17:D17)</f>
        <v>-1143525264.1899996</v>
      </c>
      <c r="F17" s="244">
        <f t="shared" ref="F17:F25" si="2">-E17</f>
        <v>1143525264.1899996</v>
      </c>
      <c r="G17" s="310">
        <f t="shared" ref="G17:G25" si="3">SUM(E17:F17)</f>
        <v>0</v>
      </c>
      <c r="I17" s="1192"/>
    </row>
    <row r="18" spans="1:9">
      <c r="A18" s="75">
        <f t="shared" si="0"/>
        <v>9</v>
      </c>
      <c r="B18" s="986" t="s">
        <v>563</v>
      </c>
      <c r="C18" s="244">
        <v>225851.75</v>
      </c>
      <c r="D18" s="244">
        <v>205993.35</v>
      </c>
      <c r="E18" s="310">
        <f t="shared" si="1"/>
        <v>215922.55</v>
      </c>
      <c r="F18" s="244">
        <f t="shared" si="2"/>
        <v>-215922.55</v>
      </c>
      <c r="G18" s="310">
        <f t="shared" si="3"/>
        <v>0</v>
      </c>
      <c r="H18" s="94"/>
      <c r="I18" s="1192"/>
    </row>
    <row r="19" spans="1:9">
      <c r="A19" s="75">
        <f t="shared" si="0"/>
        <v>10</v>
      </c>
      <c r="B19" s="986" t="s">
        <v>990</v>
      </c>
      <c r="C19" s="244">
        <v>-454522011.54661822</v>
      </c>
      <c r="D19" s="244">
        <v>-487449658.66661829</v>
      </c>
      <c r="E19" s="310">
        <f t="shared" si="1"/>
        <v>-470985835.10661829</v>
      </c>
      <c r="F19" s="244"/>
      <c r="G19" s="310">
        <f t="shared" si="3"/>
        <v>-470985835.10661829</v>
      </c>
      <c r="H19" s="94"/>
      <c r="I19" s="1192"/>
    </row>
    <row r="20" spans="1:9">
      <c r="A20" s="75">
        <f t="shared" si="0"/>
        <v>11</v>
      </c>
      <c r="B20" s="986" t="s">
        <v>564</v>
      </c>
      <c r="C20" s="244">
        <v>-3125219.4333818876</v>
      </c>
      <c r="D20" s="244">
        <v>-3125219.4333818876</v>
      </c>
      <c r="E20" s="310">
        <f t="shared" si="1"/>
        <v>-3125219.4333818876</v>
      </c>
      <c r="F20" s="244">
        <f t="shared" si="2"/>
        <v>3125219.4333818876</v>
      </c>
      <c r="G20" s="310">
        <f t="shared" si="3"/>
        <v>0</v>
      </c>
      <c r="H20" s="94"/>
      <c r="I20" s="1192"/>
    </row>
    <row r="21" spans="1:9">
      <c r="A21" s="75">
        <f t="shared" si="0"/>
        <v>12</v>
      </c>
      <c r="B21" s="986" t="s">
        <v>996</v>
      </c>
      <c r="C21" s="244">
        <v>-30005467.569999993</v>
      </c>
      <c r="D21" s="244">
        <v>-30263610.289999992</v>
      </c>
      <c r="E21" s="310">
        <f t="shared" si="1"/>
        <v>-30134538.929999992</v>
      </c>
      <c r="F21" s="244">
        <f t="shared" si="2"/>
        <v>30134538.929999992</v>
      </c>
      <c r="G21" s="310">
        <f t="shared" si="3"/>
        <v>0</v>
      </c>
      <c r="I21" s="1192"/>
    </row>
    <row r="22" spans="1:9">
      <c r="A22" s="75">
        <f t="shared" si="0"/>
        <v>13</v>
      </c>
      <c r="B22" s="986" t="s">
        <v>943</v>
      </c>
      <c r="C22" s="244">
        <v>-334239540.43999994</v>
      </c>
      <c r="D22" s="244">
        <v>-351349968.24000019</v>
      </c>
      <c r="E22" s="310">
        <f t="shared" si="1"/>
        <v>-342794754.34000003</v>
      </c>
      <c r="F22" s="244">
        <f t="shared" si="2"/>
        <v>342794754.34000003</v>
      </c>
      <c r="G22" s="310">
        <f t="shared" si="3"/>
        <v>0</v>
      </c>
      <c r="I22" s="1192"/>
    </row>
    <row r="23" spans="1:9">
      <c r="A23" s="75">
        <f t="shared" si="0"/>
        <v>14</v>
      </c>
      <c r="B23" s="986" t="s">
        <v>565</v>
      </c>
      <c r="C23" s="244">
        <v>-61011.929004722006</v>
      </c>
      <c r="D23" s="244">
        <v>-46343.64164817056</v>
      </c>
      <c r="E23" s="310">
        <f t="shared" si="1"/>
        <v>-53677.785326446283</v>
      </c>
      <c r="F23" s="244">
        <f t="shared" si="2"/>
        <v>53677.785326446283</v>
      </c>
      <c r="G23" s="310">
        <f t="shared" si="3"/>
        <v>0</v>
      </c>
      <c r="I23" s="1192"/>
    </row>
    <row r="24" spans="1:9">
      <c r="A24" s="75">
        <f t="shared" si="0"/>
        <v>15</v>
      </c>
      <c r="B24" s="986" t="s">
        <v>997</v>
      </c>
      <c r="C24" s="244">
        <v>-11937791.460000001</v>
      </c>
      <c r="D24" s="244">
        <v>-11903461.380000001</v>
      </c>
      <c r="E24" s="310">
        <f t="shared" si="1"/>
        <v>-11920626.420000002</v>
      </c>
      <c r="F24" s="244">
        <f t="shared" si="2"/>
        <v>11920626.420000002</v>
      </c>
      <c r="G24" s="310">
        <f t="shared" si="3"/>
        <v>0</v>
      </c>
      <c r="I24" s="1192"/>
    </row>
    <row r="25" spans="1:9">
      <c r="A25" s="75">
        <f t="shared" si="0"/>
        <v>16</v>
      </c>
      <c r="B25" s="986" t="s">
        <v>941</v>
      </c>
      <c r="C25" s="244">
        <v>-423892239.54999977</v>
      </c>
      <c r="D25" s="885">
        <v>-438111109.26999998</v>
      </c>
      <c r="E25" s="248">
        <f t="shared" si="1"/>
        <v>-431001674.40999985</v>
      </c>
      <c r="F25" s="247">
        <f t="shared" si="2"/>
        <v>431001674.40999985</v>
      </c>
      <c r="G25" s="248">
        <f t="shared" si="3"/>
        <v>0</v>
      </c>
      <c r="I25" s="1192"/>
    </row>
    <row r="26" spans="1:9">
      <c r="A26" s="75">
        <f t="shared" si="0"/>
        <v>17</v>
      </c>
      <c r="B26" s="58" t="s">
        <v>1579</v>
      </c>
      <c r="C26" s="1158"/>
      <c r="D26" s="1158"/>
      <c r="E26" s="1159">
        <f>'WP_ADIT Prorate'!J161</f>
        <v>8837088.8560639024</v>
      </c>
      <c r="F26" s="1160"/>
      <c r="G26" s="166">
        <f>SUM(E26:F26)</f>
        <v>8837088.8560639024</v>
      </c>
      <c r="I26" s="1192"/>
    </row>
    <row r="27" spans="1:9">
      <c r="A27" s="75">
        <f t="shared" si="0"/>
        <v>18</v>
      </c>
      <c r="B27" s="121" t="s">
        <v>790</v>
      </c>
      <c r="C27" s="166">
        <f>SUM(C17:C25)</f>
        <v>-2370421293.6990047</v>
      </c>
      <c r="D27" s="166">
        <f>SUM(D17:D25)</f>
        <v>-2496230042.4316473</v>
      </c>
      <c r="E27" s="166">
        <f>SUM(E17:E26)</f>
        <v>-2424488579.2092624</v>
      </c>
      <c r="F27" s="166">
        <f>SUM(F17:F25)</f>
        <v>1962339832.9587078</v>
      </c>
      <c r="G27" s="166">
        <f>SUM(G17:G26)</f>
        <v>-462148746.25055438</v>
      </c>
      <c r="I27" s="1192"/>
    </row>
    <row r="28" spans="1:9">
      <c r="A28" s="75">
        <f t="shared" si="0"/>
        <v>19</v>
      </c>
      <c r="B28" s="121"/>
      <c r="C28" s="166"/>
      <c r="D28" s="166"/>
      <c r="E28" s="166"/>
      <c r="F28" s="166"/>
      <c r="G28" s="166"/>
      <c r="I28" s="1192"/>
    </row>
    <row r="29" spans="1:9">
      <c r="A29" s="75">
        <f t="shared" si="0"/>
        <v>20</v>
      </c>
      <c r="B29" s="58" t="s">
        <v>1295</v>
      </c>
      <c r="C29" s="166"/>
      <c r="D29" s="166"/>
      <c r="E29" s="166"/>
      <c r="F29" s="166"/>
      <c r="G29" s="245"/>
      <c r="I29" s="1192"/>
    </row>
    <row r="30" spans="1:9">
      <c r="A30" s="75">
        <f t="shared" si="0"/>
        <v>21</v>
      </c>
      <c r="B30" s="986" t="s">
        <v>566</v>
      </c>
      <c r="C30" s="244">
        <v>-38092112.768785894</v>
      </c>
      <c r="D30" s="244">
        <v>-38948135.182622947</v>
      </c>
      <c r="E30" s="310">
        <f>AVERAGE(C30:D30)</f>
        <v>-38520123.975704417</v>
      </c>
      <c r="F30" s="244">
        <f>'WP_B-Inputs Est.'!L110</f>
        <v>-14415.843409003983</v>
      </c>
      <c r="G30" s="310">
        <f>SUM(E30:F30)</f>
        <v>-38534539.819113418</v>
      </c>
      <c r="I30" s="1192"/>
    </row>
    <row r="31" spans="1:9">
      <c r="A31" s="75">
        <f t="shared" si="0"/>
        <v>22</v>
      </c>
      <c r="B31" s="986" t="s">
        <v>948</v>
      </c>
      <c r="C31" s="244">
        <v>-680406.93876511999</v>
      </c>
      <c r="D31" s="244">
        <v>-767461.60276975913</v>
      </c>
      <c r="E31" s="310">
        <f>AVERAGE(C31:D31)</f>
        <v>-723934.27076743962</v>
      </c>
      <c r="F31" s="244"/>
      <c r="G31" s="310">
        <f>SUM(E31:F31)</f>
        <v>-723934.27076743962</v>
      </c>
      <c r="I31" s="1192"/>
    </row>
    <row r="32" spans="1:9">
      <c r="A32" s="75">
        <f t="shared" si="0"/>
        <v>23</v>
      </c>
      <c r="B32" s="986" t="s">
        <v>567</v>
      </c>
      <c r="C32" s="244">
        <v>-43467277.450995266</v>
      </c>
      <c r="D32" s="244">
        <v>-47979822.74835182</v>
      </c>
      <c r="E32" s="310">
        <f>AVERAGE(C32:D32)</f>
        <v>-45723550.099673539</v>
      </c>
      <c r="F32" s="244">
        <f>'WP_B-Inputs Est.'!G110</f>
        <v>3516231.8703856738</v>
      </c>
      <c r="G32" s="310">
        <f>SUM(E32:F32)</f>
        <v>-42207318.229287863</v>
      </c>
      <c r="I32" s="1192"/>
    </row>
    <row r="33" spans="1:9">
      <c r="A33" s="75">
        <f t="shared" si="0"/>
        <v>24</v>
      </c>
      <c r="B33" s="986" t="s">
        <v>976</v>
      </c>
      <c r="C33" s="885">
        <v>-1720316.23</v>
      </c>
      <c r="D33" s="885">
        <v>-1819379.8800000015</v>
      </c>
      <c r="E33" s="248">
        <f>AVERAGE(C33:D33)</f>
        <v>-1769848.0550000006</v>
      </c>
      <c r="F33" s="247"/>
      <c r="G33" s="248">
        <f>SUM(E33:F33)</f>
        <v>-1769848.0550000006</v>
      </c>
      <c r="H33" s="94"/>
      <c r="I33" s="1192"/>
    </row>
    <row r="34" spans="1:9">
      <c r="A34" s="75">
        <f t="shared" si="0"/>
        <v>25</v>
      </c>
      <c r="B34" s="58" t="s">
        <v>1579</v>
      </c>
      <c r="C34" s="1158"/>
      <c r="D34" s="1158"/>
      <c r="E34" s="1159">
        <f>'WP_ADIT Prorate'!J192</f>
        <v>1490761.0553928018</v>
      </c>
      <c r="F34" s="1160"/>
      <c r="G34" s="166">
        <f>SUM(E34:F34)</f>
        <v>1490761.0553928018</v>
      </c>
      <c r="H34" s="94"/>
      <c r="I34" s="1192"/>
    </row>
    <row r="35" spans="1:9">
      <c r="A35" s="75">
        <f t="shared" si="0"/>
        <v>26</v>
      </c>
      <c r="B35" s="121" t="s">
        <v>790</v>
      </c>
      <c r="C35" s="166">
        <f>SUM(C30:C33)</f>
        <v>-83960113.388546288</v>
      </c>
      <c r="D35" s="166">
        <f>SUM(D30:D33)</f>
        <v>-89514799.413744524</v>
      </c>
      <c r="E35" s="166">
        <f>SUM(E30:E34)</f>
        <v>-85246695.345752597</v>
      </c>
      <c r="F35" s="166">
        <f>SUM(F30:F33)</f>
        <v>3501816.0269766697</v>
      </c>
      <c r="G35" s="166">
        <f>SUM(G30:G34)</f>
        <v>-81744879.318775922</v>
      </c>
      <c r="I35" s="1192"/>
    </row>
    <row r="36" spans="1:9">
      <c r="A36" s="75">
        <f t="shared" si="0"/>
        <v>27</v>
      </c>
      <c r="B36" s="180" t="s">
        <v>1582</v>
      </c>
      <c r="C36" s="310"/>
      <c r="D36" s="310"/>
      <c r="E36" s="310"/>
      <c r="F36" s="310"/>
      <c r="G36" s="988">
        <f>WS</f>
        <v>0.11383</v>
      </c>
      <c r="H36" s="94"/>
      <c r="I36" s="1192"/>
    </row>
    <row r="37" spans="1:9">
      <c r="A37" s="75">
        <f t="shared" si="0"/>
        <v>28</v>
      </c>
      <c r="B37" s="180" t="s">
        <v>1296</v>
      </c>
      <c r="C37" s="310"/>
      <c r="D37" s="310"/>
      <c r="E37" s="310"/>
      <c r="F37" s="310"/>
      <c r="G37" s="310">
        <f>G35*G36</f>
        <v>-9305019.6128562633</v>
      </c>
      <c r="I37" s="1192"/>
    </row>
    <row r="38" spans="1:9">
      <c r="A38" s="75">
        <f t="shared" si="0"/>
        <v>29</v>
      </c>
      <c r="B38" s="121"/>
      <c r="C38" s="310"/>
      <c r="D38" s="310"/>
      <c r="E38" s="310"/>
      <c r="F38" s="310"/>
      <c r="G38" s="310"/>
      <c r="I38" s="1192"/>
    </row>
    <row r="39" spans="1:9">
      <c r="A39" s="75">
        <f t="shared" si="0"/>
        <v>30</v>
      </c>
      <c r="B39" s="986" t="s">
        <v>998</v>
      </c>
      <c r="C39" s="247">
        <v>0</v>
      </c>
      <c r="D39" s="247">
        <v>0</v>
      </c>
      <c r="E39" s="248">
        <f>AVERAGE(C39:D39)</f>
        <v>0</v>
      </c>
      <c r="F39" s="247">
        <f>-E39</f>
        <v>0</v>
      </c>
      <c r="G39" s="248">
        <f>SUM(E39:F39)</f>
        <v>0</v>
      </c>
      <c r="I39" s="1192"/>
    </row>
    <row r="40" spans="1:9">
      <c r="A40" s="75">
        <f t="shared" si="0"/>
        <v>31</v>
      </c>
      <c r="B40" s="121" t="s">
        <v>999</v>
      </c>
      <c r="C40" s="310">
        <f>SUM(C39)</f>
        <v>0</v>
      </c>
      <c r="D40" s="310">
        <f>SUM(D39)</f>
        <v>0</v>
      </c>
      <c r="E40" s="310">
        <f>SUM(E39)</f>
        <v>0</v>
      </c>
      <c r="F40" s="310">
        <f>SUM(F39)</f>
        <v>0</v>
      </c>
      <c r="G40" s="310">
        <f>SUM(G39)</f>
        <v>0</v>
      </c>
      <c r="I40" s="1192"/>
    </row>
    <row r="41" spans="1:9" ht="13.5" thickBot="1">
      <c r="A41" s="75">
        <f t="shared" si="0"/>
        <v>32</v>
      </c>
      <c r="C41" s="310"/>
      <c r="D41" s="310"/>
      <c r="E41" s="310"/>
      <c r="F41" s="310"/>
      <c r="G41" s="310"/>
      <c r="I41" s="1192"/>
    </row>
    <row r="42" spans="1:9" ht="13.5" thickBot="1">
      <c r="A42" s="75">
        <f t="shared" si="0"/>
        <v>33</v>
      </c>
      <c r="B42" s="985" t="s">
        <v>1299</v>
      </c>
      <c r="C42" s="248">
        <f>C40+C35+C27</f>
        <v>-2454381407.0875511</v>
      </c>
      <c r="D42" s="248">
        <f>D40+D35+D27</f>
        <v>-2585744841.8453918</v>
      </c>
      <c r="E42" s="696">
        <f>E40+E35+E27</f>
        <v>-2509735274.5550151</v>
      </c>
      <c r="F42" s="248">
        <f>F40+F35+F27</f>
        <v>1965841648.9856844</v>
      </c>
      <c r="G42" s="696">
        <f>G40+G37+G27</f>
        <v>-471453765.86341065</v>
      </c>
      <c r="I42" s="1192"/>
    </row>
    <row r="43" spans="1:9">
      <c r="A43" s="75">
        <f t="shared" si="0"/>
        <v>34</v>
      </c>
      <c r="B43" s="308"/>
      <c r="C43" s="310"/>
      <c r="D43" s="310"/>
      <c r="E43" s="310"/>
      <c r="F43" s="310"/>
      <c r="G43" s="310"/>
      <c r="I43" s="1192"/>
    </row>
    <row r="44" spans="1:9">
      <c r="A44" s="75">
        <f t="shared" si="0"/>
        <v>35</v>
      </c>
      <c r="B44" s="983" t="s">
        <v>1311</v>
      </c>
      <c r="C44" s="310"/>
      <c r="D44" s="310"/>
      <c r="E44" s="310"/>
      <c r="F44" s="310"/>
      <c r="G44" s="310"/>
      <c r="I44" s="1192"/>
    </row>
    <row r="45" spans="1:9">
      <c r="A45" s="75">
        <f t="shared" si="0"/>
        <v>36</v>
      </c>
      <c r="B45" s="58" t="s">
        <v>988</v>
      </c>
      <c r="C45" s="310"/>
      <c r="D45" s="310"/>
      <c r="E45" s="310"/>
      <c r="F45" s="310"/>
      <c r="G45" s="310"/>
      <c r="I45" s="1192"/>
    </row>
    <row r="46" spans="1:9">
      <c r="A46" s="75">
        <f t="shared" si="0"/>
        <v>37</v>
      </c>
      <c r="B46" s="984" t="s">
        <v>1000</v>
      </c>
      <c r="C46" s="244">
        <v>-829.09000000000037</v>
      </c>
      <c r="D46" s="244">
        <v>-800.58999999999958</v>
      </c>
      <c r="E46" s="245">
        <f>AVERAGE(C46:D46)</f>
        <v>-814.83999999999992</v>
      </c>
      <c r="F46" s="244">
        <f>-E46</f>
        <v>814.83999999999992</v>
      </c>
      <c r="G46" s="245">
        <f>SUM(E46:F46)</f>
        <v>0</v>
      </c>
      <c r="I46" s="1192"/>
    </row>
    <row r="47" spans="1:9">
      <c r="A47" s="75">
        <f t="shared" si="0"/>
        <v>38</v>
      </c>
      <c r="B47" s="984" t="s">
        <v>1186</v>
      </c>
      <c r="C47" s="244">
        <v>-1035170.34</v>
      </c>
      <c r="D47" s="244">
        <v>-987662.22</v>
      </c>
      <c r="E47" s="245">
        <f>AVERAGE(C47:D47)</f>
        <v>-1011416.28</v>
      </c>
      <c r="F47" s="244">
        <f>-E47</f>
        <v>1011416.28</v>
      </c>
      <c r="G47" s="245">
        <f>SUM(E47:F47)</f>
        <v>0</v>
      </c>
      <c r="I47" s="1192"/>
    </row>
    <row r="48" spans="1:9">
      <c r="A48" s="75">
        <f t="shared" si="0"/>
        <v>39</v>
      </c>
      <c r="B48" s="986" t="s">
        <v>1001</v>
      </c>
      <c r="C48" s="885">
        <v>-187429.03</v>
      </c>
      <c r="D48" s="885">
        <v>-139771.01999999999</v>
      </c>
      <c r="E48" s="245">
        <f>AVERAGE(C48:D48)</f>
        <v>-163600.02499999999</v>
      </c>
      <c r="F48" s="247">
        <f>-E48</f>
        <v>163600.02499999999</v>
      </c>
      <c r="G48" s="990">
        <f>SUM(E48:F48)</f>
        <v>0</v>
      </c>
      <c r="I48" s="1192"/>
    </row>
    <row r="49" spans="1:9">
      <c r="A49" s="75">
        <f t="shared" si="0"/>
        <v>40</v>
      </c>
      <c r="B49" s="58" t="s">
        <v>1579</v>
      </c>
      <c r="C49" s="1158"/>
      <c r="D49" s="1158"/>
      <c r="E49" s="1161">
        <f>'WP_ADIT Prorate'!J223</f>
        <v>-25548.239170091227</v>
      </c>
      <c r="F49" s="1160"/>
      <c r="G49" s="166">
        <f>SUM(E49:F49)</f>
        <v>-25548.239170091227</v>
      </c>
      <c r="I49" s="1192"/>
    </row>
    <row r="50" spans="1:9">
      <c r="A50" s="75">
        <f t="shared" si="0"/>
        <v>41</v>
      </c>
      <c r="B50" s="121" t="s">
        <v>790</v>
      </c>
      <c r="C50" s="245">
        <f>SUM(C46:C48)</f>
        <v>-1223428.46</v>
      </c>
      <c r="D50" s="245">
        <f>SUM(D46:D48)</f>
        <v>-1128233.8299999998</v>
      </c>
      <c r="E50" s="310">
        <f>SUM(E46:E49)</f>
        <v>-1201379.3841700912</v>
      </c>
      <c r="F50" s="310">
        <f>SUM(F46:F48)</f>
        <v>1175831.145</v>
      </c>
      <c r="G50" s="310">
        <f>SUM(G46:G49)</f>
        <v>-25548.239170091227</v>
      </c>
      <c r="I50" s="1192"/>
    </row>
    <row r="51" spans="1:9">
      <c r="A51" s="75">
        <f t="shared" si="0"/>
        <v>42</v>
      </c>
      <c r="B51" s="121"/>
      <c r="C51" s="310"/>
      <c r="D51" s="310"/>
      <c r="E51" s="310"/>
      <c r="F51" s="310"/>
      <c r="G51" s="310"/>
      <c r="I51" s="1192"/>
    </row>
    <row r="52" spans="1:9">
      <c r="A52" s="75">
        <f t="shared" si="0"/>
        <v>43</v>
      </c>
      <c r="B52" s="58" t="s">
        <v>1078</v>
      </c>
      <c r="C52" s="310"/>
      <c r="D52" s="310"/>
      <c r="E52" s="310"/>
      <c r="F52" s="310"/>
      <c r="G52" s="310"/>
      <c r="I52" s="1192"/>
    </row>
    <row r="53" spans="1:9">
      <c r="A53" s="75">
        <f t="shared" si="0"/>
        <v>44</v>
      </c>
      <c r="B53" s="986"/>
      <c r="C53" s="885">
        <v>0</v>
      </c>
      <c r="D53" s="885">
        <v>0</v>
      </c>
      <c r="E53" s="248">
        <f>AVERAGE(C53:D53)</f>
        <v>0</v>
      </c>
      <c r="F53" s="247">
        <v>0</v>
      </c>
      <c r="G53" s="248">
        <f>SUM(E53:F53)</f>
        <v>0</v>
      </c>
      <c r="I53" s="1192"/>
    </row>
    <row r="54" spans="1:9">
      <c r="A54" s="75">
        <f t="shared" si="0"/>
        <v>45</v>
      </c>
      <c r="B54" s="121" t="s">
        <v>790</v>
      </c>
      <c r="C54" s="991"/>
      <c r="D54" s="991"/>
      <c r="E54" s="310"/>
      <c r="F54" s="310"/>
      <c r="G54" s="310"/>
      <c r="I54" s="1192"/>
    </row>
    <row r="55" spans="1:9">
      <c r="A55" s="75">
        <f t="shared" si="0"/>
        <v>46</v>
      </c>
      <c r="B55" s="121"/>
      <c r="C55" s="310"/>
      <c r="D55" s="310"/>
      <c r="E55" s="310"/>
      <c r="F55" s="310"/>
      <c r="G55" s="310"/>
      <c r="I55" s="1192"/>
    </row>
    <row r="56" spans="1:9">
      <c r="A56" s="75">
        <f t="shared" si="0"/>
        <v>47</v>
      </c>
      <c r="B56" s="58" t="s">
        <v>1295</v>
      </c>
      <c r="C56" s="310"/>
      <c r="D56" s="310"/>
      <c r="E56" s="310"/>
      <c r="F56" s="310"/>
      <c r="G56" s="310"/>
      <c r="I56" s="1192"/>
    </row>
    <row r="57" spans="1:9">
      <c r="A57" s="75">
        <f t="shared" si="0"/>
        <v>48</v>
      </c>
      <c r="B57" s="986" t="s">
        <v>949</v>
      </c>
      <c r="C57" s="244">
        <v>-2273.2051630399978</v>
      </c>
      <c r="D57" s="244">
        <v>-319.09232086000043</v>
      </c>
      <c r="E57" s="245">
        <f>AVERAGE(C57:D57)</f>
        <v>-1296.148741949999</v>
      </c>
      <c r="F57" s="244">
        <v>0</v>
      </c>
      <c r="G57" s="310">
        <f>SUM(E57:F57)</f>
        <v>-1296.148741949999</v>
      </c>
      <c r="I57" s="1192"/>
    </row>
    <row r="58" spans="1:9">
      <c r="A58" s="75">
        <f t="shared" si="0"/>
        <v>49</v>
      </c>
      <c r="B58" s="986" t="s">
        <v>568</v>
      </c>
      <c r="C58" s="244">
        <v>-18872634.921251848</v>
      </c>
      <c r="D58" s="244">
        <v>-35960755.333613813</v>
      </c>
      <c r="E58" s="245">
        <f>AVERAGE(C58:D58)</f>
        <v>-27416695.127432831</v>
      </c>
      <c r="F58" s="244">
        <f>'WP_B-Inputs Est.'!K110</f>
        <v>523783.70142292848</v>
      </c>
      <c r="G58" s="310">
        <f>SUM(E58:F58)</f>
        <v>-26892911.426009901</v>
      </c>
      <c r="I58" s="1192"/>
    </row>
    <row r="59" spans="1:9">
      <c r="A59" s="75">
        <f t="shared" si="0"/>
        <v>50</v>
      </c>
      <c r="B59" s="986" t="s">
        <v>1002</v>
      </c>
      <c r="C59" s="244">
        <v>-616572.3200000003</v>
      </c>
      <c r="D59" s="244">
        <v>-545824.10000000079</v>
      </c>
      <c r="E59" s="245">
        <f>AVERAGE(C59:D59)</f>
        <v>-581198.21000000054</v>
      </c>
      <c r="F59" s="244">
        <v>0</v>
      </c>
      <c r="G59" s="310">
        <f>SUM(E59:F59)</f>
        <v>-581198.21000000054</v>
      </c>
      <c r="I59" s="1192"/>
    </row>
    <row r="60" spans="1:9">
      <c r="A60" s="75">
        <f t="shared" si="0"/>
        <v>51</v>
      </c>
      <c r="B60" s="986" t="s">
        <v>569</v>
      </c>
      <c r="C60" s="885">
        <v>-8966701.3000000045</v>
      </c>
      <c r="D60" s="885">
        <v>-8671779.5600000024</v>
      </c>
      <c r="E60" s="245">
        <f>AVERAGE(C60:D60)</f>
        <v>-8819240.4300000034</v>
      </c>
      <c r="F60" s="247">
        <f>'WP_B-Inputs Est.'!E110</f>
        <v>-519529.73656367173</v>
      </c>
      <c r="G60" s="248">
        <f>SUM(E60:F60)</f>
        <v>-9338770.1665636748</v>
      </c>
      <c r="I60" s="1192"/>
    </row>
    <row r="61" spans="1:9">
      <c r="A61" s="75">
        <f t="shared" si="0"/>
        <v>52</v>
      </c>
      <c r="B61" s="58" t="s">
        <v>1579</v>
      </c>
      <c r="C61" s="1158"/>
      <c r="D61" s="1158"/>
      <c r="E61" s="1161">
        <f>'WP_ADIT Prorate'!J254</f>
        <v>4487430.0107546821</v>
      </c>
      <c r="F61" s="1160"/>
      <c r="G61" s="166">
        <f>SUM(E61:F61)</f>
        <v>4487430.0107546821</v>
      </c>
      <c r="I61" s="1192"/>
    </row>
    <row r="62" spans="1:9">
      <c r="A62" s="75">
        <f t="shared" si="0"/>
        <v>53</v>
      </c>
      <c r="B62" s="121" t="s">
        <v>790</v>
      </c>
      <c r="C62" s="245">
        <f>SUM(C57:C60)</f>
        <v>-28458181.746414892</v>
      </c>
      <c r="D62" s="245">
        <f>SUM(D57:D60)</f>
        <v>-45178678.085934676</v>
      </c>
      <c r="E62" s="310">
        <f>SUM(E57:E61)</f>
        <v>-32330999.905420102</v>
      </c>
      <c r="F62" s="310">
        <f>SUM(F57:F60)</f>
        <v>4253.9648592567537</v>
      </c>
      <c r="G62" s="310">
        <f>SUM(G57:G61)</f>
        <v>-32326745.94056084</v>
      </c>
      <c r="I62" s="1192"/>
    </row>
    <row r="63" spans="1:9">
      <c r="A63" s="75">
        <f t="shared" si="0"/>
        <v>54</v>
      </c>
      <c r="B63" s="180" t="s">
        <v>1582</v>
      </c>
      <c r="C63" s="310"/>
      <c r="D63" s="310"/>
      <c r="E63" s="310"/>
      <c r="F63" s="310"/>
      <c r="G63" s="992">
        <f>G36</f>
        <v>0.11383</v>
      </c>
      <c r="H63" s="94"/>
      <c r="I63" s="1192"/>
    </row>
    <row r="64" spans="1:9">
      <c r="A64" s="75">
        <f t="shared" si="0"/>
        <v>55</v>
      </c>
      <c r="B64" s="180" t="s">
        <v>1296</v>
      </c>
      <c r="C64" s="310"/>
      <c r="D64" s="310"/>
      <c r="E64" s="310"/>
      <c r="F64" s="310"/>
      <c r="G64" s="310">
        <f>G62*G63</f>
        <v>-3679753.4904140406</v>
      </c>
      <c r="I64" s="1192"/>
    </row>
    <row r="65" spans="1:9">
      <c r="A65" s="75">
        <f t="shared" si="0"/>
        <v>56</v>
      </c>
      <c r="C65" s="310"/>
      <c r="D65" s="310"/>
      <c r="E65" s="310"/>
      <c r="F65" s="310"/>
      <c r="G65" s="310"/>
      <c r="I65" s="1192"/>
    </row>
    <row r="66" spans="1:9">
      <c r="A66" s="75">
        <f t="shared" si="0"/>
        <v>57</v>
      </c>
      <c r="B66" s="73" t="s">
        <v>1003</v>
      </c>
      <c r="C66" s="310"/>
      <c r="D66" s="310"/>
      <c r="E66" s="310"/>
      <c r="F66" s="310"/>
      <c r="G66" s="310"/>
      <c r="I66" s="1192"/>
    </row>
    <row r="67" spans="1:9">
      <c r="A67" s="75">
        <f t="shared" si="0"/>
        <v>58</v>
      </c>
      <c r="B67" s="986" t="s">
        <v>1004</v>
      </c>
      <c r="C67" s="244">
        <v>-118689.52000000002</v>
      </c>
      <c r="D67" s="244">
        <v>118985.72999999998</v>
      </c>
      <c r="E67" s="245">
        <f>AVERAGE(C67:D67)</f>
        <v>148.10499999998137</v>
      </c>
      <c r="F67" s="244">
        <v>0</v>
      </c>
      <c r="G67" s="310">
        <f>SUM(E67:F67)</f>
        <v>148.10499999998137</v>
      </c>
      <c r="I67" s="1192"/>
    </row>
    <row r="68" spans="1:9">
      <c r="A68" s="75">
        <f t="shared" si="0"/>
        <v>59</v>
      </c>
      <c r="B68" s="986" t="s">
        <v>1297</v>
      </c>
      <c r="C68" s="885">
        <v>-76026642.810000017</v>
      </c>
      <c r="D68" s="885">
        <v>-68628983.019999996</v>
      </c>
      <c r="E68" s="245">
        <f>AVERAGE(C68:D68)</f>
        <v>-72327812.915000007</v>
      </c>
      <c r="F68" s="247">
        <f>-E68</f>
        <v>72327812.915000007</v>
      </c>
      <c r="G68" s="248">
        <f>SUM(E68:F68)</f>
        <v>0</v>
      </c>
      <c r="I68" s="1192"/>
    </row>
    <row r="69" spans="1:9">
      <c r="A69" s="75">
        <f t="shared" si="0"/>
        <v>60</v>
      </c>
      <c r="B69" s="121" t="s">
        <v>1005</v>
      </c>
      <c r="C69" s="991">
        <f>SUM(C67:C68)</f>
        <v>-76145332.330000013</v>
      </c>
      <c r="D69" s="991">
        <f>SUM(D67:D68)</f>
        <v>-68509997.289999992</v>
      </c>
      <c r="E69" s="991">
        <f>SUM(E67:E68)</f>
        <v>-72327664.810000002</v>
      </c>
      <c r="F69" s="310">
        <f>SUM(F67:F68)</f>
        <v>72327812.915000007</v>
      </c>
      <c r="G69" s="310">
        <f>SUM(G67:G68)</f>
        <v>148.10499999998137</v>
      </c>
      <c r="I69" s="1192"/>
    </row>
    <row r="70" spans="1:9">
      <c r="A70" s="75">
        <f t="shared" si="0"/>
        <v>61</v>
      </c>
      <c r="B70" s="180" t="s">
        <v>1582</v>
      </c>
      <c r="C70" s="310"/>
      <c r="D70" s="310"/>
      <c r="E70" s="310"/>
      <c r="F70" s="310"/>
      <c r="G70" s="992">
        <f>WS</f>
        <v>0.11383</v>
      </c>
      <c r="I70" s="1192"/>
    </row>
    <row r="71" spans="1:9">
      <c r="A71" s="75">
        <f t="shared" si="0"/>
        <v>62</v>
      </c>
      <c r="B71" s="180" t="s">
        <v>1296</v>
      </c>
      <c r="C71" s="310"/>
      <c r="D71" s="310"/>
      <c r="E71" s="310"/>
      <c r="F71" s="310"/>
      <c r="G71" s="310">
        <f>G69*G70</f>
        <v>16.858792149997878</v>
      </c>
      <c r="I71" s="1192"/>
    </row>
    <row r="72" spans="1:9">
      <c r="A72" s="75">
        <f t="shared" si="0"/>
        <v>63</v>
      </c>
      <c r="B72" s="121"/>
      <c r="C72" s="310"/>
      <c r="D72" s="310"/>
      <c r="E72" s="310"/>
      <c r="F72" s="310"/>
      <c r="G72" s="310"/>
      <c r="I72" s="1192"/>
    </row>
    <row r="73" spans="1:9">
      <c r="A73" s="75">
        <f t="shared" si="0"/>
        <v>64</v>
      </c>
      <c r="B73" s="73" t="s">
        <v>1006</v>
      </c>
      <c r="C73" s="310"/>
      <c r="D73" s="310"/>
      <c r="E73" s="310"/>
      <c r="F73" s="310"/>
      <c r="G73" s="310"/>
      <c r="I73" s="1192"/>
    </row>
    <row r="74" spans="1:9">
      <c r="A74" s="75">
        <f t="shared" si="0"/>
        <v>65</v>
      </c>
      <c r="B74" s="986" t="s">
        <v>1052</v>
      </c>
      <c r="C74" s="244">
        <v>-1464637.2400000002</v>
      </c>
      <c r="D74" s="244">
        <v>-1464637.2400000002</v>
      </c>
      <c r="E74" s="245">
        <f>AVERAGE(C74:D74)</f>
        <v>-1464637.2400000002</v>
      </c>
      <c r="F74" s="244"/>
      <c r="G74" s="310">
        <f>SUM(E74:F74)</f>
        <v>-1464637.2400000002</v>
      </c>
      <c r="I74" s="1192"/>
    </row>
    <row r="75" spans="1:9">
      <c r="A75" s="75">
        <f t="shared" si="0"/>
        <v>66</v>
      </c>
      <c r="B75" s="986" t="s">
        <v>1188</v>
      </c>
      <c r="C75" s="244">
        <v>4560.78</v>
      </c>
      <c r="D75" s="244">
        <v>4560.78</v>
      </c>
      <c r="E75" s="245">
        <f>AVERAGE(C75:D75)</f>
        <v>4560.78</v>
      </c>
      <c r="F75" s="244">
        <f>-E75</f>
        <v>-4560.78</v>
      </c>
      <c r="G75" s="310">
        <f>SUM(E75:F75)</f>
        <v>0</v>
      </c>
      <c r="I75" s="1192"/>
    </row>
    <row r="76" spans="1:9">
      <c r="A76" s="75">
        <f t="shared" si="0"/>
        <v>67</v>
      </c>
      <c r="B76" s="986" t="s">
        <v>1187</v>
      </c>
      <c r="C76" s="244">
        <v>-672056.29</v>
      </c>
      <c r="D76" s="244">
        <v>-592208.02</v>
      </c>
      <c r="E76" s="245">
        <f>AVERAGE(C76:D76)</f>
        <v>-632132.15500000003</v>
      </c>
      <c r="F76" s="244"/>
      <c r="G76" s="310">
        <f>SUM(E76:F76)</f>
        <v>-632132.15500000003</v>
      </c>
      <c r="I76" s="1192"/>
    </row>
    <row r="77" spans="1:9">
      <c r="A77" s="75">
        <f t="shared" si="0"/>
        <v>68</v>
      </c>
      <c r="B77" s="986" t="s">
        <v>1053</v>
      </c>
      <c r="C77" s="885">
        <v>-2057192.2200000002</v>
      </c>
      <c r="D77" s="885">
        <v>-1660993.3699999999</v>
      </c>
      <c r="E77" s="245">
        <f>AVERAGE(C77:D77)</f>
        <v>-1859092.7949999999</v>
      </c>
      <c r="F77" s="247"/>
      <c r="G77" s="248">
        <f>SUM(E77:F77)</f>
        <v>-1859092.7949999999</v>
      </c>
      <c r="I77" s="1192"/>
    </row>
    <row r="78" spans="1:9">
      <c r="A78" s="75">
        <f t="shared" si="0"/>
        <v>69</v>
      </c>
      <c r="B78" s="58" t="s">
        <v>1579</v>
      </c>
      <c r="C78" s="1158"/>
      <c r="D78" s="1158"/>
      <c r="E78" s="1161">
        <f>'WP_ADIT Prorate'!J285</f>
        <v>-127761.04784474894</v>
      </c>
      <c r="F78" s="1160"/>
      <c r="G78" s="166">
        <f>SUM(E78:F78)</f>
        <v>-127761.04784474894</v>
      </c>
      <c r="I78" s="1192"/>
    </row>
    <row r="79" spans="1:9">
      <c r="A79" s="75">
        <f t="shared" si="0"/>
        <v>70</v>
      </c>
      <c r="B79" s="121" t="s">
        <v>1054</v>
      </c>
      <c r="C79" s="245">
        <f>SUM(C74:C77)</f>
        <v>-4189324.97</v>
      </c>
      <c r="D79" s="245">
        <f>SUM(D74:D77)</f>
        <v>-3713277.85</v>
      </c>
      <c r="E79" s="310">
        <f>SUM(E74:E78)</f>
        <v>-4079062.4578447491</v>
      </c>
      <c r="F79" s="310">
        <f>SUM(F74:F77)</f>
        <v>-4560.78</v>
      </c>
      <c r="G79" s="310">
        <f>SUM(G74:G78)</f>
        <v>-4083623.2378447494</v>
      </c>
      <c r="I79" s="1192"/>
    </row>
    <row r="80" spans="1:9">
      <c r="A80" s="75">
        <f t="shared" si="0"/>
        <v>71</v>
      </c>
      <c r="B80" s="993" t="s">
        <v>1583</v>
      </c>
      <c r="C80" s="310"/>
      <c r="D80" s="310"/>
      <c r="E80" s="310"/>
      <c r="F80" s="310"/>
      <c r="G80" s="992">
        <f>NP</f>
        <v>0.18055531137819167</v>
      </c>
      <c r="H80" s="94"/>
      <c r="I80" s="1192"/>
    </row>
    <row r="81" spans="1:9">
      <c r="A81" s="75">
        <f t="shared" ref="A81:A98" si="4">A80+1</f>
        <v>72</v>
      </c>
      <c r="B81" s="993" t="s">
        <v>1055</v>
      </c>
      <c r="C81" s="310"/>
      <c r="D81" s="310"/>
      <c r="E81" s="310"/>
      <c r="F81" s="310"/>
      <c r="G81" s="310">
        <f>G79*G80</f>
        <v>-737319.86526027799</v>
      </c>
      <c r="I81" s="1192"/>
    </row>
    <row r="82" spans="1:9">
      <c r="A82" s="75">
        <f t="shared" si="4"/>
        <v>73</v>
      </c>
      <c r="C82" s="310"/>
      <c r="D82" s="310"/>
      <c r="E82" s="310"/>
      <c r="F82" s="310"/>
      <c r="G82" s="310"/>
      <c r="I82" s="1192"/>
    </row>
    <row r="83" spans="1:9">
      <c r="A83" s="75">
        <f t="shared" si="4"/>
        <v>74</v>
      </c>
      <c r="B83" s="73" t="s">
        <v>1056</v>
      </c>
      <c r="C83" s="310"/>
      <c r="D83" s="310"/>
      <c r="E83" s="310"/>
      <c r="F83" s="310"/>
      <c r="G83" s="310"/>
      <c r="I83" s="1192"/>
    </row>
    <row r="84" spans="1:9">
      <c r="A84" s="75">
        <f t="shared" si="4"/>
        <v>75</v>
      </c>
      <c r="B84" s="986" t="s">
        <v>1057</v>
      </c>
      <c r="C84" s="244">
        <v>0</v>
      </c>
      <c r="D84" s="244">
        <v>0</v>
      </c>
      <c r="E84" s="245">
        <f t="shared" ref="E84:E90" si="5">AVERAGE(C84:D84)</f>
        <v>0</v>
      </c>
      <c r="F84" s="885">
        <f t="shared" ref="F84:F90" si="6">-E84</f>
        <v>0</v>
      </c>
      <c r="G84" s="310">
        <f t="shared" ref="G84:G90" si="7">SUM(E84:F84)</f>
        <v>0</v>
      </c>
      <c r="I84" s="1192"/>
    </row>
    <row r="85" spans="1:9">
      <c r="A85" s="75">
        <f t="shared" si="4"/>
        <v>76</v>
      </c>
      <c r="B85" s="986" t="s">
        <v>1190</v>
      </c>
      <c r="C85" s="244">
        <v>0</v>
      </c>
      <c r="D85" s="244">
        <v>0</v>
      </c>
      <c r="E85" s="245">
        <f t="shared" si="5"/>
        <v>0</v>
      </c>
      <c r="F85" s="244">
        <f t="shared" si="6"/>
        <v>0</v>
      </c>
      <c r="G85" s="310">
        <f t="shared" si="7"/>
        <v>0</v>
      </c>
      <c r="I85" s="1192"/>
    </row>
    <row r="86" spans="1:9">
      <c r="A86" s="75">
        <f t="shared" si="4"/>
        <v>77</v>
      </c>
      <c r="B86" s="986" t="s">
        <v>1191</v>
      </c>
      <c r="C86" s="244">
        <v>-1038844.2</v>
      </c>
      <c r="D86" s="244">
        <v>-760130</v>
      </c>
      <c r="E86" s="245">
        <f t="shared" si="5"/>
        <v>-899487.1</v>
      </c>
      <c r="F86" s="244">
        <f t="shared" si="6"/>
        <v>899487.1</v>
      </c>
      <c r="G86" s="310">
        <f t="shared" si="7"/>
        <v>0</v>
      </c>
      <c r="I86" s="1192"/>
    </row>
    <row r="87" spans="1:9">
      <c r="A87" s="75">
        <f t="shared" si="4"/>
        <v>78</v>
      </c>
      <c r="B87" s="986" t="s">
        <v>1193</v>
      </c>
      <c r="C87" s="244">
        <v>-760130</v>
      </c>
      <c r="D87" s="244">
        <v>0</v>
      </c>
      <c r="E87" s="245">
        <f t="shared" si="5"/>
        <v>-380065</v>
      </c>
      <c r="F87" s="244">
        <f t="shared" si="6"/>
        <v>380065</v>
      </c>
      <c r="G87" s="310">
        <f t="shared" si="7"/>
        <v>0</v>
      </c>
      <c r="I87" s="1192"/>
    </row>
    <row r="88" spans="1:9">
      <c r="A88" s="75">
        <f t="shared" si="4"/>
        <v>79</v>
      </c>
      <c r="B88" s="986" t="s">
        <v>1192</v>
      </c>
      <c r="C88" s="244">
        <v>-7941078.4900000002</v>
      </c>
      <c r="D88" s="244">
        <v>-4621230.8500000006</v>
      </c>
      <c r="E88" s="245">
        <f t="shared" si="5"/>
        <v>-6281154.6699999999</v>
      </c>
      <c r="F88" s="994">
        <f t="shared" si="6"/>
        <v>6281154.6699999999</v>
      </c>
      <c r="G88" s="310">
        <f t="shared" si="7"/>
        <v>0</v>
      </c>
      <c r="I88" s="1192"/>
    </row>
    <row r="89" spans="1:9">
      <c r="A89" s="75">
        <f t="shared" si="4"/>
        <v>80</v>
      </c>
      <c r="B89" s="986" t="s">
        <v>1189</v>
      </c>
      <c r="C89" s="244">
        <v>0</v>
      </c>
      <c r="D89" s="244">
        <v>0</v>
      </c>
      <c r="E89" s="245">
        <f t="shared" si="5"/>
        <v>0</v>
      </c>
      <c r="F89" s="244"/>
      <c r="G89" s="310">
        <f>SUM(E89:F89)</f>
        <v>0</v>
      </c>
      <c r="I89" s="1192"/>
    </row>
    <row r="90" spans="1:9">
      <c r="A90" s="75">
        <f t="shared" si="4"/>
        <v>81</v>
      </c>
      <c r="B90" s="986" t="s">
        <v>1058</v>
      </c>
      <c r="C90" s="244">
        <v>-3701.6499999999996</v>
      </c>
      <c r="D90" s="244">
        <v>-3701.6499999999996</v>
      </c>
      <c r="E90" s="245">
        <f t="shared" si="5"/>
        <v>-3701.6499999999996</v>
      </c>
      <c r="F90" s="247">
        <f t="shared" si="6"/>
        <v>3701.6499999999996</v>
      </c>
      <c r="G90" s="248">
        <f t="shared" si="7"/>
        <v>0</v>
      </c>
      <c r="I90" s="1192"/>
    </row>
    <row r="91" spans="1:9">
      <c r="A91" s="75">
        <f t="shared" si="4"/>
        <v>82</v>
      </c>
      <c r="B91" s="73" t="s">
        <v>1059</v>
      </c>
      <c r="C91" s="991">
        <f>SUM(C84:C90)</f>
        <v>-9743754.3399999999</v>
      </c>
      <c r="D91" s="991">
        <f>SUM(D84:D90)</f>
        <v>-5385062.5000000009</v>
      </c>
      <c r="E91" s="991">
        <f>SUM(E84:E90)</f>
        <v>-7564408.4199999999</v>
      </c>
      <c r="F91" s="310">
        <f>SUM(F84:F90)</f>
        <v>7564408.4199999999</v>
      </c>
      <c r="G91" s="310">
        <f>SUM(G84:G90)</f>
        <v>0</v>
      </c>
      <c r="I91" s="1192"/>
    </row>
    <row r="92" spans="1:9">
      <c r="A92" s="75">
        <f t="shared" si="4"/>
        <v>83</v>
      </c>
      <c r="C92" s="310"/>
      <c r="D92" s="310"/>
      <c r="E92" s="310"/>
      <c r="F92" s="310"/>
      <c r="G92" s="310"/>
      <c r="I92" s="1192"/>
    </row>
    <row r="93" spans="1:9">
      <c r="A93" s="75">
        <f t="shared" si="4"/>
        <v>84</v>
      </c>
      <c r="B93" s="73" t="s">
        <v>110</v>
      </c>
      <c r="C93" s="310"/>
      <c r="D93" s="310"/>
      <c r="E93" s="310"/>
      <c r="F93" s="310"/>
      <c r="G93" s="310"/>
      <c r="I93" s="1192"/>
    </row>
    <row r="94" spans="1:9">
      <c r="A94" s="75">
        <f t="shared" si="4"/>
        <v>85</v>
      </c>
      <c r="B94" s="986"/>
      <c r="C94" s="885"/>
      <c r="D94" s="885">
        <v>0</v>
      </c>
      <c r="E94" s="245">
        <f>AVERAGE(C94:D94)</f>
        <v>0</v>
      </c>
      <c r="F94" s="244">
        <f>-E94</f>
        <v>0</v>
      </c>
      <c r="G94" s="310">
        <f>SUM(E94:F94)</f>
        <v>0</v>
      </c>
      <c r="I94" s="1192"/>
    </row>
    <row r="95" spans="1:9">
      <c r="A95" s="75">
        <f t="shared" si="4"/>
        <v>86</v>
      </c>
      <c r="B95" s="986" t="s">
        <v>1062</v>
      </c>
      <c r="C95" s="885">
        <v>-3040520</v>
      </c>
      <c r="D95" s="885">
        <v>-3040520</v>
      </c>
      <c r="E95" s="245">
        <f>AVERAGE(C95:D95)</f>
        <v>-3040520</v>
      </c>
      <c r="F95" s="247">
        <f>-E95</f>
        <v>3040520</v>
      </c>
      <c r="G95" s="248">
        <f>SUM(E95:F95)</f>
        <v>0</v>
      </c>
      <c r="I95" s="1192"/>
    </row>
    <row r="96" spans="1:9">
      <c r="A96" s="75">
        <f t="shared" si="4"/>
        <v>87</v>
      </c>
      <c r="B96" s="73" t="s">
        <v>1063</v>
      </c>
      <c r="C96" s="991">
        <f>SUM(C94:C95)</f>
        <v>-3040520</v>
      </c>
      <c r="D96" s="991">
        <f>SUM(D94:D95)</f>
        <v>-3040520</v>
      </c>
      <c r="E96" s="991">
        <f>SUM(E94:E95)</f>
        <v>-3040520</v>
      </c>
      <c r="F96" s="310">
        <f>SUM(F94:F95)</f>
        <v>3040520</v>
      </c>
      <c r="G96" s="310">
        <f>SUM(G94:G95)</f>
        <v>0</v>
      </c>
      <c r="I96" s="1192"/>
    </row>
    <row r="97" spans="1:9" ht="13.5" thickBot="1">
      <c r="A97" s="75">
        <f t="shared" si="4"/>
        <v>88</v>
      </c>
      <c r="C97" s="245"/>
      <c r="D97" s="245"/>
      <c r="E97" s="245"/>
      <c r="F97" s="245"/>
      <c r="G97" s="245"/>
      <c r="I97" s="1192"/>
    </row>
    <row r="98" spans="1:9" ht="13.5" thickBot="1">
      <c r="A98" s="75">
        <f t="shared" si="4"/>
        <v>89</v>
      </c>
      <c r="B98" s="308" t="s">
        <v>1300</v>
      </c>
      <c r="C98" s="995">
        <f>C96+C91+C79+C69+C62+C53+C50</f>
        <v>-122800541.84641491</v>
      </c>
      <c r="D98" s="995">
        <f>D96+D91+D79+D69+D62+D53+D50</f>
        <v>-126955769.55593465</v>
      </c>
      <c r="E98" s="996">
        <f>E96+E91+E79+E69+E62+E53+E50</f>
        <v>-120544034.97743493</v>
      </c>
      <c r="F98" s="995">
        <f>F96+F91+F79+F69+F62+F53+F50</f>
        <v>84108265.664859265</v>
      </c>
      <c r="G98" s="996">
        <f>G96+G91+G81+G71+G64+G53+G50</f>
        <v>-4442604.7360522598</v>
      </c>
    </row>
    <row r="99" spans="1:9">
      <c r="C99" s="310"/>
      <c r="D99" s="310"/>
      <c r="E99" s="310"/>
      <c r="F99" s="310"/>
      <c r="G99" s="310"/>
    </row>
    <row r="100" spans="1:9">
      <c r="C100" s="94"/>
    </row>
    <row r="101" spans="1:9" ht="26.25" customHeight="1">
      <c r="A101" s="997" t="s">
        <v>870</v>
      </c>
      <c r="B101" s="1232" t="s">
        <v>209</v>
      </c>
      <c r="C101" s="1232"/>
      <c r="D101" s="1232"/>
      <c r="E101" s="1232"/>
      <c r="F101" s="1232"/>
      <c r="G101" s="1232"/>
    </row>
    <row r="102" spans="1:9">
      <c r="A102" s="75" t="s">
        <v>870</v>
      </c>
      <c r="B102" s="73" t="s">
        <v>386</v>
      </c>
    </row>
    <row r="103" spans="1:9">
      <c r="A103" s="75" t="s">
        <v>870</v>
      </c>
      <c r="B103" s="73" t="s">
        <v>1333</v>
      </c>
    </row>
    <row r="104" spans="1:9">
      <c r="A104" s="450" t="s">
        <v>870</v>
      </c>
      <c r="B104" s="309" t="s">
        <v>1309</v>
      </c>
      <c r="C104" s="308"/>
      <c r="D104" s="308"/>
      <c r="E104" s="308"/>
      <c r="F104" s="308"/>
    </row>
    <row r="105" spans="1:9">
      <c r="A105" s="75" t="s">
        <v>870</v>
      </c>
      <c r="B105" s="73" t="s">
        <v>1661</v>
      </c>
    </row>
    <row r="106" spans="1:9">
      <c r="A106" s="998" t="str">
        <f>A1</f>
        <v>Public Service Company of Colorado</v>
      </c>
      <c r="B106" s="309"/>
      <c r="C106" s="309"/>
      <c r="D106" s="309"/>
      <c r="E106" s="309"/>
      <c r="F106" s="309"/>
      <c r="G106" s="999" t="str">
        <f>G1</f>
        <v>Table 8</v>
      </c>
    </row>
    <row r="107" spans="1:9">
      <c r="A107" s="998" t="str">
        <f>A2</f>
        <v>Transmission Formula Rate Template</v>
      </c>
      <c r="B107" s="309"/>
      <c r="C107" s="309"/>
      <c r="D107" s="309"/>
      <c r="E107" s="309"/>
      <c r="F107" s="309"/>
      <c r="G107" s="999" t="str">
        <f>G2</f>
        <v>WP_B-2</v>
      </c>
    </row>
    <row r="108" spans="1:9">
      <c r="A108" s="998" t="str">
        <f>A3</f>
        <v>Twelve Months Ended December 31, 2017</v>
      </c>
      <c r="B108" s="309"/>
      <c r="C108" s="309"/>
      <c r="D108" s="309"/>
      <c r="E108" s="309"/>
      <c r="F108" s="309"/>
      <c r="G108" s="309"/>
    </row>
    <row r="109" spans="1:9">
      <c r="A109" s="998" t="str">
        <f>A4</f>
        <v>Accumulated Deferred Income Taxes (Credits)</v>
      </c>
      <c r="B109" s="309"/>
      <c r="C109" s="309"/>
      <c r="D109" s="309"/>
      <c r="E109" s="309"/>
      <c r="F109" s="309"/>
      <c r="G109" s="309"/>
    </row>
    <row r="110" spans="1:9">
      <c r="A110" s="998"/>
      <c r="B110" s="309"/>
      <c r="C110" s="309"/>
      <c r="D110" s="309"/>
      <c r="E110" s="309"/>
      <c r="F110" s="309"/>
      <c r="G110" s="309"/>
    </row>
    <row r="111" spans="1:9">
      <c r="A111" s="979" t="s">
        <v>1334</v>
      </c>
    </row>
    <row r="112" spans="1:9">
      <c r="A112" s="443"/>
      <c r="B112" s="443"/>
      <c r="C112" s="1231" t="s">
        <v>970</v>
      </c>
      <c r="D112" s="1231"/>
      <c r="E112" s="443"/>
      <c r="F112" s="443"/>
      <c r="G112" s="443" t="s">
        <v>971</v>
      </c>
    </row>
    <row r="113" spans="1:11" ht="25.5">
      <c r="A113" s="981" t="s">
        <v>862</v>
      </c>
      <c r="B113" s="981" t="s">
        <v>984</v>
      </c>
      <c r="C113" s="1155">
        <f>C8</f>
        <v>42735</v>
      </c>
      <c r="D113" s="1155">
        <f>D8</f>
        <v>43100</v>
      </c>
      <c r="E113" s="982" t="s">
        <v>1574</v>
      </c>
      <c r="F113" s="982" t="s">
        <v>986</v>
      </c>
      <c r="G113" s="982" t="s">
        <v>985</v>
      </c>
    </row>
    <row r="114" spans="1:11">
      <c r="C114" s="980" t="s">
        <v>358</v>
      </c>
      <c r="D114" s="980" t="s">
        <v>357</v>
      </c>
      <c r="E114" s="980" t="s">
        <v>359</v>
      </c>
      <c r="F114" s="980" t="s">
        <v>360</v>
      </c>
      <c r="G114" s="980" t="s">
        <v>361</v>
      </c>
    </row>
    <row r="115" spans="1:11">
      <c r="A115" s="75">
        <v>1</v>
      </c>
      <c r="B115" s="983" t="s">
        <v>1310</v>
      </c>
      <c r="I115" s="1194" t="s">
        <v>1839</v>
      </c>
    </row>
    <row r="116" spans="1:11">
      <c r="A116" s="75">
        <f t="shared" ref="A116:A187" si="8">A115+1</f>
        <v>2</v>
      </c>
      <c r="B116" s="984" t="s">
        <v>987</v>
      </c>
      <c r="C116" s="247">
        <v>-129906427.61</v>
      </c>
      <c r="D116" s="247">
        <v>-139487480.18000001</v>
      </c>
      <c r="E116" s="987">
        <f>AVERAGE(C116:D116)</f>
        <v>-134696953.89500001</v>
      </c>
      <c r="F116" s="247">
        <f>-E116</f>
        <v>134696953.89500001</v>
      </c>
      <c r="G116" s="245">
        <f>SUM(E116:F116)</f>
        <v>0</v>
      </c>
      <c r="I116" s="1195">
        <f>'WP_ADIT Prorate'!Q108-C118</f>
        <v>0</v>
      </c>
    </row>
    <row r="117" spans="1:11" ht="13.5" thickBot="1">
      <c r="A117" s="75">
        <f t="shared" si="8"/>
        <v>3</v>
      </c>
      <c r="B117" s="58" t="s">
        <v>1579</v>
      </c>
      <c r="C117" s="1156"/>
      <c r="D117" s="1156"/>
      <c r="E117" s="1160">
        <f>'WP_ADIT Prorate'!Q130</f>
        <v>892841.44118604064</v>
      </c>
      <c r="F117" s="1160">
        <f>-E117</f>
        <v>-892841.44118604064</v>
      </c>
      <c r="G117" s="1160">
        <f>SUM(E117:F117)</f>
        <v>0</v>
      </c>
      <c r="I117" s="1195">
        <f>'WP_ADIT Prorate'!Q108+'WP_ADIT Prorate'!L121-D118</f>
        <v>0</v>
      </c>
    </row>
    <row r="118" spans="1:11" ht="13.5" thickBot="1">
      <c r="A118" s="75">
        <f t="shared" si="8"/>
        <v>4</v>
      </c>
      <c r="B118" s="985" t="s">
        <v>1298</v>
      </c>
      <c r="C118" s="166">
        <f>SUM(C116)</f>
        <v>-129906427.61</v>
      </c>
      <c r="D118" s="166">
        <f>SUM(D116)</f>
        <v>-139487480.18000001</v>
      </c>
      <c r="E118" s="1000">
        <f>SUM(E116:E117)</f>
        <v>-133804112.45381397</v>
      </c>
      <c r="F118" s="166">
        <f>SUM(F116)</f>
        <v>134696953.89500001</v>
      </c>
      <c r="G118" s="696">
        <f>SUM(G116:G117)</f>
        <v>0</v>
      </c>
      <c r="I118" s="1195">
        <f>'WP_ADIT Prorate'!Q130-G117+F117</f>
        <v>0</v>
      </c>
    </row>
    <row r="119" spans="1:11">
      <c r="A119" s="75">
        <f t="shared" si="8"/>
        <v>5</v>
      </c>
      <c r="B119" s="308"/>
      <c r="C119" s="310"/>
      <c r="D119" s="310"/>
      <c r="E119" s="310"/>
      <c r="F119" s="310"/>
      <c r="G119" s="310"/>
    </row>
    <row r="120" spans="1:11">
      <c r="A120" s="75">
        <f t="shared" si="8"/>
        <v>6</v>
      </c>
      <c r="B120" s="983" t="s">
        <v>1312</v>
      </c>
      <c r="C120" s="310"/>
      <c r="D120" s="310"/>
      <c r="E120" s="310"/>
      <c r="F120" s="310"/>
      <c r="G120" s="310"/>
    </row>
    <row r="121" spans="1:11">
      <c r="A121" s="75">
        <f t="shared" si="8"/>
        <v>7</v>
      </c>
      <c r="B121" s="58" t="s">
        <v>1294</v>
      </c>
      <c r="C121" s="310"/>
      <c r="D121" s="310"/>
      <c r="E121" s="310"/>
      <c r="F121" s="310"/>
      <c r="G121" s="310"/>
    </row>
    <row r="122" spans="1:11">
      <c r="A122" s="75">
        <f t="shared" si="8"/>
        <v>8</v>
      </c>
      <c r="B122" s="986" t="s">
        <v>989</v>
      </c>
      <c r="C122" s="1032">
        <v>-1125919286.75</v>
      </c>
      <c r="D122" s="1032">
        <v>-1190316237.970001</v>
      </c>
      <c r="E122" s="245">
        <f t="shared" ref="E122:E130" si="9">AVERAGE(C122:D122)</f>
        <v>-1158117762.3600006</v>
      </c>
      <c r="F122" s="244">
        <f t="shared" ref="F122:F130" si="10">-E122</f>
        <v>1158117762.3600006</v>
      </c>
      <c r="G122" s="310">
        <f t="shared" ref="G122:G130" si="11">SUM(E122:F122)</f>
        <v>0</v>
      </c>
      <c r="J122" s="310"/>
      <c r="K122" s="310"/>
    </row>
    <row r="123" spans="1:11">
      <c r="A123" s="75">
        <f t="shared" si="8"/>
        <v>9</v>
      </c>
      <c r="B123" s="986" t="s">
        <v>563</v>
      </c>
      <c r="C123" s="1032">
        <v>225850.44999999998</v>
      </c>
      <c r="D123" s="1032">
        <v>206001.94</v>
      </c>
      <c r="E123" s="245">
        <f t="shared" si="9"/>
        <v>215926.19500000001</v>
      </c>
      <c r="F123" s="244">
        <f t="shared" si="10"/>
        <v>-215926.19500000001</v>
      </c>
      <c r="G123" s="310">
        <f t="shared" si="11"/>
        <v>0</v>
      </c>
      <c r="J123" s="310"/>
      <c r="K123" s="310"/>
    </row>
    <row r="124" spans="1:11">
      <c r="A124" s="75">
        <f t="shared" si="8"/>
        <v>10</v>
      </c>
      <c r="B124" s="986" t="s">
        <v>990</v>
      </c>
      <c r="C124" s="1032">
        <v>-445308432</v>
      </c>
      <c r="D124" s="1032">
        <v>-465683086</v>
      </c>
      <c r="E124" s="245">
        <f t="shared" si="9"/>
        <v>-455495759</v>
      </c>
      <c r="F124" s="244"/>
      <c r="G124" s="310">
        <f t="shared" si="11"/>
        <v>-455495759</v>
      </c>
      <c r="J124" s="310"/>
      <c r="K124" s="310"/>
    </row>
    <row r="125" spans="1:11">
      <c r="A125" s="75">
        <f t="shared" si="8"/>
        <v>11</v>
      </c>
      <c r="B125" s="986" t="s">
        <v>564</v>
      </c>
      <c r="C125" s="1032">
        <v>-2948904</v>
      </c>
      <c r="D125" s="1032">
        <v>-3148704</v>
      </c>
      <c r="E125" s="245">
        <f t="shared" si="9"/>
        <v>-3048804</v>
      </c>
      <c r="F125" s="244">
        <f t="shared" si="10"/>
        <v>3048804</v>
      </c>
      <c r="G125" s="310">
        <f t="shared" si="11"/>
        <v>0</v>
      </c>
      <c r="J125" s="310"/>
      <c r="K125" s="310"/>
    </row>
    <row r="126" spans="1:11">
      <c r="A126" s="75">
        <f t="shared" si="8"/>
        <v>12</v>
      </c>
      <c r="B126" s="986" t="s">
        <v>565</v>
      </c>
      <c r="C126" s="1032">
        <v>-67118.327904256017</v>
      </c>
      <c r="D126" s="1032">
        <v>-50157.78</v>
      </c>
      <c r="E126" s="245">
        <f t="shared" si="9"/>
        <v>-58638.053952128008</v>
      </c>
      <c r="F126" s="244">
        <f t="shared" si="10"/>
        <v>58638.053952128008</v>
      </c>
      <c r="G126" s="310">
        <f t="shared" si="11"/>
        <v>0</v>
      </c>
      <c r="J126" s="310"/>
      <c r="K126" s="310"/>
    </row>
    <row r="127" spans="1:11">
      <c r="A127" s="75">
        <f t="shared" si="8"/>
        <v>13</v>
      </c>
      <c r="B127" s="986" t="s">
        <v>997</v>
      </c>
      <c r="C127" s="1032">
        <v>-11956291.770000001</v>
      </c>
      <c r="D127" s="1032">
        <v>-11930212.039999999</v>
      </c>
      <c r="E127" s="245">
        <f t="shared" si="9"/>
        <v>-11943251.905000001</v>
      </c>
      <c r="F127" s="244">
        <f t="shared" si="10"/>
        <v>11943251.905000001</v>
      </c>
      <c r="G127" s="310">
        <f t="shared" si="11"/>
        <v>0</v>
      </c>
      <c r="J127" s="310"/>
      <c r="K127" s="310"/>
    </row>
    <row r="128" spans="1:11">
      <c r="A128" s="75">
        <f t="shared" si="8"/>
        <v>14</v>
      </c>
      <c r="B128" s="986" t="s">
        <v>1795</v>
      </c>
      <c r="C128" s="1032">
        <v>-752889500.23000002</v>
      </c>
      <c r="D128" s="1032">
        <v>-776985398.96000004</v>
      </c>
      <c r="E128" s="245">
        <f t="shared" si="9"/>
        <v>-764937449.59500003</v>
      </c>
      <c r="F128" s="244">
        <f t="shared" si="10"/>
        <v>764937449.59500003</v>
      </c>
      <c r="G128" s="310">
        <f t="shared" si="11"/>
        <v>0</v>
      </c>
      <c r="J128" s="310"/>
      <c r="K128" s="310"/>
    </row>
    <row r="129" spans="1:11">
      <c r="A129" s="75">
        <f t="shared" si="8"/>
        <v>15</v>
      </c>
      <c r="B129" s="986"/>
      <c r="C129" s="244">
        <v>0</v>
      </c>
      <c r="D129" s="244">
        <v>0</v>
      </c>
      <c r="E129" s="245">
        <f t="shared" si="9"/>
        <v>0</v>
      </c>
      <c r="F129" s="244">
        <f t="shared" si="10"/>
        <v>0</v>
      </c>
      <c r="G129" s="310">
        <f t="shared" si="11"/>
        <v>0</v>
      </c>
      <c r="I129" s="1194" t="s">
        <v>1839</v>
      </c>
      <c r="J129" s="310"/>
      <c r="K129" s="310"/>
    </row>
    <row r="130" spans="1:11">
      <c r="A130" s="75">
        <f t="shared" si="8"/>
        <v>16</v>
      </c>
      <c r="B130" s="986"/>
      <c r="C130" s="247">
        <v>0</v>
      </c>
      <c r="D130" s="247">
        <v>0</v>
      </c>
      <c r="E130" s="1001">
        <f t="shared" si="9"/>
        <v>0</v>
      </c>
      <c r="F130" s="247">
        <f t="shared" si="10"/>
        <v>0</v>
      </c>
      <c r="G130" s="248">
        <f t="shared" si="11"/>
        <v>0</v>
      </c>
      <c r="I130" s="1193">
        <f>'WP_ADIT Prorate'!Q139-C124</f>
        <v>0</v>
      </c>
      <c r="J130" s="310"/>
      <c r="K130" s="310"/>
    </row>
    <row r="131" spans="1:11">
      <c r="A131" s="75">
        <f t="shared" si="8"/>
        <v>17</v>
      </c>
      <c r="B131" s="58" t="s">
        <v>1579</v>
      </c>
      <c r="C131" s="1156"/>
      <c r="D131" s="1156"/>
      <c r="E131" s="1160">
        <f>'WP_ADIT Prorate'!Q161</f>
        <v>5468129.1728310585</v>
      </c>
      <c r="F131" s="1160"/>
      <c r="G131" s="1160">
        <f>SUM(E131:F131)</f>
        <v>5468129.1728310585</v>
      </c>
      <c r="I131" s="1193">
        <f>'WP_ADIT Prorate'!Q139+'WP_ADIT Prorate'!L152-D124</f>
        <v>0</v>
      </c>
      <c r="J131" s="310"/>
      <c r="K131" s="310"/>
    </row>
    <row r="132" spans="1:11">
      <c r="A132" s="75">
        <f t="shared" si="8"/>
        <v>18</v>
      </c>
      <c r="B132" s="121" t="s">
        <v>790</v>
      </c>
      <c r="C132" s="166">
        <f>SUM(C122:C130)</f>
        <v>-2338863682.6279039</v>
      </c>
      <c r="D132" s="166">
        <f>SUM(D122:D130)</f>
        <v>-2447907794.8100009</v>
      </c>
      <c r="E132" s="166">
        <f>SUM(E122:E131)</f>
        <v>-2387917609.5461221</v>
      </c>
      <c r="F132" s="166">
        <f>SUM(F122:F130)</f>
        <v>1937889979.7189529</v>
      </c>
      <c r="G132" s="166">
        <f>SUM(G122:G131)</f>
        <v>-450027629.82716894</v>
      </c>
      <c r="I132" s="1193">
        <f>'WP_ADIT Prorate'!Q161-G131</f>
        <v>0</v>
      </c>
      <c r="J132" s="310"/>
      <c r="K132" s="310"/>
    </row>
    <row r="133" spans="1:11">
      <c r="A133" s="75">
        <f t="shared" si="8"/>
        <v>19</v>
      </c>
      <c r="B133" s="121"/>
      <c r="C133" s="166"/>
      <c r="D133" s="166"/>
      <c r="E133" s="166"/>
      <c r="F133" s="166"/>
      <c r="G133" s="166"/>
      <c r="J133" s="310"/>
      <c r="K133" s="310"/>
    </row>
    <row r="134" spans="1:11">
      <c r="A134" s="75">
        <f t="shared" si="8"/>
        <v>20</v>
      </c>
      <c r="B134" s="58" t="s">
        <v>1295</v>
      </c>
      <c r="C134" s="166"/>
      <c r="D134" s="166"/>
      <c r="E134" s="166"/>
      <c r="F134" s="166"/>
      <c r="G134" s="245"/>
      <c r="J134" s="310"/>
      <c r="K134" s="310"/>
    </row>
    <row r="135" spans="1:11">
      <c r="A135" s="75">
        <f t="shared" si="8"/>
        <v>21</v>
      </c>
      <c r="B135" s="986" t="s">
        <v>879</v>
      </c>
      <c r="C135" s="244">
        <v>-50080233</v>
      </c>
      <c r="D135" s="244">
        <v>-53693357</v>
      </c>
      <c r="E135" s="245">
        <f>AVERAGE(C135:D135)</f>
        <v>-51886795</v>
      </c>
      <c r="F135" s="244">
        <f>'WP_B-Inputs Act.'!L109</f>
        <v>-25339.859346840083</v>
      </c>
      <c r="G135" s="310">
        <f>SUM(E135:F135)</f>
        <v>-51912134.859346837</v>
      </c>
      <c r="J135" s="310"/>
      <c r="K135" s="310"/>
    </row>
    <row r="136" spans="1:11">
      <c r="A136" s="75">
        <f t="shared" si="8"/>
        <v>22</v>
      </c>
      <c r="B136" s="986" t="s">
        <v>948</v>
      </c>
      <c r="C136" s="244">
        <v>0</v>
      </c>
      <c r="D136" s="244">
        <v>0</v>
      </c>
      <c r="E136" s="245">
        <f>AVERAGE(C136:D136)</f>
        <v>0</v>
      </c>
      <c r="F136" s="244">
        <v>0</v>
      </c>
      <c r="G136" s="310">
        <f>SUM(E136:F136)</f>
        <v>0</v>
      </c>
      <c r="J136" s="310"/>
      <c r="K136" s="310"/>
    </row>
    <row r="137" spans="1:11">
      <c r="A137" s="75">
        <f t="shared" si="8"/>
        <v>23</v>
      </c>
      <c r="B137" s="986" t="s">
        <v>1796</v>
      </c>
      <c r="C137" s="244">
        <v>-41145920.882095717</v>
      </c>
      <c r="D137" s="244">
        <v>-43530974.850000016</v>
      </c>
      <c r="E137" s="245">
        <f>AVERAGE(C137:D137)</f>
        <v>-42338447.866047867</v>
      </c>
      <c r="F137" s="244">
        <f>'WP_B-Inputs Act.'!G109</f>
        <v>3075238.1689017471</v>
      </c>
      <c r="G137" s="310">
        <f>SUM(E137:F137)</f>
        <v>-39263209.697146118</v>
      </c>
      <c r="I137" s="1194" t="s">
        <v>1839</v>
      </c>
      <c r="J137" s="310"/>
      <c r="K137" s="310"/>
    </row>
    <row r="138" spans="1:11">
      <c r="A138" s="75">
        <f t="shared" si="8"/>
        <v>24</v>
      </c>
      <c r="B138" s="986" t="s">
        <v>976</v>
      </c>
      <c r="C138" s="247">
        <v>-1737453.919999995</v>
      </c>
      <c r="D138" s="247">
        <v>-1751621.2400000023</v>
      </c>
      <c r="E138" s="1001">
        <f>AVERAGE(C138:D138)</f>
        <v>-1744537.5799999987</v>
      </c>
      <c r="F138" s="247"/>
      <c r="G138" s="248">
        <f>SUM(E138:F138)</f>
        <v>-1744537.5799999987</v>
      </c>
      <c r="I138" s="1193">
        <f>'WP_ADIT Prorate'!Q170-C140</f>
        <v>0</v>
      </c>
      <c r="J138" s="310"/>
      <c r="K138" s="310"/>
    </row>
    <row r="139" spans="1:11">
      <c r="A139" s="75">
        <f t="shared" si="8"/>
        <v>25</v>
      </c>
      <c r="B139" s="58" t="s">
        <v>1579</v>
      </c>
      <c r="C139" s="1156"/>
      <c r="D139" s="1156"/>
      <c r="E139" s="1160">
        <f>'WP_ADIT Prorate'!Q192</f>
        <v>1490761.0553928018</v>
      </c>
      <c r="F139" s="1160"/>
      <c r="G139" s="1160">
        <f>SUM(E139:F139)</f>
        <v>1490761.0553928018</v>
      </c>
      <c r="I139" s="1193">
        <f>'WP_ADIT Prorate'!Q170+'WP_ADIT Prorate'!L183-D140</f>
        <v>0</v>
      </c>
      <c r="J139" s="310"/>
      <c r="K139" s="310"/>
    </row>
    <row r="140" spans="1:11">
      <c r="A140" s="75">
        <f t="shared" si="8"/>
        <v>26</v>
      </c>
      <c r="B140" s="121" t="s">
        <v>790</v>
      </c>
      <c r="C140" s="166">
        <f>SUM(C135:C138)</f>
        <v>-92963607.802095726</v>
      </c>
      <c r="D140" s="166">
        <f>SUM(D135:D138)</f>
        <v>-98975953.090000033</v>
      </c>
      <c r="E140" s="166">
        <f>SUM(E135:E139)</f>
        <v>-94479019.390655056</v>
      </c>
      <c r="F140" s="166">
        <f>SUM(F135:F138)</f>
        <v>3049898.309554907</v>
      </c>
      <c r="G140" s="166">
        <f>SUM(G135:G139)</f>
        <v>-91429121.081100151</v>
      </c>
      <c r="I140" s="1193">
        <f>'WP_ADIT Prorate'!Q192-G139</f>
        <v>0</v>
      </c>
      <c r="J140" s="310"/>
      <c r="K140" s="310"/>
    </row>
    <row r="141" spans="1:11">
      <c r="A141" s="75">
        <f t="shared" si="8"/>
        <v>27</v>
      </c>
      <c r="B141" s="180" t="s">
        <v>1584</v>
      </c>
      <c r="C141" s="310"/>
      <c r="D141" s="310"/>
      <c r="E141" s="310"/>
      <c r="F141" s="310"/>
      <c r="G141" s="988">
        <f>WSA</f>
        <v>0.12237000000000001</v>
      </c>
      <c r="J141" s="310"/>
      <c r="K141" s="310"/>
    </row>
    <row r="142" spans="1:11">
      <c r="A142" s="75">
        <f t="shared" si="8"/>
        <v>28</v>
      </c>
      <c r="B142" s="180" t="s">
        <v>1296</v>
      </c>
      <c r="C142" s="310"/>
      <c r="D142" s="310"/>
      <c r="E142" s="310"/>
      <c r="F142" s="310"/>
      <c r="G142" s="310">
        <f>G140*G141</f>
        <v>-11188181.546694227</v>
      </c>
      <c r="J142" s="310"/>
      <c r="K142" s="310"/>
    </row>
    <row r="143" spans="1:11">
      <c r="A143" s="75">
        <f t="shared" si="8"/>
        <v>29</v>
      </c>
      <c r="B143" s="121"/>
      <c r="C143" s="310"/>
      <c r="D143" s="310"/>
      <c r="E143" s="310"/>
      <c r="F143" s="310"/>
      <c r="G143" s="310"/>
      <c r="J143" s="310"/>
      <c r="K143" s="310"/>
    </row>
    <row r="144" spans="1:11">
      <c r="A144" s="75">
        <f t="shared" si="8"/>
        <v>30</v>
      </c>
      <c r="B144" s="986" t="s">
        <v>998</v>
      </c>
      <c r="C144" s="247">
        <v>-121271636</v>
      </c>
      <c r="D144" s="247">
        <v>1193607160</v>
      </c>
      <c r="E144" s="1001">
        <f>AVERAGE(C144:D144)</f>
        <v>536167762</v>
      </c>
      <c r="F144" s="247">
        <f>-E144</f>
        <v>-536167762</v>
      </c>
      <c r="G144" s="248">
        <f>SUM(E144:F144)</f>
        <v>0</v>
      </c>
      <c r="J144" s="310"/>
      <c r="K144" s="310"/>
    </row>
    <row r="145" spans="1:11">
      <c r="A145" s="75">
        <f t="shared" si="8"/>
        <v>31</v>
      </c>
      <c r="B145" s="121" t="s">
        <v>999</v>
      </c>
      <c r="C145" s="310">
        <f>SUM(C144)</f>
        <v>-121271636</v>
      </c>
      <c r="D145" s="310">
        <f>SUM(D144)</f>
        <v>1193607160</v>
      </c>
      <c r="E145" s="310">
        <f>SUM(E144)</f>
        <v>536167762</v>
      </c>
      <c r="F145" s="310">
        <f>SUM(F144)</f>
        <v>-536167762</v>
      </c>
      <c r="G145" s="310">
        <f>SUM(G144)</f>
        <v>0</v>
      </c>
      <c r="J145" s="310"/>
      <c r="K145" s="310"/>
    </row>
    <row r="146" spans="1:11" ht="13.5" thickBot="1">
      <c r="A146" s="75">
        <f t="shared" si="8"/>
        <v>32</v>
      </c>
      <c r="C146" s="310"/>
      <c r="D146" s="310"/>
      <c r="E146" s="310"/>
      <c r="F146" s="310"/>
      <c r="G146" s="310"/>
      <c r="J146" s="310"/>
      <c r="K146" s="310"/>
    </row>
    <row r="147" spans="1:11" ht="13.5" thickBot="1">
      <c r="A147" s="75">
        <f t="shared" si="8"/>
        <v>33</v>
      </c>
      <c r="B147" s="985" t="s">
        <v>1299</v>
      </c>
      <c r="C147" s="248">
        <f>C145+C140+C132</f>
        <v>-2553098926.4299998</v>
      </c>
      <c r="D147" s="248">
        <f>D145+D140+D132</f>
        <v>-1353276587.900001</v>
      </c>
      <c r="E147" s="696">
        <f>E145+E140+E132</f>
        <v>-1946228866.9367771</v>
      </c>
      <c r="F147" s="248">
        <f>F145+F140+F132</f>
        <v>1404772116.0285077</v>
      </c>
      <c r="G147" s="696">
        <f>G145+G142+G132</f>
        <v>-461215811.37386316</v>
      </c>
      <c r="J147" s="310"/>
      <c r="K147" s="310"/>
    </row>
    <row r="148" spans="1:11">
      <c r="A148" s="75">
        <f t="shared" si="8"/>
        <v>34</v>
      </c>
      <c r="B148" s="308"/>
      <c r="C148" s="310"/>
      <c r="D148" s="310"/>
      <c r="E148" s="310"/>
      <c r="F148" s="310"/>
      <c r="G148" s="310"/>
    </row>
    <row r="149" spans="1:11">
      <c r="A149" s="75">
        <f t="shared" si="8"/>
        <v>35</v>
      </c>
      <c r="B149" s="983" t="s">
        <v>1311</v>
      </c>
      <c r="C149" s="310"/>
      <c r="D149" s="310"/>
      <c r="E149" s="310"/>
      <c r="F149" s="310"/>
      <c r="G149" s="310"/>
    </row>
    <row r="150" spans="1:11">
      <c r="A150" s="75">
        <f t="shared" si="8"/>
        <v>36</v>
      </c>
      <c r="B150" s="58" t="s">
        <v>988</v>
      </c>
      <c r="C150" s="310"/>
      <c r="D150" s="310"/>
      <c r="E150" s="310"/>
      <c r="F150" s="310"/>
      <c r="G150" s="310"/>
    </row>
    <row r="151" spans="1:11">
      <c r="A151" s="75">
        <f t="shared" si="8"/>
        <v>37</v>
      </c>
      <c r="B151" s="984" t="s">
        <v>1000</v>
      </c>
      <c r="C151" s="244">
        <v>-828.7899999999994</v>
      </c>
      <c r="D151" s="244">
        <v>-764.75999999999988</v>
      </c>
      <c r="E151" s="245">
        <f>AVERAGE(C151:D151)</f>
        <v>-796.77499999999964</v>
      </c>
      <c r="F151" s="244">
        <f>-E151</f>
        <v>796.77499999999964</v>
      </c>
      <c r="G151" s="245">
        <f>SUM(E151:F151)</f>
        <v>0</v>
      </c>
      <c r="I151" s="1194" t="s">
        <v>1839</v>
      </c>
    </row>
    <row r="152" spans="1:11">
      <c r="A152" s="75">
        <f t="shared" si="8"/>
        <v>38</v>
      </c>
      <c r="B152" s="984" t="s">
        <v>1186</v>
      </c>
      <c r="C152" s="885">
        <v>-1036500.5586263987</v>
      </c>
      <c r="D152" s="885">
        <v>-988424.03597640002</v>
      </c>
      <c r="E152" s="245">
        <f>AVERAGE(C152:D152)</f>
        <v>-1012462.2973013993</v>
      </c>
      <c r="F152" s="885">
        <f>-E152</f>
        <v>1012462.2973013993</v>
      </c>
      <c r="G152" s="245">
        <f>SUM(E152:F152)</f>
        <v>0</v>
      </c>
      <c r="I152" s="1193">
        <f>'WP_ADIT Prorate'!Q201-C155</f>
        <v>0</v>
      </c>
    </row>
    <row r="153" spans="1:11">
      <c r="A153" s="75">
        <f t="shared" si="8"/>
        <v>39</v>
      </c>
      <c r="B153" s="984" t="s">
        <v>1001</v>
      </c>
      <c r="C153" s="247">
        <v>-187429.02434479975</v>
      </c>
      <c r="D153" s="247">
        <v>-139817.45787420002</v>
      </c>
      <c r="E153" s="1001">
        <f>AVERAGE(C153:D153)</f>
        <v>-163623.24110949988</v>
      </c>
      <c r="F153" s="247">
        <f>-E153</f>
        <v>163623.24110949988</v>
      </c>
      <c r="G153" s="248">
        <f>SUM(E153:F153)</f>
        <v>0</v>
      </c>
      <c r="I153" s="1193">
        <f>'WP_ADIT Prorate'!Q201+'WP_ADIT Prorate'!L214-D155</f>
        <v>0</v>
      </c>
    </row>
    <row r="154" spans="1:11">
      <c r="A154" s="75">
        <f t="shared" si="8"/>
        <v>40</v>
      </c>
      <c r="B154" s="58" t="s">
        <v>1579</v>
      </c>
      <c r="C154" s="1156"/>
      <c r="D154" s="1156"/>
      <c r="E154" s="1160">
        <v>0</v>
      </c>
      <c r="F154" s="1160"/>
      <c r="G154" s="1160">
        <f>SUM(E154:F154)</f>
        <v>0</v>
      </c>
      <c r="I154" s="1193">
        <f>'WP_ADIT Prorate'!Q223-G154</f>
        <v>0</v>
      </c>
    </row>
    <row r="155" spans="1:11">
      <c r="A155" s="75">
        <f t="shared" si="8"/>
        <v>41</v>
      </c>
      <c r="B155" s="121" t="s">
        <v>790</v>
      </c>
      <c r="C155" s="310">
        <f>SUM(C151:C153)</f>
        <v>-1224758.3729711985</v>
      </c>
      <c r="D155" s="310">
        <f>SUM(D151:D153)</f>
        <v>-1129006.2538506</v>
      </c>
      <c r="E155" s="310">
        <f>SUM(E151:E154)</f>
        <v>-1176882.3134108991</v>
      </c>
      <c r="F155" s="310">
        <f>SUM(F151:F153)</f>
        <v>1176882.3134108991</v>
      </c>
      <c r="G155" s="310">
        <f>SUM(G151:G154)</f>
        <v>0</v>
      </c>
    </row>
    <row r="156" spans="1:11">
      <c r="A156" s="75">
        <f t="shared" si="8"/>
        <v>42</v>
      </c>
      <c r="B156" s="121"/>
      <c r="C156" s="310"/>
      <c r="D156" s="310"/>
      <c r="E156" s="310"/>
      <c r="F156" s="310"/>
      <c r="G156" s="310"/>
    </row>
    <row r="157" spans="1:11">
      <c r="A157" s="75">
        <f t="shared" si="8"/>
        <v>43</v>
      </c>
      <c r="B157" s="58" t="s">
        <v>1295</v>
      </c>
      <c r="C157" s="310"/>
      <c r="D157" s="310"/>
      <c r="E157" s="310"/>
      <c r="F157" s="310"/>
      <c r="G157" s="310"/>
    </row>
    <row r="158" spans="1:11">
      <c r="A158" s="75">
        <f t="shared" si="8"/>
        <v>44</v>
      </c>
      <c r="B158" s="986" t="s">
        <v>1846</v>
      </c>
      <c r="C158" s="244">
        <v>-18524449</v>
      </c>
      <c r="D158" s="244">
        <v>-29603627</v>
      </c>
      <c r="E158" s="245">
        <f>AVERAGE(C158:D158)</f>
        <v>-24064038</v>
      </c>
      <c r="F158" s="244">
        <f>'WP_B-Inputs Act.'!K109</f>
        <v>69884.290000000023</v>
      </c>
      <c r="G158" s="310">
        <f>SUM(E158:F158)</f>
        <v>-23994153.710000001</v>
      </c>
      <c r="I158" s="1194" t="s">
        <v>1839</v>
      </c>
    </row>
    <row r="159" spans="1:11">
      <c r="A159" s="75">
        <f t="shared" si="8"/>
        <v>45</v>
      </c>
      <c r="B159" s="986" t="s">
        <v>1002</v>
      </c>
      <c r="C159" s="244">
        <v>-616998.2999999997</v>
      </c>
      <c r="D159" s="244">
        <v>-945420.60000000033</v>
      </c>
      <c r="E159" s="245">
        <f>AVERAGE(C159:D159)</f>
        <v>-781209.45</v>
      </c>
      <c r="F159" s="244"/>
      <c r="G159" s="310">
        <f>SUM(E159:F159)</f>
        <v>-781209.45</v>
      </c>
      <c r="I159" s="1193">
        <f>'WP_ADIT Prorate'!Q232-C162</f>
        <v>0</v>
      </c>
    </row>
    <row r="160" spans="1:11">
      <c r="A160" s="75">
        <f t="shared" si="8"/>
        <v>46</v>
      </c>
      <c r="B160" s="986" t="s">
        <v>1797</v>
      </c>
      <c r="C160" s="247">
        <v>-8478039.3999999948</v>
      </c>
      <c r="D160" s="247">
        <v>-7520312.0999999996</v>
      </c>
      <c r="E160" s="1001">
        <f>AVERAGE(C160:D160)</f>
        <v>-7999175.7499999972</v>
      </c>
      <c r="F160" s="247">
        <f>'WP_B-Inputs Act.'!E109</f>
        <v>-392049.57743510033</v>
      </c>
      <c r="G160" s="248">
        <f>SUM(E160:F160)</f>
        <v>-8391225.3274350967</v>
      </c>
      <c r="I160" s="1193">
        <f>'WP_ADIT Prorate'!Q232+'WP_ADIT Prorate'!L245-D162</f>
        <v>0</v>
      </c>
    </row>
    <row r="161" spans="1:9">
      <c r="A161" s="75">
        <f t="shared" si="8"/>
        <v>47</v>
      </c>
      <c r="B161" s="58" t="s">
        <v>1579</v>
      </c>
      <c r="C161" s="1156"/>
      <c r="D161" s="1156"/>
      <c r="E161" s="1160">
        <f>'WP_ADIT Prorate'!Q254</f>
        <v>2804526.4181506895</v>
      </c>
      <c r="F161" s="1160"/>
      <c r="G161" s="1160">
        <f>SUM(E161:F161)</f>
        <v>2804526.4181506895</v>
      </c>
      <c r="I161" s="1193">
        <f>'WP_ADIT Prorate'!Q254-G161</f>
        <v>0</v>
      </c>
    </row>
    <row r="162" spans="1:9">
      <c r="A162" s="75">
        <f t="shared" si="8"/>
        <v>48</v>
      </c>
      <c r="B162" s="121" t="s">
        <v>790</v>
      </c>
      <c r="C162" s="310">
        <f>SUM(C158:C160)</f>
        <v>-27619486.699999996</v>
      </c>
      <c r="D162" s="310">
        <f>SUM(D158:D160)</f>
        <v>-38069359.700000003</v>
      </c>
      <c r="E162" s="310">
        <f>SUM(E158:E161)</f>
        <v>-30039896.781849306</v>
      </c>
      <c r="F162" s="310">
        <f>SUM(F158:F160)</f>
        <v>-322165.2874351003</v>
      </c>
      <c r="G162" s="310">
        <f>SUM(G158:G161)</f>
        <v>-30362062.069284406</v>
      </c>
    </row>
    <row r="163" spans="1:9">
      <c r="A163" s="75">
        <f t="shared" si="8"/>
        <v>49</v>
      </c>
      <c r="B163" s="180" t="s">
        <v>1584</v>
      </c>
      <c r="C163" s="310"/>
      <c r="D163" s="310"/>
      <c r="E163" s="310"/>
      <c r="F163" s="310"/>
      <c r="G163" s="992">
        <f>WSA</f>
        <v>0.12237000000000001</v>
      </c>
    </row>
    <row r="164" spans="1:9">
      <c r="A164" s="75">
        <f t="shared" si="8"/>
        <v>50</v>
      </c>
      <c r="B164" s="180" t="s">
        <v>1296</v>
      </c>
      <c r="C164" s="310"/>
      <c r="D164" s="310"/>
      <c r="E164" s="310"/>
      <c r="F164" s="310"/>
      <c r="G164" s="310">
        <f>G162*G163</f>
        <v>-3715405.535418333</v>
      </c>
    </row>
    <row r="165" spans="1:9">
      <c r="A165" s="75">
        <f t="shared" si="8"/>
        <v>51</v>
      </c>
      <c r="C165" s="310"/>
      <c r="D165" s="310"/>
      <c r="E165" s="310"/>
      <c r="F165" s="310"/>
      <c r="G165" s="310"/>
    </row>
    <row r="166" spans="1:9">
      <c r="A166" s="75">
        <f t="shared" si="8"/>
        <v>52</v>
      </c>
      <c r="B166" s="73" t="s">
        <v>1003</v>
      </c>
      <c r="C166" s="310"/>
      <c r="D166" s="310"/>
      <c r="E166" s="310"/>
      <c r="F166" s="310"/>
      <c r="G166" s="310"/>
    </row>
    <row r="167" spans="1:9">
      <c r="A167" s="75">
        <f t="shared" si="8"/>
        <v>53</v>
      </c>
      <c r="B167" s="986" t="s">
        <v>1004</v>
      </c>
      <c r="C167" s="244">
        <v>-134516.57</v>
      </c>
      <c r="D167" s="244">
        <v>0</v>
      </c>
      <c r="E167" s="245">
        <f>AVERAGE(C167:D167)</f>
        <v>-67258.285000000003</v>
      </c>
      <c r="F167" s="244"/>
      <c r="G167" s="310">
        <f>SUM(E167:F167)</f>
        <v>-67258.285000000003</v>
      </c>
    </row>
    <row r="168" spans="1:9">
      <c r="A168" s="75">
        <f t="shared" si="8"/>
        <v>54</v>
      </c>
      <c r="B168" s="986" t="s">
        <v>1187</v>
      </c>
      <c r="C168" s="885">
        <v>-669631.76362938725</v>
      </c>
      <c r="D168" s="885">
        <v>-583020.5960564944</v>
      </c>
      <c r="E168" s="245">
        <f>AVERAGE(C168:D168)</f>
        <v>-626326.17984294076</v>
      </c>
      <c r="F168" s="885"/>
      <c r="G168" s="310">
        <f>SUM(E168:F168)</f>
        <v>-626326.17984294076</v>
      </c>
    </row>
    <row r="169" spans="1:9">
      <c r="A169" s="75">
        <f t="shared" si="8"/>
        <v>55</v>
      </c>
      <c r="B169" s="986" t="s">
        <v>1250</v>
      </c>
      <c r="C169" s="885">
        <v>0</v>
      </c>
      <c r="D169" s="885">
        <v>0</v>
      </c>
      <c r="E169" s="245">
        <f t="shared" ref="E169:E170" si="12">AVERAGE(C169:D169)</f>
        <v>0</v>
      </c>
      <c r="F169" s="885"/>
      <c r="G169" s="310">
        <f t="shared" ref="G169:G170" si="13">SUM(E169:F169)</f>
        <v>0</v>
      </c>
    </row>
    <row r="170" spans="1:9">
      <c r="A170" s="75">
        <f t="shared" si="8"/>
        <v>56</v>
      </c>
      <c r="B170" s="986" t="s">
        <v>1847</v>
      </c>
      <c r="C170" s="885">
        <v>0</v>
      </c>
      <c r="D170" s="885">
        <v>-80307.12740685101</v>
      </c>
      <c r="E170" s="245">
        <f t="shared" si="12"/>
        <v>-40153.563703425505</v>
      </c>
      <c r="F170" s="885"/>
      <c r="G170" s="310">
        <f t="shared" si="13"/>
        <v>-40153.563703425505</v>
      </c>
    </row>
    <row r="171" spans="1:9">
      <c r="A171" s="75">
        <f t="shared" si="8"/>
        <v>57</v>
      </c>
      <c r="B171" s="986" t="s">
        <v>1719</v>
      </c>
      <c r="C171" s="247">
        <v>-72624336.457662165</v>
      </c>
      <c r="D171" s="247">
        <v>-63626287.552533478</v>
      </c>
      <c r="E171" s="1001">
        <f>AVERAGE(C171:D171)</f>
        <v>-68125312.005097821</v>
      </c>
      <c r="F171" s="247">
        <f>-E171</f>
        <v>68125312.005097821</v>
      </c>
      <c r="G171" s="248">
        <f>SUM(E171:F171)</f>
        <v>0</v>
      </c>
    </row>
    <row r="172" spans="1:9">
      <c r="A172" s="75">
        <f t="shared" si="8"/>
        <v>58</v>
      </c>
      <c r="B172" s="121" t="s">
        <v>1005</v>
      </c>
      <c r="C172" s="310">
        <f>SUM(C167:C171)</f>
        <v>-73428484.79129155</v>
      </c>
      <c r="D172" s="310">
        <f>SUM(D167:D171)</f>
        <v>-64289615.275996827</v>
      </c>
      <c r="E172" s="310">
        <f>SUM(E167:E171)</f>
        <v>-68859050.033644184</v>
      </c>
      <c r="F172" s="310">
        <f>SUM(F167:F171)</f>
        <v>68125312.005097821</v>
      </c>
      <c r="G172" s="310">
        <f>SUM(G167:G171)</f>
        <v>-733738.02854636626</v>
      </c>
    </row>
    <row r="173" spans="1:9">
      <c r="A173" s="75">
        <f t="shared" si="8"/>
        <v>59</v>
      </c>
      <c r="B173" s="180" t="s">
        <v>1584</v>
      </c>
      <c r="C173" s="310"/>
      <c r="D173" s="310"/>
      <c r="E173" s="310"/>
      <c r="F173" s="310"/>
      <c r="G173" s="992">
        <f>G141</f>
        <v>0.12237000000000001</v>
      </c>
    </row>
    <row r="174" spans="1:9">
      <c r="A174" s="75">
        <f t="shared" si="8"/>
        <v>60</v>
      </c>
      <c r="B174" s="180" t="s">
        <v>1296</v>
      </c>
      <c r="C174" s="310"/>
      <c r="D174" s="310"/>
      <c r="E174" s="310"/>
      <c r="F174" s="310"/>
      <c r="G174" s="310">
        <f>G172*G173</f>
        <v>-89787.522553218849</v>
      </c>
    </row>
    <row r="175" spans="1:9">
      <c r="A175" s="75">
        <f t="shared" si="8"/>
        <v>61</v>
      </c>
      <c r="B175" s="121"/>
      <c r="C175" s="310"/>
      <c r="D175" s="310"/>
      <c r="E175" s="310"/>
      <c r="F175" s="310"/>
      <c r="G175" s="310"/>
    </row>
    <row r="176" spans="1:9">
      <c r="A176" s="75">
        <f t="shared" si="8"/>
        <v>62</v>
      </c>
      <c r="B176" s="73" t="s">
        <v>1006</v>
      </c>
      <c r="C176" s="310"/>
      <c r="D176" s="310"/>
      <c r="E176" s="245"/>
      <c r="F176" s="310"/>
      <c r="G176" s="310"/>
    </row>
    <row r="177" spans="1:9">
      <c r="A177" s="75">
        <f t="shared" si="8"/>
        <v>63</v>
      </c>
      <c r="B177" s="986" t="s">
        <v>1052</v>
      </c>
      <c r="C177" s="244">
        <v>-265707.69194200018</v>
      </c>
      <c r="D177" s="244">
        <v>-118454.9624611836</v>
      </c>
      <c r="E177" s="245">
        <f>AVERAGE(C177:D177)</f>
        <v>-192081.32720159189</v>
      </c>
      <c r="F177" s="244"/>
      <c r="G177" s="310">
        <f>SUM(E177:F177)</f>
        <v>-192081.32720159189</v>
      </c>
    </row>
    <row r="178" spans="1:9">
      <c r="A178" s="75">
        <f t="shared" si="8"/>
        <v>64</v>
      </c>
      <c r="B178" s="986" t="s">
        <v>1188</v>
      </c>
      <c r="C178" s="244">
        <v>-725769.71818854904</v>
      </c>
      <c r="D178" s="244">
        <v>-1604503.9693472502</v>
      </c>
      <c r="E178" s="245">
        <f>AVERAGE(C178:D178)</f>
        <v>-1165136.8437678996</v>
      </c>
      <c r="F178" s="244"/>
      <c r="G178" s="310">
        <f>SUM(E178:F178)</f>
        <v>-1165136.8437678996</v>
      </c>
      <c r="I178" s="1194" t="s">
        <v>1839</v>
      </c>
    </row>
    <row r="179" spans="1:9">
      <c r="A179" s="75">
        <f t="shared" si="8"/>
        <v>65</v>
      </c>
      <c r="B179" s="986" t="s">
        <v>1053</v>
      </c>
      <c r="C179" s="244">
        <v>-2151710.262014335</v>
      </c>
      <c r="D179" s="244">
        <v>-1756793.3045734668</v>
      </c>
      <c r="E179" s="245">
        <f>AVERAGE(C179:D179)</f>
        <v>-1954251.783293901</v>
      </c>
      <c r="F179" s="244"/>
      <c r="G179" s="310">
        <f>SUM(E179:F179)</f>
        <v>-1954251.783293901</v>
      </c>
      <c r="I179" s="1193">
        <f>'WP_ADIT Prorate'!Q263-C182</f>
        <v>0</v>
      </c>
    </row>
    <row r="180" spans="1:9">
      <c r="A180" s="75">
        <f t="shared" si="8"/>
        <v>66</v>
      </c>
      <c r="B180" s="986"/>
      <c r="C180" s="247">
        <v>0</v>
      </c>
      <c r="D180" s="247">
        <v>0</v>
      </c>
      <c r="E180" s="1001">
        <f>AVERAGE(C180:D180)</f>
        <v>0</v>
      </c>
      <c r="F180" s="247"/>
      <c r="G180" s="248">
        <f>SUM(E180:F180)</f>
        <v>0</v>
      </c>
      <c r="I180" s="1193">
        <f>'WP_ADIT Prorate'!Q263+'WP_ADIT Prorate'!L276-D182</f>
        <v>0</v>
      </c>
    </row>
    <row r="181" spans="1:9">
      <c r="A181" s="75">
        <f t="shared" si="8"/>
        <v>67</v>
      </c>
      <c r="B181" s="58" t="s">
        <v>1579</v>
      </c>
      <c r="C181" s="1156"/>
      <c r="D181" s="1156"/>
      <c r="E181" s="1160">
        <f>'WP_ADIT Prorate'!Q285</f>
        <v>-127761.04784474801</v>
      </c>
      <c r="F181" s="1160"/>
      <c r="G181" s="1160">
        <f>SUM(E181:F181)</f>
        <v>-127761.04784474801</v>
      </c>
      <c r="I181" s="1193">
        <f>'WP_ADIT Prorate'!Q285-G181</f>
        <v>0</v>
      </c>
    </row>
    <row r="182" spans="1:9">
      <c r="A182" s="75">
        <f t="shared" si="8"/>
        <v>68</v>
      </c>
      <c r="B182" s="121" t="s">
        <v>1054</v>
      </c>
      <c r="C182" s="310">
        <f>SUM(C177:C180)</f>
        <v>-3143187.6721448842</v>
      </c>
      <c r="D182" s="310">
        <f>SUM(D177:D180)</f>
        <v>-3479752.2363819005</v>
      </c>
      <c r="E182" s="310">
        <f>SUM(E177:E181)</f>
        <v>-3439231.0021081404</v>
      </c>
      <c r="F182" s="310">
        <f>SUM(F177:F180)</f>
        <v>0</v>
      </c>
      <c r="G182" s="310">
        <f>SUM(G177:G181)</f>
        <v>-3439231.0021081404</v>
      </c>
    </row>
    <row r="183" spans="1:9">
      <c r="A183" s="75">
        <f t="shared" si="8"/>
        <v>69</v>
      </c>
      <c r="B183" s="993" t="s">
        <v>1585</v>
      </c>
      <c r="C183" s="310"/>
      <c r="D183" s="310"/>
      <c r="E183" s="310"/>
      <c r="F183" s="310"/>
      <c r="G183" s="992">
        <f>NPA</f>
        <v>0.17532624900776159</v>
      </c>
    </row>
    <row r="184" spans="1:9">
      <c r="A184" s="75">
        <f t="shared" si="8"/>
        <v>70</v>
      </c>
      <c r="B184" s="993" t="s">
        <v>1055</v>
      </c>
      <c r="C184" s="310"/>
      <c r="D184" s="310"/>
      <c r="E184" s="310"/>
      <c r="F184" s="310"/>
      <c r="G184" s="310">
        <f>G182*G183</f>
        <v>-602987.47107082524</v>
      </c>
    </row>
    <row r="185" spans="1:9">
      <c r="A185" s="75">
        <f t="shared" si="8"/>
        <v>71</v>
      </c>
      <c r="C185" s="310"/>
      <c r="D185" s="310"/>
      <c r="E185" s="310"/>
      <c r="F185" s="310"/>
      <c r="G185" s="310"/>
    </row>
    <row r="186" spans="1:9">
      <c r="A186" s="75">
        <f t="shared" si="8"/>
        <v>72</v>
      </c>
      <c r="B186" s="73" t="s">
        <v>1056</v>
      </c>
      <c r="C186" s="310"/>
      <c r="D186" s="310"/>
      <c r="E186" s="310"/>
      <c r="F186" s="310"/>
      <c r="G186" s="310"/>
    </row>
    <row r="187" spans="1:9">
      <c r="A187" s="75">
        <f t="shared" si="8"/>
        <v>73</v>
      </c>
      <c r="B187" s="986" t="s">
        <v>1057</v>
      </c>
      <c r="C187" s="244">
        <v>-1264264.4409748495</v>
      </c>
      <c r="D187" s="244">
        <v>-3095684.698193701</v>
      </c>
      <c r="E187" s="245">
        <f t="shared" ref="E187:E193" si="14">AVERAGE(C187:D187)</f>
        <v>-2179974.5695842751</v>
      </c>
      <c r="F187" s="244">
        <f t="shared" ref="F187:F193" si="15">-E187</f>
        <v>2179974.5695842751</v>
      </c>
      <c r="G187" s="310">
        <f t="shared" ref="G187:G193" si="16">SUM(E187:F187)</f>
        <v>0</v>
      </c>
    </row>
    <row r="188" spans="1:9">
      <c r="A188" s="75">
        <f t="shared" ref="A188:A193" si="17">A187+1</f>
        <v>74</v>
      </c>
      <c r="B188" s="986" t="s">
        <v>1190</v>
      </c>
      <c r="C188" s="244">
        <v>0</v>
      </c>
      <c r="D188" s="244">
        <v>0</v>
      </c>
      <c r="E188" s="245">
        <f t="shared" si="14"/>
        <v>0</v>
      </c>
      <c r="F188" s="244">
        <f t="shared" si="15"/>
        <v>0</v>
      </c>
      <c r="G188" s="310">
        <f t="shared" si="16"/>
        <v>0</v>
      </c>
    </row>
    <row r="189" spans="1:9">
      <c r="A189" s="75">
        <f t="shared" si="17"/>
        <v>75</v>
      </c>
      <c r="B189" s="986" t="s">
        <v>1191</v>
      </c>
      <c r="C189" s="244">
        <v>-601819.11213724909</v>
      </c>
      <c r="D189" s="244">
        <v>-1916723.090646652</v>
      </c>
      <c r="E189" s="245">
        <f t="shared" si="14"/>
        <v>-1259271.1013919506</v>
      </c>
      <c r="F189" s="244">
        <f t="shared" si="15"/>
        <v>1259271.1013919506</v>
      </c>
      <c r="G189" s="310">
        <f t="shared" si="16"/>
        <v>0</v>
      </c>
    </row>
    <row r="190" spans="1:9">
      <c r="A190" s="75">
        <f t="shared" si="17"/>
        <v>76</v>
      </c>
      <c r="B190" s="986" t="s">
        <v>1192</v>
      </c>
      <c r="C190" s="244">
        <v>-4198247.128603844</v>
      </c>
      <c r="D190" s="244">
        <v>-6100903.4050137019</v>
      </c>
      <c r="E190" s="245">
        <f t="shared" si="14"/>
        <v>-5149575.2668087725</v>
      </c>
      <c r="F190" s="244">
        <f t="shared" si="15"/>
        <v>5149575.2668087725</v>
      </c>
      <c r="G190" s="310">
        <f t="shared" si="16"/>
        <v>0</v>
      </c>
    </row>
    <row r="191" spans="1:9">
      <c r="A191" s="75">
        <f t="shared" si="17"/>
        <v>77</v>
      </c>
      <c r="B191" s="986" t="s">
        <v>1058</v>
      </c>
      <c r="C191" s="244">
        <v>0</v>
      </c>
      <c r="D191" s="244">
        <v>0</v>
      </c>
      <c r="E191" s="245">
        <f t="shared" si="14"/>
        <v>0</v>
      </c>
      <c r="F191" s="244">
        <f t="shared" si="15"/>
        <v>0</v>
      </c>
      <c r="G191" s="310">
        <f t="shared" si="16"/>
        <v>0</v>
      </c>
    </row>
    <row r="192" spans="1:9">
      <c r="A192" s="75">
        <f t="shared" si="17"/>
        <v>78</v>
      </c>
      <c r="B192" s="986" t="s">
        <v>1848</v>
      </c>
      <c r="C192" s="244">
        <v>0</v>
      </c>
      <c r="D192" s="244">
        <v>0</v>
      </c>
      <c r="E192" s="245">
        <f t="shared" si="14"/>
        <v>0</v>
      </c>
      <c r="F192" s="244">
        <f t="shared" si="15"/>
        <v>0</v>
      </c>
      <c r="G192" s="310">
        <f t="shared" si="16"/>
        <v>0</v>
      </c>
    </row>
    <row r="193" spans="1:7">
      <c r="A193" s="75">
        <f t="shared" si="17"/>
        <v>79</v>
      </c>
      <c r="B193" s="986" t="s">
        <v>1189</v>
      </c>
      <c r="C193" s="247">
        <v>0</v>
      </c>
      <c r="D193" s="247">
        <v>-67441.900412599993</v>
      </c>
      <c r="E193" s="1001">
        <f t="shared" si="14"/>
        <v>-33720.950206299996</v>
      </c>
      <c r="F193" s="247">
        <f t="shared" si="15"/>
        <v>33720.950206299996</v>
      </c>
      <c r="G193" s="248">
        <f t="shared" si="16"/>
        <v>0</v>
      </c>
    </row>
    <row r="194" spans="1:7">
      <c r="A194" s="75">
        <f>A193+1</f>
        <v>80</v>
      </c>
      <c r="B194" s="73" t="s">
        <v>1059</v>
      </c>
      <c r="C194" s="310">
        <f>SUM(C187:C193)</f>
        <v>-6064330.6817159429</v>
      </c>
      <c r="D194" s="310">
        <f>SUM(D187:D193)</f>
        <v>-11180753.094266657</v>
      </c>
      <c r="E194" s="310">
        <f>SUM(E187:E193)</f>
        <v>-8622541.887991298</v>
      </c>
      <c r="F194" s="310">
        <f>SUM(F187:F193)</f>
        <v>8622541.887991298</v>
      </c>
      <c r="G194" s="310">
        <f>SUM(G187:G193)</f>
        <v>0</v>
      </c>
    </row>
    <row r="195" spans="1:7">
      <c r="A195" s="75">
        <f t="shared" ref="A195:A205" si="18">A194+1</f>
        <v>81</v>
      </c>
      <c r="C195" s="310"/>
      <c r="D195" s="310"/>
      <c r="E195" s="310"/>
      <c r="F195" s="310"/>
      <c r="G195" s="310"/>
    </row>
    <row r="196" spans="1:7">
      <c r="A196" s="75">
        <f t="shared" si="18"/>
        <v>82</v>
      </c>
      <c r="B196" s="73" t="s">
        <v>1060</v>
      </c>
      <c r="C196" s="310"/>
      <c r="D196" s="310"/>
      <c r="E196" s="310"/>
      <c r="F196" s="310"/>
      <c r="G196" s="310"/>
    </row>
    <row r="197" spans="1:7">
      <c r="A197" s="75">
        <f t="shared" si="18"/>
        <v>83</v>
      </c>
      <c r="B197" s="986" t="s">
        <v>1193</v>
      </c>
      <c r="C197" s="244">
        <v>-2680096.3601317462</v>
      </c>
      <c r="D197" s="244">
        <v>0</v>
      </c>
      <c r="E197" s="245">
        <f t="shared" ref="E197:E202" si="19">AVERAGE(C197:D197)</f>
        <v>-1340048.1800658731</v>
      </c>
      <c r="F197" s="244">
        <f t="shared" ref="F197:F202" si="20">-E197</f>
        <v>1340048.1800658731</v>
      </c>
      <c r="G197" s="310">
        <f t="shared" ref="G197:G202" si="21">SUM(E197:F197)</f>
        <v>0</v>
      </c>
    </row>
    <row r="198" spans="1:7">
      <c r="A198" s="75">
        <f t="shared" si="18"/>
        <v>84</v>
      </c>
      <c r="B198" s="986" t="s">
        <v>1849</v>
      </c>
      <c r="C198" s="244">
        <v>-1804798.7027699975</v>
      </c>
      <c r="D198" s="244">
        <v>-2497852.9496694026</v>
      </c>
      <c r="E198" s="245">
        <f t="shared" si="19"/>
        <v>-2151325.8262197003</v>
      </c>
      <c r="F198" s="244">
        <f t="shared" si="20"/>
        <v>2151325.8262197003</v>
      </c>
      <c r="G198" s="310">
        <f t="shared" si="21"/>
        <v>0</v>
      </c>
    </row>
    <row r="199" spans="1:7">
      <c r="A199" s="75">
        <f t="shared" si="18"/>
        <v>85</v>
      </c>
      <c r="B199" s="986" t="s">
        <v>1850</v>
      </c>
      <c r="C199" s="244">
        <v>0</v>
      </c>
      <c r="D199" s="244">
        <v>-1709015.16</v>
      </c>
      <c r="E199" s="245">
        <f t="shared" si="19"/>
        <v>-854507.58</v>
      </c>
      <c r="F199" s="244">
        <f t="shared" si="20"/>
        <v>854507.58</v>
      </c>
      <c r="G199" s="310">
        <f t="shared" si="21"/>
        <v>0</v>
      </c>
    </row>
    <row r="200" spans="1:7">
      <c r="A200" s="75">
        <f t="shared" si="18"/>
        <v>86</v>
      </c>
      <c r="B200" s="986" t="s">
        <v>1851</v>
      </c>
      <c r="C200" s="244">
        <v>0</v>
      </c>
      <c r="D200" s="244">
        <v>-2326195.9700000002</v>
      </c>
      <c r="E200" s="245">
        <f t="shared" si="19"/>
        <v>-1163097.9850000001</v>
      </c>
      <c r="F200" s="244">
        <f t="shared" si="20"/>
        <v>1163097.9850000001</v>
      </c>
      <c r="G200" s="310">
        <f t="shared" si="21"/>
        <v>0</v>
      </c>
    </row>
    <row r="201" spans="1:7">
      <c r="A201" s="75">
        <f t="shared" si="18"/>
        <v>87</v>
      </c>
      <c r="B201" s="986" t="s">
        <v>1852</v>
      </c>
      <c r="C201" s="244">
        <v>0</v>
      </c>
      <c r="D201" s="244">
        <v>-61764.301870346448</v>
      </c>
      <c r="E201" s="245">
        <f t="shared" si="19"/>
        <v>-30882.150935173224</v>
      </c>
      <c r="F201" s="244">
        <f t="shared" si="20"/>
        <v>30882.150935173224</v>
      </c>
      <c r="G201" s="310">
        <f t="shared" si="21"/>
        <v>0</v>
      </c>
    </row>
    <row r="202" spans="1:7">
      <c r="A202" s="75">
        <f t="shared" si="18"/>
        <v>88</v>
      </c>
      <c r="B202" s="986"/>
      <c r="C202" s="247">
        <v>0</v>
      </c>
      <c r="D202" s="247">
        <v>0</v>
      </c>
      <c r="E202" s="1001">
        <f t="shared" si="19"/>
        <v>0</v>
      </c>
      <c r="F202" s="247">
        <f t="shared" si="20"/>
        <v>0</v>
      </c>
      <c r="G202" s="248">
        <f t="shared" si="21"/>
        <v>0</v>
      </c>
    </row>
    <row r="203" spans="1:7">
      <c r="A203" s="75">
        <f t="shared" si="18"/>
        <v>89</v>
      </c>
      <c r="B203" s="73" t="s">
        <v>1063</v>
      </c>
      <c r="C203" s="310">
        <f>SUM(C197:C202)</f>
        <v>-4484895.0629017437</v>
      </c>
      <c r="D203" s="310">
        <f>SUM(D197:D202)</f>
        <v>-6594828.381539749</v>
      </c>
      <c r="E203" s="310">
        <f>SUM(E197:E202)</f>
        <v>-5539861.7222207468</v>
      </c>
      <c r="F203" s="310">
        <f>SUM(F197:F202)</f>
        <v>5539861.7222207468</v>
      </c>
      <c r="G203" s="310">
        <f>SUM(G197:G202)</f>
        <v>0</v>
      </c>
    </row>
    <row r="204" spans="1:7" ht="13.5" thickBot="1">
      <c r="A204" s="75">
        <f t="shared" si="18"/>
        <v>90</v>
      </c>
      <c r="C204" s="245"/>
      <c r="D204" s="245"/>
      <c r="E204" s="245"/>
      <c r="F204" s="245"/>
      <c r="G204" s="245"/>
    </row>
    <row r="205" spans="1:7" ht="13.5" thickBot="1">
      <c r="A205" s="75">
        <f t="shared" si="18"/>
        <v>91</v>
      </c>
      <c r="B205" s="308" t="s">
        <v>1300</v>
      </c>
      <c r="C205" s="995">
        <f>C203+C194+C182+C172+C162+C155</f>
        <v>-115965143.28102531</v>
      </c>
      <c r="D205" s="995">
        <f>D203+D194+D182+D172+D162+D155</f>
        <v>-124743314.94203573</v>
      </c>
      <c r="E205" s="996">
        <f>E203+E194+E182+E172+E162+E155</f>
        <v>-117677463.74122457</v>
      </c>
      <c r="F205" s="995">
        <f>F203+F194+F182+F172+F162+F155</f>
        <v>83142432.641285658</v>
      </c>
      <c r="G205" s="996">
        <f>G203+G194+G184+G174+G164+G155</f>
        <v>-4408180.5290423771</v>
      </c>
    </row>
    <row r="206" spans="1:7">
      <c r="C206" s="310"/>
      <c r="D206" s="310"/>
      <c r="E206" s="310"/>
      <c r="F206" s="310"/>
      <c r="G206" s="310"/>
    </row>
    <row r="208" spans="1:7" ht="26.25" customHeight="1">
      <c r="A208" s="997" t="s">
        <v>870</v>
      </c>
      <c r="B208" s="1232" t="s">
        <v>209</v>
      </c>
      <c r="C208" s="1232"/>
      <c r="D208" s="1232"/>
      <c r="E208" s="1232"/>
      <c r="F208" s="1232"/>
      <c r="G208" s="1232"/>
    </row>
    <row r="209" spans="1:7">
      <c r="A209" s="75" t="s">
        <v>870</v>
      </c>
      <c r="B209" s="73" t="s">
        <v>386</v>
      </c>
    </row>
    <row r="210" spans="1:7">
      <c r="A210" s="75" t="s">
        <v>870</v>
      </c>
      <c r="B210" s="73" t="s">
        <v>1333</v>
      </c>
    </row>
    <row r="211" spans="1:7">
      <c r="A211" s="450" t="s">
        <v>870</v>
      </c>
      <c r="B211" s="309" t="s">
        <v>1309</v>
      </c>
      <c r="C211" s="309"/>
      <c r="D211" s="309"/>
      <c r="E211" s="309"/>
      <c r="F211" s="309"/>
      <c r="G211" s="309"/>
    </row>
    <row r="212" spans="1:7">
      <c r="A212" s="75" t="s">
        <v>870</v>
      </c>
      <c r="B212" s="73" t="s">
        <v>1661</v>
      </c>
    </row>
  </sheetData>
  <mergeCells count="4">
    <mergeCell ref="C7:D7"/>
    <mergeCell ref="B101:G101"/>
    <mergeCell ref="C112:D112"/>
    <mergeCell ref="B208:G208"/>
  </mergeCells>
  <pageMargins left="0.7" right="0.7" top="0.75" bottom="0.75" header="0.3" footer="0.3"/>
  <pageSetup scale="50" orientation="portrait" r:id="rId1"/>
  <rowBreaks count="1" manualBreakCount="1">
    <brk id="105"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206"/>
  <sheetViews>
    <sheetView view="pageBreakPreview" topLeftCell="A145" zoomScale="60" zoomScaleNormal="100" workbookViewId="0">
      <selection activeCell="Z34" sqref="Z34"/>
    </sheetView>
  </sheetViews>
  <sheetFormatPr defaultRowHeight="12.75"/>
  <cols>
    <col min="1" max="1" width="8.42578125" style="75" customWidth="1"/>
    <col min="2" max="2" width="56.7109375" style="73" customWidth="1"/>
    <col min="3" max="4" width="14.7109375" style="73" bestFit="1" customWidth="1"/>
    <col min="5" max="5" width="20.140625" style="73" bestFit="1" customWidth="1"/>
    <col min="6" max="6" width="19.140625" style="73" bestFit="1" customWidth="1"/>
    <col min="7" max="7" width="16.7109375" style="73" bestFit="1" customWidth="1"/>
    <col min="8" max="8" width="9.140625" style="73"/>
    <col min="9" max="9" width="21.140625" style="308" bestFit="1" customWidth="1"/>
    <col min="10" max="16384" width="9.140625" style="73"/>
  </cols>
  <sheetData>
    <row r="1" spans="1:9">
      <c r="A1" s="979" t="s">
        <v>774</v>
      </c>
      <c r="G1" s="898" t="s">
        <v>142</v>
      </c>
      <c r="I1" s="1192"/>
    </row>
    <row r="2" spans="1:9">
      <c r="A2" s="979" t="s">
        <v>378</v>
      </c>
      <c r="G2" s="898" t="s">
        <v>194</v>
      </c>
      <c r="I2" s="1192"/>
    </row>
    <row r="3" spans="1:9">
      <c r="A3" s="1154" t="str">
        <f>'Cover Page'!A7</f>
        <v>Twelve Months Ended December 31, 2017</v>
      </c>
      <c r="I3" s="1192"/>
    </row>
    <row r="4" spans="1:9">
      <c r="A4" s="979" t="s">
        <v>1065</v>
      </c>
      <c r="I4" s="1192"/>
    </row>
    <row r="5" spans="1:9">
      <c r="I5" s="1192"/>
    </row>
    <row r="6" spans="1:9">
      <c r="A6" s="979" t="s">
        <v>983</v>
      </c>
      <c r="B6" s="443"/>
      <c r="C6" s="443"/>
      <c r="D6" s="443"/>
      <c r="E6" s="443"/>
      <c r="F6" s="443"/>
      <c r="I6" s="1192"/>
    </row>
    <row r="7" spans="1:9">
      <c r="A7" s="443"/>
      <c r="B7" s="443"/>
      <c r="C7" s="1231" t="s">
        <v>970</v>
      </c>
      <c r="D7" s="1231"/>
      <c r="E7" s="443"/>
      <c r="F7" s="443"/>
      <c r="G7" s="443" t="s">
        <v>971</v>
      </c>
      <c r="I7" s="1196" t="s">
        <v>1838</v>
      </c>
    </row>
    <row r="8" spans="1:9" ht="25.5">
      <c r="A8" s="981" t="s">
        <v>862</v>
      </c>
      <c r="B8" s="981" t="s">
        <v>1066</v>
      </c>
      <c r="C8" s="1155">
        <v>42735</v>
      </c>
      <c r="D8" s="1155">
        <v>43100</v>
      </c>
      <c r="E8" s="982" t="s">
        <v>1575</v>
      </c>
      <c r="F8" s="982" t="s">
        <v>986</v>
      </c>
      <c r="G8" s="982" t="s">
        <v>985</v>
      </c>
      <c r="I8" s="1192"/>
    </row>
    <row r="9" spans="1:9">
      <c r="B9" s="308"/>
      <c r="C9" s="980" t="s">
        <v>358</v>
      </c>
      <c r="D9" s="980" t="s">
        <v>357</v>
      </c>
      <c r="E9" s="980" t="s">
        <v>359</v>
      </c>
      <c r="F9" s="980" t="s">
        <v>360</v>
      </c>
      <c r="G9" s="980" t="s">
        <v>361</v>
      </c>
      <c r="I9" s="1192"/>
    </row>
    <row r="10" spans="1:9">
      <c r="A10" s="75">
        <v>1</v>
      </c>
      <c r="B10" s="1002" t="s">
        <v>1314</v>
      </c>
      <c r="C10" s="308"/>
      <c r="D10" s="308"/>
      <c r="E10" s="308"/>
      <c r="F10" s="308"/>
      <c r="G10" s="308"/>
      <c r="I10" s="1192"/>
    </row>
    <row r="11" spans="1:9">
      <c r="A11" s="75">
        <f t="shared" ref="A11:A79" si="0">A10+1</f>
        <v>2</v>
      </c>
      <c r="C11" s="310"/>
      <c r="D11" s="310"/>
      <c r="E11" s="310"/>
      <c r="F11" s="310"/>
      <c r="G11" s="310"/>
      <c r="I11" s="1192"/>
    </row>
    <row r="12" spans="1:9">
      <c r="A12" s="75">
        <f t="shared" si="0"/>
        <v>3</v>
      </c>
      <c r="B12" s="73" t="s">
        <v>1067</v>
      </c>
      <c r="C12" s="310"/>
      <c r="D12" s="310"/>
      <c r="E12" s="310"/>
      <c r="F12" s="310"/>
      <c r="G12" s="310"/>
      <c r="I12" s="1192"/>
    </row>
    <row r="13" spans="1:9">
      <c r="A13" s="75">
        <f t="shared" si="0"/>
        <v>4</v>
      </c>
      <c r="B13" s="986"/>
      <c r="C13" s="247">
        <v>0</v>
      </c>
      <c r="D13" s="247"/>
      <c r="E13" s="248">
        <f>AVERAGE(C13:D13)</f>
        <v>0</v>
      </c>
      <c r="F13" s="247"/>
      <c r="G13" s="248">
        <f>SUM(E13:F13)</f>
        <v>0</v>
      </c>
      <c r="I13" s="1192"/>
    </row>
    <row r="14" spans="1:9">
      <c r="A14" s="75">
        <f t="shared" si="0"/>
        <v>5</v>
      </c>
      <c r="B14" s="73" t="s">
        <v>1068</v>
      </c>
      <c r="C14" s="310">
        <f>SUM(C13)</f>
        <v>0</v>
      </c>
      <c r="D14" s="310">
        <f>SUM(D13)</f>
        <v>0</v>
      </c>
      <c r="E14" s="310">
        <f>SUM(E13)</f>
        <v>0</v>
      </c>
      <c r="F14" s="310">
        <f>SUM(F13)</f>
        <v>0</v>
      </c>
      <c r="G14" s="310">
        <f>SUM(G13)</f>
        <v>0</v>
      </c>
      <c r="I14" s="1192"/>
    </row>
    <row r="15" spans="1:9">
      <c r="A15" s="75">
        <f t="shared" si="0"/>
        <v>6</v>
      </c>
      <c r="C15" s="310"/>
      <c r="D15" s="310"/>
      <c r="E15" s="310"/>
      <c r="F15" s="310"/>
      <c r="G15" s="310"/>
      <c r="I15" s="1192"/>
    </row>
    <row r="16" spans="1:9">
      <c r="A16" s="75">
        <f t="shared" si="0"/>
        <v>7</v>
      </c>
      <c r="B16" s="73" t="s">
        <v>1069</v>
      </c>
      <c r="C16" s="310"/>
      <c r="D16" s="310"/>
      <c r="E16" s="310"/>
      <c r="F16" s="310"/>
      <c r="G16" s="310"/>
      <c r="I16" s="1192"/>
    </row>
    <row r="17" spans="1:9">
      <c r="A17" s="75">
        <f t="shared" si="0"/>
        <v>8</v>
      </c>
      <c r="B17" s="986" t="s">
        <v>1070</v>
      </c>
      <c r="C17" s="244">
        <v>3214.5500000000006</v>
      </c>
      <c r="D17" s="244">
        <v>3214.5500000000006</v>
      </c>
      <c r="E17" s="310">
        <f>AVERAGE(C17:D17)</f>
        <v>3214.5500000000006</v>
      </c>
      <c r="F17" s="244">
        <f>-E17</f>
        <v>-3214.5500000000006</v>
      </c>
      <c r="G17" s="310">
        <f>SUM(E17:F17)</f>
        <v>0</v>
      </c>
      <c r="I17" s="1192"/>
    </row>
    <row r="18" spans="1:9">
      <c r="A18" s="75">
        <f t="shared" si="0"/>
        <v>9</v>
      </c>
      <c r="B18" s="986" t="s">
        <v>1071</v>
      </c>
      <c r="C18" s="244">
        <v>652244.75</v>
      </c>
      <c r="D18" s="244">
        <v>652244.75</v>
      </c>
      <c r="E18" s="310">
        <f>AVERAGE(C18:D18)</f>
        <v>652244.75</v>
      </c>
      <c r="F18" s="244">
        <f>-E18</f>
        <v>-652244.75</v>
      </c>
      <c r="G18" s="310">
        <f>SUM(E18:F18)</f>
        <v>0</v>
      </c>
      <c r="I18" s="1192"/>
    </row>
    <row r="19" spans="1:9">
      <c r="A19" s="75">
        <f t="shared" si="0"/>
        <v>10</v>
      </c>
      <c r="B19" s="986" t="s">
        <v>1072</v>
      </c>
      <c r="C19" s="247">
        <v>8645705</v>
      </c>
      <c r="D19" s="247">
        <v>8645705</v>
      </c>
      <c r="E19" s="248">
        <f>AVERAGE(C19:D19)</f>
        <v>8645705</v>
      </c>
      <c r="F19" s="247">
        <f>-E19</f>
        <v>-8645705</v>
      </c>
      <c r="G19" s="248">
        <f>SUM(E19:F19)</f>
        <v>0</v>
      </c>
      <c r="I19" s="1192"/>
    </row>
    <row r="20" spans="1:9">
      <c r="A20" s="75">
        <f t="shared" si="0"/>
        <v>11</v>
      </c>
      <c r="B20" s="73" t="s">
        <v>1073</v>
      </c>
      <c r="C20" s="310">
        <f>SUM(C17:C19)</f>
        <v>9301164.3000000007</v>
      </c>
      <c r="D20" s="310">
        <f>SUM(D17:D19)</f>
        <v>9301164.3000000007</v>
      </c>
      <c r="E20" s="310">
        <f>SUM(E17:E19)</f>
        <v>9301164.3000000007</v>
      </c>
      <c r="F20" s="310">
        <f>SUM(F17:F19)</f>
        <v>-9301164.3000000007</v>
      </c>
      <c r="G20" s="310">
        <f>SUM(G17:G19)</f>
        <v>0</v>
      </c>
      <c r="I20" s="1192"/>
    </row>
    <row r="21" spans="1:9">
      <c r="A21" s="75">
        <f t="shared" si="0"/>
        <v>12</v>
      </c>
      <c r="C21" s="310"/>
      <c r="D21" s="310"/>
      <c r="E21" s="310"/>
      <c r="F21" s="310"/>
      <c r="G21" s="310"/>
      <c r="I21" s="1192"/>
    </row>
    <row r="22" spans="1:9">
      <c r="A22" s="75">
        <f t="shared" si="0"/>
        <v>13</v>
      </c>
      <c r="B22" s="58" t="s">
        <v>1294</v>
      </c>
      <c r="C22" s="310"/>
      <c r="D22" s="310"/>
      <c r="E22" s="310"/>
      <c r="F22" s="310"/>
      <c r="G22" s="310"/>
      <c r="I22" s="1192"/>
    </row>
    <row r="23" spans="1:9">
      <c r="A23" s="75">
        <f t="shared" si="0"/>
        <v>14</v>
      </c>
      <c r="B23" s="986" t="s">
        <v>989</v>
      </c>
      <c r="C23" s="244">
        <v>220584370.57000002</v>
      </c>
      <c r="D23" s="244">
        <v>222494241.43999985</v>
      </c>
      <c r="E23" s="310">
        <f t="shared" ref="E23:E33" si="1">AVERAGE(C23:D23)</f>
        <v>221539306.00499994</v>
      </c>
      <c r="F23" s="244">
        <f t="shared" ref="F23:F33" si="2">-E23</f>
        <v>-221539306.00499994</v>
      </c>
      <c r="G23" s="310">
        <f t="shared" ref="G23:G33" si="3">SUM(E23:F23)</f>
        <v>0</v>
      </c>
      <c r="I23" s="1192"/>
    </row>
    <row r="24" spans="1:9">
      <c r="A24" s="75">
        <f t="shared" si="0"/>
        <v>15</v>
      </c>
      <c r="B24" s="986" t="s">
        <v>563</v>
      </c>
      <c r="C24" s="244">
        <v>-93142.36</v>
      </c>
      <c r="D24" s="244">
        <v>-91046.78</v>
      </c>
      <c r="E24" s="310">
        <f t="shared" si="1"/>
        <v>-92094.57</v>
      </c>
      <c r="F24" s="244">
        <f t="shared" si="2"/>
        <v>92094.57</v>
      </c>
      <c r="G24" s="310">
        <f t="shared" si="3"/>
        <v>0</v>
      </c>
      <c r="I24" s="1192"/>
    </row>
    <row r="25" spans="1:9">
      <c r="A25" s="75">
        <f t="shared" si="0"/>
        <v>16</v>
      </c>
      <c r="B25" s="986" t="s">
        <v>1238</v>
      </c>
      <c r="C25" s="244">
        <v>14764986.134849999</v>
      </c>
      <c r="D25" s="244">
        <v>9636326.1435000002</v>
      </c>
      <c r="E25" s="310">
        <f t="shared" si="1"/>
        <v>12200656.139175</v>
      </c>
      <c r="F25" s="244">
        <f t="shared" si="2"/>
        <v>-12200656.139175</v>
      </c>
      <c r="G25" s="310">
        <f t="shared" si="3"/>
        <v>0</v>
      </c>
      <c r="I25" s="1192"/>
    </row>
    <row r="26" spans="1:9">
      <c r="A26" s="75">
        <f t="shared" si="0"/>
        <v>17</v>
      </c>
      <c r="B26" s="986" t="s">
        <v>990</v>
      </c>
      <c r="C26" s="244">
        <v>33989731.270010792</v>
      </c>
      <c r="D26" s="244">
        <v>35153180.79001084</v>
      </c>
      <c r="E26" s="310">
        <f t="shared" si="1"/>
        <v>34571456.030010819</v>
      </c>
      <c r="F26" s="244"/>
      <c r="G26" s="310">
        <f t="shared" si="3"/>
        <v>34571456.030010819</v>
      </c>
      <c r="I26" s="1192"/>
    </row>
    <row r="27" spans="1:9">
      <c r="A27" s="75">
        <f t="shared" si="0"/>
        <v>18</v>
      </c>
      <c r="B27" s="986" t="s">
        <v>564</v>
      </c>
      <c r="C27" s="244">
        <v>951902.88998916105</v>
      </c>
      <c r="D27" s="244">
        <v>907186.99998916045</v>
      </c>
      <c r="E27" s="310">
        <f t="shared" si="1"/>
        <v>929544.94498916075</v>
      </c>
      <c r="F27" s="244">
        <f t="shared" si="2"/>
        <v>-929544.94498916075</v>
      </c>
      <c r="G27" s="310">
        <f t="shared" si="3"/>
        <v>0</v>
      </c>
      <c r="I27" s="1193"/>
    </row>
    <row r="28" spans="1:9">
      <c r="A28" s="75">
        <f t="shared" si="0"/>
        <v>19</v>
      </c>
      <c r="B28" s="986" t="s">
        <v>565</v>
      </c>
      <c r="C28" s="244">
        <v>-280.52994944423477</v>
      </c>
      <c r="D28" s="244">
        <v>-280.52994944423477</v>
      </c>
      <c r="E28" s="310">
        <f t="shared" si="1"/>
        <v>-280.52994944423477</v>
      </c>
      <c r="F28" s="244">
        <f t="shared" si="2"/>
        <v>280.52994944423477</v>
      </c>
      <c r="G28" s="310">
        <f t="shared" si="3"/>
        <v>0</v>
      </c>
      <c r="I28" s="1193"/>
    </row>
    <row r="29" spans="1:9">
      <c r="A29" s="75">
        <f t="shared" si="0"/>
        <v>20</v>
      </c>
      <c r="B29" s="986" t="s">
        <v>1239</v>
      </c>
      <c r="C29" s="244">
        <v>11085685.3828</v>
      </c>
      <c r="D29" s="244">
        <v>7235040.9880000008</v>
      </c>
      <c r="E29" s="310">
        <f t="shared" si="1"/>
        <v>9160363.1853999998</v>
      </c>
      <c r="F29" s="244"/>
      <c r="G29" s="310">
        <f t="shared" si="3"/>
        <v>9160363.1853999998</v>
      </c>
      <c r="I29" s="1193"/>
    </row>
    <row r="30" spans="1:9">
      <c r="A30" s="75">
        <f t="shared" si="0"/>
        <v>21</v>
      </c>
      <c r="B30" s="986" t="s">
        <v>996</v>
      </c>
      <c r="C30" s="244">
        <v>1093039.6100000003</v>
      </c>
      <c r="D30" s="244">
        <v>1274610.9599999993</v>
      </c>
      <c r="E30" s="310">
        <f t="shared" si="1"/>
        <v>1183825.2849999997</v>
      </c>
      <c r="F30" s="244">
        <f t="shared" si="2"/>
        <v>-1183825.2849999997</v>
      </c>
      <c r="G30" s="310">
        <f t="shared" si="3"/>
        <v>0</v>
      </c>
      <c r="I30" s="1192"/>
    </row>
    <row r="31" spans="1:9">
      <c r="A31" s="75">
        <f t="shared" si="0"/>
        <v>22</v>
      </c>
      <c r="B31" s="986" t="s">
        <v>943</v>
      </c>
      <c r="C31" s="244">
        <v>20707399.389999989</v>
      </c>
      <c r="D31" s="244">
        <v>23677705.070000008</v>
      </c>
      <c r="E31" s="310">
        <f t="shared" si="1"/>
        <v>22192552.229999997</v>
      </c>
      <c r="F31" s="244">
        <f t="shared" si="2"/>
        <v>-22192552.229999997</v>
      </c>
      <c r="G31" s="310">
        <f t="shared" si="3"/>
        <v>0</v>
      </c>
      <c r="I31" s="1192"/>
    </row>
    <row r="32" spans="1:9">
      <c r="A32" s="75">
        <f t="shared" si="0"/>
        <v>23</v>
      </c>
      <c r="B32" s="986" t="s">
        <v>941</v>
      </c>
      <c r="C32" s="244">
        <v>64031752.819999963</v>
      </c>
      <c r="D32" s="244">
        <v>62026738.539999984</v>
      </c>
      <c r="E32" s="310">
        <f t="shared" si="1"/>
        <v>63029245.679999977</v>
      </c>
      <c r="F32" s="244">
        <f t="shared" si="2"/>
        <v>-63029245.679999977</v>
      </c>
      <c r="G32" s="310">
        <f t="shared" si="3"/>
        <v>0</v>
      </c>
      <c r="I32" s="1192"/>
    </row>
    <row r="33" spans="1:9">
      <c r="A33" s="75">
        <f t="shared" si="0"/>
        <v>24</v>
      </c>
      <c r="B33" s="986" t="s">
        <v>1240</v>
      </c>
      <c r="C33" s="247">
        <v>6164023.3378499998</v>
      </c>
      <c r="D33" s="247">
        <v>4022932.2735000001</v>
      </c>
      <c r="E33" s="248">
        <f t="shared" si="1"/>
        <v>5093477.805675</v>
      </c>
      <c r="F33" s="247">
        <f t="shared" si="2"/>
        <v>-5093477.805675</v>
      </c>
      <c r="G33" s="248">
        <f t="shared" si="3"/>
        <v>0</v>
      </c>
      <c r="I33" s="1192"/>
    </row>
    <row r="34" spans="1:9">
      <c r="A34" s="75">
        <f t="shared" si="0"/>
        <v>25</v>
      </c>
      <c r="B34" s="58" t="s">
        <v>1662</v>
      </c>
      <c r="C34" s="1156"/>
      <c r="D34" s="1156"/>
      <c r="E34" s="1159">
        <f>'WP_ADIT Prorate'!J37</f>
        <v>721186.66103364527</v>
      </c>
      <c r="F34" s="1160"/>
      <c r="G34" s="1159">
        <f>SUM(E34:F34)</f>
        <v>721186.66103364527</v>
      </c>
      <c r="I34" s="1192"/>
    </row>
    <row r="35" spans="1:9">
      <c r="A35" s="75">
        <f t="shared" si="0"/>
        <v>26</v>
      </c>
      <c r="B35" s="58" t="s">
        <v>113</v>
      </c>
      <c r="C35" s="310">
        <f>SUM(C23:C33)</f>
        <v>373279468.51555037</v>
      </c>
      <c r="D35" s="310">
        <f>SUM(D23:D33)</f>
        <v>366336635.89505035</v>
      </c>
      <c r="E35" s="310">
        <f>SUM(E23:E34)</f>
        <v>370529238.8663342</v>
      </c>
      <c r="F35" s="310">
        <f>SUM(F23:F33)</f>
        <v>-326076232.98988962</v>
      </c>
      <c r="G35" s="310">
        <f>SUM(G23:G34)</f>
        <v>44453005.876444466</v>
      </c>
      <c r="I35" s="1192"/>
    </row>
    <row r="36" spans="1:9">
      <c r="A36" s="75">
        <f t="shared" si="0"/>
        <v>27</v>
      </c>
      <c r="C36" s="310"/>
      <c r="D36" s="310"/>
      <c r="E36" s="310"/>
      <c r="F36" s="310"/>
      <c r="G36" s="310"/>
      <c r="I36" s="1192"/>
    </row>
    <row r="37" spans="1:9">
      <c r="A37" s="75">
        <f t="shared" si="0"/>
        <v>28</v>
      </c>
      <c r="B37" s="58" t="s">
        <v>1295</v>
      </c>
      <c r="C37" s="310"/>
      <c r="D37" s="310"/>
      <c r="E37" s="310"/>
      <c r="F37" s="310"/>
      <c r="G37" s="310"/>
      <c r="I37" s="1192"/>
    </row>
    <row r="38" spans="1:9">
      <c r="A38" s="75">
        <f t="shared" si="0"/>
        <v>29</v>
      </c>
      <c r="B38" s="986" t="s">
        <v>949</v>
      </c>
      <c r="C38" s="244">
        <v>718691.31041979941</v>
      </c>
      <c r="D38" s="244">
        <v>722674.28802395973</v>
      </c>
      <c r="E38" s="310">
        <f t="shared" ref="E38:E43" si="4">AVERAGE(C38:D38)</f>
        <v>720682.79922187957</v>
      </c>
      <c r="F38" s="244"/>
      <c r="G38" s="310">
        <f t="shared" ref="G38:G43" si="5">SUM(E38:F38)</f>
        <v>720682.79922187957</v>
      </c>
      <c r="I38" s="1192"/>
    </row>
    <row r="39" spans="1:9">
      <c r="A39" s="75">
        <f t="shared" si="0"/>
        <v>30</v>
      </c>
      <c r="B39" s="986" t="s">
        <v>948</v>
      </c>
      <c r="C39" s="244">
        <v>13461.815446779994</v>
      </c>
      <c r="D39" s="244">
        <v>11838.427789059988</v>
      </c>
      <c r="E39" s="310">
        <f t="shared" si="4"/>
        <v>12650.121617919991</v>
      </c>
      <c r="F39" s="244"/>
      <c r="G39" s="310">
        <f t="shared" si="5"/>
        <v>12650.121617919991</v>
      </c>
      <c r="I39" s="1192"/>
    </row>
    <row r="40" spans="1:9">
      <c r="A40" s="75">
        <f t="shared" si="0"/>
        <v>31</v>
      </c>
      <c r="B40" s="986" t="s">
        <v>1241</v>
      </c>
      <c r="C40" s="244">
        <v>12471396.05565</v>
      </c>
      <c r="D40" s="244">
        <v>8139421.1115000006</v>
      </c>
      <c r="E40" s="310">
        <f t="shared" si="4"/>
        <v>10305408.583574999</v>
      </c>
      <c r="F40" s="244"/>
      <c r="G40" s="310">
        <f t="shared" si="5"/>
        <v>10305408.583574999</v>
      </c>
      <c r="I40" s="1192"/>
    </row>
    <row r="41" spans="1:9">
      <c r="A41" s="75">
        <f t="shared" si="0"/>
        <v>32</v>
      </c>
      <c r="B41" s="986" t="s">
        <v>1002</v>
      </c>
      <c r="C41" s="244">
        <v>1363125.8899494438</v>
      </c>
      <c r="D41" s="244">
        <v>1300294.6799494429</v>
      </c>
      <c r="E41" s="310">
        <f t="shared" si="4"/>
        <v>1331710.2849494433</v>
      </c>
      <c r="F41" s="244"/>
      <c r="G41" s="310">
        <f t="shared" si="5"/>
        <v>1331710.2849494433</v>
      </c>
      <c r="I41" s="1192"/>
    </row>
    <row r="42" spans="1:9">
      <c r="A42" s="75">
        <f t="shared" si="0"/>
        <v>33</v>
      </c>
      <c r="B42" s="986" t="s">
        <v>976</v>
      </c>
      <c r="C42" s="244">
        <v>118008.13999999998</v>
      </c>
      <c r="D42" s="244">
        <v>111390.18999999996</v>
      </c>
      <c r="E42" s="310">
        <f t="shared" si="4"/>
        <v>114699.16499999998</v>
      </c>
      <c r="F42" s="244"/>
      <c r="G42" s="310">
        <f t="shared" si="5"/>
        <v>114699.16499999998</v>
      </c>
      <c r="I42" s="1192"/>
    </row>
    <row r="43" spans="1:9">
      <c r="A43" s="75">
        <f t="shared" si="0"/>
        <v>34</v>
      </c>
      <c r="B43" s="986" t="s">
        <v>1726</v>
      </c>
      <c r="C43" s="247">
        <v>3297035.7388499998</v>
      </c>
      <c r="D43" s="247">
        <v>2151800.9835000001</v>
      </c>
      <c r="E43" s="248">
        <f t="shared" si="4"/>
        <v>2724418.3611749997</v>
      </c>
      <c r="F43" s="247"/>
      <c r="G43" s="167">
        <f t="shared" si="5"/>
        <v>2724418.3611749997</v>
      </c>
      <c r="I43" s="1192"/>
    </row>
    <row r="44" spans="1:9">
      <c r="A44" s="75">
        <f t="shared" si="0"/>
        <v>35</v>
      </c>
      <c r="B44" s="58" t="s">
        <v>1662</v>
      </c>
      <c r="C44" s="1156"/>
      <c r="D44" s="1156"/>
      <c r="E44" s="1159">
        <f>'WP_ADIT Prorate'!J68</f>
        <v>1487973.4683470819</v>
      </c>
      <c r="F44" s="1160"/>
      <c r="G44" s="1159">
        <f>SUM(E44:F44)</f>
        <v>1487973.4683470819</v>
      </c>
      <c r="I44" s="1192"/>
    </row>
    <row r="45" spans="1:9">
      <c r="A45" s="75">
        <f t="shared" si="0"/>
        <v>36</v>
      </c>
      <c r="B45" s="58" t="s">
        <v>114</v>
      </c>
      <c r="C45" s="310">
        <f>SUM(C38:C43)</f>
        <v>17981718.950316023</v>
      </c>
      <c r="D45" s="310">
        <f>SUM(D38:D43)</f>
        <v>12437419.680762464</v>
      </c>
      <c r="E45" s="310">
        <f>SUM(E38:E44)</f>
        <v>16697542.783886323</v>
      </c>
      <c r="F45" s="310">
        <f>SUM(F38:F43)</f>
        <v>0</v>
      </c>
      <c r="G45" s="310">
        <f>SUM(G38:G44)</f>
        <v>16697542.783886323</v>
      </c>
      <c r="I45" s="1192"/>
    </row>
    <row r="46" spans="1:9">
      <c r="A46" s="75">
        <f t="shared" si="0"/>
        <v>37</v>
      </c>
      <c r="B46" s="180" t="s">
        <v>1582</v>
      </c>
      <c r="C46" s="310"/>
      <c r="D46" s="310"/>
      <c r="E46" s="310"/>
      <c r="F46" s="310"/>
      <c r="G46" s="992">
        <f>WS</f>
        <v>0.11383</v>
      </c>
      <c r="I46" s="1192"/>
    </row>
    <row r="47" spans="1:9">
      <c r="A47" s="75">
        <f t="shared" si="0"/>
        <v>38</v>
      </c>
      <c r="B47" s="180" t="s">
        <v>1296</v>
      </c>
      <c r="C47" s="310"/>
      <c r="D47" s="310"/>
      <c r="E47" s="310"/>
      <c r="F47" s="310"/>
      <c r="G47" s="310">
        <f>G45*G46</f>
        <v>1900681.2950897801</v>
      </c>
      <c r="I47" s="1192"/>
    </row>
    <row r="48" spans="1:9">
      <c r="A48" s="75">
        <f t="shared" si="0"/>
        <v>39</v>
      </c>
      <c r="C48" s="310"/>
      <c r="D48" s="310"/>
      <c r="E48" s="310"/>
      <c r="F48" s="310"/>
      <c r="G48" s="310"/>
      <c r="I48" s="1192"/>
    </row>
    <row r="49" spans="1:9">
      <c r="A49" s="75">
        <f t="shared" si="0"/>
        <v>40</v>
      </c>
      <c r="B49" s="73" t="s">
        <v>1006</v>
      </c>
      <c r="C49" s="310"/>
      <c r="D49" s="310"/>
      <c r="E49" s="310"/>
      <c r="F49" s="310"/>
      <c r="G49" s="310"/>
      <c r="I49" s="1192"/>
    </row>
    <row r="50" spans="1:9">
      <c r="A50" s="75">
        <f t="shared" si="0"/>
        <v>41</v>
      </c>
      <c r="B50" s="986" t="s">
        <v>1242</v>
      </c>
      <c r="C50" s="244">
        <v>4560.78</v>
      </c>
      <c r="D50" s="244">
        <v>0</v>
      </c>
      <c r="E50" s="310">
        <f t="shared" ref="E50:E55" si="6">AVERAGE(C50:D50)</f>
        <v>2280.39</v>
      </c>
      <c r="F50" s="244"/>
      <c r="G50" s="310">
        <f t="shared" ref="G50:G55" si="7">SUM(E50:F50)</f>
        <v>2280.39</v>
      </c>
      <c r="I50" s="1192"/>
    </row>
    <row r="51" spans="1:9">
      <c r="A51" s="75">
        <f t="shared" si="0"/>
        <v>42</v>
      </c>
      <c r="B51" s="986" t="s">
        <v>1243</v>
      </c>
      <c r="C51" s="244">
        <v>305987.15000000002</v>
      </c>
      <c r="D51" s="244">
        <v>305987.15000000002</v>
      </c>
      <c r="E51" s="310">
        <f t="shared" si="6"/>
        <v>305987.15000000002</v>
      </c>
      <c r="F51" s="244"/>
      <c r="G51" s="310">
        <f t="shared" si="7"/>
        <v>305987.15000000002</v>
      </c>
      <c r="I51" s="1192"/>
    </row>
    <row r="52" spans="1:9">
      <c r="A52" s="75">
        <f t="shared" si="0"/>
        <v>43</v>
      </c>
      <c r="B52" s="986" t="s">
        <v>1052</v>
      </c>
      <c r="C52" s="244">
        <v>41421.599999999999</v>
      </c>
      <c r="D52" s="244">
        <v>41421.599999999999</v>
      </c>
      <c r="E52" s="310">
        <f t="shared" si="6"/>
        <v>41421.599999999999</v>
      </c>
      <c r="F52" s="244"/>
      <c r="G52" s="310">
        <f t="shared" si="7"/>
        <v>41421.599999999999</v>
      </c>
      <c r="I52" s="1192"/>
    </row>
    <row r="53" spans="1:9">
      <c r="A53" s="75">
        <f t="shared" si="0"/>
        <v>44</v>
      </c>
      <c r="B53" s="986" t="s">
        <v>1244</v>
      </c>
      <c r="C53" s="244">
        <v>11380507.449999999</v>
      </c>
      <c r="D53" s="244">
        <v>11868007.449999999</v>
      </c>
      <c r="E53" s="310">
        <f t="shared" si="6"/>
        <v>11624257.449999999</v>
      </c>
      <c r="F53" s="244"/>
      <c r="G53" s="310">
        <f t="shared" si="7"/>
        <v>11624257.449999999</v>
      </c>
      <c r="I53" s="1192"/>
    </row>
    <row r="54" spans="1:9">
      <c r="A54" s="75">
        <f t="shared" si="0"/>
        <v>45</v>
      </c>
      <c r="B54" s="986" t="s">
        <v>1337</v>
      </c>
      <c r="C54" s="885">
        <v>18551460</v>
      </c>
      <c r="D54" s="885">
        <v>20178460</v>
      </c>
      <c r="E54" s="310">
        <f t="shared" si="6"/>
        <v>19364960</v>
      </c>
      <c r="F54" s="885"/>
      <c r="G54" s="310">
        <f t="shared" si="7"/>
        <v>19364960</v>
      </c>
      <c r="I54" s="1192"/>
    </row>
    <row r="55" spans="1:9">
      <c r="A55" s="75">
        <f t="shared" si="0"/>
        <v>46</v>
      </c>
      <c r="B55" s="986" t="s">
        <v>1727</v>
      </c>
      <c r="C55" s="247">
        <v>-2230575.1</v>
      </c>
      <c r="D55" s="247">
        <v>-2230575.1</v>
      </c>
      <c r="E55" s="248">
        <f t="shared" si="6"/>
        <v>-2230575.1</v>
      </c>
      <c r="F55" s="247"/>
      <c r="G55" s="248">
        <f t="shared" si="7"/>
        <v>-2230575.1</v>
      </c>
      <c r="I55" s="1192"/>
    </row>
    <row r="56" spans="1:9">
      <c r="A56" s="75">
        <f t="shared" si="0"/>
        <v>47</v>
      </c>
      <c r="B56" s="58" t="s">
        <v>1662</v>
      </c>
      <c r="C56" s="1156"/>
      <c r="D56" s="1156"/>
      <c r="E56" s="1159">
        <f>'WP_ADIT Prorate'!J99</f>
        <v>-566263.36828995496</v>
      </c>
      <c r="F56" s="1160"/>
      <c r="G56" s="1159">
        <f>SUM(E56:F56)</f>
        <v>-566263.36828995496</v>
      </c>
      <c r="I56" s="1192"/>
    </row>
    <row r="57" spans="1:9">
      <c r="A57" s="75">
        <f t="shared" si="0"/>
        <v>48</v>
      </c>
      <c r="B57" s="73" t="s">
        <v>1055</v>
      </c>
      <c r="C57" s="310">
        <f>SUM(C50:C55)</f>
        <v>28053361.879999995</v>
      </c>
      <c r="D57" s="310">
        <f>SUM(D50:D55)</f>
        <v>30163301.099999998</v>
      </c>
      <c r="E57" s="310">
        <f>SUM(E50:E56)</f>
        <v>28542068.121710043</v>
      </c>
      <c r="F57" s="310">
        <f>SUM(F50:F55)</f>
        <v>0</v>
      </c>
      <c r="G57" s="310">
        <f>SUM(G50:G56)</f>
        <v>28542068.121710043</v>
      </c>
      <c r="I57" s="1192"/>
    </row>
    <row r="58" spans="1:9">
      <c r="A58" s="75">
        <f t="shared" si="0"/>
        <v>49</v>
      </c>
      <c r="B58" s="993" t="s">
        <v>1583</v>
      </c>
      <c r="C58" s="310"/>
      <c r="D58" s="310"/>
      <c r="E58" s="310"/>
      <c r="F58" s="310"/>
      <c r="G58" s="992">
        <f>NP</f>
        <v>0.18055531137819167</v>
      </c>
      <c r="I58" s="1192"/>
    </row>
    <row r="59" spans="1:9">
      <c r="A59" s="75">
        <f t="shared" si="0"/>
        <v>50</v>
      </c>
      <c r="B59" s="993" t="s">
        <v>115</v>
      </c>
      <c r="C59" s="310"/>
      <c r="D59" s="310"/>
      <c r="E59" s="310"/>
      <c r="F59" s="310"/>
      <c r="G59" s="310">
        <f>G57*G58</f>
        <v>5153421.9970929148</v>
      </c>
      <c r="I59" s="1192"/>
    </row>
    <row r="60" spans="1:9">
      <c r="A60" s="75">
        <f t="shared" si="0"/>
        <v>51</v>
      </c>
      <c r="C60" s="310"/>
      <c r="D60" s="310"/>
      <c r="E60" s="310"/>
      <c r="F60" s="310"/>
      <c r="G60" s="310"/>
      <c r="I60" s="1192"/>
    </row>
    <row r="61" spans="1:9">
      <c r="A61" s="75">
        <f t="shared" si="0"/>
        <v>52</v>
      </c>
      <c r="B61" s="73" t="s">
        <v>1003</v>
      </c>
      <c r="C61" s="310"/>
      <c r="D61" s="310"/>
      <c r="E61" s="310"/>
      <c r="F61" s="310"/>
      <c r="G61" s="310"/>
      <c r="I61" s="1192"/>
    </row>
    <row r="62" spans="1:9">
      <c r="A62" s="75">
        <f t="shared" si="0"/>
        <v>53</v>
      </c>
      <c r="B62" s="986" t="s">
        <v>1245</v>
      </c>
      <c r="C62" s="244">
        <v>1610136.03</v>
      </c>
      <c r="D62" s="244">
        <v>1610823.4699999997</v>
      </c>
      <c r="E62" s="310">
        <f t="shared" ref="E62:E71" si="8">AVERAGE(C62:D62)</f>
        <v>1610479.75</v>
      </c>
      <c r="F62" s="244"/>
      <c r="G62" s="310">
        <f t="shared" ref="G62:G71" si="9">SUM(E62:F62)</f>
        <v>1610479.75</v>
      </c>
      <c r="I62" s="1192"/>
    </row>
    <row r="63" spans="1:9">
      <c r="A63" s="75">
        <f t="shared" si="0"/>
        <v>54</v>
      </c>
      <c r="B63" s="986" t="s">
        <v>1728</v>
      </c>
      <c r="C63" s="244">
        <v>262714.71000000002</v>
      </c>
      <c r="D63" s="244">
        <v>309221.70999999996</v>
      </c>
      <c r="E63" s="310">
        <f t="shared" si="8"/>
        <v>285968.20999999996</v>
      </c>
      <c r="F63" s="244"/>
      <c r="G63" s="310">
        <f t="shared" si="9"/>
        <v>285968.20999999996</v>
      </c>
      <c r="I63" s="1192"/>
    </row>
    <row r="64" spans="1:9">
      <c r="A64" s="75">
        <f t="shared" si="0"/>
        <v>55</v>
      </c>
      <c r="B64" s="986" t="s">
        <v>1247</v>
      </c>
      <c r="C64" s="244">
        <v>0</v>
      </c>
      <c r="D64" s="244">
        <v>0</v>
      </c>
      <c r="E64" s="310">
        <f t="shared" si="8"/>
        <v>0</v>
      </c>
      <c r="F64" s="244"/>
      <c r="G64" s="310">
        <f t="shared" si="9"/>
        <v>0</v>
      </c>
      <c r="I64" s="1192"/>
    </row>
    <row r="65" spans="1:9">
      <c r="A65" s="75">
        <f t="shared" si="0"/>
        <v>56</v>
      </c>
      <c r="B65" s="986" t="s">
        <v>1248</v>
      </c>
      <c r="C65" s="244">
        <v>2882988.8</v>
      </c>
      <c r="D65" s="244">
        <v>2882988.8</v>
      </c>
      <c r="E65" s="310">
        <f t="shared" si="8"/>
        <v>2882988.8</v>
      </c>
      <c r="F65" s="244"/>
      <c r="G65" s="310">
        <f t="shared" si="9"/>
        <v>2882988.8</v>
      </c>
      <c r="I65" s="1192"/>
    </row>
    <row r="66" spans="1:9">
      <c r="A66" s="75">
        <f t="shared" si="0"/>
        <v>57</v>
      </c>
      <c r="B66" s="986" t="s">
        <v>1249</v>
      </c>
      <c r="C66" s="244">
        <v>324127.75</v>
      </c>
      <c r="D66" s="244">
        <v>125537.95</v>
      </c>
      <c r="E66" s="310">
        <f t="shared" si="8"/>
        <v>224832.85</v>
      </c>
      <c r="F66" s="244"/>
      <c r="G66" s="310">
        <f t="shared" si="9"/>
        <v>224832.85</v>
      </c>
      <c r="I66" s="1192"/>
    </row>
    <row r="67" spans="1:9">
      <c r="A67" s="75">
        <f t="shared" si="0"/>
        <v>58</v>
      </c>
      <c r="B67" s="986" t="s">
        <v>1729</v>
      </c>
      <c r="C67" s="244">
        <v>35844.6</v>
      </c>
      <c r="D67" s="244">
        <v>35844.6</v>
      </c>
      <c r="E67" s="310">
        <f t="shared" si="8"/>
        <v>35844.6</v>
      </c>
      <c r="F67" s="244"/>
      <c r="G67" s="310">
        <f t="shared" si="9"/>
        <v>35844.6</v>
      </c>
      <c r="I67" s="1192"/>
    </row>
    <row r="68" spans="1:9">
      <c r="A68" s="75">
        <f t="shared" si="0"/>
        <v>59</v>
      </c>
      <c r="B68" s="986" t="s">
        <v>1250</v>
      </c>
      <c r="C68" s="244">
        <v>4297764.3400000008</v>
      </c>
      <c r="D68" s="244">
        <v>3329433.1900000004</v>
      </c>
      <c r="E68" s="310">
        <f t="shared" si="8"/>
        <v>3813598.7650000006</v>
      </c>
      <c r="F68" s="244"/>
      <c r="G68" s="310">
        <f t="shared" si="9"/>
        <v>3813598.7650000006</v>
      </c>
      <c r="I68" s="1192"/>
    </row>
    <row r="69" spans="1:9">
      <c r="A69" s="75">
        <f t="shared" si="0"/>
        <v>60</v>
      </c>
      <c r="B69" s="986" t="s">
        <v>1251</v>
      </c>
      <c r="C69" s="244">
        <v>1058596.26</v>
      </c>
      <c r="D69" s="244">
        <v>903290.9</v>
      </c>
      <c r="E69" s="310">
        <f t="shared" si="8"/>
        <v>980943.58000000007</v>
      </c>
      <c r="F69" s="244"/>
      <c r="G69" s="310">
        <f t="shared" si="9"/>
        <v>980943.58000000007</v>
      </c>
      <c r="I69" s="1192"/>
    </row>
    <row r="70" spans="1:9">
      <c r="A70" s="75">
        <f t="shared" si="0"/>
        <v>61</v>
      </c>
      <c r="B70" s="986" t="s">
        <v>1730</v>
      </c>
      <c r="C70" s="885">
        <v>8837.1999999999989</v>
      </c>
      <c r="D70" s="885">
        <v>8837.1999999999989</v>
      </c>
      <c r="E70" s="310">
        <f t="shared" si="8"/>
        <v>8837.1999999999989</v>
      </c>
      <c r="F70" s="885"/>
      <c r="G70" s="310">
        <f t="shared" si="9"/>
        <v>8837.1999999999989</v>
      </c>
      <c r="I70" s="1192"/>
    </row>
    <row r="71" spans="1:9">
      <c r="A71" s="75">
        <f t="shared" si="0"/>
        <v>62</v>
      </c>
      <c r="B71" s="986" t="s">
        <v>1252</v>
      </c>
      <c r="C71" s="247">
        <v>6298565.2899999991</v>
      </c>
      <c r="D71" s="247">
        <v>5643363.3199999994</v>
      </c>
      <c r="E71" s="248">
        <f t="shared" si="8"/>
        <v>5970964.3049999997</v>
      </c>
      <c r="F71" s="247"/>
      <c r="G71" s="248">
        <f t="shared" si="9"/>
        <v>5970964.3049999997</v>
      </c>
      <c r="I71" s="1192"/>
    </row>
    <row r="72" spans="1:9">
      <c r="A72" s="75">
        <f t="shared" si="0"/>
        <v>63</v>
      </c>
      <c r="B72" s="73" t="s">
        <v>1253</v>
      </c>
      <c r="C72" s="310">
        <f>SUM(C62:C71)</f>
        <v>16779574.979999997</v>
      </c>
      <c r="D72" s="310">
        <f>SUM(D62:D71)</f>
        <v>14849341.139999997</v>
      </c>
      <c r="E72" s="310">
        <f>SUM(E62:E71)</f>
        <v>15814458.059999999</v>
      </c>
      <c r="F72" s="310">
        <f>SUM(F62:F71)</f>
        <v>0</v>
      </c>
      <c r="G72" s="310">
        <f>SUM(G62:G71)</f>
        <v>15814458.059999999</v>
      </c>
      <c r="I72" s="1192"/>
    </row>
    <row r="73" spans="1:9">
      <c r="A73" s="75">
        <f t="shared" si="0"/>
        <v>64</v>
      </c>
      <c r="B73" s="180" t="s">
        <v>1582</v>
      </c>
      <c r="C73" s="310"/>
      <c r="D73" s="310"/>
      <c r="E73" s="310"/>
      <c r="F73" s="310"/>
      <c r="G73" s="992">
        <f>WS</f>
        <v>0.11383</v>
      </c>
      <c r="I73" s="1192"/>
    </row>
    <row r="74" spans="1:9">
      <c r="A74" s="75">
        <f t="shared" si="0"/>
        <v>65</v>
      </c>
      <c r="B74" s="180" t="s">
        <v>116</v>
      </c>
      <c r="C74" s="310"/>
      <c r="D74" s="310"/>
      <c r="E74" s="310"/>
      <c r="F74" s="310"/>
      <c r="G74" s="310">
        <f>G72*G73</f>
        <v>1800159.7609697999</v>
      </c>
      <c r="I74" s="1192"/>
    </row>
    <row r="75" spans="1:9">
      <c r="A75" s="75">
        <f t="shared" si="0"/>
        <v>66</v>
      </c>
      <c r="C75" s="310"/>
      <c r="D75" s="310"/>
      <c r="E75" s="310"/>
      <c r="F75" s="310"/>
      <c r="G75" s="310"/>
      <c r="I75" s="1192"/>
    </row>
    <row r="76" spans="1:9">
      <c r="A76" s="75">
        <f t="shared" si="0"/>
        <v>67</v>
      </c>
      <c r="B76" s="73" t="s">
        <v>1056</v>
      </c>
      <c r="C76" s="310"/>
      <c r="D76" s="310"/>
      <c r="E76" s="310"/>
      <c r="F76" s="310"/>
      <c r="G76" s="310"/>
      <c r="I76" s="1192"/>
    </row>
    <row r="77" spans="1:9">
      <c r="A77" s="75">
        <f t="shared" si="0"/>
        <v>68</v>
      </c>
      <c r="B77" s="986" t="s">
        <v>1254</v>
      </c>
      <c r="C77" s="244">
        <v>3883049.1700000004</v>
      </c>
      <c r="D77" s="244">
        <v>3883049.1700000004</v>
      </c>
      <c r="E77" s="310">
        <f t="shared" ref="E77:E85" si="10">AVERAGE(C77:D77)</f>
        <v>3883049.1700000004</v>
      </c>
      <c r="F77" s="244">
        <f t="shared" ref="F77:F85" si="11">-E77</f>
        <v>-3883049.1700000004</v>
      </c>
      <c r="G77" s="310">
        <f>SUM(E77:F77)</f>
        <v>0</v>
      </c>
      <c r="I77" s="1192"/>
    </row>
    <row r="78" spans="1:9">
      <c r="A78" s="75">
        <f t="shared" si="0"/>
        <v>69</v>
      </c>
      <c r="B78" s="986" t="s">
        <v>1255</v>
      </c>
      <c r="C78" s="244">
        <v>723535.05999999994</v>
      </c>
      <c r="D78" s="244">
        <v>-714522.20000000007</v>
      </c>
      <c r="E78" s="310">
        <f t="shared" si="10"/>
        <v>4506.4299999999348</v>
      </c>
      <c r="F78" s="244">
        <f t="shared" si="11"/>
        <v>-4506.4299999999348</v>
      </c>
      <c r="G78" s="310">
        <f t="shared" ref="G78:G85" si="12">SUM(E78:F78)</f>
        <v>0</v>
      </c>
      <c r="I78" s="1192"/>
    </row>
    <row r="79" spans="1:9">
      <c r="A79" s="75">
        <f t="shared" si="0"/>
        <v>70</v>
      </c>
      <c r="B79" s="986" t="s">
        <v>1256</v>
      </c>
      <c r="C79" s="244">
        <v>536773.79</v>
      </c>
      <c r="D79" s="244">
        <v>0</v>
      </c>
      <c r="E79" s="310">
        <f t="shared" si="10"/>
        <v>268386.89500000002</v>
      </c>
      <c r="F79" s="244">
        <f t="shared" si="11"/>
        <v>-268386.89500000002</v>
      </c>
      <c r="G79" s="310">
        <f t="shared" si="12"/>
        <v>0</v>
      </c>
      <c r="I79" s="1192"/>
    </row>
    <row r="80" spans="1:9">
      <c r="A80" s="75">
        <f t="shared" ref="A80:A95" si="13">A79+1</f>
        <v>71</v>
      </c>
      <c r="B80" s="986" t="s">
        <v>1289</v>
      </c>
      <c r="C80" s="244">
        <v>244381.79</v>
      </c>
      <c r="D80" s="244">
        <v>244381.79</v>
      </c>
      <c r="E80" s="310">
        <f t="shared" si="10"/>
        <v>244381.79</v>
      </c>
      <c r="F80" s="244">
        <f t="shared" si="11"/>
        <v>-244381.79</v>
      </c>
      <c r="G80" s="310">
        <f t="shared" si="12"/>
        <v>0</v>
      </c>
      <c r="I80" s="1192"/>
    </row>
    <row r="81" spans="1:9">
      <c r="A81" s="75">
        <f t="shared" si="13"/>
        <v>72</v>
      </c>
      <c r="B81" s="986" t="s">
        <v>1291</v>
      </c>
      <c r="C81" s="244">
        <v>0</v>
      </c>
      <c r="D81" s="244">
        <v>0</v>
      </c>
      <c r="E81" s="310">
        <f t="shared" si="10"/>
        <v>0</v>
      </c>
      <c r="F81" s="244">
        <f t="shared" si="11"/>
        <v>0</v>
      </c>
      <c r="G81" s="310">
        <f t="shared" si="12"/>
        <v>0</v>
      </c>
      <c r="I81" s="1192"/>
    </row>
    <row r="82" spans="1:9">
      <c r="A82" s="75">
        <f t="shared" si="13"/>
        <v>73</v>
      </c>
      <c r="B82" s="986" t="s">
        <v>1731</v>
      </c>
      <c r="C82" s="244">
        <v>5405.08</v>
      </c>
      <c r="D82" s="244">
        <v>5405.08</v>
      </c>
      <c r="E82" s="310">
        <f t="shared" si="10"/>
        <v>5405.08</v>
      </c>
      <c r="F82" s="244">
        <f t="shared" si="11"/>
        <v>-5405.08</v>
      </c>
      <c r="G82" s="310">
        <f t="shared" si="12"/>
        <v>0</v>
      </c>
      <c r="I82" s="1192"/>
    </row>
    <row r="83" spans="1:9">
      <c r="A83" s="75">
        <f t="shared" si="13"/>
        <v>74</v>
      </c>
      <c r="B83" s="986" t="s">
        <v>1732</v>
      </c>
      <c r="C83" s="244">
        <v>321552</v>
      </c>
      <c r="D83" s="244">
        <v>321552</v>
      </c>
      <c r="E83" s="310">
        <f t="shared" si="10"/>
        <v>321552</v>
      </c>
      <c r="F83" s="244">
        <f t="shared" si="11"/>
        <v>-321552</v>
      </c>
      <c r="G83" s="310">
        <f t="shared" si="12"/>
        <v>0</v>
      </c>
      <c r="I83" s="1192"/>
    </row>
    <row r="84" spans="1:9">
      <c r="A84" s="75">
        <f t="shared" si="13"/>
        <v>75</v>
      </c>
      <c r="B84" s="986" t="s">
        <v>1058</v>
      </c>
      <c r="C84" s="244">
        <v>1398299.42</v>
      </c>
      <c r="D84" s="244">
        <v>-3130859.55</v>
      </c>
      <c r="E84" s="310">
        <f t="shared" si="10"/>
        <v>-866280.06499999994</v>
      </c>
      <c r="F84" s="244">
        <f t="shared" si="11"/>
        <v>866280.06499999994</v>
      </c>
      <c r="G84" s="310">
        <f t="shared" si="12"/>
        <v>0</v>
      </c>
      <c r="I84" s="1192"/>
    </row>
    <row r="85" spans="1:9">
      <c r="A85" s="75">
        <f t="shared" si="13"/>
        <v>76</v>
      </c>
      <c r="B85" s="986" t="s">
        <v>1190</v>
      </c>
      <c r="C85" s="247">
        <v>29101307.200000003</v>
      </c>
      <c r="D85" s="247">
        <v>30894756.789999999</v>
      </c>
      <c r="E85" s="990">
        <f t="shared" si="10"/>
        <v>29998031.995000001</v>
      </c>
      <c r="F85" s="247">
        <f t="shared" si="11"/>
        <v>-29998031.995000001</v>
      </c>
      <c r="G85" s="248">
        <f t="shared" si="12"/>
        <v>0</v>
      </c>
      <c r="I85" s="1192"/>
    </row>
    <row r="86" spans="1:9">
      <c r="A86" s="75">
        <f t="shared" si="13"/>
        <v>77</v>
      </c>
      <c r="B86" s="73" t="s">
        <v>1292</v>
      </c>
      <c r="C86" s="310">
        <f>SUM(C77:C85)</f>
        <v>36214303.510000005</v>
      </c>
      <c r="D86" s="310">
        <f>SUM(D77:D85)</f>
        <v>31503763.079999998</v>
      </c>
      <c r="E86" s="310">
        <f>SUM(E77:E85)</f>
        <v>33859033.295000002</v>
      </c>
      <c r="F86" s="310">
        <f>SUM(F77:F85)</f>
        <v>-33859033.295000002</v>
      </c>
      <c r="G86" s="310">
        <f>SUM(G77:G85)</f>
        <v>0</v>
      </c>
      <c r="I86" s="1192"/>
    </row>
    <row r="87" spans="1:9">
      <c r="A87" s="75">
        <f t="shared" si="13"/>
        <v>78</v>
      </c>
      <c r="C87" s="310"/>
      <c r="D87" s="310"/>
      <c r="E87" s="310"/>
      <c r="F87" s="310"/>
      <c r="G87" s="310"/>
      <c r="I87" s="1192"/>
    </row>
    <row r="88" spans="1:9">
      <c r="A88" s="75">
        <f t="shared" si="13"/>
        <v>79</v>
      </c>
      <c r="B88" s="73" t="s">
        <v>110</v>
      </c>
      <c r="C88" s="310"/>
      <c r="D88" s="310"/>
      <c r="E88" s="310"/>
      <c r="F88" s="310"/>
      <c r="G88" s="310"/>
      <c r="I88" s="1192"/>
    </row>
    <row r="89" spans="1:9">
      <c r="A89" s="75">
        <f t="shared" si="13"/>
        <v>80</v>
      </c>
      <c r="B89" s="986" t="s">
        <v>1194</v>
      </c>
      <c r="C89" s="244">
        <v>81164.78</v>
      </c>
      <c r="D89" s="244">
        <v>0.08</v>
      </c>
      <c r="E89" s="310">
        <f>AVERAGE(C89:D89)</f>
        <v>40582.43</v>
      </c>
      <c r="F89" s="244"/>
      <c r="G89" s="310">
        <f>SUM(E89:F89)</f>
        <v>40582.43</v>
      </c>
      <c r="I89" s="1192"/>
    </row>
    <row r="90" spans="1:9">
      <c r="A90" s="75">
        <f t="shared" si="13"/>
        <v>81</v>
      </c>
      <c r="B90" s="986" t="s">
        <v>1061</v>
      </c>
      <c r="C90" s="244">
        <v>164964.79</v>
      </c>
      <c r="D90" s="244">
        <v>0.24</v>
      </c>
      <c r="E90" s="310">
        <f>AVERAGE(C90:D90)</f>
        <v>82482.514999999999</v>
      </c>
      <c r="F90" s="244"/>
      <c r="G90" s="310">
        <f>SUM(E90:F90)</f>
        <v>82482.514999999999</v>
      </c>
      <c r="I90" s="1192"/>
    </row>
    <row r="91" spans="1:9">
      <c r="A91" s="75">
        <f t="shared" si="13"/>
        <v>82</v>
      </c>
      <c r="B91" s="986" t="s">
        <v>1336</v>
      </c>
      <c r="C91" s="247">
        <v>0</v>
      </c>
      <c r="D91" s="247">
        <v>0</v>
      </c>
      <c r="E91" s="248">
        <f>AVERAGE(C91:D91)</f>
        <v>0</v>
      </c>
      <c r="F91" s="247"/>
      <c r="G91" s="248">
        <f>SUM(E91:F91)</f>
        <v>0</v>
      </c>
      <c r="I91" s="1192"/>
    </row>
    <row r="92" spans="1:9">
      <c r="A92" s="75">
        <f t="shared" si="13"/>
        <v>83</v>
      </c>
      <c r="B92" s="73" t="s">
        <v>1293</v>
      </c>
      <c r="C92" s="310">
        <f>SUM(C89:C91)</f>
        <v>246129.57</v>
      </c>
      <c r="D92" s="310">
        <f>SUM(D89:D91)</f>
        <v>0.32</v>
      </c>
      <c r="E92" s="310">
        <f>SUM(E89:E91)</f>
        <v>123064.94500000001</v>
      </c>
      <c r="F92" s="310">
        <f>SUM(F89:F91)</f>
        <v>0</v>
      </c>
      <c r="G92" s="310">
        <f>SUM(G89:G91)</f>
        <v>123064.94500000001</v>
      </c>
      <c r="I92" s="1192"/>
    </row>
    <row r="93" spans="1:9">
      <c r="A93" s="75">
        <f t="shared" si="13"/>
        <v>84</v>
      </c>
      <c r="C93" s="310"/>
      <c r="D93" s="310"/>
      <c r="E93" s="310"/>
      <c r="F93" s="310"/>
      <c r="G93" s="310"/>
    </row>
    <row r="94" spans="1:9" ht="13.5" thickBot="1">
      <c r="A94" s="75">
        <f t="shared" si="13"/>
        <v>85</v>
      </c>
    </row>
    <row r="95" spans="1:9" ht="13.5" thickBot="1">
      <c r="A95" s="75">
        <f t="shared" si="13"/>
        <v>86</v>
      </c>
      <c r="B95" s="1002" t="s">
        <v>1301</v>
      </c>
      <c r="C95" s="1003">
        <f>C92+C86+C72+C57+C45+C35+C20+C14</f>
        <v>481855721.7058664</v>
      </c>
      <c r="D95" s="1003">
        <f>D92+D86+D72+D57+D45+D35+D20+D14</f>
        <v>464591625.51581281</v>
      </c>
      <c r="E95" s="996">
        <f>E92+E86+E72+E57+E45+E35+E20+E14</f>
        <v>474866570.3719306</v>
      </c>
      <c r="G95" s="996">
        <f>G92+G86+G74+G59+G47+G35+G20+G14</f>
        <v>53430333.874596961</v>
      </c>
    </row>
    <row r="96" spans="1:9" ht="13.5" thickTop="1"/>
    <row r="97" spans="1:7" ht="29.25" customHeight="1">
      <c r="A97" s="997" t="s">
        <v>870</v>
      </c>
      <c r="B97" s="1232" t="s">
        <v>209</v>
      </c>
      <c r="C97" s="1232"/>
      <c r="D97" s="1232"/>
      <c r="E97" s="1232"/>
      <c r="F97" s="1232"/>
      <c r="G97" s="1232"/>
    </row>
    <row r="98" spans="1:7">
      <c r="A98" s="450" t="s">
        <v>870</v>
      </c>
      <c r="B98" s="309" t="s">
        <v>1313</v>
      </c>
      <c r="C98" s="1153"/>
      <c r="D98" s="1153"/>
      <c r="E98" s="1153"/>
      <c r="F98" s="1153"/>
      <c r="G98" s="1162"/>
    </row>
    <row r="99" spans="1:7">
      <c r="A99" s="75" t="s">
        <v>870</v>
      </c>
      <c r="B99" s="73" t="s">
        <v>1663</v>
      </c>
    </row>
    <row r="100" spans="1:7">
      <c r="A100" s="979" t="str">
        <f>A1</f>
        <v>Public Service Company of Colorado</v>
      </c>
      <c r="G100" s="898" t="str">
        <f>G1</f>
        <v>Table 9</v>
      </c>
    </row>
    <row r="101" spans="1:7">
      <c r="A101" s="979" t="str">
        <f>A2</f>
        <v>Transmission Formula Rate Template</v>
      </c>
      <c r="G101" s="898" t="str">
        <f ca="1">MID(CELL("filename",$A$1),FIND("]",CELL("filename",$A$1))+1,LEN(CELL("filename",$A$1))-FIND("]",CELL("filename",$A$1)))</f>
        <v>WP_B-3</v>
      </c>
    </row>
    <row r="102" spans="1:7">
      <c r="A102" s="979" t="str">
        <f>A3</f>
        <v>Twelve Months Ended December 31, 2017</v>
      </c>
    </row>
    <row r="103" spans="1:7">
      <c r="A103" s="979" t="str">
        <f>A4</f>
        <v>Accumulated Deferred Income Taxes (Debits)</v>
      </c>
      <c r="B103" s="309"/>
      <c r="E103" s="309"/>
      <c r="F103" s="309"/>
      <c r="G103" s="309"/>
    </row>
    <row r="104" spans="1:7">
      <c r="A104" s="58"/>
      <c r="B104" s="309"/>
      <c r="C104" s="309"/>
      <c r="D104" s="309"/>
      <c r="E104" s="309"/>
      <c r="F104" s="309"/>
      <c r="G104" s="309"/>
    </row>
    <row r="105" spans="1:7">
      <c r="A105" s="979" t="s">
        <v>1064</v>
      </c>
      <c r="B105" s="443"/>
      <c r="C105" s="443"/>
      <c r="D105" s="443"/>
      <c r="E105" s="443"/>
      <c r="F105" s="443"/>
    </row>
    <row r="106" spans="1:7">
      <c r="A106" s="443"/>
      <c r="B106" s="443"/>
      <c r="C106" s="1231" t="s">
        <v>970</v>
      </c>
      <c r="D106" s="1231"/>
      <c r="E106" s="443"/>
      <c r="F106" s="443"/>
      <c r="G106" s="443" t="s">
        <v>971</v>
      </c>
    </row>
    <row r="107" spans="1:7" ht="25.5">
      <c r="A107" s="981" t="s">
        <v>862</v>
      </c>
      <c r="B107" s="981" t="s">
        <v>1066</v>
      </c>
      <c r="C107" s="1155">
        <f>C8</f>
        <v>42735</v>
      </c>
      <c r="D107" s="1155">
        <f>D8</f>
        <v>43100</v>
      </c>
      <c r="E107" s="982" t="s">
        <v>1575</v>
      </c>
      <c r="F107" s="982" t="s">
        <v>986</v>
      </c>
      <c r="G107" s="982" t="s">
        <v>985</v>
      </c>
    </row>
    <row r="108" spans="1:7">
      <c r="C108" s="980" t="s">
        <v>358</v>
      </c>
      <c r="D108" s="980" t="s">
        <v>357</v>
      </c>
      <c r="E108" s="980" t="s">
        <v>359</v>
      </c>
      <c r="F108" s="980" t="s">
        <v>360</v>
      </c>
      <c r="G108" s="980" t="s">
        <v>361</v>
      </c>
    </row>
    <row r="109" spans="1:7">
      <c r="A109" s="75">
        <v>1</v>
      </c>
      <c r="B109" s="1002" t="s">
        <v>1314</v>
      </c>
    </row>
    <row r="110" spans="1:7">
      <c r="A110" s="75">
        <f t="shared" ref="A110:A175" si="14">A109+1</f>
        <v>2</v>
      </c>
      <c r="C110" s="310"/>
      <c r="D110" s="310"/>
      <c r="E110" s="310"/>
      <c r="F110" s="310"/>
      <c r="G110" s="310"/>
    </row>
    <row r="111" spans="1:7">
      <c r="A111" s="75">
        <f t="shared" si="14"/>
        <v>3</v>
      </c>
      <c r="B111" s="73" t="s">
        <v>1067</v>
      </c>
      <c r="C111" s="310"/>
      <c r="D111" s="310"/>
      <c r="E111" s="310"/>
      <c r="F111" s="310"/>
      <c r="G111" s="310"/>
    </row>
    <row r="112" spans="1:7">
      <c r="A112" s="75">
        <f t="shared" si="14"/>
        <v>4</v>
      </c>
      <c r="B112" s="986"/>
      <c r="C112" s="247">
        <v>0</v>
      </c>
      <c r="D112" s="247"/>
      <c r="E112" s="248">
        <f>AVERAGE(C112:D112)</f>
        <v>0</v>
      </c>
      <c r="F112" s="247"/>
      <c r="G112" s="248">
        <f>SUM(E112:F112)</f>
        <v>0</v>
      </c>
    </row>
    <row r="113" spans="1:9">
      <c r="A113" s="75">
        <f t="shared" si="14"/>
        <v>5</v>
      </c>
      <c r="B113" s="73" t="s">
        <v>1068</v>
      </c>
      <c r="C113" s="310">
        <f>SUM(C112)</f>
        <v>0</v>
      </c>
      <c r="D113" s="310">
        <f>SUM(D112)</f>
        <v>0</v>
      </c>
      <c r="E113" s="310">
        <f>SUM(E112)</f>
        <v>0</v>
      </c>
      <c r="F113" s="310">
        <f>SUM(F112)</f>
        <v>0</v>
      </c>
      <c r="G113" s="310">
        <f>SUM(G112)</f>
        <v>0</v>
      </c>
    </row>
    <row r="114" spans="1:9">
      <c r="A114" s="75">
        <f t="shared" si="14"/>
        <v>6</v>
      </c>
      <c r="C114" s="310"/>
      <c r="D114" s="310"/>
      <c r="E114" s="310"/>
      <c r="F114" s="310"/>
      <c r="G114" s="310"/>
    </row>
    <row r="115" spans="1:9">
      <c r="A115" s="75">
        <f t="shared" si="14"/>
        <v>7</v>
      </c>
      <c r="B115" s="73" t="s">
        <v>1069</v>
      </c>
      <c r="C115" s="310"/>
      <c r="D115" s="310"/>
      <c r="E115" s="310"/>
      <c r="F115" s="310"/>
      <c r="G115" s="310"/>
    </row>
    <row r="116" spans="1:9">
      <c r="A116" s="75">
        <f t="shared" si="14"/>
        <v>8</v>
      </c>
      <c r="B116" s="986" t="s">
        <v>1070</v>
      </c>
      <c r="C116" s="244">
        <v>2384.7427610816621</v>
      </c>
      <c r="D116" s="244">
        <v>2625.1691000729306</v>
      </c>
      <c r="E116" s="245">
        <f>AVERAGE(C116:D116)</f>
        <v>2504.9559305772964</v>
      </c>
      <c r="F116" s="1004">
        <f>-E116</f>
        <v>-2504.9559305772964</v>
      </c>
      <c r="G116" s="310">
        <f>SUM(E116:F116)</f>
        <v>0</v>
      </c>
    </row>
    <row r="117" spans="1:9">
      <c r="A117" s="75">
        <f t="shared" si="14"/>
        <v>9</v>
      </c>
      <c r="B117" s="986" t="s">
        <v>1071</v>
      </c>
      <c r="C117" s="244">
        <v>652244.74910000013</v>
      </c>
      <c r="D117" s="244">
        <v>652463.1572999995</v>
      </c>
      <c r="E117" s="245">
        <f>AVERAGE(C117:D117)</f>
        <v>652353.95319999987</v>
      </c>
      <c r="F117" s="244">
        <f>-E117</f>
        <v>-652353.95319999987</v>
      </c>
      <c r="G117" s="310">
        <f>SUM(E117:F117)</f>
        <v>0</v>
      </c>
    </row>
    <row r="118" spans="1:9">
      <c r="A118" s="75">
        <f t="shared" si="14"/>
        <v>10</v>
      </c>
      <c r="B118" s="986" t="s">
        <v>1072</v>
      </c>
      <c r="C118" s="247">
        <v>8645704.9999999907</v>
      </c>
      <c r="D118" s="247">
        <v>8645704.9999999832</v>
      </c>
      <c r="E118" s="1001">
        <f>AVERAGE(C118:D118)</f>
        <v>8645704.999999987</v>
      </c>
      <c r="F118" s="247">
        <f>-E118</f>
        <v>-8645704.999999987</v>
      </c>
      <c r="G118" s="248">
        <f>SUM(E118:F118)</f>
        <v>0</v>
      </c>
    </row>
    <row r="119" spans="1:9">
      <c r="A119" s="75">
        <f t="shared" si="14"/>
        <v>11</v>
      </c>
      <c r="B119" s="73" t="s">
        <v>1073</v>
      </c>
      <c r="C119" s="310">
        <f>SUM(C116:C118)</f>
        <v>9300334.4918610733</v>
      </c>
      <c r="D119" s="310">
        <f>SUM(D116:D118)</f>
        <v>9300793.3264000565</v>
      </c>
      <c r="E119" s="310">
        <f>SUM(E116:E118)</f>
        <v>9300563.909130564</v>
      </c>
      <c r="F119" s="310">
        <f>SUM(F116:F118)</f>
        <v>-9300563.909130564</v>
      </c>
      <c r="G119" s="310">
        <f>SUM(G116:G118)</f>
        <v>0</v>
      </c>
    </row>
    <row r="120" spans="1:9">
      <c r="A120" s="75">
        <f t="shared" si="14"/>
        <v>12</v>
      </c>
      <c r="C120" s="310"/>
      <c r="D120" s="310"/>
      <c r="E120" s="310"/>
      <c r="F120" s="310"/>
      <c r="G120" s="310"/>
    </row>
    <row r="121" spans="1:9">
      <c r="A121" s="75">
        <f t="shared" si="14"/>
        <v>13</v>
      </c>
      <c r="B121" s="58" t="s">
        <v>1294</v>
      </c>
      <c r="C121" s="310"/>
      <c r="D121" s="310"/>
      <c r="E121" s="310"/>
      <c r="F121" s="310"/>
      <c r="G121" s="310"/>
      <c r="I121" s="308" t="s">
        <v>788</v>
      </c>
    </row>
    <row r="122" spans="1:9">
      <c r="A122" s="75">
        <f t="shared" si="14"/>
        <v>14</v>
      </c>
      <c r="B122" s="986" t="s">
        <v>989</v>
      </c>
      <c r="C122" s="244">
        <v>244683892.10000008</v>
      </c>
      <c r="D122" s="244">
        <v>263797867.65999976</v>
      </c>
      <c r="E122" s="245">
        <f t="shared" ref="E122:E132" si="15">AVERAGE(C122:D122)</f>
        <v>254240879.87999994</v>
      </c>
      <c r="F122" s="244">
        <f t="shared" ref="F122:F132" si="16">-E122</f>
        <v>-254240879.87999994</v>
      </c>
      <c r="G122" s="310">
        <f t="shared" ref="G122:G132" si="17">SUM(E122:F122)</f>
        <v>0</v>
      </c>
    </row>
    <row r="123" spans="1:9">
      <c r="A123" s="75">
        <f t="shared" si="14"/>
        <v>15</v>
      </c>
      <c r="B123" s="986" t="s">
        <v>563</v>
      </c>
      <c r="C123" s="244">
        <v>-93142.36</v>
      </c>
      <c r="D123" s="244">
        <v>-91046.78</v>
      </c>
      <c r="E123" s="245">
        <f t="shared" si="15"/>
        <v>-92094.57</v>
      </c>
      <c r="F123" s="244">
        <f t="shared" si="16"/>
        <v>92094.57</v>
      </c>
      <c r="G123" s="310">
        <f t="shared" si="17"/>
        <v>0</v>
      </c>
    </row>
    <row r="124" spans="1:9">
      <c r="A124" s="75">
        <f t="shared" si="14"/>
        <v>16</v>
      </c>
      <c r="B124" s="986" t="s">
        <v>1238</v>
      </c>
      <c r="C124" s="244">
        <v>16243442.775000032</v>
      </c>
      <c r="D124" s="244">
        <v>3445909.2600285606</v>
      </c>
      <c r="E124" s="245">
        <f t="shared" si="15"/>
        <v>9844676.0175142959</v>
      </c>
      <c r="F124" s="244">
        <f t="shared" si="16"/>
        <v>-9844676.0175142959</v>
      </c>
      <c r="G124" s="310">
        <f t="shared" si="17"/>
        <v>0</v>
      </c>
    </row>
    <row r="125" spans="1:9">
      <c r="A125" s="75">
        <f t="shared" si="14"/>
        <v>17</v>
      </c>
      <c r="B125" s="986" t="s">
        <v>990</v>
      </c>
      <c r="C125" s="244">
        <v>33328080</v>
      </c>
      <c r="D125" s="244">
        <v>36756997</v>
      </c>
      <c r="E125" s="245">
        <f t="shared" si="15"/>
        <v>35042538.5</v>
      </c>
      <c r="F125" s="244"/>
      <c r="G125" s="310">
        <f t="shared" si="17"/>
        <v>35042538.5</v>
      </c>
    </row>
    <row r="126" spans="1:9">
      <c r="A126" s="75">
        <f t="shared" si="14"/>
        <v>18</v>
      </c>
      <c r="B126" s="986" t="s">
        <v>564</v>
      </c>
      <c r="C126" s="244">
        <v>1119615</v>
      </c>
      <c r="D126" s="244">
        <v>916567</v>
      </c>
      <c r="E126" s="245">
        <f t="shared" si="15"/>
        <v>1018091</v>
      </c>
      <c r="F126" s="244">
        <f t="shared" si="16"/>
        <v>-1018091</v>
      </c>
      <c r="G126" s="310">
        <f t="shared" si="17"/>
        <v>0</v>
      </c>
    </row>
    <row r="127" spans="1:9">
      <c r="A127" s="75">
        <f t="shared" si="14"/>
        <v>19</v>
      </c>
      <c r="B127" s="986" t="s">
        <v>565</v>
      </c>
      <c r="C127" s="244">
        <v>-386.65993031799729</v>
      </c>
      <c r="D127" s="244">
        <v>-386.65993031799729</v>
      </c>
      <c r="E127" s="245">
        <f t="shared" si="15"/>
        <v>-386.65993031799729</v>
      </c>
      <c r="F127" s="244">
        <f t="shared" si="16"/>
        <v>386.65993031799729</v>
      </c>
      <c r="G127" s="310">
        <f t="shared" si="17"/>
        <v>0</v>
      </c>
    </row>
    <row r="128" spans="1:9">
      <c r="A128" s="75">
        <f t="shared" si="14"/>
        <v>20</v>
      </c>
      <c r="B128" s="986" t="s">
        <v>1239</v>
      </c>
      <c r="C128" s="244">
        <v>13204347.030000027</v>
      </c>
      <c r="D128" s="244">
        <v>962645.74391622038</v>
      </c>
      <c r="E128" s="245">
        <f t="shared" si="15"/>
        <v>7083496.3869581241</v>
      </c>
      <c r="F128" s="244"/>
      <c r="G128" s="310">
        <f t="shared" si="17"/>
        <v>7083496.3869581241</v>
      </c>
    </row>
    <row r="129" spans="1:9">
      <c r="A129" s="75">
        <f t="shared" si="14"/>
        <v>21</v>
      </c>
      <c r="B129" s="986" t="s">
        <v>996</v>
      </c>
      <c r="C129" s="244">
        <v>85361184</v>
      </c>
      <c r="D129" s="244">
        <v>88001456</v>
      </c>
      <c r="E129" s="245">
        <f t="shared" si="15"/>
        <v>86681320</v>
      </c>
      <c r="F129" s="244">
        <f t="shared" si="16"/>
        <v>-86681320</v>
      </c>
      <c r="G129" s="310">
        <f t="shared" si="17"/>
        <v>0</v>
      </c>
    </row>
    <row r="130" spans="1:9">
      <c r="A130" s="75">
        <f t="shared" si="14"/>
        <v>22</v>
      </c>
      <c r="B130" s="986" t="s">
        <v>943</v>
      </c>
      <c r="C130" s="244">
        <v>0</v>
      </c>
      <c r="D130" s="244">
        <v>0</v>
      </c>
      <c r="E130" s="245">
        <f t="shared" si="15"/>
        <v>0</v>
      </c>
      <c r="F130" s="244">
        <f t="shared" si="16"/>
        <v>0</v>
      </c>
      <c r="G130" s="310">
        <f t="shared" si="17"/>
        <v>0</v>
      </c>
    </row>
    <row r="131" spans="1:9">
      <c r="A131" s="75">
        <f t="shared" si="14"/>
        <v>23</v>
      </c>
      <c r="B131" s="986" t="s">
        <v>941</v>
      </c>
      <c r="C131" s="885">
        <v>0</v>
      </c>
      <c r="D131" s="885">
        <v>0</v>
      </c>
      <c r="E131" s="245">
        <f t="shared" si="15"/>
        <v>0</v>
      </c>
      <c r="F131" s="244">
        <f t="shared" si="16"/>
        <v>0</v>
      </c>
      <c r="G131" s="310">
        <f t="shared" si="17"/>
        <v>0</v>
      </c>
      <c r="I131" s="1194" t="s">
        <v>1839</v>
      </c>
    </row>
    <row r="132" spans="1:9">
      <c r="A132" s="75">
        <f t="shared" si="14"/>
        <v>24</v>
      </c>
      <c r="B132" s="986" t="s">
        <v>1240</v>
      </c>
      <c r="C132" s="247">
        <v>11580002.752500022</v>
      </c>
      <c r="D132" s="247">
        <v>861491.89679280017</v>
      </c>
      <c r="E132" s="1001">
        <f t="shared" si="15"/>
        <v>6220747.3246464115</v>
      </c>
      <c r="F132" s="247">
        <f t="shared" si="16"/>
        <v>-6220747.3246464115</v>
      </c>
      <c r="G132" s="248">
        <f t="shared" si="17"/>
        <v>0</v>
      </c>
      <c r="I132" s="1195">
        <f>'WP_ADIT Prorate'!Q15-C125-C128</f>
        <v>0</v>
      </c>
    </row>
    <row r="133" spans="1:9">
      <c r="A133" s="75">
        <f t="shared" si="14"/>
        <v>25</v>
      </c>
      <c r="B133" s="58" t="s">
        <v>1662</v>
      </c>
      <c r="C133" s="1156"/>
      <c r="D133" s="1156"/>
      <c r="E133" s="1160">
        <f>'WP_ADIT Prorate'!Q37</f>
        <v>0</v>
      </c>
      <c r="F133" s="1160"/>
      <c r="G133" s="1160">
        <f>SUM(C133:F133)</f>
        <v>0</v>
      </c>
      <c r="I133" s="1195">
        <f>'WP_ADIT Prorate'!Q15+'WP_ADIT Prorate'!L28-D125-D128</f>
        <v>0</v>
      </c>
    </row>
    <row r="134" spans="1:9">
      <c r="A134" s="75">
        <f t="shared" si="14"/>
        <v>26</v>
      </c>
      <c r="B134" s="58" t="s">
        <v>113</v>
      </c>
      <c r="C134" s="310">
        <f>SUM(C122:C132)</f>
        <v>405427034.63756984</v>
      </c>
      <c r="D134" s="310">
        <f>SUM(D122:D132)</f>
        <v>394651501.12080711</v>
      </c>
      <c r="E134" s="310">
        <f>SUM(E122:E133)</f>
        <v>400039267.87918848</v>
      </c>
      <c r="F134" s="310">
        <f>SUM(F122:F132)</f>
        <v>-357913232.99223036</v>
      </c>
      <c r="G134" s="310">
        <f>SUM(G122:G133)</f>
        <v>42126034.886958122</v>
      </c>
      <c r="I134" s="1195">
        <f>'WP_ADIT Prorate'!Q37-E133</f>
        <v>0</v>
      </c>
    </row>
    <row r="135" spans="1:9">
      <c r="A135" s="75">
        <f t="shared" si="14"/>
        <v>27</v>
      </c>
      <c r="C135" s="310"/>
      <c r="D135" s="310"/>
      <c r="E135" s="310"/>
      <c r="F135" s="310"/>
      <c r="G135" s="310"/>
    </row>
    <row r="136" spans="1:9">
      <c r="A136" s="75">
        <f t="shared" si="14"/>
        <v>28</v>
      </c>
      <c r="B136" s="58" t="s">
        <v>1295</v>
      </c>
      <c r="C136" s="310"/>
      <c r="D136" s="310"/>
      <c r="E136" s="310"/>
      <c r="F136" s="310"/>
      <c r="G136" s="310"/>
    </row>
    <row r="137" spans="1:9">
      <c r="A137" s="75">
        <f t="shared" si="14"/>
        <v>29</v>
      </c>
      <c r="B137" s="986" t="s">
        <v>949</v>
      </c>
      <c r="C137" s="244">
        <v>1309041</v>
      </c>
      <c r="D137" s="244">
        <v>2351610</v>
      </c>
      <c r="E137" s="245">
        <f t="shared" ref="E137:E142" si="18">AVERAGE(C137:D137)</f>
        <v>1830325.5</v>
      </c>
      <c r="F137" s="244"/>
      <c r="G137" s="310">
        <f t="shared" ref="G137:G142" si="19">SUM(E137:F137)</f>
        <v>1830325.5</v>
      </c>
    </row>
    <row r="138" spans="1:9">
      <c r="A138" s="75">
        <f t="shared" si="14"/>
        <v>30</v>
      </c>
      <c r="B138" s="986" t="s">
        <v>948</v>
      </c>
      <c r="C138" s="244">
        <v>0</v>
      </c>
      <c r="D138" s="244">
        <v>0</v>
      </c>
      <c r="E138" s="245">
        <f t="shared" si="18"/>
        <v>0</v>
      </c>
      <c r="F138" s="244"/>
      <c r="G138" s="310">
        <f t="shared" si="19"/>
        <v>0</v>
      </c>
    </row>
    <row r="139" spans="1:9">
      <c r="A139" s="75">
        <f t="shared" si="14"/>
        <v>31</v>
      </c>
      <c r="B139" s="986" t="s">
        <v>1241</v>
      </c>
      <c r="C139" s="244">
        <v>5868598.6800000118</v>
      </c>
      <c r="D139" s="244">
        <v>1615975.3595196905</v>
      </c>
      <c r="E139" s="245">
        <f t="shared" si="18"/>
        <v>3742287.019759851</v>
      </c>
      <c r="F139" s="244"/>
      <c r="G139" s="310">
        <f t="shared" si="19"/>
        <v>3742287.019759851</v>
      </c>
    </row>
    <row r="140" spans="1:9">
      <c r="A140" s="75">
        <f t="shared" si="14"/>
        <v>32</v>
      </c>
      <c r="B140" s="986" t="s">
        <v>1002</v>
      </c>
      <c r="C140" s="244">
        <v>1242257.6599303179</v>
      </c>
      <c r="D140" s="244">
        <v>1482102.8499303183</v>
      </c>
      <c r="E140" s="245">
        <f t="shared" si="18"/>
        <v>1362180.2549303181</v>
      </c>
      <c r="F140" s="244"/>
      <c r="G140" s="310">
        <f t="shared" si="19"/>
        <v>1362180.2549303181</v>
      </c>
      <c r="I140" s="1194" t="s">
        <v>1839</v>
      </c>
    </row>
    <row r="141" spans="1:9">
      <c r="A141" s="75">
        <f t="shared" si="14"/>
        <v>33</v>
      </c>
      <c r="B141" s="986" t="s">
        <v>976</v>
      </c>
      <c r="C141" s="885">
        <v>118405.02999999994</v>
      </c>
      <c r="D141" s="885">
        <v>171876.43000000002</v>
      </c>
      <c r="E141" s="245">
        <f t="shared" si="18"/>
        <v>145140.72999999998</v>
      </c>
      <c r="F141" s="244"/>
      <c r="G141" s="310">
        <f t="shared" si="19"/>
        <v>145140.72999999998</v>
      </c>
      <c r="I141" s="1193">
        <f>'WP_ADIT Prorate'!Q46-C144</f>
        <v>0</v>
      </c>
    </row>
    <row r="142" spans="1:9">
      <c r="A142" s="75">
        <f t="shared" si="14"/>
        <v>34</v>
      </c>
      <c r="B142" s="986" t="s">
        <v>1798</v>
      </c>
      <c r="C142" s="247">
        <v>5501811.2625000104</v>
      </c>
      <c r="D142" s="247">
        <v>404870.56974273012</v>
      </c>
      <c r="E142" s="1001">
        <f t="shared" si="18"/>
        <v>2953340.9161213702</v>
      </c>
      <c r="F142" s="247"/>
      <c r="G142" s="248">
        <f t="shared" si="19"/>
        <v>2953340.9161213702</v>
      </c>
      <c r="I142" s="1193">
        <f>'WP_ADIT Prorate'!Q46+'WP_ADIT Prorate'!L59-D144</f>
        <v>0</v>
      </c>
    </row>
    <row r="143" spans="1:9">
      <c r="A143" s="75">
        <f t="shared" si="14"/>
        <v>35</v>
      </c>
      <c r="B143" s="58" t="s">
        <v>1662</v>
      </c>
      <c r="C143" s="1156"/>
      <c r="D143" s="1156"/>
      <c r="E143" s="1160">
        <f>'WP_ADIT Prorate'!Q68</f>
        <v>0</v>
      </c>
      <c r="F143" s="1160"/>
      <c r="G143" s="1160">
        <f>SUM(E143:F143)</f>
        <v>0</v>
      </c>
      <c r="I143" s="1193">
        <f>'WP_ADIT Prorate'!Q68-E143</f>
        <v>0</v>
      </c>
    </row>
    <row r="144" spans="1:9">
      <c r="A144" s="75">
        <f t="shared" si="14"/>
        <v>36</v>
      </c>
      <c r="B144" s="58" t="s">
        <v>114</v>
      </c>
      <c r="C144" s="310">
        <f>SUM(C137:C142)</f>
        <v>14040113.632430339</v>
      </c>
      <c r="D144" s="310">
        <f>SUM(D137:D142)</f>
        <v>6026435.2091927379</v>
      </c>
      <c r="E144" s="310">
        <f>SUM(E137:E143)</f>
        <v>10033274.420811538</v>
      </c>
      <c r="F144" s="310">
        <f>SUM(F137:F142)</f>
        <v>0</v>
      </c>
      <c r="G144" s="310">
        <f>SUM(G137:G143)</f>
        <v>10033274.420811538</v>
      </c>
    </row>
    <row r="145" spans="1:9">
      <c r="A145" s="75">
        <f t="shared" si="14"/>
        <v>37</v>
      </c>
      <c r="B145" s="180" t="s">
        <v>1584</v>
      </c>
      <c r="C145" s="310"/>
      <c r="D145" s="310"/>
      <c r="E145" s="310"/>
      <c r="F145" s="310"/>
      <c r="G145" s="992">
        <f>WSA</f>
        <v>0.12237000000000001</v>
      </c>
    </row>
    <row r="146" spans="1:9">
      <c r="A146" s="75">
        <f t="shared" si="14"/>
        <v>38</v>
      </c>
      <c r="B146" s="180" t="s">
        <v>1296</v>
      </c>
      <c r="C146" s="310"/>
      <c r="D146" s="310"/>
      <c r="E146" s="310"/>
      <c r="F146" s="310"/>
      <c r="G146" s="310">
        <f>G144*G145</f>
        <v>1227771.790874708</v>
      </c>
    </row>
    <row r="147" spans="1:9">
      <c r="A147" s="75">
        <f t="shared" si="14"/>
        <v>39</v>
      </c>
      <c r="C147" s="310"/>
      <c r="D147" s="310"/>
      <c r="E147" s="310"/>
      <c r="F147" s="310"/>
      <c r="G147" s="310"/>
    </row>
    <row r="148" spans="1:9">
      <c r="A148" s="75">
        <f t="shared" si="14"/>
        <v>40</v>
      </c>
      <c r="B148" s="73" t="s">
        <v>1006</v>
      </c>
      <c r="C148" s="310"/>
      <c r="D148" s="310"/>
      <c r="E148" s="310"/>
      <c r="F148" s="310"/>
      <c r="G148" s="310"/>
    </row>
    <row r="149" spans="1:9">
      <c r="A149" s="75">
        <f t="shared" si="14"/>
        <v>41</v>
      </c>
      <c r="B149" s="986" t="s">
        <v>1242</v>
      </c>
      <c r="C149" s="244">
        <v>9121.5600000000086</v>
      </c>
      <c r="D149" s="244">
        <v>9119.68</v>
      </c>
      <c r="E149" s="245">
        <f t="shared" ref="E149:E155" si="20">AVERAGE(C149:D149)</f>
        <v>9120.6200000000044</v>
      </c>
      <c r="F149" s="244"/>
      <c r="G149" s="310">
        <f t="shared" ref="G149:G156" si="21">SUM(E149:F149)</f>
        <v>9120.6200000000044</v>
      </c>
    </row>
    <row r="150" spans="1:9">
      <c r="A150" s="75">
        <f t="shared" si="14"/>
        <v>42</v>
      </c>
      <c r="B150" s="986" t="s">
        <v>1243</v>
      </c>
      <c r="C150" s="244">
        <v>268271.90318249236</v>
      </c>
      <c r="D150" s="244">
        <v>268475.36137046199</v>
      </c>
      <c r="E150" s="245">
        <f t="shared" si="20"/>
        <v>268373.63227647718</v>
      </c>
      <c r="F150" s="244"/>
      <c r="G150" s="310">
        <f t="shared" si="21"/>
        <v>268373.63227647718</v>
      </c>
    </row>
    <row r="151" spans="1:9">
      <c r="A151" s="75">
        <f t="shared" si="14"/>
        <v>43</v>
      </c>
      <c r="B151" s="986" t="s">
        <v>1052</v>
      </c>
      <c r="C151" s="244">
        <v>1932594.7151280015</v>
      </c>
      <c r="D151" s="244">
        <v>3731832.6829355001</v>
      </c>
      <c r="E151" s="245">
        <f t="shared" si="20"/>
        <v>2832213.6990317507</v>
      </c>
      <c r="F151" s="244"/>
      <c r="G151" s="310">
        <f t="shared" si="21"/>
        <v>2832213.6990317507</v>
      </c>
    </row>
    <row r="152" spans="1:9">
      <c r="A152" s="75">
        <f t="shared" si="14"/>
        <v>44</v>
      </c>
      <c r="B152" s="986" t="s">
        <v>1244</v>
      </c>
      <c r="C152" s="244">
        <v>11471998.401500009</v>
      </c>
      <c r="D152" s="244">
        <v>11952690.114900002</v>
      </c>
      <c r="E152" s="245">
        <f t="shared" si="20"/>
        <v>11712344.258200005</v>
      </c>
      <c r="F152" s="244"/>
      <c r="G152" s="310">
        <f t="shared" si="21"/>
        <v>11712344.258200005</v>
      </c>
    </row>
    <row r="153" spans="1:9">
      <c r="A153" s="75">
        <f t="shared" si="14"/>
        <v>45</v>
      </c>
      <c r="B153" s="986" t="s">
        <v>1799</v>
      </c>
      <c r="C153" s="244">
        <v>18230133.329999998</v>
      </c>
      <c r="D153" s="244">
        <v>22965948.329999998</v>
      </c>
      <c r="E153" s="245">
        <f t="shared" si="20"/>
        <v>20598040.829999998</v>
      </c>
      <c r="F153" s="244"/>
      <c r="G153" s="310">
        <f t="shared" ref="G153" si="22">SUM(E153:F153)</f>
        <v>20598040.829999998</v>
      </c>
      <c r="I153" s="1194" t="s">
        <v>1839</v>
      </c>
    </row>
    <row r="154" spans="1:9">
      <c r="A154" s="75">
        <f t="shared" si="14"/>
        <v>46</v>
      </c>
      <c r="B154" s="986" t="s">
        <v>1727</v>
      </c>
      <c r="C154" s="244">
        <v>-2676317.1500000022</v>
      </c>
      <c r="D154" s="244">
        <v>-4653374.875500001</v>
      </c>
      <c r="E154" s="245">
        <f t="shared" si="20"/>
        <v>-3664846.0127500016</v>
      </c>
      <c r="F154" s="244"/>
      <c r="G154" s="310">
        <f t="shared" ref="G154" si="23">SUM(E154:F154)</f>
        <v>-3664846.0127500016</v>
      </c>
      <c r="I154" s="1193">
        <f>'WP_ADIT Prorate'!Q77-SUM(C149:C154)</f>
        <v>0</v>
      </c>
    </row>
    <row r="155" spans="1:9">
      <c r="A155" s="75">
        <f t="shared" si="14"/>
        <v>47</v>
      </c>
      <c r="B155" s="986" t="s">
        <v>998</v>
      </c>
      <c r="C155" s="247">
        <v>18006629</v>
      </c>
      <c r="D155" s="247">
        <v>-175374398</v>
      </c>
      <c r="E155" s="248">
        <f t="shared" si="20"/>
        <v>-78683884.5</v>
      </c>
      <c r="F155" s="247">
        <f>-E155</f>
        <v>78683884.5</v>
      </c>
      <c r="G155" s="248">
        <f t="shared" si="21"/>
        <v>0</v>
      </c>
      <c r="I155" s="1193">
        <f>'WP_ADIT Prorate'!Q77+'WP_ADIT Prorate'!L90-SUM(D149:D154)</f>
        <v>0</v>
      </c>
    </row>
    <row r="156" spans="1:9">
      <c r="A156" s="75">
        <f t="shared" si="14"/>
        <v>48</v>
      </c>
      <c r="B156" s="58" t="s">
        <v>1662</v>
      </c>
      <c r="C156" s="1156"/>
      <c r="D156" s="1156"/>
      <c r="E156" s="1160">
        <f>'WP_ADIT Prorate'!Q99</f>
        <v>-566263.36828995496</v>
      </c>
      <c r="F156" s="1160"/>
      <c r="G156" s="1160">
        <f t="shared" si="21"/>
        <v>-566263.36828995496</v>
      </c>
      <c r="I156" s="1193">
        <f>'WP_ADIT Prorate'!Q99-E156</f>
        <v>0</v>
      </c>
    </row>
    <row r="157" spans="1:9">
      <c r="A157" s="75">
        <f t="shared" si="14"/>
        <v>49</v>
      </c>
      <c r="B157" s="73" t="s">
        <v>1055</v>
      </c>
      <c r="C157" s="310">
        <f>SUM(C149:C155)</f>
        <v>47242431.7598105</v>
      </c>
      <c r="D157" s="310">
        <f>SUM(D149:D155)</f>
        <v>-141099706.70629403</v>
      </c>
      <c r="E157" s="310">
        <f>SUM(E149:E156)</f>
        <v>-47494900.841531724</v>
      </c>
      <c r="F157" s="310">
        <f>SUM(F149:F155)</f>
        <v>78683884.5</v>
      </c>
      <c r="G157" s="310">
        <f>SUM(G149:G156)</f>
        <v>31188983.658468276</v>
      </c>
    </row>
    <row r="158" spans="1:9">
      <c r="A158" s="75">
        <f t="shared" si="14"/>
        <v>50</v>
      </c>
      <c r="B158" s="993" t="s">
        <v>1585</v>
      </c>
      <c r="C158" s="310"/>
      <c r="D158" s="310"/>
      <c r="E158" s="310"/>
      <c r="F158" s="310"/>
      <c r="G158" s="992">
        <f>NPA</f>
        <v>0.17532624900776159</v>
      </c>
    </row>
    <row r="159" spans="1:9">
      <c r="A159" s="75">
        <f t="shared" si="14"/>
        <v>51</v>
      </c>
      <c r="B159" s="993" t="s">
        <v>115</v>
      </c>
      <c r="C159" s="310"/>
      <c r="D159" s="310"/>
      <c r="E159" s="310"/>
      <c r="F159" s="310"/>
      <c r="G159" s="310">
        <f>G157*G158</f>
        <v>5468247.5152036157</v>
      </c>
    </row>
    <row r="160" spans="1:9">
      <c r="A160" s="75">
        <f t="shared" si="14"/>
        <v>52</v>
      </c>
      <c r="C160" s="310"/>
      <c r="D160" s="310"/>
      <c r="E160" s="310"/>
      <c r="F160" s="310"/>
      <c r="G160" s="310"/>
    </row>
    <row r="161" spans="1:7">
      <c r="A161" s="75">
        <f t="shared" si="14"/>
        <v>53</v>
      </c>
      <c r="B161" s="73" t="s">
        <v>1003</v>
      </c>
      <c r="C161" s="310"/>
      <c r="D161" s="310"/>
      <c r="E161" s="310"/>
      <c r="F161" s="310"/>
      <c r="G161" s="310"/>
    </row>
    <row r="162" spans="1:7">
      <c r="A162" s="75">
        <f t="shared" si="14"/>
        <v>54</v>
      </c>
      <c r="B162" s="986" t="s">
        <v>1245</v>
      </c>
      <c r="C162" s="244">
        <v>1626545.3296308301</v>
      </c>
      <c r="D162" s="244">
        <v>1343719.5336236989</v>
      </c>
      <c r="E162" s="245">
        <f t="shared" ref="E162:E173" si="24">AVERAGE(C162:D162)</f>
        <v>1485132.4316272645</v>
      </c>
      <c r="F162" s="244"/>
      <c r="G162" s="310">
        <f t="shared" ref="G162:G173" si="25">SUM(E162:F162)</f>
        <v>1485132.4316272645</v>
      </c>
    </row>
    <row r="163" spans="1:7">
      <c r="A163" s="75">
        <f t="shared" si="14"/>
        <v>55</v>
      </c>
      <c r="B163" s="986" t="s">
        <v>1728</v>
      </c>
      <c r="C163" s="244">
        <v>284981.74299910804</v>
      </c>
      <c r="D163" s="244">
        <v>914418.05850777891</v>
      </c>
      <c r="E163" s="245">
        <f t="shared" si="24"/>
        <v>599699.90075344348</v>
      </c>
      <c r="F163" s="244"/>
      <c r="G163" s="310">
        <f t="shared" si="25"/>
        <v>599699.90075344348</v>
      </c>
    </row>
    <row r="164" spans="1:7">
      <c r="A164" s="75">
        <f t="shared" si="14"/>
        <v>56</v>
      </c>
      <c r="B164" s="986" t="s">
        <v>1247</v>
      </c>
      <c r="C164" s="244">
        <v>0</v>
      </c>
      <c r="D164" s="244">
        <v>0</v>
      </c>
      <c r="E164" s="245">
        <f t="shared" si="24"/>
        <v>0</v>
      </c>
      <c r="F164" s="244"/>
      <c r="G164" s="310">
        <f t="shared" si="25"/>
        <v>0</v>
      </c>
    </row>
    <row r="165" spans="1:7">
      <c r="A165" s="75">
        <f t="shared" si="14"/>
        <v>57</v>
      </c>
      <c r="B165" s="986" t="s">
        <v>1248</v>
      </c>
      <c r="C165" s="244">
        <v>2872179.0775041562</v>
      </c>
      <c r="D165" s="244">
        <v>2586639.6940474329</v>
      </c>
      <c r="E165" s="245">
        <f t="shared" si="24"/>
        <v>2729409.3857757943</v>
      </c>
      <c r="F165" s="244"/>
      <c r="G165" s="310">
        <f t="shared" si="25"/>
        <v>2729409.3857757943</v>
      </c>
    </row>
    <row r="166" spans="1:7">
      <c r="A166" s="75">
        <f t="shared" si="14"/>
        <v>58</v>
      </c>
      <c r="B166" s="986" t="s">
        <v>1249</v>
      </c>
      <c r="C166" s="244">
        <v>571751.72371903108</v>
      </c>
      <c r="D166" s="244">
        <v>272682.3269485255</v>
      </c>
      <c r="E166" s="245">
        <f t="shared" si="24"/>
        <v>422217.02533377829</v>
      </c>
      <c r="F166" s="244"/>
      <c r="G166" s="310">
        <f t="shared" si="25"/>
        <v>422217.02533377829</v>
      </c>
    </row>
    <row r="167" spans="1:7">
      <c r="A167" s="75">
        <f t="shared" si="14"/>
        <v>59</v>
      </c>
      <c r="B167" s="986" t="s">
        <v>1729</v>
      </c>
      <c r="C167" s="244">
        <v>35266.000000000036</v>
      </c>
      <c r="D167" s="244">
        <v>34425.699999999946</v>
      </c>
      <c r="E167" s="245">
        <f t="shared" si="24"/>
        <v>34845.849999999991</v>
      </c>
      <c r="F167" s="244"/>
      <c r="G167" s="310">
        <f>SUM(E167:F167)</f>
        <v>34845.849999999991</v>
      </c>
    </row>
    <row r="168" spans="1:7">
      <c r="A168" s="75">
        <f t="shared" si="14"/>
        <v>60</v>
      </c>
      <c r="B168" s="986" t="s">
        <v>1250</v>
      </c>
      <c r="C168" s="244">
        <v>4417573.5126806665</v>
      </c>
      <c r="D168" s="244">
        <v>1150028.6898613488</v>
      </c>
      <c r="E168" s="245">
        <f t="shared" si="24"/>
        <v>2783801.1012710077</v>
      </c>
      <c r="F168" s="244"/>
      <c r="G168" s="310">
        <f t="shared" si="25"/>
        <v>2783801.1012710077</v>
      </c>
    </row>
    <row r="169" spans="1:7">
      <c r="A169" s="75">
        <f t="shared" si="14"/>
        <v>61</v>
      </c>
      <c r="B169" s="986" t="s">
        <v>1251</v>
      </c>
      <c r="C169" s="244">
        <v>1025674.5571157929</v>
      </c>
      <c r="D169" s="244">
        <v>840571.34237994871</v>
      </c>
      <c r="E169" s="245">
        <f t="shared" si="24"/>
        <v>933122.94974787079</v>
      </c>
      <c r="F169" s="244"/>
      <c r="G169" s="310">
        <f t="shared" si="25"/>
        <v>933122.94974787079</v>
      </c>
    </row>
    <row r="170" spans="1:7">
      <c r="A170" s="75">
        <f t="shared" si="14"/>
        <v>62</v>
      </c>
      <c r="B170" s="986" t="s">
        <v>1730</v>
      </c>
      <c r="C170" s="244">
        <v>13579.366610191084</v>
      </c>
      <c r="D170" s="244">
        <v>6986.2940058073018</v>
      </c>
      <c r="E170" s="245">
        <f t="shared" si="24"/>
        <v>10282.830307999193</v>
      </c>
      <c r="F170" s="244"/>
      <c r="G170" s="310">
        <f t="shared" si="25"/>
        <v>10282.830307999193</v>
      </c>
    </row>
    <row r="171" spans="1:7">
      <c r="A171" s="75">
        <f t="shared" si="14"/>
        <v>63</v>
      </c>
      <c r="B171" s="986" t="s">
        <v>1847</v>
      </c>
      <c r="C171" s="244">
        <v>0</v>
      </c>
      <c r="D171" s="244">
        <v>-12125.986343407807</v>
      </c>
      <c r="E171" s="245">
        <f t="shared" si="24"/>
        <v>-6062.9931717039035</v>
      </c>
      <c r="F171" s="244"/>
      <c r="G171" s="310">
        <f t="shared" si="25"/>
        <v>-6062.9931717039035</v>
      </c>
    </row>
    <row r="172" spans="1:7">
      <c r="A172" s="75">
        <f t="shared" si="14"/>
        <v>64</v>
      </c>
      <c r="B172" s="986" t="s">
        <v>1853</v>
      </c>
      <c r="C172" s="244">
        <v>0</v>
      </c>
      <c r="D172" s="244">
        <v>4647.5663827161843</v>
      </c>
      <c r="E172" s="245">
        <f t="shared" si="24"/>
        <v>2323.7831913580922</v>
      </c>
      <c r="F172" s="244"/>
      <c r="G172" s="310">
        <f t="shared" si="25"/>
        <v>2323.7831913580922</v>
      </c>
    </row>
    <row r="173" spans="1:7">
      <c r="A173" s="75">
        <f t="shared" si="14"/>
        <v>65</v>
      </c>
      <c r="B173" s="986" t="s">
        <v>1252</v>
      </c>
      <c r="C173" s="247">
        <v>6498827.8500314504</v>
      </c>
      <c r="D173" s="247">
        <v>5555817.3687321097</v>
      </c>
      <c r="E173" s="1001">
        <f t="shared" si="24"/>
        <v>6027322.60938178</v>
      </c>
      <c r="F173" s="247"/>
      <c r="G173" s="248">
        <f t="shared" si="25"/>
        <v>6027322.60938178</v>
      </c>
    </row>
    <row r="174" spans="1:7">
      <c r="A174" s="75">
        <f t="shared" si="14"/>
        <v>66</v>
      </c>
      <c r="B174" s="73" t="s">
        <v>1253</v>
      </c>
      <c r="C174" s="310">
        <f>SUM(C162:C173)</f>
        <v>17346379.160291225</v>
      </c>
      <c r="D174" s="310">
        <f>SUM(D162:D173)</f>
        <v>12697810.58814596</v>
      </c>
      <c r="E174" s="310">
        <f>SUM(E162:E173)</f>
        <v>15022094.874218594</v>
      </c>
      <c r="F174" s="310">
        <f>SUM(F162:F173)</f>
        <v>0</v>
      </c>
      <c r="G174" s="310">
        <f>SUM(G162:G173)</f>
        <v>15022094.874218594</v>
      </c>
    </row>
    <row r="175" spans="1:7">
      <c r="A175" s="75">
        <f t="shared" si="14"/>
        <v>67</v>
      </c>
      <c r="B175" s="180" t="s">
        <v>1584</v>
      </c>
      <c r="C175" s="310"/>
      <c r="D175" s="310"/>
      <c r="E175" s="310"/>
      <c r="F175" s="310"/>
      <c r="G175" s="992">
        <f>G145</f>
        <v>0.12237000000000001</v>
      </c>
    </row>
    <row r="176" spans="1:7">
      <c r="A176" s="75">
        <f t="shared" ref="A176:A201" si="26">A175+1</f>
        <v>68</v>
      </c>
      <c r="B176" s="180" t="s">
        <v>116</v>
      </c>
      <c r="C176" s="310"/>
      <c r="D176" s="310"/>
      <c r="E176" s="310"/>
      <c r="F176" s="310"/>
      <c r="G176" s="310">
        <f>G174*G175</f>
        <v>1838253.7497581295</v>
      </c>
    </row>
    <row r="177" spans="1:7">
      <c r="A177" s="75">
        <f t="shared" si="26"/>
        <v>69</v>
      </c>
      <c r="C177" s="310"/>
      <c r="D177" s="310"/>
      <c r="E177" s="310"/>
      <c r="F177" s="310"/>
      <c r="G177" s="310"/>
    </row>
    <row r="178" spans="1:7">
      <c r="A178" s="75">
        <f t="shared" si="26"/>
        <v>70</v>
      </c>
      <c r="B178" s="73" t="s">
        <v>1056</v>
      </c>
      <c r="C178" s="310"/>
      <c r="D178" s="310"/>
      <c r="E178" s="310"/>
      <c r="F178" s="310"/>
      <c r="G178" s="310"/>
    </row>
    <row r="179" spans="1:7">
      <c r="A179" s="75">
        <f t="shared" si="26"/>
        <v>71</v>
      </c>
      <c r="B179" s="986" t="s">
        <v>1254</v>
      </c>
      <c r="C179" s="244">
        <v>3819934.2856854731</v>
      </c>
      <c r="D179" s="244">
        <v>3821662.4807958608</v>
      </c>
      <c r="E179" s="245">
        <f t="shared" ref="E179:E187" si="27">AVERAGE(C179:D179)</f>
        <v>3820798.3832406672</v>
      </c>
      <c r="F179" s="244">
        <f t="shared" ref="F179:F187" si="28">-E179</f>
        <v>-3820798.3832406672</v>
      </c>
      <c r="G179" s="310">
        <f t="shared" ref="G179:G187" si="29">SUM(E179:F179)</f>
        <v>0</v>
      </c>
    </row>
    <row r="180" spans="1:7">
      <c r="A180" s="75">
        <f t="shared" si="26"/>
        <v>72</v>
      </c>
      <c r="B180" s="986" t="s">
        <v>1255</v>
      </c>
      <c r="C180" s="244">
        <v>3940975.5583509458</v>
      </c>
      <c r="D180" s="244">
        <v>1372287.8555805515</v>
      </c>
      <c r="E180" s="245">
        <f t="shared" si="27"/>
        <v>2656631.7069657487</v>
      </c>
      <c r="F180" s="244">
        <f t="shared" si="28"/>
        <v>-2656631.7069657487</v>
      </c>
      <c r="G180" s="310">
        <f t="shared" si="29"/>
        <v>0</v>
      </c>
    </row>
    <row r="181" spans="1:7">
      <c r="A181" s="75">
        <f t="shared" si="26"/>
        <v>73</v>
      </c>
      <c r="B181" s="986" t="s">
        <v>1256</v>
      </c>
      <c r="C181" s="244">
        <v>525343.3449932494</v>
      </c>
      <c r="D181" s="244">
        <v>824314.91138175083</v>
      </c>
      <c r="E181" s="245">
        <f t="shared" si="27"/>
        <v>674829.12818750017</v>
      </c>
      <c r="F181" s="244">
        <f t="shared" si="28"/>
        <v>-674829.12818750017</v>
      </c>
      <c r="G181" s="310">
        <f t="shared" si="29"/>
        <v>0</v>
      </c>
    </row>
    <row r="182" spans="1:7">
      <c r="A182" s="75">
        <f t="shared" si="26"/>
        <v>74</v>
      </c>
      <c r="B182" s="986" t="s">
        <v>1289</v>
      </c>
      <c r="C182" s="244">
        <v>267641.76919934963</v>
      </c>
      <c r="D182" s="244">
        <v>286463.27918305027</v>
      </c>
      <c r="E182" s="245">
        <f t="shared" si="27"/>
        <v>277052.52419119992</v>
      </c>
      <c r="F182" s="244">
        <f t="shared" si="28"/>
        <v>-277052.52419119992</v>
      </c>
      <c r="G182" s="310">
        <f t="shared" si="29"/>
        <v>0</v>
      </c>
    </row>
    <row r="183" spans="1:7">
      <c r="A183" s="75">
        <f t="shared" si="26"/>
        <v>75</v>
      </c>
      <c r="B183" s="986" t="s">
        <v>1291</v>
      </c>
      <c r="C183" s="244">
        <v>0</v>
      </c>
      <c r="D183" s="244">
        <v>0</v>
      </c>
      <c r="E183" s="245">
        <f t="shared" si="27"/>
        <v>0</v>
      </c>
      <c r="F183" s="244">
        <f t="shared" si="28"/>
        <v>0</v>
      </c>
      <c r="G183" s="310">
        <f t="shared" si="29"/>
        <v>0</v>
      </c>
    </row>
    <row r="184" spans="1:7">
      <c r="A184" s="75">
        <f t="shared" si="26"/>
        <v>76</v>
      </c>
      <c r="B184" s="986" t="s">
        <v>1731</v>
      </c>
      <c r="C184" s="244">
        <v>5385.5850000000028</v>
      </c>
      <c r="D184" s="244">
        <v>5319.4575000000041</v>
      </c>
      <c r="E184" s="245">
        <f t="shared" si="27"/>
        <v>5352.5212500000034</v>
      </c>
      <c r="F184" s="244">
        <f t="shared" si="28"/>
        <v>-5352.5212500000034</v>
      </c>
      <c r="G184" s="310">
        <f t="shared" si="29"/>
        <v>0</v>
      </c>
    </row>
    <row r="185" spans="1:7">
      <c r="A185" s="75">
        <f t="shared" si="26"/>
        <v>77</v>
      </c>
      <c r="B185" s="986" t="s">
        <v>1732</v>
      </c>
      <c r="C185" s="244">
        <v>321552.00000000035</v>
      </c>
      <c r="D185" s="244">
        <v>0</v>
      </c>
      <c r="E185" s="245">
        <f t="shared" si="27"/>
        <v>160776.00000000017</v>
      </c>
      <c r="F185" s="244">
        <f t="shared" si="28"/>
        <v>-160776.00000000017</v>
      </c>
      <c r="G185" s="310">
        <f t="shared" si="29"/>
        <v>0</v>
      </c>
    </row>
    <row r="186" spans="1:7">
      <c r="A186" s="75">
        <f t="shared" si="26"/>
        <v>78</v>
      </c>
      <c r="B186" s="986" t="s">
        <v>1058</v>
      </c>
      <c r="C186" s="244">
        <v>4451294.2231726451</v>
      </c>
      <c r="D186" s="244">
        <v>4882715.2505324055</v>
      </c>
      <c r="E186" s="245"/>
      <c r="F186" s="885"/>
      <c r="G186" s="310"/>
    </row>
    <row r="187" spans="1:7">
      <c r="A187" s="75">
        <f t="shared" si="26"/>
        <v>79</v>
      </c>
      <c r="B187" s="986" t="s">
        <v>1190</v>
      </c>
      <c r="C187" s="247">
        <v>13425824.375231486</v>
      </c>
      <c r="D187" s="247">
        <v>12956222.866280016</v>
      </c>
      <c r="E187" s="1001">
        <f t="shared" si="27"/>
        <v>13191023.620755751</v>
      </c>
      <c r="F187" s="247">
        <f t="shared" si="28"/>
        <v>-13191023.620755751</v>
      </c>
      <c r="G187" s="248">
        <f t="shared" si="29"/>
        <v>0</v>
      </c>
    </row>
    <row r="188" spans="1:7">
      <c r="A188" s="75">
        <f t="shared" si="26"/>
        <v>80</v>
      </c>
      <c r="B188" s="73" t="s">
        <v>1292</v>
      </c>
      <c r="C188" s="310">
        <f>SUM(C179:C187)</f>
        <v>26757951.141633149</v>
      </c>
      <c r="D188" s="310">
        <f>SUM(D179:D187)</f>
        <v>24148986.101253636</v>
      </c>
      <c r="E188" s="310">
        <f>SUM(E179:E187)</f>
        <v>20786463.884590868</v>
      </c>
      <c r="F188" s="310">
        <f>SUM(F179:F187)</f>
        <v>-20786463.884590868</v>
      </c>
      <c r="G188" s="310">
        <f>SUM(G179:G187)</f>
        <v>0</v>
      </c>
    </row>
    <row r="189" spans="1:7">
      <c r="A189" s="75">
        <f t="shared" si="26"/>
        <v>81</v>
      </c>
      <c r="C189" s="310"/>
      <c r="D189" s="310"/>
      <c r="E189" s="310"/>
      <c r="F189" s="310"/>
      <c r="G189" s="310"/>
    </row>
    <row r="190" spans="1:7">
      <c r="A190" s="75">
        <f t="shared" si="26"/>
        <v>82</v>
      </c>
      <c r="B190" s="73" t="s">
        <v>110</v>
      </c>
      <c r="C190" s="310"/>
      <c r="D190" s="310"/>
      <c r="E190" s="310"/>
      <c r="F190" s="310"/>
      <c r="G190" s="310"/>
    </row>
    <row r="191" spans="1:7">
      <c r="A191" s="75">
        <f>A190+1</f>
        <v>83</v>
      </c>
      <c r="B191" s="1171" t="s">
        <v>1194</v>
      </c>
      <c r="C191" s="244">
        <v>4673455.3583203498</v>
      </c>
      <c r="D191" s="244">
        <v>2049642.11972885</v>
      </c>
      <c r="E191" s="245">
        <f>AVERAGE(C191:D191)</f>
        <v>3361548.7390246</v>
      </c>
      <c r="F191" s="244">
        <f>-E191</f>
        <v>-3361548.7390246</v>
      </c>
      <c r="G191" s="310">
        <f>SUM(E191:F191)</f>
        <v>0</v>
      </c>
    </row>
    <row r="192" spans="1:7">
      <c r="A192" s="75">
        <f>A191+1</f>
        <v>84</v>
      </c>
      <c r="B192" s="1171" t="s">
        <v>1854</v>
      </c>
      <c r="C192" s="244">
        <v>0</v>
      </c>
      <c r="D192" s="244">
        <v>5604574.8879435062</v>
      </c>
      <c r="E192" s="245">
        <f>AVERAGE(C192:D192)</f>
        <v>2802287.4439717531</v>
      </c>
      <c r="F192" s="244">
        <f>-E192</f>
        <v>-2802287.4439717531</v>
      </c>
      <c r="G192" s="310">
        <f t="shared" ref="G192:G197" si="30">SUM(E192:F192)</f>
        <v>0</v>
      </c>
    </row>
    <row r="193" spans="1:7">
      <c r="A193" s="75">
        <f>A192+1</f>
        <v>85</v>
      </c>
      <c r="B193" s="1171" t="s">
        <v>1061</v>
      </c>
      <c r="C193" s="244">
        <v>611772.29616439925</v>
      </c>
      <c r="D193" s="244">
        <v>0</v>
      </c>
      <c r="E193" s="245">
        <f t="shared" ref="E193:E197" si="31">AVERAGE(C193:D193)</f>
        <v>305886.14808219962</v>
      </c>
      <c r="F193" s="244">
        <f t="shared" ref="F193:F197" si="32">-E193</f>
        <v>-305886.14808219962</v>
      </c>
      <c r="G193" s="310">
        <f t="shared" si="30"/>
        <v>0</v>
      </c>
    </row>
    <row r="194" spans="1:7">
      <c r="A194" s="75">
        <f t="shared" ref="A194:A199" si="33">A193+1</f>
        <v>86</v>
      </c>
      <c r="B194" s="1171" t="s">
        <v>1837</v>
      </c>
      <c r="C194" s="885">
        <v>3356.1900000000032</v>
      </c>
      <c r="D194" s="885">
        <v>0</v>
      </c>
      <c r="E194" s="245">
        <f t="shared" si="31"/>
        <v>1678.0950000000016</v>
      </c>
      <c r="F194" s="244">
        <f t="shared" si="32"/>
        <v>-1678.0950000000016</v>
      </c>
      <c r="G194" s="310">
        <f t="shared" si="30"/>
        <v>0</v>
      </c>
    </row>
    <row r="195" spans="1:7">
      <c r="A195" s="75">
        <f t="shared" si="33"/>
        <v>87</v>
      </c>
      <c r="B195" s="1171" t="s">
        <v>1855</v>
      </c>
      <c r="C195" s="885">
        <v>0</v>
      </c>
      <c r="D195" s="885">
        <v>7582116.6900000004</v>
      </c>
      <c r="E195" s="245">
        <f t="shared" si="31"/>
        <v>3791058.3450000002</v>
      </c>
      <c r="F195" s="244">
        <f t="shared" si="32"/>
        <v>-3791058.3450000002</v>
      </c>
      <c r="G195" s="310">
        <f t="shared" si="30"/>
        <v>0</v>
      </c>
    </row>
    <row r="196" spans="1:7">
      <c r="A196" s="75">
        <f t="shared" si="33"/>
        <v>88</v>
      </c>
      <c r="B196" s="1171" t="s">
        <v>1856</v>
      </c>
      <c r="C196" s="885">
        <v>0</v>
      </c>
      <c r="D196" s="885">
        <v>9039022.5</v>
      </c>
      <c r="E196" s="245">
        <f t="shared" si="31"/>
        <v>4519511.25</v>
      </c>
      <c r="F196" s="244">
        <f t="shared" si="32"/>
        <v>-4519511.25</v>
      </c>
      <c r="G196" s="310">
        <f t="shared" si="30"/>
        <v>0</v>
      </c>
    </row>
    <row r="197" spans="1:7">
      <c r="A197" s="75">
        <f t="shared" si="33"/>
        <v>89</v>
      </c>
      <c r="B197" s="1171" t="s">
        <v>1336</v>
      </c>
      <c r="C197" s="247">
        <v>35384.902845600031</v>
      </c>
      <c r="D197" s="247">
        <v>235590.66510700001</v>
      </c>
      <c r="E197" s="990">
        <f t="shared" si="31"/>
        <v>135487.78397630001</v>
      </c>
      <c r="F197" s="247">
        <f t="shared" si="32"/>
        <v>-135487.78397630001</v>
      </c>
      <c r="G197" s="990">
        <f t="shared" si="30"/>
        <v>0</v>
      </c>
    </row>
    <row r="198" spans="1:7">
      <c r="A198" s="75">
        <f t="shared" si="33"/>
        <v>90</v>
      </c>
      <c r="B198" s="73" t="s">
        <v>1293</v>
      </c>
      <c r="C198" s="310">
        <f>SUM(C191:C197)</f>
        <v>5323968.7473303489</v>
      </c>
      <c r="D198" s="310">
        <f>SUM(D191:D197)</f>
        <v>24510946.862779357</v>
      </c>
      <c r="E198" s="310">
        <f>SUM(E191:E197)</f>
        <v>14917457.805054853</v>
      </c>
      <c r="F198" s="310">
        <f>SUM(F191:F191)</f>
        <v>-3361548.7390246</v>
      </c>
      <c r="G198" s="310">
        <f>SUM(G191:G191)</f>
        <v>0</v>
      </c>
    </row>
    <row r="199" spans="1:7">
      <c r="A199" s="75">
        <f t="shared" si="33"/>
        <v>91</v>
      </c>
      <c r="C199" s="310"/>
      <c r="D199" s="310"/>
      <c r="E199" s="310"/>
      <c r="F199" s="310"/>
      <c r="G199" s="310"/>
    </row>
    <row r="200" spans="1:7" ht="13.5" thickBot="1">
      <c r="A200" s="75">
        <f t="shared" si="26"/>
        <v>92</v>
      </c>
    </row>
    <row r="201" spans="1:7" ht="13.5" thickBot="1">
      <c r="A201" s="75">
        <f t="shared" si="26"/>
        <v>93</v>
      </c>
      <c r="B201" s="1002" t="s">
        <v>1301</v>
      </c>
      <c r="C201" s="1003">
        <f>C198+C188+C174+C157+C144+C134+C119+C113</f>
        <v>525438213.57092649</v>
      </c>
      <c r="D201" s="1003">
        <f>D198+D188+D174+D157+D144+D134+D119+D113</f>
        <v>330236766.50228482</v>
      </c>
      <c r="E201" s="996">
        <f>E198+E188+E174+E157+E144+E134+E119+E113</f>
        <v>422604221.93146318</v>
      </c>
      <c r="G201" s="996">
        <f>G198+G188+G176+G159+G146+G134+G119+G113</f>
        <v>50660307.942794576</v>
      </c>
    </row>
    <row r="202" spans="1:7" ht="13.5" thickTop="1"/>
    <row r="203" spans="1:7" ht="27" customHeight="1">
      <c r="A203" s="997" t="s">
        <v>870</v>
      </c>
      <c r="B203" s="1232" t="s">
        <v>209</v>
      </c>
      <c r="C203" s="1232"/>
      <c r="D203" s="1232"/>
      <c r="E203" s="1232"/>
      <c r="F203" s="1232"/>
      <c r="G203" s="1232"/>
    </row>
    <row r="204" spans="1:7">
      <c r="A204" s="450" t="s">
        <v>870</v>
      </c>
      <c r="B204" s="309" t="s">
        <v>1313</v>
      </c>
      <c r="C204" s="1153"/>
      <c r="D204" s="1153"/>
      <c r="E204" s="1153"/>
      <c r="F204" s="1153"/>
      <c r="G204" s="308"/>
    </row>
    <row r="205" spans="1:7">
      <c r="A205" s="75" t="s">
        <v>870</v>
      </c>
      <c r="B205" s="73" t="s">
        <v>1663</v>
      </c>
    </row>
    <row r="206" spans="1:7">
      <c r="A206" s="58"/>
    </row>
  </sheetData>
  <mergeCells count="4">
    <mergeCell ref="C7:D7"/>
    <mergeCell ref="B97:G97"/>
    <mergeCell ref="C106:D106"/>
    <mergeCell ref="B203:G203"/>
  </mergeCells>
  <pageMargins left="0.7" right="0.7" top="0.75" bottom="0.75" header="0.3" footer="0.3"/>
  <pageSetup scale="50" orientation="portrait" r:id="rId1"/>
  <rowBreaks count="1" manualBreakCount="1">
    <brk id="9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enableFormatConditionsCalculation="0"/>
  <dimension ref="A1:W67"/>
  <sheetViews>
    <sheetView view="pageBreakPreview" zoomScale="60" zoomScaleNormal="60" workbookViewId="0">
      <selection activeCell="Z34" sqref="Z34"/>
    </sheetView>
  </sheetViews>
  <sheetFormatPr defaultRowHeight="12.75"/>
  <cols>
    <col min="1" max="1" width="7.85546875" customWidth="1"/>
    <col min="2" max="2" width="17.5703125" customWidth="1"/>
    <col min="3" max="3" width="14" bestFit="1" customWidth="1"/>
    <col min="4" max="4" width="16.28515625" customWidth="1"/>
    <col min="5" max="5" width="15.28515625" customWidth="1"/>
    <col min="6" max="6" width="13" style="142" customWidth="1"/>
    <col min="7" max="7" width="2.7109375" style="142" customWidth="1"/>
    <col min="8" max="8" width="14.28515625" bestFit="1" customWidth="1"/>
    <col min="9" max="9" width="16" customWidth="1"/>
    <col min="10" max="10" width="15.5703125" customWidth="1"/>
    <col min="11" max="11" width="13.28515625" bestFit="1" customWidth="1"/>
    <col min="12" max="12" width="2.7109375" customWidth="1"/>
    <col min="13" max="13" width="22.28515625" bestFit="1" customWidth="1"/>
    <col min="14" max="14" width="15.5703125" customWidth="1"/>
    <col min="15" max="15" width="15.42578125" customWidth="1"/>
    <col min="16" max="16" width="19.42578125" bestFit="1" customWidth="1"/>
    <col min="17" max="17" width="2.7109375" customWidth="1"/>
    <col min="18" max="18" width="12.85546875" customWidth="1"/>
    <col min="19" max="19" width="15.42578125" customWidth="1"/>
    <col min="20" max="20" width="15.28515625" customWidth="1"/>
    <col min="21" max="21" width="14.7109375" bestFit="1" customWidth="1"/>
  </cols>
  <sheetData>
    <row r="1" spans="1:23">
      <c r="A1" s="99" t="str">
        <f>'Cover Page'!A5</f>
        <v>Public Service Company of Colorado</v>
      </c>
      <c r="U1" s="188" t="str">
        <f>'Table of Contents'!A18</f>
        <v>Table 10</v>
      </c>
    </row>
    <row r="2" spans="1:23">
      <c r="A2" s="99" t="str">
        <f>'Cover Page'!A6</f>
        <v>Transmission Formula Rate Template</v>
      </c>
      <c r="U2" s="133" t="str">
        <f ca="1">MID(CELL("filename",$A$1),FIND("]",CELL("filename",$A$1))+1,LEN(CELL("filename",$A$1))-FIND("]",CELL("filename",$A$1)))</f>
        <v>WP_B-4</v>
      </c>
    </row>
    <row r="3" spans="1:23">
      <c r="A3" s="99" t="str">
        <f>'Cover Page'!A7</f>
        <v>Twelve Months Ended December 31, 2017</v>
      </c>
    </row>
    <row r="4" spans="1:23">
      <c r="A4" s="131" t="s">
        <v>1338</v>
      </c>
    </row>
    <row r="5" spans="1:23">
      <c r="A5" s="131"/>
    </row>
    <row r="6" spans="1:23" ht="16.5" customHeight="1">
      <c r="A6" s="189" t="s">
        <v>983</v>
      </c>
      <c r="B6" s="190"/>
      <c r="C6" s="190"/>
      <c r="D6" s="190"/>
      <c r="E6" s="190"/>
      <c r="F6" s="191"/>
      <c r="G6" s="191"/>
      <c r="H6" s="190"/>
      <c r="I6" s="190"/>
      <c r="J6" s="190"/>
      <c r="K6" s="190"/>
      <c r="L6" s="190"/>
      <c r="M6" s="190"/>
      <c r="N6" s="190"/>
      <c r="O6" s="190"/>
      <c r="P6" s="190"/>
      <c r="Q6" s="190"/>
      <c r="R6" s="190"/>
      <c r="S6" s="190"/>
      <c r="T6" s="190"/>
      <c r="U6" s="192"/>
    </row>
    <row r="7" spans="1:23" ht="51" customHeight="1">
      <c r="A7" s="193"/>
      <c r="B7" s="164"/>
      <c r="C7" s="1236" t="s">
        <v>1339</v>
      </c>
      <c r="D7" s="1237"/>
      <c r="E7" s="1237"/>
      <c r="F7" s="1238"/>
      <c r="H7" s="1236" t="s">
        <v>1340</v>
      </c>
      <c r="I7" s="1237"/>
      <c r="J7" s="1237"/>
      <c r="K7" s="1238"/>
      <c r="L7" s="194"/>
      <c r="M7" s="1236" t="s">
        <v>1373</v>
      </c>
      <c r="N7" s="1237"/>
      <c r="O7" s="1237"/>
      <c r="P7" s="1238"/>
      <c r="Q7" s="195"/>
      <c r="R7" s="1236" t="s">
        <v>1374</v>
      </c>
      <c r="S7" s="1237"/>
      <c r="T7" s="1237"/>
      <c r="U7" s="1238"/>
      <c r="W7" s="99" t="s">
        <v>788</v>
      </c>
    </row>
    <row r="8" spans="1:23" ht="51">
      <c r="A8" s="196" t="s">
        <v>1375</v>
      </c>
      <c r="B8" s="2" t="s">
        <v>912</v>
      </c>
      <c r="C8" s="146" t="s">
        <v>1376</v>
      </c>
      <c r="D8" s="146" t="s">
        <v>1377</v>
      </c>
      <c r="E8" s="146" t="s">
        <v>1378</v>
      </c>
      <c r="F8" s="185" t="s">
        <v>1090</v>
      </c>
      <c r="G8" s="2"/>
      <c r="H8" s="146" t="s">
        <v>1376</v>
      </c>
      <c r="I8" s="146" t="s">
        <v>1377</v>
      </c>
      <c r="J8" s="146" t="s">
        <v>1378</v>
      </c>
      <c r="K8" s="185" t="s">
        <v>1096</v>
      </c>
      <c r="L8" s="185"/>
      <c r="M8" s="146" t="s">
        <v>1097</v>
      </c>
      <c r="N8" s="146" t="s">
        <v>1098</v>
      </c>
      <c r="O8" s="146" t="s">
        <v>1099</v>
      </c>
      <c r="P8" s="185" t="s">
        <v>1100</v>
      </c>
      <c r="Q8" s="2"/>
      <c r="R8" s="843" t="s">
        <v>1376</v>
      </c>
      <c r="S8" s="146" t="s">
        <v>1377</v>
      </c>
      <c r="T8" s="146" t="s">
        <v>1378</v>
      </c>
      <c r="U8" s="197" t="s">
        <v>1102</v>
      </c>
    </row>
    <row r="9" spans="1:23">
      <c r="A9" s="193"/>
      <c r="B9" s="164"/>
      <c r="C9" s="116" t="s">
        <v>358</v>
      </c>
      <c r="D9" s="116" t="s">
        <v>357</v>
      </c>
      <c r="E9" s="116" t="s">
        <v>359</v>
      </c>
      <c r="F9" s="116" t="s">
        <v>360</v>
      </c>
      <c r="G9" s="116"/>
      <c r="H9" s="116" t="s">
        <v>361</v>
      </c>
      <c r="I9" s="116" t="s">
        <v>362</v>
      </c>
      <c r="J9" s="116" t="s">
        <v>363</v>
      </c>
      <c r="K9" s="116" t="s">
        <v>364</v>
      </c>
      <c r="L9" s="116"/>
      <c r="M9" s="116" t="s">
        <v>365</v>
      </c>
      <c r="N9" s="116" t="s">
        <v>366</v>
      </c>
      <c r="O9" s="116" t="s">
        <v>367</v>
      </c>
      <c r="P9" s="116" t="s">
        <v>368</v>
      </c>
      <c r="Q9" s="116"/>
      <c r="R9" s="116" t="s">
        <v>369</v>
      </c>
      <c r="S9" s="116" t="s">
        <v>370</v>
      </c>
      <c r="T9" s="116" t="s">
        <v>1101</v>
      </c>
      <c r="U9" s="790" t="s">
        <v>1103</v>
      </c>
    </row>
    <row r="10" spans="1:23">
      <c r="A10" s="193"/>
      <c r="B10" s="176" t="s">
        <v>1379</v>
      </c>
      <c r="C10" s="164"/>
      <c r="D10" s="164"/>
      <c r="E10" s="164"/>
      <c r="H10" s="164"/>
      <c r="I10" s="164"/>
      <c r="J10" s="164"/>
      <c r="K10" s="142"/>
      <c r="L10" s="142"/>
      <c r="M10" s="142"/>
      <c r="N10" s="142"/>
      <c r="O10" s="142"/>
      <c r="P10" s="164"/>
      <c r="Q10" s="164"/>
      <c r="R10" s="164"/>
      <c r="S10" s="164"/>
      <c r="T10" s="164"/>
      <c r="U10" s="195"/>
    </row>
    <row r="11" spans="1:23">
      <c r="A11" s="199">
        <v>1</v>
      </c>
      <c r="B11" s="164"/>
      <c r="C11" s="164"/>
      <c r="D11" s="164"/>
      <c r="E11" s="164"/>
      <c r="H11" s="164"/>
      <c r="I11" s="164"/>
      <c r="J11" s="164"/>
      <c r="K11" s="142"/>
      <c r="L11" s="142"/>
      <c r="M11" s="142"/>
      <c r="N11" s="142"/>
      <c r="O11" s="142"/>
      <c r="P11" s="164"/>
      <c r="Q11" s="164"/>
      <c r="R11" s="164"/>
      <c r="S11" s="164"/>
      <c r="T11" s="164"/>
      <c r="U11" s="195"/>
    </row>
    <row r="12" spans="1:23">
      <c r="A12" s="199">
        <f t="shared" ref="A12:A25" si="0">A11+1</f>
        <v>2</v>
      </c>
      <c r="B12" s="200" t="s">
        <v>909</v>
      </c>
      <c r="C12" s="137">
        <v>210144389.86000001</v>
      </c>
      <c r="D12" s="137">
        <v>10104475.559999999</v>
      </c>
      <c r="E12" s="137">
        <v>5308256.91</v>
      </c>
      <c r="F12" s="139">
        <f t="shared" ref="F12:F24" si="1">SUM(C12:E12)</f>
        <v>225557122.33000001</v>
      </c>
      <c r="G12" s="139"/>
      <c r="H12" s="137">
        <v>31521658.359999999</v>
      </c>
      <c r="I12" s="137">
        <v>1102314.44</v>
      </c>
      <c r="J12" s="137">
        <v>579086.69999999995</v>
      </c>
      <c r="K12" s="139">
        <f t="shared" ref="K12:K24" si="2">SUM(H12:J12)</f>
        <v>33203059.5</v>
      </c>
      <c r="L12" s="139"/>
      <c r="M12" s="139">
        <f t="shared" ref="M12:M24" si="3">C12-H12</f>
        <v>178622731.5</v>
      </c>
      <c r="N12" s="139">
        <f t="shared" ref="N12:N24" si="4">D12-I12</f>
        <v>9002161.1199999992</v>
      </c>
      <c r="O12" s="139">
        <f t="shared" ref="O12:O24" si="5">E12-J12</f>
        <v>4729170.21</v>
      </c>
      <c r="P12" s="201">
        <f t="shared" ref="P12:P24" si="6">SUM(M12:O12)</f>
        <v>192354062.83000001</v>
      </c>
      <c r="Q12" s="164"/>
      <c r="R12" s="164"/>
      <c r="S12" s="164"/>
      <c r="T12" s="164"/>
      <c r="U12" s="195"/>
    </row>
    <row r="13" spans="1:23" ht="15.75">
      <c r="A13" s="199">
        <f t="shared" si="0"/>
        <v>3</v>
      </c>
      <c r="B13" s="200" t="s">
        <v>950</v>
      </c>
      <c r="C13" s="137">
        <v>210144389.86000001</v>
      </c>
      <c r="D13" s="137">
        <v>10104475.559999999</v>
      </c>
      <c r="E13" s="137">
        <v>5308256.91</v>
      </c>
      <c r="F13" s="139">
        <f t="shared" si="1"/>
        <v>225557122.33000001</v>
      </c>
      <c r="G13" s="139"/>
      <c r="H13" s="137">
        <v>31959459.169999998</v>
      </c>
      <c r="I13" s="137">
        <v>1117624.3999999999</v>
      </c>
      <c r="J13" s="137">
        <v>587129.59</v>
      </c>
      <c r="K13" s="139">
        <f t="shared" si="2"/>
        <v>33664213.159999996</v>
      </c>
      <c r="L13" s="139"/>
      <c r="M13" s="139">
        <f t="shared" si="3"/>
        <v>178184930.69000003</v>
      </c>
      <c r="N13" s="139">
        <f t="shared" si="4"/>
        <v>8986851.1599999983</v>
      </c>
      <c r="O13" s="139">
        <f t="shared" si="5"/>
        <v>4721127.32</v>
      </c>
      <c r="P13" s="201">
        <f t="shared" si="6"/>
        <v>191892909.17000002</v>
      </c>
      <c r="Q13" s="164"/>
      <c r="R13" s="137">
        <v>437800.81</v>
      </c>
      <c r="S13" s="137">
        <v>15309.96</v>
      </c>
      <c r="T13" s="137">
        <v>8042.89</v>
      </c>
      <c r="U13" s="202">
        <f t="shared" ref="U13:U24" si="7">SUM(R13:T13)</f>
        <v>461153.66000000003</v>
      </c>
      <c r="W13" s="852"/>
    </row>
    <row r="14" spans="1:23">
      <c r="A14" s="199">
        <f t="shared" si="0"/>
        <v>4</v>
      </c>
      <c r="B14" s="200" t="s">
        <v>899</v>
      </c>
      <c r="C14" s="137">
        <v>210144389.86000001</v>
      </c>
      <c r="D14" s="137">
        <v>10104475.559999999</v>
      </c>
      <c r="E14" s="137">
        <v>5308256.91</v>
      </c>
      <c r="F14" s="139">
        <f t="shared" si="1"/>
        <v>225557122.33000001</v>
      </c>
      <c r="G14" s="139"/>
      <c r="H14" s="137">
        <v>32397259.979999997</v>
      </c>
      <c r="I14" s="137">
        <v>1132934.3600000001</v>
      </c>
      <c r="J14" s="137">
        <v>595172.48</v>
      </c>
      <c r="K14" s="139">
        <f t="shared" si="2"/>
        <v>34125366.819999993</v>
      </c>
      <c r="L14" s="139"/>
      <c r="M14" s="139">
        <f t="shared" si="3"/>
        <v>177747129.88000003</v>
      </c>
      <c r="N14" s="139">
        <f t="shared" si="4"/>
        <v>8971541.1999999993</v>
      </c>
      <c r="O14" s="139">
        <f t="shared" si="5"/>
        <v>4713084.43</v>
      </c>
      <c r="P14" s="201">
        <f t="shared" si="6"/>
        <v>191431755.51000002</v>
      </c>
      <c r="Q14" s="164"/>
      <c r="R14" s="137">
        <v>437800.81</v>
      </c>
      <c r="S14" s="137">
        <v>15309.96</v>
      </c>
      <c r="T14" s="137">
        <v>8042.89</v>
      </c>
      <c r="U14" s="202">
        <f t="shared" si="7"/>
        <v>461153.66000000003</v>
      </c>
    </row>
    <row r="15" spans="1:23">
      <c r="A15" s="199">
        <f t="shared" si="0"/>
        <v>5</v>
      </c>
      <c r="B15" s="200" t="s">
        <v>900</v>
      </c>
      <c r="C15" s="137">
        <v>210144389.86000001</v>
      </c>
      <c r="D15" s="137">
        <v>10104475.559999999</v>
      </c>
      <c r="E15" s="137">
        <v>5308256.91</v>
      </c>
      <c r="F15" s="139">
        <f t="shared" si="1"/>
        <v>225557122.33000001</v>
      </c>
      <c r="G15" s="139"/>
      <c r="H15" s="137">
        <v>32835060.789999999</v>
      </c>
      <c r="I15" s="137">
        <v>1148244.3199999998</v>
      </c>
      <c r="J15" s="137">
        <v>603215.37</v>
      </c>
      <c r="K15" s="139">
        <f t="shared" si="2"/>
        <v>34586520.479999997</v>
      </c>
      <c r="L15" s="139"/>
      <c r="M15" s="139">
        <f t="shared" si="3"/>
        <v>177309329.07000002</v>
      </c>
      <c r="N15" s="139">
        <f t="shared" si="4"/>
        <v>8956231.2399999984</v>
      </c>
      <c r="O15" s="139">
        <f t="shared" si="5"/>
        <v>4705041.54</v>
      </c>
      <c r="P15" s="201">
        <f t="shared" si="6"/>
        <v>190970601.85000002</v>
      </c>
      <c r="Q15" s="164"/>
      <c r="R15" s="137">
        <v>437800.81</v>
      </c>
      <c r="S15" s="137">
        <v>15309.96</v>
      </c>
      <c r="T15" s="137">
        <v>8042.89</v>
      </c>
      <c r="U15" s="202">
        <f t="shared" si="7"/>
        <v>461153.66000000003</v>
      </c>
    </row>
    <row r="16" spans="1:23">
      <c r="A16" s="199">
        <f t="shared" si="0"/>
        <v>6</v>
      </c>
      <c r="B16" s="200" t="s">
        <v>901</v>
      </c>
      <c r="C16" s="137">
        <v>210144389.86000001</v>
      </c>
      <c r="D16" s="137">
        <v>10104475.559999999</v>
      </c>
      <c r="E16" s="137">
        <v>5308256.91</v>
      </c>
      <c r="F16" s="139">
        <f t="shared" si="1"/>
        <v>225557122.33000001</v>
      </c>
      <c r="G16" s="139"/>
      <c r="H16" s="137">
        <v>33272861.600000001</v>
      </c>
      <c r="I16" s="137">
        <v>1163554.28</v>
      </c>
      <c r="J16" s="137">
        <v>611258.26</v>
      </c>
      <c r="K16" s="139">
        <f t="shared" si="2"/>
        <v>35047674.140000001</v>
      </c>
      <c r="L16" s="139"/>
      <c r="M16" s="139">
        <f t="shared" si="3"/>
        <v>176871528.26000002</v>
      </c>
      <c r="N16" s="139">
        <f t="shared" si="4"/>
        <v>8940921.2799999993</v>
      </c>
      <c r="O16" s="139">
        <f>E16-J16</f>
        <v>4696998.6500000004</v>
      </c>
      <c r="P16" s="201">
        <f t="shared" si="6"/>
        <v>190509448.19000003</v>
      </c>
      <c r="Q16" s="164"/>
      <c r="R16" s="137">
        <v>437800.81</v>
      </c>
      <c r="S16" s="137">
        <v>15309.96</v>
      </c>
      <c r="T16" s="137">
        <v>8042.89</v>
      </c>
      <c r="U16" s="202">
        <f t="shared" si="7"/>
        <v>461153.66000000003</v>
      </c>
    </row>
    <row r="17" spans="1:21">
      <c r="A17" s="199">
        <f t="shared" si="0"/>
        <v>7</v>
      </c>
      <c r="B17" s="200" t="s">
        <v>902</v>
      </c>
      <c r="C17" s="137">
        <v>210144389.86000001</v>
      </c>
      <c r="D17" s="137">
        <v>10104475.559999999</v>
      </c>
      <c r="E17" s="137">
        <v>5308256.91</v>
      </c>
      <c r="F17" s="139">
        <f t="shared" si="1"/>
        <v>225557122.33000001</v>
      </c>
      <c r="G17" s="139"/>
      <c r="H17" s="137">
        <v>33710662.409999996</v>
      </c>
      <c r="I17" s="137">
        <v>1178864.24</v>
      </c>
      <c r="J17" s="137">
        <v>619301.15</v>
      </c>
      <c r="K17" s="139">
        <f t="shared" si="2"/>
        <v>35508827.799999997</v>
      </c>
      <c r="L17" s="139"/>
      <c r="M17" s="139">
        <f t="shared" si="3"/>
        <v>176433727.45000002</v>
      </c>
      <c r="N17" s="139">
        <f t="shared" si="4"/>
        <v>8925611.3199999984</v>
      </c>
      <c r="O17" s="139">
        <f t="shared" si="5"/>
        <v>4688955.76</v>
      </c>
      <c r="P17" s="201">
        <f t="shared" si="6"/>
        <v>190048294.53</v>
      </c>
      <c r="Q17" s="164"/>
      <c r="R17" s="137">
        <v>437800.81</v>
      </c>
      <c r="S17" s="137">
        <v>15309.96</v>
      </c>
      <c r="T17" s="137">
        <v>8042.89</v>
      </c>
      <c r="U17" s="202">
        <f t="shared" si="7"/>
        <v>461153.66000000003</v>
      </c>
    </row>
    <row r="18" spans="1:21">
      <c r="A18" s="199">
        <f t="shared" si="0"/>
        <v>8</v>
      </c>
      <c r="B18" s="200" t="s">
        <v>903</v>
      </c>
      <c r="C18" s="137">
        <v>210144389.86000001</v>
      </c>
      <c r="D18" s="137">
        <v>10104475.559999999</v>
      </c>
      <c r="E18" s="137">
        <v>5308256.91</v>
      </c>
      <c r="F18" s="139">
        <f t="shared" si="1"/>
        <v>225557122.33000001</v>
      </c>
      <c r="G18" s="139"/>
      <c r="H18" s="137">
        <v>34148463.219999999</v>
      </c>
      <c r="I18" s="137">
        <v>1194174.2</v>
      </c>
      <c r="J18" s="137">
        <v>627344.04</v>
      </c>
      <c r="K18" s="139">
        <f t="shared" si="2"/>
        <v>35969981.460000001</v>
      </c>
      <c r="L18" s="139"/>
      <c r="M18" s="139">
        <f t="shared" si="3"/>
        <v>175995926.64000002</v>
      </c>
      <c r="N18" s="139">
        <f t="shared" si="4"/>
        <v>8910301.3599999994</v>
      </c>
      <c r="O18" s="139">
        <f t="shared" si="5"/>
        <v>4680912.87</v>
      </c>
      <c r="P18" s="201">
        <f t="shared" si="6"/>
        <v>189587140.87</v>
      </c>
      <c r="Q18" s="164"/>
      <c r="R18" s="137">
        <v>437800.81</v>
      </c>
      <c r="S18" s="137">
        <v>15309.96</v>
      </c>
      <c r="T18" s="137">
        <v>8042.89</v>
      </c>
      <c r="U18" s="202">
        <f t="shared" si="7"/>
        <v>461153.66000000003</v>
      </c>
    </row>
    <row r="19" spans="1:21">
      <c r="A19" s="199">
        <f t="shared" si="0"/>
        <v>9</v>
      </c>
      <c r="B19" s="200" t="s">
        <v>904</v>
      </c>
      <c r="C19" s="137">
        <v>210144389.86000001</v>
      </c>
      <c r="D19" s="137">
        <v>10104475.559999999</v>
      </c>
      <c r="E19" s="137">
        <v>5308256.91</v>
      </c>
      <c r="F19" s="139">
        <f t="shared" si="1"/>
        <v>225557122.33000001</v>
      </c>
      <c r="G19" s="139"/>
      <c r="H19" s="137">
        <v>34586264.030000001</v>
      </c>
      <c r="I19" s="137">
        <v>1209484.1600000001</v>
      </c>
      <c r="J19" s="137">
        <v>635386.93000000005</v>
      </c>
      <c r="K19" s="139">
        <f t="shared" si="2"/>
        <v>36431135.119999997</v>
      </c>
      <c r="L19" s="139"/>
      <c r="M19" s="139">
        <f t="shared" si="3"/>
        <v>175558125.83000001</v>
      </c>
      <c r="N19" s="139">
        <f t="shared" si="4"/>
        <v>8894991.3999999985</v>
      </c>
      <c r="O19" s="139">
        <f t="shared" si="5"/>
        <v>4672869.9800000004</v>
      </c>
      <c r="P19" s="201">
        <f t="shared" si="6"/>
        <v>189125987.21000001</v>
      </c>
      <c r="Q19" s="164"/>
      <c r="R19" s="137">
        <v>437800.81</v>
      </c>
      <c r="S19" s="137">
        <v>15309.96</v>
      </c>
      <c r="T19" s="137">
        <v>8042.89</v>
      </c>
      <c r="U19" s="202">
        <f t="shared" si="7"/>
        <v>461153.66000000003</v>
      </c>
    </row>
    <row r="20" spans="1:21">
      <c r="A20" s="199">
        <f t="shared" si="0"/>
        <v>10</v>
      </c>
      <c r="B20" s="200" t="s">
        <v>905</v>
      </c>
      <c r="C20" s="137">
        <v>210144389.86000001</v>
      </c>
      <c r="D20" s="137">
        <v>10104475.559999999</v>
      </c>
      <c r="E20" s="137">
        <v>5308256.91</v>
      </c>
      <c r="F20" s="139">
        <f t="shared" si="1"/>
        <v>225557122.33000001</v>
      </c>
      <c r="G20" s="139"/>
      <c r="H20" s="137">
        <v>35024064.839999996</v>
      </c>
      <c r="I20" s="137">
        <v>1224794.1199999999</v>
      </c>
      <c r="J20" s="137">
        <v>643429.81999999995</v>
      </c>
      <c r="K20" s="139">
        <f t="shared" si="2"/>
        <v>36892288.779999994</v>
      </c>
      <c r="L20" s="139"/>
      <c r="M20" s="139">
        <f t="shared" si="3"/>
        <v>175120325.02000001</v>
      </c>
      <c r="N20" s="139">
        <f t="shared" si="4"/>
        <v>8879681.4399999995</v>
      </c>
      <c r="O20" s="139">
        <f t="shared" si="5"/>
        <v>4664827.09</v>
      </c>
      <c r="P20" s="201">
        <f t="shared" si="6"/>
        <v>188664833.55000001</v>
      </c>
      <c r="Q20" s="164"/>
      <c r="R20" s="137">
        <v>437800.81</v>
      </c>
      <c r="S20" s="137">
        <v>15309.96</v>
      </c>
      <c r="T20" s="137">
        <v>8042.89</v>
      </c>
      <c r="U20" s="202">
        <f t="shared" si="7"/>
        <v>461153.66000000003</v>
      </c>
    </row>
    <row r="21" spans="1:21">
      <c r="A21" s="199">
        <f t="shared" si="0"/>
        <v>11</v>
      </c>
      <c r="B21" s="200" t="s">
        <v>906</v>
      </c>
      <c r="C21" s="137">
        <v>210144389.86000001</v>
      </c>
      <c r="D21" s="137">
        <v>10104475.559999999</v>
      </c>
      <c r="E21" s="137">
        <v>5308256.91</v>
      </c>
      <c r="F21" s="139">
        <f t="shared" si="1"/>
        <v>225557122.33000001</v>
      </c>
      <c r="G21" s="139"/>
      <c r="H21" s="137">
        <v>35461865.649999999</v>
      </c>
      <c r="I21" s="137">
        <v>1240104.08</v>
      </c>
      <c r="J21" s="137">
        <v>651472.71</v>
      </c>
      <c r="K21" s="139">
        <f t="shared" si="2"/>
        <v>37353442.439999998</v>
      </c>
      <c r="L21" s="139"/>
      <c r="M21" s="139">
        <f t="shared" si="3"/>
        <v>174682524.21000001</v>
      </c>
      <c r="N21" s="139">
        <f t="shared" si="4"/>
        <v>8864371.4799999986</v>
      </c>
      <c r="O21" s="139">
        <f t="shared" si="5"/>
        <v>4656784.2</v>
      </c>
      <c r="P21" s="201">
        <f t="shared" si="6"/>
        <v>188203679.88999999</v>
      </c>
      <c r="Q21" s="164"/>
      <c r="R21" s="137">
        <v>437800.81</v>
      </c>
      <c r="S21" s="137">
        <v>15309.96</v>
      </c>
      <c r="T21" s="137">
        <v>8042.89</v>
      </c>
      <c r="U21" s="202">
        <f t="shared" si="7"/>
        <v>461153.66000000003</v>
      </c>
    </row>
    <row r="22" spans="1:21">
      <c r="A22" s="199">
        <f t="shared" si="0"/>
        <v>12</v>
      </c>
      <c r="B22" s="200" t="s">
        <v>907</v>
      </c>
      <c r="C22" s="137">
        <v>210144389.86000001</v>
      </c>
      <c r="D22" s="137">
        <v>10104475.559999999</v>
      </c>
      <c r="E22" s="137">
        <v>5308256.91</v>
      </c>
      <c r="F22" s="139">
        <f t="shared" si="1"/>
        <v>225557122.33000001</v>
      </c>
      <c r="G22" s="139"/>
      <c r="H22" s="137">
        <v>35899666.460000001</v>
      </c>
      <c r="I22" s="137">
        <v>1255414.04</v>
      </c>
      <c r="J22" s="137">
        <v>659515.6</v>
      </c>
      <c r="K22" s="139">
        <f t="shared" si="2"/>
        <v>37814596.100000001</v>
      </c>
      <c r="L22" s="139"/>
      <c r="M22" s="139">
        <f t="shared" si="3"/>
        <v>174244723.40000001</v>
      </c>
      <c r="N22" s="139">
        <f t="shared" si="4"/>
        <v>8849061.5199999996</v>
      </c>
      <c r="O22" s="139">
        <f t="shared" si="5"/>
        <v>4648741.3100000005</v>
      </c>
      <c r="P22" s="201">
        <f t="shared" si="6"/>
        <v>187742526.23000002</v>
      </c>
      <c r="Q22" s="164"/>
      <c r="R22" s="137">
        <v>437800.81</v>
      </c>
      <c r="S22" s="137">
        <v>15309.96</v>
      </c>
      <c r="T22" s="137">
        <v>8042.89</v>
      </c>
      <c r="U22" s="202">
        <f t="shared" si="7"/>
        <v>461153.66000000003</v>
      </c>
    </row>
    <row r="23" spans="1:21">
      <c r="A23" s="199">
        <f t="shared" si="0"/>
        <v>13</v>
      </c>
      <c r="B23" s="200" t="s">
        <v>908</v>
      </c>
      <c r="C23" s="137">
        <v>210144389.86000001</v>
      </c>
      <c r="D23" s="137">
        <v>10104475.559999999</v>
      </c>
      <c r="E23" s="137">
        <v>5308256.91</v>
      </c>
      <c r="F23" s="139">
        <f t="shared" si="1"/>
        <v>225557122.33000001</v>
      </c>
      <c r="G23" s="139"/>
      <c r="H23" s="137">
        <v>36337467.269999996</v>
      </c>
      <c r="I23" s="137">
        <v>1270724</v>
      </c>
      <c r="J23" s="137">
        <v>667558.49</v>
      </c>
      <c r="K23" s="139">
        <f t="shared" si="2"/>
        <v>38275749.759999998</v>
      </c>
      <c r="L23" s="139"/>
      <c r="M23" s="139">
        <f t="shared" si="3"/>
        <v>173806922.59000003</v>
      </c>
      <c r="N23" s="139">
        <f t="shared" si="4"/>
        <v>8833751.5599999987</v>
      </c>
      <c r="O23" s="139">
        <f t="shared" si="5"/>
        <v>4640698.42</v>
      </c>
      <c r="P23" s="201">
        <f t="shared" si="6"/>
        <v>187281372.57000002</v>
      </c>
      <c r="Q23" s="164"/>
      <c r="R23" s="137">
        <v>437800.81</v>
      </c>
      <c r="S23" s="137">
        <v>15309.96</v>
      </c>
      <c r="T23" s="137">
        <v>8042.89</v>
      </c>
      <c r="U23" s="202">
        <f t="shared" si="7"/>
        <v>461153.66000000003</v>
      </c>
    </row>
    <row r="24" spans="1:21" ht="13.5" thickBot="1">
      <c r="A24" s="199">
        <f t="shared" si="0"/>
        <v>14</v>
      </c>
      <c r="B24" s="200" t="s">
        <v>909</v>
      </c>
      <c r="C24" s="138">
        <v>210144389.86000001</v>
      </c>
      <c r="D24" s="138">
        <v>10104475.559999999</v>
      </c>
      <c r="E24" s="138">
        <v>5308256.91</v>
      </c>
      <c r="F24" s="186">
        <f t="shared" si="1"/>
        <v>225557122.33000001</v>
      </c>
      <c r="G24" s="139"/>
      <c r="H24" s="138">
        <v>36775268.079999998</v>
      </c>
      <c r="I24" s="138">
        <v>1286033.96</v>
      </c>
      <c r="J24" s="138">
        <v>675601.38</v>
      </c>
      <c r="K24" s="186">
        <f t="shared" si="2"/>
        <v>38736903.420000002</v>
      </c>
      <c r="L24" s="139"/>
      <c r="M24" s="139">
        <f t="shared" si="3"/>
        <v>173369121.78000003</v>
      </c>
      <c r="N24" s="139">
        <f t="shared" si="4"/>
        <v>8818441.5999999978</v>
      </c>
      <c r="O24" s="139">
        <f t="shared" si="5"/>
        <v>4632655.53</v>
      </c>
      <c r="P24" s="182">
        <f t="shared" si="6"/>
        <v>186820218.91000003</v>
      </c>
      <c r="Q24" s="164"/>
      <c r="R24" s="145">
        <v>437800.81</v>
      </c>
      <c r="S24" s="145">
        <v>15309.96</v>
      </c>
      <c r="T24" s="137">
        <v>8042.89</v>
      </c>
      <c r="U24" s="204">
        <f t="shared" si="7"/>
        <v>461153.66000000003</v>
      </c>
    </row>
    <row r="25" spans="1:21" ht="26.25" thickBot="1">
      <c r="A25" s="199">
        <f t="shared" si="0"/>
        <v>15</v>
      </c>
      <c r="B25" s="575" t="str">
        <f>"13 Month Avg.     (Lns "&amp;A12&amp;" - "&amp;A24&amp;")"</f>
        <v>13 Month Avg.     (Lns 2 - 14)</v>
      </c>
      <c r="C25" s="139">
        <f>IF(C24=0,0,AVERAGE(C12:C24))</f>
        <v>210144389.86000007</v>
      </c>
      <c r="D25" s="139">
        <f>IF(D24=0,0,AVERAGE(D12:D24))</f>
        <v>10104475.560000001</v>
      </c>
      <c r="E25" s="139">
        <f>IF(E24=0,0,AVERAGE(E12:E24))</f>
        <v>5308256.9099999983</v>
      </c>
      <c r="F25" s="139">
        <f>IF(F24=0,0,AVERAGE(F12:F24))</f>
        <v>225557122.32999995</v>
      </c>
      <c r="G25" s="139"/>
      <c r="H25" s="139">
        <f>IF(H24=0,0,AVERAGE(H12:H24))</f>
        <v>34148463.219999991</v>
      </c>
      <c r="I25" s="139">
        <f>IF(I24=0,0,AVERAGE(I12:I24))</f>
        <v>1194174.2000000002</v>
      </c>
      <c r="J25" s="139">
        <f>IF(J24=0,0,AVERAGE(J12:J24))</f>
        <v>627344.03999999992</v>
      </c>
      <c r="K25" s="139">
        <f>IF(K24=0,0,AVERAGE(K12:K24))</f>
        <v>35969981.459999993</v>
      </c>
      <c r="L25" s="139"/>
      <c r="M25" s="141">
        <f>IF(M24=0,0,AVERAGE(M12:M24))</f>
        <v>175995926.64000005</v>
      </c>
      <c r="N25" s="141">
        <f>IF(N24=0,0,AVERAGE(N12:N24))</f>
        <v>8910301.3599999994</v>
      </c>
      <c r="O25" s="141">
        <f>IF(O24=0,0,AVERAGE(O12:O24))</f>
        <v>4680912.87</v>
      </c>
      <c r="P25" s="139">
        <f>IF(P24=0,0,AVERAGE(P12:P24))</f>
        <v>189587140.87000003</v>
      </c>
      <c r="Q25" s="201"/>
      <c r="R25" s="183">
        <f>SUM(R13:R24)</f>
        <v>5253609.7199999988</v>
      </c>
      <c r="S25" s="183">
        <f>SUM(S13:S24)</f>
        <v>183719.51999999993</v>
      </c>
      <c r="T25" s="183">
        <f>SUM(T13:T24)</f>
        <v>96514.680000000008</v>
      </c>
      <c r="U25" s="202">
        <f>SUM(U13:U24)</f>
        <v>5533843.9200000009</v>
      </c>
    </row>
    <row r="26" spans="1:21">
      <c r="A26" s="199"/>
      <c r="B26" s="205"/>
      <c r="C26" s="139"/>
      <c r="D26" s="139"/>
      <c r="E26" s="139"/>
      <c r="F26" s="139"/>
      <c r="G26" s="139"/>
      <c r="H26" s="139"/>
      <c r="I26" s="139"/>
      <c r="J26" s="139"/>
      <c r="K26" s="139"/>
      <c r="L26" s="139"/>
      <c r="M26" s="139"/>
      <c r="N26" s="139"/>
      <c r="O26" s="139"/>
      <c r="P26" s="139"/>
      <c r="Q26" s="201"/>
      <c r="R26" s="164"/>
      <c r="S26" s="164"/>
      <c r="T26" s="164"/>
      <c r="U26" s="195"/>
    </row>
    <row r="27" spans="1:21">
      <c r="A27" s="199"/>
      <c r="B27" s="178"/>
      <c r="C27" s="164"/>
      <c r="D27" s="164"/>
      <c r="E27" s="751"/>
      <c r="H27" s="164"/>
      <c r="I27" s="164"/>
      <c r="J27" s="164"/>
      <c r="K27" s="206"/>
      <c r="L27" s="206"/>
      <c r="M27" s="206"/>
      <c r="N27" s="206"/>
      <c r="O27" s="206"/>
      <c r="P27" s="206"/>
      <c r="Q27" s="206"/>
      <c r="R27" s="164"/>
      <c r="S27" s="164"/>
      <c r="T27" s="164"/>
      <c r="U27" s="195"/>
    </row>
    <row r="28" spans="1:21" ht="33.75" customHeight="1">
      <c r="A28" s="1233" t="s">
        <v>919</v>
      </c>
      <c r="B28" s="1234"/>
      <c r="C28" s="1234"/>
      <c r="D28" s="1234"/>
      <c r="E28" s="1234"/>
      <c r="F28" s="1234"/>
      <c r="G28" s="1234"/>
      <c r="H28" s="1234"/>
      <c r="I28" s="1234"/>
      <c r="J28" s="1234"/>
      <c r="K28" s="1234"/>
      <c r="L28" s="1234"/>
      <c r="M28" s="1234"/>
      <c r="N28" s="1234"/>
      <c r="O28" s="1234"/>
      <c r="P28" s="1234"/>
      <c r="Q28" s="1234"/>
      <c r="R28" s="1234"/>
      <c r="S28" s="1234"/>
      <c r="T28" s="1234"/>
      <c r="U28" s="1235"/>
    </row>
    <row r="29" spans="1:21">
      <c r="A29" s="207"/>
      <c r="B29" s="208"/>
      <c r="C29" s="208"/>
      <c r="D29" s="208"/>
      <c r="E29" s="208"/>
      <c r="F29" s="208"/>
      <c r="G29" s="208"/>
      <c r="H29" s="208"/>
      <c r="I29" s="208"/>
      <c r="J29" s="208"/>
      <c r="K29" s="208"/>
      <c r="L29" s="208"/>
      <c r="M29" s="208"/>
      <c r="N29" s="208"/>
      <c r="O29" s="208"/>
      <c r="P29" s="208"/>
      <c r="Q29" s="208"/>
      <c r="R29" s="164"/>
      <c r="S29" s="164"/>
      <c r="T29" s="164"/>
      <c r="U29" s="195"/>
    </row>
    <row r="30" spans="1:21">
      <c r="A30" s="207" t="s">
        <v>1380</v>
      </c>
      <c r="B30" s="208"/>
      <c r="C30" s="208"/>
      <c r="D30" s="208"/>
      <c r="E30" s="208"/>
      <c r="F30" s="208"/>
      <c r="G30" s="208"/>
      <c r="H30" s="208"/>
      <c r="I30" s="208"/>
      <c r="J30" s="208"/>
      <c r="K30" s="208"/>
      <c r="L30" s="208"/>
      <c r="M30" s="208"/>
      <c r="N30" s="208"/>
      <c r="O30" s="208"/>
      <c r="P30" s="208"/>
      <c r="Q30" s="208"/>
      <c r="R30" s="164"/>
      <c r="S30" s="164"/>
      <c r="T30" s="164"/>
      <c r="U30" s="195"/>
    </row>
    <row r="31" spans="1:21">
      <c r="A31" s="209" t="s">
        <v>387</v>
      </c>
      <c r="B31" s="208"/>
      <c r="C31" s="208"/>
      <c r="D31" s="208"/>
      <c r="E31" s="208"/>
      <c r="F31" s="208"/>
      <c r="G31" s="208"/>
      <c r="H31" s="208"/>
      <c r="I31" s="208"/>
      <c r="J31" s="208"/>
      <c r="K31" s="208"/>
      <c r="L31" s="208"/>
      <c r="M31" s="208"/>
      <c r="N31" s="208"/>
      <c r="O31" s="208"/>
      <c r="P31" s="208"/>
      <c r="Q31" s="208"/>
      <c r="R31" s="164"/>
      <c r="S31" s="164"/>
      <c r="T31" s="164"/>
      <c r="U31" s="195"/>
    </row>
    <row r="32" spans="1:21">
      <c r="A32" s="209" t="s">
        <v>388</v>
      </c>
      <c r="B32" s="208"/>
      <c r="C32" s="208"/>
      <c r="D32" s="208"/>
      <c r="E32" s="208"/>
      <c r="F32" s="208"/>
      <c r="G32" s="208"/>
      <c r="H32" s="208"/>
      <c r="I32" s="208"/>
      <c r="J32" s="208"/>
      <c r="K32" s="208"/>
      <c r="L32" s="208"/>
      <c r="M32" s="208"/>
      <c r="N32" s="208"/>
      <c r="O32" s="208"/>
      <c r="P32" s="208"/>
      <c r="Q32" s="208"/>
      <c r="R32" s="164"/>
      <c r="S32" s="164"/>
      <c r="T32" s="164"/>
      <c r="U32" s="195"/>
    </row>
    <row r="33" spans="1:21">
      <c r="A33" s="209" t="s">
        <v>389</v>
      </c>
      <c r="B33" s="208"/>
      <c r="C33" s="208"/>
      <c r="D33" s="208"/>
      <c r="E33" s="208"/>
      <c r="F33" s="208"/>
      <c r="G33" s="208"/>
      <c r="H33" s="208"/>
      <c r="I33" s="208"/>
      <c r="J33" s="208"/>
      <c r="K33" s="208"/>
      <c r="L33" s="208"/>
      <c r="M33" s="208"/>
      <c r="N33" s="208"/>
      <c r="O33" s="208"/>
      <c r="P33" s="208"/>
      <c r="Q33" s="208"/>
      <c r="R33" s="164"/>
      <c r="S33" s="164"/>
      <c r="T33" s="164"/>
      <c r="U33" s="195"/>
    </row>
    <row r="34" spans="1:21">
      <c r="A34" s="211"/>
      <c r="B34" s="212"/>
      <c r="C34" s="212"/>
      <c r="D34" s="212"/>
      <c r="E34" s="212"/>
      <c r="F34" s="213"/>
      <c r="G34" s="213"/>
      <c r="H34" s="212"/>
      <c r="I34" s="212"/>
      <c r="J34" s="212"/>
      <c r="K34" s="212"/>
      <c r="L34" s="212"/>
      <c r="M34" s="212"/>
      <c r="N34" s="212"/>
      <c r="O34" s="212"/>
      <c r="P34" s="212"/>
      <c r="Q34" s="212"/>
      <c r="R34" s="212"/>
      <c r="S34" s="212"/>
      <c r="T34" s="212"/>
      <c r="U34" s="214"/>
    </row>
    <row r="35" spans="1:21">
      <c r="A35" s="164"/>
      <c r="B35" s="164"/>
      <c r="C35" s="164"/>
      <c r="D35" s="164"/>
      <c r="E35" s="164"/>
      <c r="H35" s="164"/>
      <c r="I35" s="164"/>
      <c r="J35" s="164"/>
      <c r="K35" s="164"/>
      <c r="L35" s="164"/>
      <c r="M35" s="164"/>
      <c r="N35" s="164"/>
      <c r="O35" s="164"/>
      <c r="P35" s="164"/>
      <c r="Q35" s="164"/>
    </row>
    <row r="36" spans="1:21">
      <c r="A36" s="164"/>
      <c r="B36" s="164"/>
      <c r="C36" s="164"/>
      <c r="D36" s="164"/>
      <c r="E36" s="164"/>
      <c r="H36" s="164"/>
      <c r="I36" s="164"/>
      <c r="J36" s="164"/>
      <c r="K36" s="164"/>
      <c r="L36" s="164"/>
      <c r="M36" s="164"/>
      <c r="N36" s="164"/>
      <c r="O36" s="164"/>
      <c r="P36" s="164"/>
      <c r="Q36" s="164"/>
    </row>
    <row r="37" spans="1:21">
      <c r="A37" s="164"/>
      <c r="B37" s="164"/>
      <c r="C37" s="164"/>
      <c r="D37" s="164"/>
      <c r="E37" s="164"/>
      <c r="H37" s="164"/>
      <c r="I37" s="164"/>
      <c r="J37" s="164"/>
      <c r="K37" s="164"/>
      <c r="L37" s="164"/>
      <c r="M37" s="164"/>
      <c r="N37" s="164"/>
      <c r="O37" s="164"/>
      <c r="P37" s="164"/>
      <c r="Q37" s="164"/>
    </row>
    <row r="38" spans="1:21">
      <c r="A38" s="164"/>
      <c r="B38" s="164"/>
      <c r="C38" s="142"/>
      <c r="D38" s="142"/>
      <c r="E38" s="142"/>
      <c r="H38" s="164"/>
      <c r="I38" s="164"/>
      <c r="J38" s="164"/>
      <c r="K38" s="164"/>
      <c r="L38" s="164"/>
      <c r="M38" s="164"/>
      <c r="N38" s="164"/>
      <c r="O38" s="164"/>
      <c r="P38" s="164"/>
      <c r="Q38" s="164"/>
    </row>
    <row r="39" spans="1:21">
      <c r="A39" s="189" t="s">
        <v>1064</v>
      </c>
      <c r="B39" s="190"/>
      <c r="C39" s="190"/>
      <c r="D39" s="190"/>
      <c r="E39" s="190"/>
      <c r="F39" s="191"/>
      <c r="G39" s="191"/>
      <c r="H39" s="190"/>
      <c r="I39" s="190"/>
      <c r="J39" s="190"/>
      <c r="K39" s="190"/>
      <c r="L39" s="190"/>
      <c r="M39" s="190"/>
      <c r="N39" s="190"/>
      <c r="O39" s="190"/>
      <c r="P39" s="190"/>
      <c r="Q39" s="190"/>
      <c r="R39" s="190"/>
      <c r="S39" s="190"/>
      <c r="T39" s="190"/>
      <c r="U39" s="192"/>
    </row>
    <row r="40" spans="1:21" ht="39" customHeight="1">
      <c r="A40" s="193"/>
      <c r="B40" s="164"/>
      <c r="C40" s="1236" t="s">
        <v>1339</v>
      </c>
      <c r="D40" s="1237"/>
      <c r="E40" s="1237"/>
      <c r="F40" s="1238"/>
      <c r="H40" s="1236" t="s">
        <v>1340</v>
      </c>
      <c r="I40" s="1237"/>
      <c r="J40" s="1237"/>
      <c r="K40" s="1238"/>
      <c r="L40" s="194"/>
      <c r="M40" s="1236" t="s">
        <v>1373</v>
      </c>
      <c r="N40" s="1237"/>
      <c r="O40" s="1237"/>
      <c r="P40" s="1238"/>
      <c r="Q40" s="195"/>
      <c r="R40" s="1236" t="s">
        <v>1374</v>
      </c>
      <c r="S40" s="1237"/>
      <c r="T40" s="1237"/>
      <c r="U40" s="1238"/>
    </row>
    <row r="41" spans="1:21" ht="51">
      <c r="A41" s="196" t="s">
        <v>1375</v>
      </c>
      <c r="B41" s="2" t="s">
        <v>912</v>
      </c>
      <c r="C41" s="146" t="s">
        <v>1376</v>
      </c>
      <c r="D41" s="146" t="s">
        <v>1377</v>
      </c>
      <c r="E41" s="146" t="s">
        <v>1378</v>
      </c>
      <c r="F41" s="185" t="s">
        <v>1090</v>
      </c>
      <c r="G41" s="2"/>
      <c r="H41" s="146" t="s">
        <v>1376</v>
      </c>
      <c r="I41" s="146" t="s">
        <v>1377</v>
      </c>
      <c r="J41" s="146" t="s">
        <v>1378</v>
      </c>
      <c r="K41" s="185" t="s">
        <v>1096</v>
      </c>
      <c r="L41" s="185"/>
      <c r="M41" s="146" t="s">
        <v>1097</v>
      </c>
      <c r="N41" s="146" t="s">
        <v>1098</v>
      </c>
      <c r="O41" s="146" t="s">
        <v>1099</v>
      </c>
      <c r="P41" s="185" t="s">
        <v>1100</v>
      </c>
      <c r="Q41" s="2"/>
      <c r="R41" s="146" t="s">
        <v>1376</v>
      </c>
      <c r="S41" s="146" t="s">
        <v>1377</v>
      </c>
      <c r="T41" s="146" t="s">
        <v>1378</v>
      </c>
      <c r="U41" s="197" t="s">
        <v>1102</v>
      </c>
    </row>
    <row r="42" spans="1:21">
      <c r="A42" s="193"/>
      <c r="B42" s="164"/>
      <c r="C42" s="116" t="s">
        <v>358</v>
      </c>
      <c r="D42" s="116" t="s">
        <v>357</v>
      </c>
      <c r="E42" s="116" t="s">
        <v>359</v>
      </c>
      <c r="F42" s="116" t="s">
        <v>360</v>
      </c>
      <c r="G42" s="116"/>
      <c r="H42" s="116" t="s">
        <v>361</v>
      </c>
      <c r="I42" s="116" t="s">
        <v>362</v>
      </c>
      <c r="J42" s="116" t="s">
        <v>363</v>
      </c>
      <c r="K42" s="116" t="s">
        <v>364</v>
      </c>
      <c r="L42" s="116"/>
      <c r="M42" s="116" t="s">
        <v>365</v>
      </c>
      <c r="N42" s="116" t="s">
        <v>366</v>
      </c>
      <c r="O42" s="116" t="s">
        <v>367</v>
      </c>
      <c r="P42" s="116" t="s">
        <v>368</v>
      </c>
      <c r="Q42" s="116"/>
      <c r="R42" s="116" t="s">
        <v>369</v>
      </c>
      <c r="S42" s="116" t="s">
        <v>370</v>
      </c>
      <c r="T42" s="116" t="s">
        <v>1101</v>
      </c>
      <c r="U42" s="790" t="s">
        <v>1103</v>
      </c>
    </row>
    <row r="43" spans="1:21">
      <c r="A43" s="193"/>
      <c r="B43" s="176" t="s">
        <v>1381</v>
      </c>
      <c r="C43" s="164"/>
      <c r="D43" s="164"/>
      <c r="E43" s="164"/>
      <c r="H43" s="164"/>
      <c r="I43" s="164"/>
      <c r="J43" s="164"/>
      <c r="K43" s="142"/>
      <c r="L43" s="142"/>
      <c r="M43" s="142"/>
      <c r="N43" s="142"/>
      <c r="O43" s="142"/>
      <c r="P43" s="164"/>
      <c r="Q43" s="164"/>
      <c r="R43" s="164"/>
      <c r="S43" s="164"/>
      <c r="T43" s="164"/>
      <c r="U43" s="195"/>
    </row>
    <row r="44" spans="1:21">
      <c r="A44" s="199">
        <v>1</v>
      </c>
      <c r="B44" s="164"/>
      <c r="C44" s="164"/>
      <c r="D44" s="164"/>
      <c r="E44" s="164"/>
      <c r="H44" s="164"/>
      <c r="I44" s="164"/>
      <c r="J44" s="164"/>
      <c r="K44" s="142"/>
      <c r="L44" s="142"/>
      <c r="M44" s="142"/>
      <c r="N44" s="142"/>
      <c r="O44" s="142"/>
      <c r="P44" s="164"/>
      <c r="Q44" s="164"/>
      <c r="R44" s="164"/>
      <c r="S44" s="164"/>
      <c r="T44" s="164"/>
      <c r="U44" s="195"/>
    </row>
    <row r="45" spans="1:21">
      <c r="A45" s="199">
        <f t="shared" ref="A45:A58" si="8">A44+1</f>
        <v>2</v>
      </c>
      <c r="B45" s="200" t="s">
        <v>909</v>
      </c>
      <c r="C45" s="137">
        <v>210144389.86000001</v>
      </c>
      <c r="D45" s="137">
        <v>10104475.559999999</v>
      </c>
      <c r="E45" s="137">
        <v>5308256.91</v>
      </c>
      <c r="F45" s="139">
        <f>SUM(C45:E45)</f>
        <v>225557122.33000001</v>
      </c>
      <c r="G45" s="139"/>
      <c r="H45" s="137">
        <v>31521658.359999999</v>
      </c>
      <c r="I45" s="137">
        <v>1102314.44</v>
      </c>
      <c r="J45" s="137">
        <v>579086.69999999995</v>
      </c>
      <c r="K45" s="139">
        <f>SUM(H45:J45)</f>
        <v>33203059.5</v>
      </c>
      <c r="L45" s="139"/>
      <c r="M45" s="139">
        <f t="shared" ref="M45:M57" si="9">C45-H45</f>
        <v>178622731.5</v>
      </c>
      <c r="N45" s="139">
        <f t="shared" ref="N45:N57" si="10">D45-I45</f>
        <v>9002161.1199999992</v>
      </c>
      <c r="O45" s="139">
        <f t="shared" ref="O45:O57" si="11">E45-J45</f>
        <v>4729170.21</v>
      </c>
      <c r="P45" s="201">
        <f t="shared" ref="P45:P57" si="12">SUM(M45:O45)</f>
        <v>192354062.83000001</v>
      </c>
      <c r="Q45" s="164"/>
      <c r="R45" s="164"/>
      <c r="S45" s="164"/>
      <c r="T45" s="164"/>
      <c r="U45" s="195"/>
    </row>
    <row r="46" spans="1:21">
      <c r="A46" s="199">
        <f t="shared" si="8"/>
        <v>3</v>
      </c>
      <c r="B46" s="200" t="s">
        <v>950</v>
      </c>
      <c r="C46" s="137">
        <v>210144389.86000001</v>
      </c>
      <c r="D46" s="137">
        <v>10104475.559999999</v>
      </c>
      <c r="E46" s="137">
        <v>5308256.91</v>
      </c>
      <c r="F46" s="139">
        <f t="shared" ref="F46:F57" si="13">SUM(C46:E46)</f>
        <v>225557122.33000001</v>
      </c>
      <c r="G46" s="139"/>
      <c r="H46" s="137">
        <v>31959459.169999998</v>
      </c>
      <c r="I46" s="137">
        <v>1117624.3999999999</v>
      </c>
      <c r="J46" s="137">
        <v>587129.59</v>
      </c>
      <c r="K46" s="139">
        <f t="shared" ref="K46:K57" si="14">SUM(H46:J46)</f>
        <v>33664213.159999996</v>
      </c>
      <c r="L46" s="139"/>
      <c r="M46" s="139">
        <f t="shared" si="9"/>
        <v>178184930.69000003</v>
      </c>
      <c r="N46" s="139">
        <f t="shared" si="10"/>
        <v>8986851.1599999983</v>
      </c>
      <c r="O46" s="139">
        <f t="shared" si="11"/>
        <v>4721127.32</v>
      </c>
      <c r="P46" s="201">
        <f t="shared" si="12"/>
        <v>191892909.17000002</v>
      </c>
      <c r="Q46" s="164"/>
      <c r="R46" s="137">
        <v>437800.81</v>
      </c>
      <c r="S46" s="137">
        <v>15309.96</v>
      </c>
      <c r="T46" s="137">
        <v>8042.89</v>
      </c>
      <c r="U46" s="202">
        <f t="shared" ref="U46:U57" si="15">SUM(R46:T46)</f>
        <v>461153.66000000003</v>
      </c>
    </row>
    <row r="47" spans="1:21">
      <c r="A47" s="199">
        <f t="shared" si="8"/>
        <v>4</v>
      </c>
      <c r="B47" s="200" t="s">
        <v>899</v>
      </c>
      <c r="C47" s="137">
        <v>210144389.86000001</v>
      </c>
      <c r="D47" s="137">
        <v>10104475.559999999</v>
      </c>
      <c r="E47" s="137">
        <v>5308256.91</v>
      </c>
      <c r="F47" s="139">
        <f t="shared" si="13"/>
        <v>225557122.33000001</v>
      </c>
      <c r="G47" s="139"/>
      <c r="H47" s="137">
        <v>32397259.979999997</v>
      </c>
      <c r="I47" s="137">
        <v>1132934.3600000001</v>
      </c>
      <c r="J47" s="137">
        <v>595172.48</v>
      </c>
      <c r="K47" s="139">
        <f t="shared" si="14"/>
        <v>34125366.819999993</v>
      </c>
      <c r="L47" s="139"/>
      <c r="M47" s="139">
        <f t="shared" si="9"/>
        <v>177747129.88000003</v>
      </c>
      <c r="N47" s="139">
        <f t="shared" si="10"/>
        <v>8971541.1999999993</v>
      </c>
      <c r="O47" s="139">
        <f t="shared" si="11"/>
        <v>4713084.43</v>
      </c>
      <c r="P47" s="201">
        <f t="shared" si="12"/>
        <v>191431755.51000002</v>
      </c>
      <c r="Q47" s="164"/>
      <c r="R47" s="137">
        <v>437800.81</v>
      </c>
      <c r="S47" s="137">
        <v>15309.96</v>
      </c>
      <c r="T47" s="137">
        <v>8042.89</v>
      </c>
      <c r="U47" s="202">
        <f t="shared" si="15"/>
        <v>461153.66000000003</v>
      </c>
    </row>
    <row r="48" spans="1:21">
      <c r="A48" s="199">
        <f t="shared" si="8"/>
        <v>5</v>
      </c>
      <c r="B48" s="200" t="s">
        <v>900</v>
      </c>
      <c r="C48" s="137">
        <v>210144389.86000001</v>
      </c>
      <c r="D48" s="137">
        <v>10104475.559999999</v>
      </c>
      <c r="E48" s="137">
        <v>5308256.91</v>
      </c>
      <c r="F48" s="139">
        <f t="shared" si="13"/>
        <v>225557122.33000001</v>
      </c>
      <c r="G48" s="139"/>
      <c r="H48" s="137">
        <v>32835060.789999999</v>
      </c>
      <c r="I48" s="137">
        <v>1148244.3199999998</v>
      </c>
      <c r="J48" s="137">
        <v>603215.37</v>
      </c>
      <c r="K48" s="139">
        <f t="shared" si="14"/>
        <v>34586520.479999997</v>
      </c>
      <c r="L48" s="139"/>
      <c r="M48" s="139">
        <f t="shared" si="9"/>
        <v>177309329.07000002</v>
      </c>
      <c r="N48" s="139">
        <f t="shared" si="10"/>
        <v>8956231.2399999984</v>
      </c>
      <c r="O48" s="139">
        <f t="shared" si="11"/>
        <v>4705041.54</v>
      </c>
      <c r="P48" s="201">
        <f t="shared" si="12"/>
        <v>190970601.85000002</v>
      </c>
      <c r="Q48" s="164"/>
      <c r="R48" s="137">
        <v>437800.81</v>
      </c>
      <c r="S48" s="137">
        <v>15309.96</v>
      </c>
      <c r="T48" s="137">
        <v>8042.89</v>
      </c>
      <c r="U48" s="202">
        <f t="shared" si="15"/>
        <v>461153.66000000003</v>
      </c>
    </row>
    <row r="49" spans="1:21">
      <c r="A49" s="199">
        <f t="shared" si="8"/>
        <v>6</v>
      </c>
      <c r="B49" s="200" t="s">
        <v>901</v>
      </c>
      <c r="C49" s="137">
        <v>210144389.86000001</v>
      </c>
      <c r="D49" s="137">
        <v>10104475.559999999</v>
      </c>
      <c r="E49" s="137">
        <v>5308256.91</v>
      </c>
      <c r="F49" s="139">
        <f t="shared" si="13"/>
        <v>225557122.33000001</v>
      </c>
      <c r="G49" s="139"/>
      <c r="H49" s="137">
        <v>33272861.600000001</v>
      </c>
      <c r="I49" s="137">
        <v>1163554.28</v>
      </c>
      <c r="J49" s="137">
        <v>611258.26</v>
      </c>
      <c r="K49" s="139">
        <f t="shared" si="14"/>
        <v>35047674.140000001</v>
      </c>
      <c r="L49" s="139"/>
      <c r="M49" s="139">
        <f t="shared" si="9"/>
        <v>176871528.26000002</v>
      </c>
      <c r="N49" s="139">
        <f t="shared" si="10"/>
        <v>8940921.2799999993</v>
      </c>
      <c r="O49" s="139">
        <f t="shared" si="11"/>
        <v>4696998.6500000004</v>
      </c>
      <c r="P49" s="201">
        <f t="shared" si="12"/>
        <v>190509448.19000003</v>
      </c>
      <c r="Q49" s="164"/>
      <c r="R49" s="137">
        <v>437800.81</v>
      </c>
      <c r="S49" s="137">
        <v>15309.96</v>
      </c>
      <c r="T49" s="137">
        <v>8042.89</v>
      </c>
      <c r="U49" s="202">
        <f t="shared" si="15"/>
        <v>461153.66000000003</v>
      </c>
    </row>
    <row r="50" spans="1:21">
      <c r="A50" s="199">
        <f t="shared" si="8"/>
        <v>7</v>
      </c>
      <c r="B50" s="200" t="s">
        <v>902</v>
      </c>
      <c r="C50" s="137">
        <v>210144389.86000001</v>
      </c>
      <c r="D50" s="137">
        <v>10104475.559999999</v>
      </c>
      <c r="E50" s="137">
        <v>5308256.91</v>
      </c>
      <c r="F50" s="139">
        <f t="shared" si="13"/>
        <v>225557122.33000001</v>
      </c>
      <c r="G50" s="139"/>
      <c r="H50" s="137">
        <v>33710662.409999996</v>
      </c>
      <c r="I50" s="137">
        <v>1178864.24</v>
      </c>
      <c r="J50" s="137">
        <v>619301.15</v>
      </c>
      <c r="K50" s="139">
        <f t="shared" si="14"/>
        <v>35508827.799999997</v>
      </c>
      <c r="L50" s="139"/>
      <c r="M50" s="139">
        <f t="shared" si="9"/>
        <v>176433727.45000002</v>
      </c>
      <c r="N50" s="139">
        <f t="shared" si="10"/>
        <v>8925611.3199999984</v>
      </c>
      <c r="O50" s="139">
        <f t="shared" si="11"/>
        <v>4688955.76</v>
      </c>
      <c r="P50" s="201">
        <f t="shared" si="12"/>
        <v>190048294.53</v>
      </c>
      <c r="Q50" s="164"/>
      <c r="R50" s="137">
        <v>437800.81</v>
      </c>
      <c r="S50" s="137">
        <v>15309.96</v>
      </c>
      <c r="T50" s="137">
        <v>8042.89</v>
      </c>
      <c r="U50" s="202">
        <f t="shared" si="15"/>
        <v>461153.66000000003</v>
      </c>
    </row>
    <row r="51" spans="1:21">
      <c r="A51" s="199">
        <f t="shared" si="8"/>
        <v>8</v>
      </c>
      <c r="B51" s="200" t="s">
        <v>903</v>
      </c>
      <c r="C51" s="137">
        <v>210144389.86000001</v>
      </c>
      <c r="D51" s="137">
        <v>10104475.559999999</v>
      </c>
      <c r="E51" s="137">
        <v>5308256.91</v>
      </c>
      <c r="F51" s="139">
        <f t="shared" si="13"/>
        <v>225557122.33000001</v>
      </c>
      <c r="G51" s="139"/>
      <c r="H51" s="137">
        <v>34148463.219999999</v>
      </c>
      <c r="I51" s="137">
        <v>1194174.2</v>
      </c>
      <c r="J51" s="137">
        <v>627344.04</v>
      </c>
      <c r="K51" s="139">
        <f t="shared" si="14"/>
        <v>35969981.460000001</v>
      </c>
      <c r="L51" s="139"/>
      <c r="M51" s="139">
        <f t="shared" si="9"/>
        <v>175995926.64000002</v>
      </c>
      <c r="N51" s="139">
        <f t="shared" si="10"/>
        <v>8910301.3599999994</v>
      </c>
      <c r="O51" s="139">
        <f t="shared" si="11"/>
        <v>4680912.87</v>
      </c>
      <c r="P51" s="201">
        <f t="shared" si="12"/>
        <v>189587140.87</v>
      </c>
      <c r="Q51" s="164"/>
      <c r="R51" s="137">
        <v>437800.81</v>
      </c>
      <c r="S51" s="137">
        <v>15309.96</v>
      </c>
      <c r="T51" s="137">
        <v>8042.89</v>
      </c>
      <c r="U51" s="202">
        <f t="shared" si="15"/>
        <v>461153.66000000003</v>
      </c>
    </row>
    <row r="52" spans="1:21">
      <c r="A52" s="199">
        <f t="shared" si="8"/>
        <v>9</v>
      </c>
      <c r="B52" s="200" t="s">
        <v>904</v>
      </c>
      <c r="C52" s="137">
        <v>210144389.86000001</v>
      </c>
      <c r="D52" s="137">
        <v>10104475.559999999</v>
      </c>
      <c r="E52" s="137">
        <v>5308256.91</v>
      </c>
      <c r="F52" s="139">
        <f t="shared" si="13"/>
        <v>225557122.33000001</v>
      </c>
      <c r="G52" s="139"/>
      <c r="H52" s="137">
        <v>34586264.030000001</v>
      </c>
      <c r="I52" s="137">
        <v>1209484.1600000001</v>
      </c>
      <c r="J52" s="137">
        <v>635386.93000000005</v>
      </c>
      <c r="K52" s="139">
        <f t="shared" si="14"/>
        <v>36431135.119999997</v>
      </c>
      <c r="L52" s="139"/>
      <c r="M52" s="139">
        <f t="shared" si="9"/>
        <v>175558125.83000001</v>
      </c>
      <c r="N52" s="139">
        <f t="shared" si="10"/>
        <v>8894991.3999999985</v>
      </c>
      <c r="O52" s="139">
        <f t="shared" si="11"/>
        <v>4672869.9800000004</v>
      </c>
      <c r="P52" s="201">
        <f t="shared" si="12"/>
        <v>189125987.21000001</v>
      </c>
      <c r="Q52" s="164"/>
      <c r="R52" s="137">
        <v>437800.81</v>
      </c>
      <c r="S52" s="137">
        <v>15309.96</v>
      </c>
      <c r="T52" s="137">
        <v>8042.89</v>
      </c>
      <c r="U52" s="202">
        <f t="shared" si="15"/>
        <v>461153.66000000003</v>
      </c>
    </row>
    <row r="53" spans="1:21">
      <c r="A53" s="199">
        <f t="shared" si="8"/>
        <v>10</v>
      </c>
      <c r="B53" s="200" t="s">
        <v>905</v>
      </c>
      <c r="C53" s="137">
        <v>210144389.86000001</v>
      </c>
      <c r="D53" s="137">
        <v>10104475.559999999</v>
      </c>
      <c r="E53" s="137">
        <v>5308256.91</v>
      </c>
      <c r="F53" s="139">
        <f t="shared" si="13"/>
        <v>225557122.33000001</v>
      </c>
      <c r="G53" s="139"/>
      <c r="H53" s="137">
        <v>35024064.839999996</v>
      </c>
      <c r="I53" s="137">
        <v>1224794.1199999999</v>
      </c>
      <c r="J53" s="137">
        <v>643429.81999999995</v>
      </c>
      <c r="K53" s="139">
        <f t="shared" si="14"/>
        <v>36892288.779999994</v>
      </c>
      <c r="L53" s="139"/>
      <c r="M53" s="139">
        <f t="shared" si="9"/>
        <v>175120325.02000001</v>
      </c>
      <c r="N53" s="139">
        <f t="shared" si="10"/>
        <v>8879681.4399999995</v>
      </c>
      <c r="O53" s="139">
        <f t="shared" si="11"/>
        <v>4664827.09</v>
      </c>
      <c r="P53" s="201">
        <f t="shared" si="12"/>
        <v>188664833.55000001</v>
      </c>
      <c r="Q53" s="164"/>
      <c r="R53" s="137">
        <v>437800.81</v>
      </c>
      <c r="S53" s="137">
        <v>15309.96</v>
      </c>
      <c r="T53" s="137">
        <v>8042.89</v>
      </c>
      <c r="U53" s="202">
        <f t="shared" si="15"/>
        <v>461153.66000000003</v>
      </c>
    </row>
    <row r="54" spans="1:21">
      <c r="A54" s="199">
        <f t="shared" si="8"/>
        <v>11</v>
      </c>
      <c r="B54" s="200" t="s">
        <v>906</v>
      </c>
      <c r="C54" s="137">
        <v>210144389.86000001</v>
      </c>
      <c r="D54" s="137">
        <v>10104475.559999999</v>
      </c>
      <c r="E54" s="137">
        <v>5308256.91</v>
      </c>
      <c r="F54" s="139">
        <f t="shared" si="13"/>
        <v>225557122.33000001</v>
      </c>
      <c r="G54" s="139"/>
      <c r="H54" s="137">
        <v>35461865.649999999</v>
      </c>
      <c r="I54" s="137">
        <v>1240104.08</v>
      </c>
      <c r="J54" s="137">
        <v>651472.71</v>
      </c>
      <c r="K54" s="139">
        <f t="shared" si="14"/>
        <v>37353442.439999998</v>
      </c>
      <c r="L54" s="139"/>
      <c r="M54" s="139">
        <f t="shared" si="9"/>
        <v>174682524.21000001</v>
      </c>
      <c r="N54" s="139">
        <f t="shared" si="10"/>
        <v>8864371.4799999986</v>
      </c>
      <c r="O54" s="139">
        <f t="shared" si="11"/>
        <v>4656784.2</v>
      </c>
      <c r="P54" s="201">
        <f t="shared" si="12"/>
        <v>188203679.88999999</v>
      </c>
      <c r="Q54" s="164"/>
      <c r="R54" s="137">
        <v>437800.81</v>
      </c>
      <c r="S54" s="137">
        <v>15309.96</v>
      </c>
      <c r="T54" s="137">
        <v>8042.89</v>
      </c>
      <c r="U54" s="202">
        <f t="shared" si="15"/>
        <v>461153.66000000003</v>
      </c>
    </row>
    <row r="55" spans="1:21">
      <c r="A55" s="199">
        <f t="shared" si="8"/>
        <v>12</v>
      </c>
      <c r="B55" s="200" t="s">
        <v>907</v>
      </c>
      <c r="C55" s="137">
        <v>210144389.86000001</v>
      </c>
      <c r="D55" s="137">
        <v>10104475.559999999</v>
      </c>
      <c r="E55" s="137">
        <v>5308256.91</v>
      </c>
      <c r="F55" s="139">
        <f t="shared" si="13"/>
        <v>225557122.33000001</v>
      </c>
      <c r="G55" s="139"/>
      <c r="H55" s="137">
        <v>35899666.460000001</v>
      </c>
      <c r="I55" s="137">
        <v>1255414.04</v>
      </c>
      <c r="J55" s="137">
        <v>659515.6</v>
      </c>
      <c r="K55" s="139">
        <f t="shared" si="14"/>
        <v>37814596.100000001</v>
      </c>
      <c r="L55" s="139"/>
      <c r="M55" s="139">
        <f t="shared" si="9"/>
        <v>174244723.40000001</v>
      </c>
      <c r="N55" s="139">
        <f t="shared" si="10"/>
        <v>8849061.5199999996</v>
      </c>
      <c r="O55" s="139">
        <f t="shared" si="11"/>
        <v>4648741.3100000005</v>
      </c>
      <c r="P55" s="201">
        <f t="shared" si="12"/>
        <v>187742526.23000002</v>
      </c>
      <c r="Q55" s="164"/>
      <c r="R55" s="137">
        <v>437800.81</v>
      </c>
      <c r="S55" s="137">
        <v>15309.96</v>
      </c>
      <c r="T55" s="137">
        <v>8042.89</v>
      </c>
      <c r="U55" s="202">
        <f t="shared" si="15"/>
        <v>461153.66000000003</v>
      </c>
    </row>
    <row r="56" spans="1:21">
      <c r="A56" s="199">
        <f t="shared" si="8"/>
        <v>13</v>
      </c>
      <c r="B56" s="200" t="s">
        <v>908</v>
      </c>
      <c r="C56" s="137">
        <v>210144389.86000001</v>
      </c>
      <c r="D56" s="137">
        <v>10104475.559999999</v>
      </c>
      <c r="E56" s="137">
        <v>5308256.91</v>
      </c>
      <c r="F56" s="139">
        <f t="shared" si="13"/>
        <v>225557122.33000001</v>
      </c>
      <c r="G56" s="139"/>
      <c r="H56" s="137">
        <v>36337467.269999996</v>
      </c>
      <c r="I56" s="137">
        <v>1270724</v>
      </c>
      <c r="J56" s="137">
        <v>667558.49</v>
      </c>
      <c r="K56" s="139">
        <f t="shared" si="14"/>
        <v>38275749.759999998</v>
      </c>
      <c r="L56" s="139"/>
      <c r="M56" s="139">
        <f t="shared" si="9"/>
        <v>173806922.59000003</v>
      </c>
      <c r="N56" s="139">
        <f t="shared" si="10"/>
        <v>8833751.5599999987</v>
      </c>
      <c r="O56" s="139">
        <f t="shared" si="11"/>
        <v>4640698.42</v>
      </c>
      <c r="P56" s="201">
        <f t="shared" si="12"/>
        <v>187281372.57000002</v>
      </c>
      <c r="Q56" s="164"/>
      <c r="R56" s="137">
        <v>437800.81</v>
      </c>
      <c r="S56" s="137">
        <v>15309.96</v>
      </c>
      <c r="T56" s="137">
        <v>8042.89</v>
      </c>
      <c r="U56" s="202">
        <f t="shared" si="15"/>
        <v>461153.66000000003</v>
      </c>
    </row>
    <row r="57" spans="1:21" ht="13.5" thickBot="1">
      <c r="A57" s="199">
        <f t="shared" si="8"/>
        <v>14</v>
      </c>
      <c r="B57" s="200" t="s">
        <v>909</v>
      </c>
      <c r="C57" s="138">
        <v>210144389.86000001</v>
      </c>
      <c r="D57" s="203">
        <v>10104475.559999999</v>
      </c>
      <c r="E57" s="138">
        <v>5308256.91</v>
      </c>
      <c r="F57" s="750">
        <f t="shared" si="13"/>
        <v>225557122.33000001</v>
      </c>
      <c r="G57" s="139"/>
      <c r="H57" s="138">
        <v>36775268.079999998</v>
      </c>
      <c r="I57" s="203">
        <v>1286033.96</v>
      </c>
      <c r="J57" s="138">
        <v>675601.38</v>
      </c>
      <c r="K57" s="750">
        <f t="shared" si="14"/>
        <v>38736903.420000002</v>
      </c>
      <c r="L57" s="139"/>
      <c r="M57" s="139">
        <f t="shared" si="9"/>
        <v>173369121.78000003</v>
      </c>
      <c r="N57" s="139">
        <f t="shared" si="10"/>
        <v>8818441.5999999978</v>
      </c>
      <c r="O57" s="139">
        <f t="shared" si="11"/>
        <v>4632655.53</v>
      </c>
      <c r="P57" s="182">
        <f t="shared" si="12"/>
        <v>186820218.91000003</v>
      </c>
      <c r="Q57" s="164"/>
      <c r="R57" s="138">
        <v>437800.81</v>
      </c>
      <c r="S57" s="203">
        <v>15309.96</v>
      </c>
      <c r="T57" s="145">
        <v>8042.89</v>
      </c>
      <c r="U57" s="204">
        <f t="shared" si="15"/>
        <v>461153.66000000003</v>
      </c>
    </row>
    <row r="58" spans="1:21" ht="26.25" thickBot="1">
      <c r="A58" s="199">
        <f t="shared" si="8"/>
        <v>15</v>
      </c>
      <c r="B58" s="575" t="str">
        <f>"13 Month Avg.     (Lns "&amp;A45&amp;" - "&amp;A57&amp;")"</f>
        <v>13 Month Avg.     (Lns 2 - 14)</v>
      </c>
      <c r="C58" s="139">
        <f>IF(C57=0,0,AVERAGE(C45:C57))</f>
        <v>210144389.86000007</v>
      </c>
      <c r="D58" s="139">
        <f>IF(D57=0,0,AVERAGE(D45:D57))</f>
        <v>10104475.560000001</v>
      </c>
      <c r="E58" s="139">
        <f>IF(E57=0,0,AVERAGE(E45:E57))</f>
        <v>5308256.9099999983</v>
      </c>
      <c r="F58" s="139">
        <f>IF(F57=0,0,AVERAGE(F45:F57))</f>
        <v>225557122.32999995</v>
      </c>
      <c r="G58" s="139"/>
      <c r="H58" s="139">
        <f>IF(H57=0,0,AVERAGE(H45:H57))</f>
        <v>34148463.219999991</v>
      </c>
      <c r="I58" s="139">
        <f>IF(I57=0,0,AVERAGE(I45:I57))</f>
        <v>1194174.2000000002</v>
      </c>
      <c r="J58" s="139">
        <f>IF(J57=0,0,AVERAGE(J45:J57))</f>
        <v>627344.03999999992</v>
      </c>
      <c r="K58" s="139">
        <f>IF(K57=0,0,AVERAGE(K45:K57))</f>
        <v>35969981.459999993</v>
      </c>
      <c r="L58" s="139"/>
      <c r="M58" s="141">
        <f>IF(M57=0,0,AVERAGE(M45:M57))</f>
        <v>175995926.64000005</v>
      </c>
      <c r="N58" s="141">
        <f>IF(N57=0,0,AVERAGE(N45:N57))</f>
        <v>8910301.3599999994</v>
      </c>
      <c r="O58" s="141">
        <f>IF(O57=0,0,AVERAGE(O45:O57))</f>
        <v>4680912.87</v>
      </c>
      <c r="P58" s="139">
        <f>IF(P57=0,0,AVERAGE(P45:P57))</f>
        <v>189587140.87000003</v>
      </c>
      <c r="Q58" s="201"/>
      <c r="R58" s="201">
        <f>SUM(R46:R57)</f>
        <v>5253609.7199999988</v>
      </c>
      <c r="S58" s="201">
        <f>SUM(S46:S57)</f>
        <v>183719.51999999993</v>
      </c>
      <c r="T58" s="183">
        <f>SUM(T46:T57)</f>
        <v>96514.680000000008</v>
      </c>
      <c r="U58" s="202">
        <f>SUM(U46:U57)</f>
        <v>5533843.9200000009</v>
      </c>
    </row>
    <row r="59" spans="1:21">
      <c r="A59" s="199"/>
      <c r="B59" s="205"/>
      <c r="C59" s="139"/>
      <c r="D59" s="139"/>
      <c r="E59" s="139"/>
      <c r="F59" s="139"/>
      <c r="G59" s="139"/>
      <c r="H59" s="139"/>
      <c r="I59" s="139"/>
      <c r="J59" s="139"/>
      <c r="K59" s="139"/>
      <c r="L59" s="139"/>
      <c r="M59" s="139"/>
      <c r="N59" s="139"/>
      <c r="O59" s="139"/>
      <c r="P59" s="139"/>
      <c r="Q59" s="201"/>
      <c r="R59" s="164"/>
      <c r="S59" s="164"/>
      <c r="T59" s="164"/>
      <c r="U59" s="195"/>
    </row>
    <row r="60" spans="1:21">
      <c r="A60" s="199"/>
      <c r="B60" s="178"/>
      <c r="C60" s="164"/>
      <c r="D60" s="164"/>
      <c r="E60" s="164"/>
      <c r="H60" s="164"/>
      <c r="I60" s="164"/>
      <c r="J60" s="164"/>
      <c r="K60" s="206"/>
      <c r="L60" s="206"/>
      <c r="M60" s="206"/>
      <c r="N60" s="206"/>
      <c r="O60" s="206"/>
      <c r="P60" s="206"/>
      <c r="Q60" s="206"/>
      <c r="R60" s="164"/>
      <c r="S60" s="164"/>
      <c r="T60" s="164"/>
      <c r="U60" s="195"/>
    </row>
    <row r="61" spans="1:21" ht="32.25" customHeight="1">
      <c r="A61" s="1233" t="s">
        <v>919</v>
      </c>
      <c r="B61" s="1234"/>
      <c r="C61" s="1234"/>
      <c r="D61" s="1234"/>
      <c r="E61" s="1234"/>
      <c r="F61" s="1234"/>
      <c r="G61" s="1234"/>
      <c r="H61" s="1234"/>
      <c r="I61" s="1234"/>
      <c r="J61" s="1234"/>
      <c r="K61" s="1234"/>
      <c r="L61" s="1234"/>
      <c r="M61" s="1234"/>
      <c r="N61" s="1234"/>
      <c r="O61" s="1234"/>
      <c r="P61" s="1234"/>
      <c r="Q61" s="1234"/>
      <c r="R61" s="1234"/>
      <c r="S61" s="1234"/>
      <c r="T61" s="1234"/>
      <c r="U61" s="1235"/>
    </row>
    <row r="62" spans="1:21">
      <c r="A62" s="207"/>
      <c r="B62" s="208"/>
      <c r="C62" s="208"/>
      <c r="D62" s="208"/>
      <c r="E62" s="208"/>
      <c r="F62" s="208"/>
      <c r="G62" s="208"/>
      <c r="H62" s="208"/>
      <c r="I62" s="208"/>
      <c r="J62" s="208"/>
      <c r="K62" s="208"/>
      <c r="L62" s="208"/>
      <c r="M62" s="208"/>
      <c r="N62" s="208"/>
      <c r="O62" s="208"/>
      <c r="P62" s="208"/>
      <c r="Q62" s="208"/>
      <c r="R62" s="164"/>
      <c r="S62" s="164"/>
      <c r="T62" s="164"/>
      <c r="U62" s="195"/>
    </row>
    <row r="63" spans="1:21">
      <c r="A63" s="207" t="s">
        <v>1380</v>
      </c>
      <c r="B63" s="208"/>
      <c r="C63" s="208"/>
      <c r="D63" s="208"/>
      <c r="E63" s="208"/>
      <c r="F63" s="208"/>
      <c r="G63" s="208"/>
      <c r="H63" s="208"/>
      <c r="I63" s="208"/>
      <c r="J63" s="208"/>
      <c r="K63" s="208"/>
      <c r="L63" s="208"/>
      <c r="M63" s="208"/>
      <c r="N63" s="208"/>
      <c r="O63" s="208"/>
      <c r="P63" s="208"/>
      <c r="Q63" s="208"/>
      <c r="R63" s="164"/>
      <c r="S63" s="164"/>
      <c r="T63" s="164"/>
      <c r="U63" s="195"/>
    </row>
    <row r="64" spans="1:21">
      <c r="A64" s="209" t="s">
        <v>372</v>
      </c>
      <c r="B64" s="208"/>
      <c r="C64" s="208"/>
      <c r="D64" s="208"/>
      <c r="E64" s="208"/>
      <c r="F64" s="208"/>
      <c r="G64" s="208"/>
      <c r="H64" s="208"/>
      <c r="I64" s="208"/>
      <c r="J64" s="754"/>
      <c r="K64" s="208"/>
      <c r="L64" s="208"/>
      <c r="M64" s="208"/>
      <c r="N64" s="208"/>
      <c r="O64" s="208"/>
      <c r="P64" s="208"/>
      <c r="Q64" s="208"/>
      <c r="R64" s="164"/>
      <c r="S64" s="164"/>
      <c r="T64" s="164"/>
      <c r="U64" s="195"/>
    </row>
    <row r="65" spans="1:21">
      <c r="A65" s="209" t="s">
        <v>373</v>
      </c>
      <c r="B65" s="208"/>
      <c r="C65" s="208"/>
      <c r="D65" s="208"/>
      <c r="E65" s="208"/>
      <c r="F65" s="208"/>
      <c r="G65" s="208"/>
      <c r="H65" s="208"/>
      <c r="I65" s="208"/>
      <c r="J65" s="208"/>
      <c r="K65" s="208"/>
      <c r="L65" s="208"/>
      <c r="M65" s="208"/>
      <c r="N65" s="208"/>
      <c r="O65" s="208"/>
      <c r="P65" s="208"/>
      <c r="Q65" s="208"/>
      <c r="R65" s="164"/>
      <c r="S65" s="164"/>
      <c r="T65" s="164"/>
      <c r="U65" s="195"/>
    </row>
    <row r="66" spans="1:21">
      <c r="A66" s="210" t="s">
        <v>374</v>
      </c>
      <c r="B66" s="208"/>
      <c r="C66" s="208"/>
      <c r="D66" s="208"/>
      <c r="E66" s="208"/>
      <c r="F66" s="208"/>
      <c r="G66" s="208"/>
      <c r="H66" s="208"/>
      <c r="I66" s="208"/>
      <c r="J66" s="208"/>
      <c r="K66" s="208"/>
      <c r="L66" s="208"/>
      <c r="M66" s="208"/>
      <c r="N66" s="208"/>
      <c r="O66" s="208"/>
      <c r="P66" s="208"/>
      <c r="Q66" s="208"/>
      <c r="R66" s="164"/>
      <c r="S66" s="164"/>
      <c r="T66" s="164"/>
      <c r="U66" s="195"/>
    </row>
    <row r="67" spans="1:21">
      <c r="A67" s="211"/>
      <c r="B67" s="212"/>
      <c r="C67" s="212"/>
      <c r="D67" s="212"/>
      <c r="E67" s="212"/>
      <c r="F67" s="213"/>
      <c r="G67" s="213"/>
      <c r="H67" s="212"/>
      <c r="I67" s="212"/>
      <c r="J67" s="212"/>
      <c r="K67" s="212"/>
      <c r="L67" s="212"/>
      <c r="M67" s="212"/>
      <c r="N67" s="212"/>
      <c r="O67" s="212"/>
      <c r="P67" s="212"/>
      <c r="Q67" s="212"/>
      <c r="R67" s="212"/>
      <c r="S67" s="212"/>
      <c r="T67" s="212"/>
      <c r="U67" s="214"/>
    </row>
  </sheetData>
  <mergeCells count="10">
    <mergeCell ref="A61:U61"/>
    <mergeCell ref="R7:U7"/>
    <mergeCell ref="A28:U28"/>
    <mergeCell ref="C40:F40"/>
    <mergeCell ref="H40:K40"/>
    <mergeCell ref="M40:P40"/>
    <mergeCell ref="R40:U40"/>
    <mergeCell ref="C7:F7"/>
    <mergeCell ref="H7:K7"/>
    <mergeCell ref="M7:P7"/>
  </mergeCells>
  <phoneticPr fontId="2" type="noConversion"/>
  <printOptions horizontalCentered="1"/>
  <pageMargins left="0.5" right="0.5" top="1" bottom="0.5" header="0.5" footer="0.5"/>
  <pageSetup scale="46" fitToHeight="2" orientation="landscape" r:id="rId1"/>
  <headerFooter alignWithMargins="0">
    <oddHeader>&amp;RPage &amp;P of &amp;N</oddHeader>
  </headerFooter>
  <rowBreaks count="1" manualBreakCount="1">
    <brk id="36"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W127"/>
  <sheetViews>
    <sheetView view="pageBreakPreview" topLeftCell="B64" zoomScale="60" zoomScaleNormal="85" workbookViewId="0">
      <selection activeCell="Z34" sqref="Z34"/>
    </sheetView>
  </sheetViews>
  <sheetFormatPr defaultRowHeight="9.9499999999999993" customHeight="1"/>
  <cols>
    <col min="2" max="2" width="39.42578125" customWidth="1"/>
    <col min="3" max="3" width="2.7109375" style="110" customWidth="1"/>
    <col min="4" max="4" width="22.28515625" bestFit="1" customWidth="1"/>
    <col min="5" max="5" width="14" bestFit="1" customWidth="1"/>
    <col min="6" max="6" width="14.140625" bestFit="1" customWidth="1"/>
    <col min="7" max="7" width="13.7109375" bestFit="1" customWidth="1"/>
    <col min="8" max="8" width="14.42578125" bestFit="1" customWidth="1"/>
    <col min="9" max="9" width="14.140625" bestFit="1" customWidth="1"/>
    <col min="10" max="10" width="14" bestFit="1" customWidth="1"/>
    <col min="11" max="11" width="14.42578125" bestFit="1" customWidth="1"/>
    <col min="12" max="12" width="14" bestFit="1" customWidth="1"/>
    <col min="13" max="13" width="13.7109375" bestFit="1" customWidth="1"/>
    <col min="14" max="15" width="14" bestFit="1" customWidth="1"/>
    <col min="16" max="17" width="13.7109375" bestFit="1" customWidth="1"/>
    <col min="18" max="18" width="16" style="142" bestFit="1" customWidth="1"/>
    <col min="19" max="19" width="17.7109375" bestFit="1" customWidth="1"/>
    <col min="20" max="21" width="13.140625" bestFit="1" customWidth="1"/>
    <col min="22" max="22" width="12.28515625" bestFit="1" customWidth="1"/>
  </cols>
  <sheetData>
    <row r="1" spans="1:18" ht="12.75">
      <c r="A1" s="99" t="str">
        <f>'Cover Page'!A5</f>
        <v>Public Service Company of Colorado</v>
      </c>
      <c r="R1" s="133" t="str">
        <f>'Table of Contents'!A19</f>
        <v>Table 11</v>
      </c>
    </row>
    <row r="2" spans="1:18" ht="12.75">
      <c r="A2" s="99" t="str">
        <f>'Cover Page'!A6</f>
        <v>Transmission Formula Rate Template</v>
      </c>
      <c r="R2" s="133" t="str">
        <f ca="1">MID(CELL("filename",$A$1),FIND("]",CELL("filename",$A$1))+1,LEN(CELL("filename",$A$1))-FIND("]",CELL("filename",$A$1)))</f>
        <v>WP_B-5</v>
      </c>
    </row>
    <row r="3" spans="1:18" ht="12.75">
      <c r="A3" s="99" t="str">
        <f>'Cover Page'!A7</f>
        <v>Twelve Months Ended December 31, 2017</v>
      </c>
    </row>
    <row r="4" spans="1:18" ht="12.75">
      <c r="A4" s="563" t="s">
        <v>762</v>
      </c>
      <c r="B4" s="110"/>
    </row>
    <row r="5" spans="1:18" ht="12.75"/>
    <row r="6" spans="1:18" ht="12.75">
      <c r="A6" s="748" t="s">
        <v>983</v>
      </c>
      <c r="E6" s="748"/>
      <c r="F6" s="748"/>
      <c r="G6" s="748"/>
      <c r="H6" s="748"/>
      <c r="I6" s="748"/>
      <c r="J6" s="748"/>
      <c r="K6" s="748"/>
      <c r="L6" s="748"/>
      <c r="M6" s="748"/>
      <c r="N6" s="748"/>
      <c r="O6" s="748"/>
      <c r="P6" s="748"/>
      <c r="Q6" s="748"/>
    </row>
    <row r="7" spans="1:18" ht="12.75"/>
    <row r="8" spans="1:18" ht="12.75">
      <c r="A8" s="2" t="s">
        <v>862</v>
      </c>
      <c r="B8" s="2" t="s">
        <v>912</v>
      </c>
      <c r="C8" s="274"/>
      <c r="D8" s="2" t="s">
        <v>864</v>
      </c>
      <c r="E8" s="234">
        <v>42185</v>
      </c>
      <c r="F8" s="234">
        <v>42216</v>
      </c>
      <c r="G8" s="234">
        <v>42247</v>
      </c>
      <c r="H8" s="234">
        <v>42277</v>
      </c>
      <c r="I8" s="234">
        <v>42308</v>
      </c>
      <c r="J8" s="234">
        <v>42338</v>
      </c>
      <c r="K8" s="234">
        <v>42369</v>
      </c>
      <c r="L8" s="234">
        <v>42400</v>
      </c>
      <c r="M8" s="234">
        <v>42429</v>
      </c>
      <c r="N8" s="234">
        <v>42460</v>
      </c>
      <c r="O8" s="234">
        <v>42490</v>
      </c>
      <c r="P8" s="234">
        <v>42521</v>
      </c>
      <c r="Q8" s="234">
        <v>42551</v>
      </c>
      <c r="R8" s="185" t="s">
        <v>951</v>
      </c>
    </row>
    <row r="9" spans="1:18" ht="12.75">
      <c r="E9" s="111" t="s">
        <v>358</v>
      </c>
      <c r="F9" s="111" t="s">
        <v>357</v>
      </c>
      <c r="G9" s="111" t="s">
        <v>358</v>
      </c>
      <c r="H9" s="111" t="s">
        <v>360</v>
      </c>
      <c r="I9" s="111" t="s">
        <v>361</v>
      </c>
      <c r="J9" s="111" t="s">
        <v>362</v>
      </c>
      <c r="K9" s="111" t="s">
        <v>363</v>
      </c>
      <c r="L9" s="111" t="s">
        <v>364</v>
      </c>
      <c r="M9" s="111" t="s">
        <v>365</v>
      </c>
      <c r="N9" s="111" t="s">
        <v>366</v>
      </c>
      <c r="O9" s="111" t="s">
        <v>367</v>
      </c>
      <c r="P9" s="111" t="s">
        <v>368</v>
      </c>
      <c r="Q9" s="111" t="s">
        <v>369</v>
      </c>
      <c r="R9" s="116" t="s">
        <v>370</v>
      </c>
    </row>
    <row r="10" spans="1:18" ht="12.75">
      <c r="B10" s="99" t="s">
        <v>1039</v>
      </c>
      <c r="C10" s="174"/>
    </row>
    <row r="11" spans="1:18" ht="12.75"/>
    <row r="12" spans="1:18" ht="12.75">
      <c r="A12" s="106">
        <v>1</v>
      </c>
      <c r="B12" s="143" t="s">
        <v>979</v>
      </c>
      <c r="C12" s="544"/>
      <c r="D12" s="99"/>
      <c r="E12" s="99"/>
      <c r="F12" s="99"/>
      <c r="G12" s="99"/>
      <c r="H12" s="99"/>
      <c r="I12" s="99"/>
      <c r="J12" s="99"/>
      <c r="K12" s="99"/>
      <c r="L12" s="99"/>
      <c r="M12" s="99"/>
      <c r="N12" s="99"/>
      <c r="O12" s="99"/>
      <c r="P12" s="99"/>
      <c r="Q12" s="99"/>
    </row>
    <row r="13" spans="1:18" ht="12.75">
      <c r="A13" s="106">
        <f t="shared" ref="A13:A59" si="0">A12+1</f>
        <v>2</v>
      </c>
      <c r="B13" s="542" t="s">
        <v>1811</v>
      </c>
      <c r="C13" s="545"/>
      <c r="D13" s="215" t="s">
        <v>1383</v>
      </c>
      <c r="E13" s="216">
        <v>2752494.2500000005</v>
      </c>
      <c r="F13" s="216">
        <v>6217828.7400000002</v>
      </c>
      <c r="G13" s="216">
        <v>5320520.8500000006</v>
      </c>
      <c r="H13" s="216">
        <v>4274535.2200000007</v>
      </c>
      <c r="I13" s="216">
        <v>3193722.330000001</v>
      </c>
      <c r="J13" s="216">
        <v>4622117.4900000012</v>
      </c>
      <c r="K13" s="216">
        <v>4017056.0100000012</v>
      </c>
      <c r="L13" s="216">
        <v>3438589.6800000011</v>
      </c>
      <c r="M13" s="216">
        <v>2933264.3400000012</v>
      </c>
      <c r="N13" s="216">
        <v>2461360.7000000011</v>
      </c>
      <c r="O13" s="216">
        <v>1893710.7100000011</v>
      </c>
      <c r="P13" s="216">
        <v>1307139.080000001</v>
      </c>
      <c r="Q13" s="216">
        <v>739489.10000000102</v>
      </c>
      <c r="R13" s="217">
        <f t="shared" ref="R13:R18" si="1">AVERAGE(E13:Q13)</f>
        <v>3320909.8846153859</v>
      </c>
    </row>
    <row r="14" spans="1:18" ht="12.75">
      <c r="A14" s="106">
        <f t="shared" si="0"/>
        <v>3</v>
      </c>
      <c r="B14" s="542" t="s">
        <v>1812</v>
      </c>
      <c r="C14" s="545"/>
      <c r="D14" s="215" t="s">
        <v>1383</v>
      </c>
      <c r="E14" s="759">
        <v>2703619.81</v>
      </c>
      <c r="F14" s="759">
        <v>2648936.48</v>
      </c>
      <c r="G14" s="759">
        <v>2594253.15</v>
      </c>
      <c r="H14" s="759">
        <v>2541293.48</v>
      </c>
      <c r="I14" s="759">
        <v>2501495.42</v>
      </c>
      <c r="J14" s="759">
        <v>2448552.87</v>
      </c>
      <c r="K14" s="759">
        <v>2393845.5700000003</v>
      </c>
      <c r="L14" s="759">
        <v>2339138.2700000005</v>
      </c>
      <c r="M14" s="759">
        <v>2287960.4800000004</v>
      </c>
      <c r="N14" s="759">
        <v>2233253.1800000006</v>
      </c>
      <c r="O14" s="759">
        <v>2180310.6300000008</v>
      </c>
      <c r="P14" s="759">
        <v>2125603.330000001</v>
      </c>
      <c r="Q14" s="759">
        <v>3101249.1800000011</v>
      </c>
      <c r="R14" s="217">
        <f t="shared" si="1"/>
        <v>2469193.2192307697</v>
      </c>
    </row>
    <row r="15" spans="1:18" ht="12.75">
      <c r="A15" s="106">
        <f t="shared" si="0"/>
        <v>4</v>
      </c>
      <c r="B15" s="542" t="s">
        <v>1813</v>
      </c>
      <c r="C15" s="545"/>
      <c r="D15" s="215" t="s">
        <v>1383</v>
      </c>
      <c r="E15" s="759">
        <v>319445.95999999985</v>
      </c>
      <c r="F15" s="759">
        <v>305556.99999999983</v>
      </c>
      <c r="G15" s="759">
        <v>291668.0399999998</v>
      </c>
      <c r="H15" s="759">
        <v>277779.07999999978</v>
      </c>
      <c r="I15" s="759">
        <v>263890.11999999976</v>
      </c>
      <c r="J15" s="759">
        <v>250001.15999999977</v>
      </c>
      <c r="K15" s="759">
        <v>236112.19999999978</v>
      </c>
      <c r="L15" s="759">
        <v>222223.23999999979</v>
      </c>
      <c r="M15" s="759">
        <v>208334.2799999998</v>
      </c>
      <c r="N15" s="759">
        <v>194445.3199999998</v>
      </c>
      <c r="O15" s="759">
        <v>180556.35999999981</v>
      </c>
      <c r="P15" s="759">
        <v>166667.39999999982</v>
      </c>
      <c r="Q15" s="759">
        <v>152778.43999999983</v>
      </c>
      <c r="R15" s="217">
        <f t="shared" si="1"/>
        <v>236112.19999999984</v>
      </c>
    </row>
    <row r="16" spans="1:18" ht="12.75">
      <c r="A16" s="106">
        <f t="shared" si="0"/>
        <v>5</v>
      </c>
      <c r="B16" s="543" t="s">
        <v>1814</v>
      </c>
      <c r="C16" s="546"/>
      <c r="D16" s="218" t="s">
        <v>1383</v>
      </c>
      <c r="E16" s="145">
        <v>746054.29</v>
      </c>
      <c r="F16" s="145">
        <v>710096.61</v>
      </c>
      <c r="G16" s="145">
        <v>681269.5</v>
      </c>
      <c r="H16" s="145">
        <v>644489.31000000006</v>
      </c>
      <c r="I16" s="145">
        <v>609185.1100000001</v>
      </c>
      <c r="J16" s="145">
        <v>583172.3600000001</v>
      </c>
      <c r="K16" s="145">
        <v>546431.81000000006</v>
      </c>
      <c r="L16" s="145">
        <v>602147.95000000007</v>
      </c>
      <c r="M16" s="145">
        <v>789822.6100000001</v>
      </c>
      <c r="N16" s="145">
        <v>1183171.7600000002</v>
      </c>
      <c r="O16" s="145">
        <v>1062150.8500000003</v>
      </c>
      <c r="P16" s="145">
        <v>940398.12000000034</v>
      </c>
      <c r="Q16" s="145">
        <v>821024.77000000037</v>
      </c>
      <c r="R16" s="139">
        <f t="shared" si="1"/>
        <v>763031.92692307697</v>
      </c>
    </row>
    <row r="17" spans="1:23" ht="12.75">
      <c r="A17" s="106">
        <f t="shared" si="0"/>
        <v>6</v>
      </c>
      <c r="B17" s="543" t="s">
        <v>1815</v>
      </c>
      <c r="C17" s="546"/>
      <c r="D17" s="553" t="s">
        <v>1383</v>
      </c>
      <c r="E17" s="145">
        <v>2354166.6200000006</v>
      </c>
      <c r="F17" s="145">
        <v>2343749.9500000007</v>
      </c>
      <c r="G17" s="145">
        <v>2333333.2800000007</v>
      </c>
      <c r="H17" s="145">
        <v>2463916.6100000008</v>
      </c>
      <c r="I17" s="145">
        <v>2315999.9400000009</v>
      </c>
      <c r="J17" s="145">
        <v>2168083.2700000009</v>
      </c>
      <c r="K17" s="145">
        <v>2848666.600000001</v>
      </c>
      <c r="L17" s="145">
        <v>2700749.9300000011</v>
      </c>
      <c r="M17" s="145">
        <v>2552833.2600000012</v>
      </c>
      <c r="N17" s="145">
        <v>2404916.5900000012</v>
      </c>
      <c r="O17" s="145">
        <v>3910499.9200000013</v>
      </c>
      <c r="P17" s="145">
        <v>3762583.2500000014</v>
      </c>
      <c r="Q17" s="145">
        <v>3614666.5800000015</v>
      </c>
      <c r="R17" s="139">
        <f t="shared" si="1"/>
        <v>2751858.9076923085</v>
      </c>
    </row>
    <row r="18" spans="1:23" ht="12.75">
      <c r="A18" s="111">
        <f t="shared" si="0"/>
        <v>7</v>
      </c>
      <c r="B18" s="543" t="s">
        <v>1816</v>
      </c>
      <c r="C18" s="546"/>
      <c r="D18" s="553" t="s">
        <v>1383</v>
      </c>
      <c r="E18" s="138">
        <v>634608</v>
      </c>
      <c r="F18" s="138">
        <v>564096</v>
      </c>
      <c r="G18" s="138">
        <v>493584</v>
      </c>
      <c r="H18" s="138">
        <v>423072</v>
      </c>
      <c r="I18" s="138">
        <v>352560</v>
      </c>
      <c r="J18" s="138">
        <v>282048</v>
      </c>
      <c r="K18" s="138">
        <v>211536</v>
      </c>
      <c r="L18" s="138">
        <v>141024</v>
      </c>
      <c r="M18" s="138">
        <v>70512</v>
      </c>
      <c r="N18" s="138">
        <v>0</v>
      </c>
      <c r="O18" s="138">
        <v>-70512</v>
      </c>
      <c r="P18" s="138">
        <v>-141024</v>
      </c>
      <c r="Q18" s="138">
        <v>-211536</v>
      </c>
      <c r="R18" s="186">
        <f t="shared" si="1"/>
        <v>211536</v>
      </c>
    </row>
    <row r="19" spans="1:23" ht="12.75">
      <c r="A19" s="106">
        <f t="shared" si="0"/>
        <v>8</v>
      </c>
      <c r="B19" s="181" t="s">
        <v>1384</v>
      </c>
      <c r="C19" s="547"/>
      <c r="D19" s="105"/>
      <c r="E19" s="219">
        <f>SUM(E13:E18)</f>
        <v>9510388.9300000016</v>
      </c>
      <c r="F19" s="219">
        <f t="shared" ref="F19:P19" si="2">SUM(F13:F18)</f>
        <v>12790264.780000001</v>
      </c>
      <c r="G19" s="219">
        <f t="shared" si="2"/>
        <v>11714628.82</v>
      </c>
      <c r="H19" s="219">
        <f t="shared" si="2"/>
        <v>10625085.700000003</v>
      </c>
      <c r="I19" s="219">
        <f t="shared" si="2"/>
        <v>9236852.9200000018</v>
      </c>
      <c r="J19" s="219">
        <f t="shared" si="2"/>
        <v>10353975.150000002</v>
      </c>
      <c r="K19" s="219">
        <f t="shared" si="2"/>
        <v>10253648.190000003</v>
      </c>
      <c r="L19" s="219">
        <f t="shared" si="2"/>
        <v>9443873.0700000022</v>
      </c>
      <c r="M19" s="219">
        <f t="shared" si="2"/>
        <v>8842726.9700000025</v>
      </c>
      <c r="N19" s="219">
        <f t="shared" si="2"/>
        <v>8477147.5500000026</v>
      </c>
      <c r="O19" s="219">
        <f t="shared" si="2"/>
        <v>9156716.4700000025</v>
      </c>
      <c r="P19" s="219">
        <f t="shared" si="2"/>
        <v>8161367.1800000034</v>
      </c>
      <c r="Q19" s="219">
        <f>SUM(Q13:Q18)</f>
        <v>8217672.070000004</v>
      </c>
      <c r="R19" s="217">
        <f>SUM(R13:R18)</f>
        <v>9752642.1384615414</v>
      </c>
    </row>
    <row r="20" spans="1:23" ht="13.5" thickBot="1">
      <c r="A20" s="106">
        <f t="shared" si="0"/>
        <v>9</v>
      </c>
      <c r="B20" s="181" t="s">
        <v>1385</v>
      </c>
      <c r="C20" s="547"/>
      <c r="D20" s="106" t="str">
        <f ca="1">'ATRR Est.'!G2&amp;" Line "&amp;'ATRR Est.'!A192</f>
        <v>ATRR Est. Line 171</v>
      </c>
      <c r="E20" s="106"/>
      <c r="F20" s="106"/>
      <c r="G20" s="106"/>
      <c r="H20" s="106"/>
      <c r="I20" s="106"/>
      <c r="J20" s="106"/>
      <c r="K20" s="106"/>
      <c r="L20" s="106"/>
      <c r="M20" s="106"/>
      <c r="N20" s="106"/>
      <c r="O20" s="106"/>
      <c r="P20" s="106"/>
      <c r="Q20" s="106"/>
      <c r="R20" s="184">
        <f>'ATRR Est.'!D192</f>
        <v>0.76176748503994829</v>
      </c>
      <c r="W20" s="100"/>
    </row>
    <row r="21" spans="1:23" ht="13.5" thickBot="1">
      <c r="A21" s="106">
        <f t="shared" si="0"/>
        <v>10</v>
      </c>
      <c r="B21" s="181" t="s">
        <v>1386</v>
      </c>
      <c r="C21" s="547"/>
      <c r="D21" s="105"/>
      <c r="E21" s="105"/>
      <c r="F21" s="105"/>
      <c r="G21" s="105"/>
      <c r="H21" s="105"/>
      <c r="I21" s="105"/>
      <c r="J21" s="105"/>
      <c r="K21" s="105"/>
      <c r="L21" s="105"/>
      <c r="M21" s="105"/>
      <c r="N21" s="105"/>
      <c r="O21" s="105"/>
      <c r="P21" s="105"/>
      <c r="Q21" s="105"/>
      <c r="R21" s="221">
        <f>R19*R20</f>
        <v>7429245.6743104719</v>
      </c>
    </row>
    <row r="22" spans="1:23" ht="12.75">
      <c r="A22" s="106">
        <f t="shared" si="0"/>
        <v>11</v>
      </c>
      <c r="B22" s="105"/>
      <c r="C22" s="119"/>
      <c r="D22" s="122"/>
      <c r="E22" s="122"/>
      <c r="F22" s="122"/>
      <c r="G22" s="122"/>
      <c r="H22" s="122"/>
      <c r="I22" s="122"/>
      <c r="J22" s="122"/>
      <c r="K22" s="122"/>
      <c r="L22" s="122"/>
      <c r="M22" s="122"/>
      <c r="N22" s="122"/>
      <c r="O22" s="122"/>
      <c r="P22" s="122"/>
      <c r="Q22" s="122"/>
      <c r="R22" s="139"/>
    </row>
    <row r="23" spans="1:23" ht="12.75">
      <c r="A23" s="106">
        <f t="shared" si="0"/>
        <v>12</v>
      </c>
      <c r="B23" s="143" t="s">
        <v>980</v>
      </c>
      <c r="C23" s="544"/>
      <c r="D23" s="131"/>
      <c r="E23" s="131"/>
      <c r="F23" s="131"/>
      <c r="G23" s="131"/>
      <c r="H23" s="131"/>
      <c r="I23" s="131"/>
      <c r="J23" s="131"/>
      <c r="K23" s="131"/>
      <c r="L23" s="131"/>
      <c r="M23" s="131"/>
      <c r="N23" s="131"/>
      <c r="O23" s="131"/>
      <c r="P23" s="131"/>
      <c r="Q23" s="131"/>
      <c r="R23" s="139"/>
    </row>
    <row r="24" spans="1:23" ht="12.75">
      <c r="A24" s="106">
        <f t="shared" si="0"/>
        <v>13</v>
      </c>
      <c r="B24" s="764" t="s">
        <v>1817</v>
      </c>
      <c r="D24" s="758" t="s">
        <v>1383</v>
      </c>
      <c r="E24" s="216">
        <v>817048.33</v>
      </c>
      <c r="F24" s="216">
        <v>817048.33</v>
      </c>
      <c r="G24" s="216">
        <v>817048.33</v>
      </c>
      <c r="H24" s="216">
        <v>817048.33</v>
      </c>
      <c r="I24" s="216">
        <v>817048.33</v>
      </c>
      <c r="J24" s="216">
        <v>817048.33</v>
      </c>
      <c r="K24" s="216">
        <v>817048.33</v>
      </c>
      <c r="L24" s="216">
        <v>817048.33</v>
      </c>
      <c r="M24" s="216">
        <v>817048.33</v>
      </c>
      <c r="N24" s="216">
        <v>817048.33</v>
      </c>
      <c r="O24" s="216">
        <v>817048.33</v>
      </c>
      <c r="P24" s="216">
        <v>817048.33</v>
      </c>
      <c r="Q24" s="216">
        <v>817048.33</v>
      </c>
      <c r="R24" s="217">
        <f>IF(Q24=0,0,AVERAGE(E24:Q24))</f>
        <v>817048.33</v>
      </c>
    </row>
    <row r="25" spans="1:23" ht="12.75">
      <c r="A25" s="106">
        <f t="shared" si="0"/>
        <v>14</v>
      </c>
      <c r="B25" s="764" t="s">
        <v>1818</v>
      </c>
      <c r="D25" s="758" t="s">
        <v>1383</v>
      </c>
      <c r="E25" s="145">
        <v>40212.529999999984</v>
      </c>
      <c r="F25" s="145">
        <v>59165.329999999987</v>
      </c>
      <c r="G25" s="145">
        <v>49504.169999999984</v>
      </c>
      <c r="H25" s="145">
        <v>39988.029999999984</v>
      </c>
      <c r="I25" s="145">
        <v>33208.629999999983</v>
      </c>
      <c r="J25" s="145">
        <v>106701.70999999999</v>
      </c>
      <c r="K25" s="145">
        <v>97364.78</v>
      </c>
      <c r="L25" s="145">
        <v>88148.67</v>
      </c>
      <c r="M25" s="145">
        <v>79140.569999999992</v>
      </c>
      <c r="N25" s="145">
        <v>69575.25</v>
      </c>
      <c r="O25" s="145">
        <v>60291.6</v>
      </c>
      <c r="P25" s="145">
        <v>50595.43</v>
      </c>
      <c r="Q25" s="145">
        <v>40899.26</v>
      </c>
      <c r="R25" s="139">
        <f>IF(Q25=0,0,AVERAGE(E25:Q25))</f>
        <v>62676.612307692303</v>
      </c>
    </row>
    <row r="26" spans="1:23" ht="12.75">
      <c r="A26" s="106">
        <f t="shared" si="0"/>
        <v>15</v>
      </c>
      <c r="B26" s="764" t="s">
        <v>1819</v>
      </c>
      <c r="D26" s="758" t="s">
        <v>1383</v>
      </c>
      <c r="E26" s="138">
        <v>0</v>
      </c>
      <c r="F26" s="138">
        <v>0</v>
      </c>
      <c r="G26" s="138">
        <v>0</v>
      </c>
      <c r="H26" s="138">
        <v>222193</v>
      </c>
      <c r="I26" s="138">
        <v>219233.94</v>
      </c>
      <c r="J26" s="138">
        <v>185160.84</v>
      </c>
      <c r="K26" s="138">
        <v>180006.24</v>
      </c>
      <c r="L26" s="138">
        <v>321459.28999999998</v>
      </c>
      <c r="M26" s="138">
        <v>314052.86</v>
      </c>
      <c r="N26" s="138">
        <v>155535.12</v>
      </c>
      <c r="O26" s="138">
        <v>220655.52</v>
      </c>
      <c r="P26" s="138">
        <v>204183.24</v>
      </c>
      <c r="Q26" s="138">
        <v>240384.91999999998</v>
      </c>
      <c r="R26" s="186">
        <f>IF(Q26=0,0,AVERAGE(E26:Q26))</f>
        <v>174066.53615384616</v>
      </c>
    </row>
    <row r="27" spans="1:23" ht="12.75">
      <c r="A27" s="106">
        <f t="shared" si="0"/>
        <v>16</v>
      </c>
      <c r="B27" s="181" t="s">
        <v>1253</v>
      </c>
      <c r="C27" s="547"/>
      <c r="D27" s="105"/>
      <c r="E27" s="219">
        <f>SUM(E24:E26)</f>
        <v>857260.86</v>
      </c>
      <c r="F27" s="219">
        <f t="shared" ref="F27:P27" si="3">SUM(F24:F26)</f>
        <v>876213.65999999992</v>
      </c>
      <c r="G27" s="219">
        <f t="shared" si="3"/>
        <v>866552.5</v>
      </c>
      <c r="H27" s="219">
        <f t="shared" si="3"/>
        <v>1079229.3599999999</v>
      </c>
      <c r="I27" s="219">
        <f t="shared" si="3"/>
        <v>1069490.8999999999</v>
      </c>
      <c r="J27" s="219">
        <f t="shared" si="3"/>
        <v>1108910.8799999999</v>
      </c>
      <c r="K27" s="219">
        <f t="shared" si="3"/>
        <v>1094419.3500000001</v>
      </c>
      <c r="L27" s="219">
        <f t="shared" si="3"/>
        <v>1226656.29</v>
      </c>
      <c r="M27" s="219">
        <f t="shared" si="3"/>
        <v>1210241.7599999998</v>
      </c>
      <c r="N27" s="219">
        <f t="shared" si="3"/>
        <v>1042158.7</v>
      </c>
      <c r="O27" s="219">
        <f t="shared" si="3"/>
        <v>1097995.45</v>
      </c>
      <c r="P27" s="219">
        <f t="shared" si="3"/>
        <v>1071827</v>
      </c>
      <c r="Q27" s="219">
        <f>SUM(Q24:Q26)</f>
        <v>1098332.51</v>
      </c>
      <c r="R27" s="219">
        <f>SUM(R24:R26)</f>
        <v>1053791.4784615384</v>
      </c>
    </row>
    <row r="28" spans="1:23" ht="13.5" thickBot="1">
      <c r="A28" s="106">
        <f t="shared" si="0"/>
        <v>17</v>
      </c>
      <c r="B28" s="181" t="s">
        <v>1385</v>
      </c>
      <c r="C28" s="547"/>
      <c r="D28" s="105" t="str">
        <f ca="1">'ATRR Est.'!G2&amp;" Line "&amp;'ATRR Est.'!A192</f>
        <v>ATRR Est. Line 171</v>
      </c>
      <c r="E28" s="105"/>
      <c r="F28" s="105"/>
      <c r="G28" s="105"/>
      <c r="H28" s="105"/>
      <c r="I28" s="105"/>
      <c r="J28" s="105"/>
      <c r="K28" s="105"/>
      <c r="L28" s="105"/>
      <c r="M28" s="105"/>
      <c r="N28" s="105"/>
      <c r="O28" s="105"/>
      <c r="P28" s="105"/>
      <c r="Q28" s="105"/>
      <c r="R28" s="184">
        <f>R20</f>
        <v>0.76176748503994829</v>
      </c>
    </row>
    <row r="29" spans="1:23" ht="13.5" thickBot="1">
      <c r="A29" s="106">
        <f t="shared" si="0"/>
        <v>18</v>
      </c>
      <c r="B29" s="181" t="s">
        <v>1387</v>
      </c>
      <c r="C29" s="547"/>
      <c r="D29" s="105"/>
      <c r="E29" s="105"/>
      <c r="F29" s="105"/>
      <c r="G29" s="105"/>
      <c r="H29" s="105"/>
      <c r="I29" s="105"/>
      <c r="J29" s="105"/>
      <c r="K29" s="105"/>
      <c r="L29" s="105"/>
      <c r="M29" s="105"/>
      <c r="N29" s="105"/>
      <c r="O29" s="105"/>
      <c r="P29" s="105"/>
      <c r="Q29" s="105"/>
      <c r="R29" s="221">
        <f>R27*R28</f>
        <v>802744.08430417499</v>
      </c>
    </row>
    <row r="30" spans="1:23" ht="12.75">
      <c r="A30" s="106">
        <f t="shared" si="0"/>
        <v>19</v>
      </c>
      <c r="B30" s="105"/>
      <c r="C30" s="119"/>
      <c r="R30" s="139"/>
    </row>
    <row r="31" spans="1:23" ht="12.75">
      <c r="A31" s="106">
        <f t="shared" si="0"/>
        <v>20</v>
      </c>
      <c r="B31" s="143" t="s">
        <v>981</v>
      </c>
      <c r="C31" s="544"/>
      <c r="R31" s="139"/>
    </row>
    <row r="32" spans="1:23" ht="13.5" thickBot="1">
      <c r="A32" s="111">
        <f t="shared" si="0"/>
        <v>21</v>
      </c>
      <c r="B32" s="763" t="s">
        <v>1820</v>
      </c>
      <c r="D32" s="758" t="s">
        <v>1383</v>
      </c>
      <c r="E32" s="138">
        <v>1297666.9900000002</v>
      </c>
      <c r="F32" s="138">
        <v>1069922.3400000003</v>
      </c>
      <c r="G32" s="138">
        <v>853863.26000000036</v>
      </c>
      <c r="H32" s="138">
        <v>647986.15000000037</v>
      </c>
      <c r="I32" s="138">
        <v>448576.12000000034</v>
      </c>
      <c r="J32" s="138">
        <v>237587.47000000035</v>
      </c>
      <c r="K32" s="138">
        <v>2931828.85</v>
      </c>
      <c r="L32" s="138">
        <v>2688606.0700000003</v>
      </c>
      <c r="M32" s="138">
        <v>2446889.4000000004</v>
      </c>
      <c r="N32" s="138">
        <v>2189274.0700000003</v>
      </c>
      <c r="O32" s="138">
        <v>1957418.7800000003</v>
      </c>
      <c r="P32" s="138">
        <v>1711575.9800000002</v>
      </c>
      <c r="Q32" s="138">
        <v>1473905.7000000002</v>
      </c>
      <c r="R32" s="139">
        <f>AVERAGE(E32:Q32)</f>
        <v>1535007.7830769233</v>
      </c>
    </row>
    <row r="33" spans="1:18" ht="13.5" thickBot="1">
      <c r="A33" s="106">
        <f t="shared" si="0"/>
        <v>22</v>
      </c>
      <c r="B33" s="181" t="s">
        <v>117</v>
      </c>
      <c r="C33" s="547"/>
      <c r="E33" s="219">
        <f>SUM(E32:E32)</f>
        <v>1297666.9900000002</v>
      </c>
      <c r="F33" s="219">
        <f t="shared" ref="F33:P33" si="4">SUM(F32:F32)</f>
        <v>1069922.3400000003</v>
      </c>
      <c r="G33" s="219">
        <f t="shared" si="4"/>
        <v>853863.26000000036</v>
      </c>
      <c r="H33" s="219">
        <f t="shared" si="4"/>
        <v>647986.15000000037</v>
      </c>
      <c r="I33" s="219">
        <f t="shared" si="4"/>
        <v>448576.12000000034</v>
      </c>
      <c r="J33" s="219">
        <f t="shared" si="4"/>
        <v>237587.47000000035</v>
      </c>
      <c r="K33" s="219">
        <f t="shared" si="4"/>
        <v>2931828.85</v>
      </c>
      <c r="L33" s="219">
        <f t="shared" si="4"/>
        <v>2688606.0700000003</v>
      </c>
      <c r="M33" s="219">
        <f t="shared" si="4"/>
        <v>2446889.4000000004</v>
      </c>
      <c r="N33" s="219">
        <f t="shared" si="4"/>
        <v>2189274.0700000003</v>
      </c>
      <c r="O33" s="219">
        <f t="shared" si="4"/>
        <v>1957418.7800000003</v>
      </c>
      <c r="P33" s="219">
        <f t="shared" si="4"/>
        <v>1711575.9800000002</v>
      </c>
      <c r="Q33" s="219">
        <f>SUM(Q32:Q32)</f>
        <v>1473905.7000000002</v>
      </c>
      <c r="R33" s="476">
        <f>SUM(R32:R32)</f>
        <v>1535007.7830769233</v>
      </c>
    </row>
    <row r="34" spans="1:18" ht="12.75">
      <c r="A34" s="106">
        <f t="shared" si="0"/>
        <v>23</v>
      </c>
      <c r="B34" s="181"/>
      <c r="C34" s="547"/>
      <c r="R34" s="139"/>
    </row>
    <row r="35" spans="1:18" ht="12.75">
      <c r="A35" s="106">
        <f t="shared" si="0"/>
        <v>24</v>
      </c>
      <c r="B35" s="143" t="s">
        <v>1231</v>
      </c>
      <c r="C35" s="544"/>
      <c r="D35" s="99"/>
      <c r="E35" s="99"/>
      <c r="F35" s="99"/>
      <c r="G35" s="99"/>
      <c r="H35" s="99"/>
      <c r="I35" s="99"/>
      <c r="J35" s="99"/>
      <c r="K35" s="99"/>
      <c r="L35" s="99"/>
      <c r="M35" s="99"/>
      <c r="N35" s="99"/>
      <c r="O35" s="99"/>
      <c r="P35" s="99"/>
      <c r="Q35" s="99"/>
      <c r="R35" s="139"/>
    </row>
    <row r="36" spans="1:18" ht="12.75">
      <c r="A36" s="106">
        <f t="shared" si="0"/>
        <v>25</v>
      </c>
      <c r="B36" s="1151" t="s">
        <v>1765</v>
      </c>
      <c r="D36" s="758" t="s">
        <v>1383</v>
      </c>
      <c r="E36" s="216">
        <v>164724.72000000003</v>
      </c>
      <c r="F36" s="216">
        <v>173772.22000000003</v>
      </c>
      <c r="G36" s="216">
        <v>70920.72000000003</v>
      </c>
      <c r="H36" s="216">
        <v>79676.36000000003</v>
      </c>
      <c r="I36" s="216">
        <v>88723.86000000003</v>
      </c>
      <c r="J36" s="216">
        <v>97479.500000000029</v>
      </c>
      <c r="K36" s="216">
        <v>106527.00000000003</v>
      </c>
      <c r="L36" s="216">
        <v>115243.00000000003</v>
      </c>
      <c r="M36" s="216">
        <v>123397.00000000003</v>
      </c>
      <c r="N36" s="216">
        <v>132113.00000000003</v>
      </c>
      <c r="O36" s="216">
        <v>140548.00000000003</v>
      </c>
      <c r="P36" s="216">
        <v>149264.00000000003</v>
      </c>
      <c r="Q36" s="216">
        <v>157699.00000000003</v>
      </c>
      <c r="R36" s="217">
        <f>AVERAGE(E36:Q36)</f>
        <v>123083.72153846154</v>
      </c>
    </row>
    <row r="37" spans="1:18" ht="12.75">
      <c r="A37" s="106">
        <f t="shared" si="0"/>
        <v>26</v>
      </c>
      <c r="B37" s="1151" t="s">
        <v>1766</v>
      </c>
      <c r="D37" s="758" t="s">
        <v>1383</v>
      </c>
      <c r="E37" s="216">
        <v>0</v>
      </c>
      <c r="F37" s="216">
        <v>1628031.27</v>
      </c>
      <c r="G37" s="216">
        <v>814015.63</v>
      </c>
      <c r="H37" s="216">
        <v>0</v>
      </c>
      <c r="I37" s="216">
        <v>1626463.07</v>
      </c>
      <c r="J37" s="216">
        <v>813231.54</v>
      </c>
      <c r="K37" s="216">
        <v>0</v>
      </c>
      <c r="L37" s="216">
        <v>1626463.07</v>
      </c>
      <c r="M37" s="216">
        <v>813231.54</v>
      </c>
      <c r="N37" s="216">
        <v>0</v>
      </c>
      <c r="O37" s="216">
        <v>1626459.98</v>
      </c>
      <c r="P37" s="216">
        <v>813229.98</v>
      </c>
      <c r="Q37" s="216">
        <v>-2.0000000018626451E-2</v>
      </c>
      <c r="R37" s="217">
        <f t="shared" ref="R37:R48" si="5">AVERAGE(E37:Q37)</f>
        <v>750855.85076923086</v>
      </c>
    </row>
    <row r="38" spans="1:18" ht="12.75">
      <c r="A38" s="106">
        <f t="shared" si="0"/>
        <v>27</v>
      </c>
      <c r="B38" s="1151" t="s">
        <v>1767</v>
      </c>
      <c r="D38" s="758" t="s">
        <v>1383</v>
      </c>
      <c r="E38" s="216">
        <v>981895</v>
      </c>
      <c r="F38" s="216">
        <v>595530</v>
      </c>
      <c r="G38" s="216">
        <v>557135</v>
      </c>
      <c r="H38" s="216">
        <v>1856574.99</v>
      </c>
      <c r="I38" s="216">
        <v>2199110</v>
      </c>
      <c r="J38" s="216">
        <v>2725970</v>
      </c>
      <c r="K38" s="216">
        <v>2716820</v>
      </c>
      <c r="L38" s="216">
        <v>1481385</v>
      </c>
      <c r="M38" s="216">
        <v>987730</v>
      </c>
      <c r="N38" s="216">
        <v>480015</v>
      </c>
      <c r="O38" s="216">
        <v>941580</v>
      </c>
      <c r="P38" s="216">
        <v>841550</v>
      </c>
      <c r="Q38" s="216">
        <v>1050215</v>
      </c>
      <c r="R38" s="217">
        <f t="shared" si="5"/>
        <v>1339654.6146153847</v>
      </c>
    </row>
    <row r="39" spans="1:18" ht="12.75">
      <c r="A39" s="106">
        <f t="shared" si="0"/>
        <v>28</v>
      </c>
      <c r="B39" s="1151" t="s">
        <v>1768</v>
      </c>
      <c r="D39" s="758" t="s">
        <v>1383</v>
      </c>
      <c r="E39" s="216">
        <v>147468.36999999997</v>
      </c>
      <c r="F39" s="216">
        <v>127788.93999999997</v>
      </c>
      <c r="G39" s="216">
        <v>1693443.77</v>
      </c>
      <c r="H39" s="216">
        <v>76180.719999999972</v>
      </c>
      <c r="I39" s="216">
        <v>50896.659999999974</v>
      </c>
      <c r="J39" s="216">
        <v>25936.349999999973</v>
      </c>
      <c r="K39" s="216">
        <v>147739.61999999997</v>
      </c>
      <c r="L39" s="216">
        <v>130858.08999999997</v>
      </c>
      <c r="M39" s="216">
        <v>118908.27999999997</v>
      </c>
      <c r="N39" s="216">
        <v>105744.46999999997</v>
      </c>
      <c r="O39" s="216">
        <v>81054.409999999974</v>
      </c>
      <c r="P39" s="216">
        <v>56849.599999999977</v>
      </c>
      <c r="Q39" s="216">
        <v>178927.36999999997</v>
      </c>
      <c r="R39" s="217">
        <f t="shared" si="5"/>
        <v>226292.05</v>
      </c>
    </row>
    <row r="40" spans="1:18" ht="12.75">
      <c r="A40" s="106">
        <f t="shared" si="0"/>
        <v>29</v>
      </c>
      <c r="B40" s="1151" t="s">
        <v>1769</v>
      </c>
      <c r="D40" s="758" t="s">
        <v>1383</v>
      </c>
      <c r="E40" s="216">
        <v>36000</v>
      </c>
      <c r="F40" s="216">
        <v>36000</v>
      </c>
      <c r="G40" s="216">
        <v>36000</v>
      </c>
      <c r="H40" s="216">
        <v>157000</v>
      </c>
      <c r="I40" s="216">
        <v>248462</v>
      </c>
      <c r="J40" s="216">
        <v>248462</v>
      </c>
      <c r="K40" s="216">
        <v>248462</v>
      </c>
      <c r="L40" s="216">
        <v>248462</v>
      </c>
      <c r="M40" s="216">
        <v>248462</v>
      </c>
      <c r="N40" s="216">
        <v>248462</v>
      </c>
      <c r="O40" s="216">
        <v>248462</v>
      </c>
      <c r="P40" s="216">
        <v>248462</v>
      </c>
      <c r="Q40" s="216">
        <v>248462</v>
      </c>
      <c r="R40" s="217">
        <f t="shared" si="5"/>
        <v>192396.76923076922</v>
      </c>
    </row>
    <row r="41" spans="1:18" ht="12.75">
      <c r="A41" s="106">
        <f t="shared" si="0"/>
        <v>30</v>
      </c>
      <c r="B41" s="1151" t="s">
        <v>1770</v>
      </c>
      <c r="D41" s="758" t="s">
        <v>1383</v>
      </c>
      <c r="E41" s="216">
        <v>1209402.17</v>
      </c>
      <c r="F41" s="216">
        <v>952805.32</v>
      </c>
      <c r="G41" s="216">
        <v>696208.47</v>
      </c>
      <c r="H41" s="216">
        <v>439611.57999999996</v>
      </c>
      <c r="I41" s="216">
        <v>293074.38999999996</v>
      </c>
      <c r="J41" s="216">
        <v>146537.19999999995</v>
      </c>
      <c r="K41" s="216">
        <v>0</v>
      </c>
      <c r="L41" s="216">
        <v>0</v>
      </c>
      <c r="M41" s="216">
        <v>0</v>
      </c>
      <c r="N41" s="216">
        <v>150000</v>
      </c>
      <c r="O41" s="216">
        <v>284670.91000000003</v>
      </c>
      <c r="P41" s="216">
        <v>141242.32000000004</v>
      </c>
      <c r="Q41" s="216">
        <v>1367540.72</v>
      </c>
      <c r="R41" s="217">
        <f t="shared" si="5"/>
        <v>437007.16000000003</v>
      </c>
    </row>
    <row r="42" spans="1:18" ht="12.75">
      <c r="A42" s="106">
        <f t="shared" si="0"/>
        <v>31</v>
      </c>
      <c r="B42" s="1151" t="s">
        <v>1771</v>
      </c>
      <c r="D42" s="758" t="s">
        <v>1383</v>
      </c>
      <c r="E42" s="216">
        <v>186453.77999999994</v>
      </c>
      <c r="F42" s="216">
        <v>160944.00999999995</v>
      </c>
      <c r="G42" s="216">
        <v>135434.23999999996</v>
      </c>
      <c r="H42" s="216">
        <v>109924.46999999996</v>
      </c>
      <c r="I42" s="216">
        <v>84414.699999999953</v>
      </c>
      <c r="J42" s="216">
        <v>58904.929999999949</v>
      </c>
      <c r="K42" s="216">
        <v>35960.659999999945</v>
      </c>
      <c r="L42" s="216">
        <v>73240.659999999945</v>
      </c>
      <c r="M42" s="216">
        <v>73240.659999999945</v>
      </c>
      <c r="N42" s="216">
        <v>0</v>
      </c>
      <c r="O42" s="216">
        <v>0</v>
      </c>
      <c r="P42" s="216">
        <v>0</v>
      </c>
      <c r="Q42" s="216">
        <v>0</v>
      </c>
      <c r="R42" s="217">
        <f t="shared" si="5"/>
        <v>70655.239230769192</v>
      </c>
    </row>
    <row r="43" spans="1:18" ht="12.75">
      <c r="A43" s="106">
        <f t="shared" si="0"/>
        <v>32</v>
      </c>
      <c r="B43" s="1151" t="s">
        <v>1772</v>
      </c>
      <c r="D43" s="758" t="s">
        <v>1383</v>
      </c>
      <c r="E43" s="216">
        <v>38793.42</v>
      </c>
      <c r="F43" s="216">
        <v>32327.78</v>
      </c>
      <c r="G43" s="216">
        <v>25862.14</v>
      </c>
      <c r="H43" s="216">
        <v>19396.5</v>
      </c>
      <c r="I43" s="216">
        <v>12930.86</v>
      </c>
      <c r="J43" s="216">
        <v>120056.29000000001</v>
      </c>
      <c r="K43" s="216">
        <v>113590.65000000001</v>
      </c>
      <c r="L43" s="216">
        <v>104124.73000000001</v>
      </c>
      <c r="M43" s="216">
        <v>94658.810000000012</v>
      </c>
      <c r="N43" s="216">
        <v>85192.890000000014</v>
      </c>
      <c r="O43" s="216">
        <v>75726.970000000016</v>
      </c>
      <c r="P43" s="216">
        <v>66261.050000000017</v>
      </c>
      <c r="Q43" s="216">
        <v>56795.130000000019</v>
      </c>
      <c r="R43" s="217">
        <f t="shared" si="5"/>
        <v>65055.170769230775</v>
      </c>
    </row>
    <row r="44" spans="1:18" ht="12.75">
      <c r="A44" s="106">
        <f t="shared" si="0"/>
        <v>33</v>
      </c>
      <c r="B44" s="1151" t="s">
        <v>1773</v>
      </c>
      <c r="D44" s="758" t="s">
        <v>1383</v>
      </c>
      <c r="E44" s="216">
        <v>37080</v>
      </c>
      <c r="F44" s="216">
        <v>31373.08</v>
      </c>
      <c r="G44" s="216">
        <v>31373.08</v>
      </c>
      <c r="H44" s="216">
        <v>31373.08</v>
      </c>
      <c r="I44" s="216">
        <v>31994.660000000003</v>
      </c>
      <c r="J44" s="216">
        <v>0</v>
      </c>
      <c r="K44" s="216">
        <v>0</v>
      </c>
      <c r="L44" s="216">
        <v>0</v>
      </c>
      <c r="M44" s="216">
        <v>0</v>
      </c>
      <c r="N44" s="216">
        <v>0</v>
      </c>
      <c r="O44" s="216">
        <v>0</v>
      </c>
      <c r="P44" s="216">
        <v>0</v>
      </c>
      <c r="Q44" s="216">
        <v>0</v>
      </c>
      <c r="R44" s="217">
        <f t="shared" si="5"/>
        <v>12553.376923076923</v>
      </c>
    </row>
    <row r="45" spans="1:18" ht="12.75">
      <c r="A45" s="106">
        <f t="shared" si="0"/>
        <v>34</v>
      </c>
      <c r="B45" s="1151" t="s">
        <v>1774</v>
      </c>
      <c r="D45" s="758" t="s">
        <v>1383</v>
      </c>
      <c r="E45" s="216">
        <v>0</v>
      </c>
      <c r="F45" s="216">
        <v>0</v>
      </c>
      <c r="G45" s="216">
        <v>0</v>
      </c>
      <c r="H45" s="216">
        <v>0</v>
      </c>
      <c r="I45" s="216">
        <v>0</v>
      </c>
      <c r="J45" s="216">
        <v>0</v>
      </c>
      <c r="K45" s="216">
        <v>0</v>
      </c>
      <c r="L45" s="216">
        <v>0</v>
      </c>
      <c r="M45" s="216">
        <v>0</v>
      </c>
      <c r="N45" s="216">
        <v>0</v>
      </c>
      <c r="O45" s="216">
        <v>0</v>
      </c>
      <c r="P45" s="216">
        <v>0</v>
      </c>
      <c r="Q45" s="216">
        <v>0</v>
      </c>
      <c r="R45" s="217">
        <f t="shared" si="5"/>
        <v>0</v>
      </c>
    </row>
    <row r="46" spans="1:18" ht="12.75">
      <c r="A46" s="106">
        <f t="shared" si="0"/>
        <v>35</v>
      </c>
      <c r="B46" s="1151" t="s">
        <v>1775</v>
      </c>
      <c r="D46" s="758" t="s">
        <v>1383</v>
      </c>
      <c r="E46" s="216">
        <v>1083307.3099999998</v>
      </c>
      <c r="F46" s="216">
        <v>883712.57999999984</v>
      </c>
      <c r="G46" s="216">
        <v>684117.84999999986</v>
      </c>
      <c r="H46" s="216">
        <v>484523.1399999999</v>
      </c>
      <c r="I46" s="216">
        <v>294845.11999999988</v>
      </c>
      <c r="J46" s="216">
        <v>147422.61999999988</v>
      </c>
      <c r="K46" s="216">
        <v>19364.999999999884</v>
      </c>
      <c r="L46" s="216">
        <v>-1.1641532182693481E-10</v>
      </c>
      <c r="M46" s="216">
        <v>-1.1641532182693481E-10</v>
      </c>
      <c r="N46" s="216">
        <v>799187.99999999988</v>
      </c>
      <c r="O46" s="216">
        <v>532791.99999999988</v>
      </c>
      <c r="P46" s="216">
        <v>266395.99999999988</v>
      </c>
      <c r="Q46" s="216">
        <v>802857.00999999989</v>
      </c>
      <c r="R46" s="217">
        <f t="shared" si="5"/>
        <v>461425.12538461533</v>
      </c>
    </row>
    <row r="47" spans="1:18" ht="12.75">
      <c r="A47" s="106">
        <f t="shared" si="0"/>
        <v>36</v>
      </c>
      <c r="B47" s="1151" t="s">
        <v>1776</v>
      </c>
      <c r="D47" s="758" t="s">
        <v>1383</v>
      </c>
      <c r="E47" s="216">
        <v>0</v>
      </c>
      <c r="F47" s="216">
        <v>0</v>
      </c>
      <c r="G47" s="216">
        <v>0</v>
      </c>
      <c r="H47" s="216">
        <v>0</v>
      </c>
      <c r="I47" s="216">
        <v>0</v>
      </c>
      <c r="J47" s="216">
        <v>0</v>
      </c>
      <c r="K47" s="216">
        <v>39148.629999999997</v>
      </c>
      <c r="L47" s="216">
        <v>0</v>
      </c>
      <c r="M47" s="216">
        <v>0</v>
      </c>
      <c r="N47" s="216">
        <v>0</v>
      </c>
      <c r="O47" s="216">
        <v>0</v>
      </c>
      <c r="P47" s="216">
        <v>0</v>
      </c>
      <c r="Q47" s="216">
        <v>0</v>
      </c>
      <c r="R47" s="217">
        <f t="shared" si="5"/>
        <v>3011.4330769230769</v>
      </c>
    </row>
    <row r="48" spans="1:18" ht="12.75">
      <c r="A48" s="106">
        <f t="shared" si="0"/>
        <v>37</v>
      </c>
      <c r="B48" s="1151" t="s">
        <v>1777</v>
      </c>
      <c r="D48" s="758" t="s">
        <v>1383</v>
      </c>
      <c r="E48" s="216">
        <v>1402458</v>
      </c>
      <c r="F48" s="216">
        <v>1402458</v>
      </c>
      <c r="G48" s="216">
        <v>1402458</v>
      </c>
      <c r="H48" s="216">
        <v>1720186</v>
      </c>
      <c r="I48" s="216">
        <v>1720186</v>
      </c>
      <c r="J48" s="216">
        <v>1720186</v>
      </c>
      <c r="K48" s="216">
        <v>2037914</v>
      </c>
      <c r="L48" s="216">
        <v>2037914</v>
      </c>
      <c r="M48" s="216">
        <v>2037914</v>
      </c>
      <c r="N48" s="216">
        <v>2355643</v>
      </c>
      <c r="O48" s="216">
        <v>2355643</v>
      </c>
      <c r="P48" s="216">
        <v>2355643</v>
      </c>
      <c r="Q48" s="216">
        <v>2688423</v>
      </c>
      <c r="R48" s="217">
        <f t="shared" si="5"/>
        <v>1941309.6923076923</v>
      </c>
    </row>
    <row r="49" spans="1:18" ht="12.75">
      <c r="A49" s="106">
        <f t="shared" si="0"/>
        <v>38</v>
      </c>
      <c r="B49" s="181" t="s">
        <v>1293</v>
      </c>
      <c r="C49" s="547"/>
      <c r="D49" s="105"/>
      <c r="E49" s="219">
        <f t="shared" ref="E49:R49" si="6">SUM(E36:E48)</f>
        <v>5287582.7699999996</v>
      </c>
      <c r="F49" s="219">
        <f t="shared" si="6"/>
        <v>6024743.1999999993</v>
      </c>
      <c r="G49" s="219">
        <f t="shared" si="6"/>
        <v>6146968.8999999994</v>
      </c>
      <c r="H49" s="219">
        <f t="shared" si="6"/>
        <v>4974446.84</v>
      </c>
      <c r="I49" s="219">
        <f t="shared" si="6"/>
        <v>6651101.3200000003</v>
      </c>
      <c r="J49" s="219">
        <f t="shared" si="6"/>
        <v>6104186.4299999997</v>
      </c>
      <c r="K49" s="219">
        <f t="shared" si="6"/>
        <v>5465527.5600000005</v>
      </c>
      <c r="L49" s="219">
        <f t="shared" si="6"/>
        <v>5817690.5500000007</v>
      </c>
      <c r="M49" s="219">
        <f t="shared" si="6"/>
        <v>4497542.290000001</v>
      </c>
      <c r="N49" s="219">
        <f t="shared" si="6"/>
        <v>4356358.3599999994</v>
      </c>
      <c r="O49" s="219">
        <f t="shared" si="6"/>
        <v>6286937.2700000005</v>
      </c>
      <c r="P49" s="219">
        <f t="shared" si="6"/>
        <v>4938897.9499999993</v>
      </c>
      <c r="Q49" s="219">
        <f t="shared" si="6"/>
        <v>6550919.209999999</v>
      </c>
      <c r="R49" s="973">
        <f t="shared" si="6"/>
        <v>5623300.2038461538</v>
      </c>
    </row>
    <row r="50" spans="1:18" ht="13.5" thickBot="1">
      <c r="A50" s="106">
        <f t="shared" si="0"/>
        <v>39</v>
      </c>
      <c r="B50" s="181" t="s">
        <v>1385</v>
      </c>
      <c r="C50" s="547"/>
      <c r="D50" s="105" t="str">
        <f ca="1">'ATRR Est.'!G2&amp;" Line "&amp;'ATRR Est.'!A192</f>
        <v>ATRR Est. Line 171</v>
      </c>
      <c r="E50" s="219"/>
      <c r="F50" s="219"/>
      <c r="G50" s="219"/>
      <c r="H50" s="219"/>
      <c r="I50" s="219"/>
      <c r="J50" s="219"/>
      <c r="K50" s="219"/>
      <c r="L50" s="219"/>
      <c r="M50" s="219"/>
      <c r="N50" s="219"/>
      <c r="O50" s="219"/>
      <c r="P50" s="219"/>
      <c r="Q50" s="219"/>
      <c r="R50" s="184">
        <f>R28</f>
        <v>0.76176748503994829</v>
      </c>
    </row>
    <row r="51" spans="1:18" ht="13.5" thickBot="1">
      <c r="A51" s="106">
        <f t="shared" si="0"/>
        <v>40</v>
      </c>
      <c r="B51" s="181" t="s">
        <v>322</v>
      </c>
      <c r="C51" s="547"/>
      <c r="D51" s="105"/>
      <c r="E51" s="219"/>
      <c r="F51" s="219"/>
      <c r="G51" s="219"/>
      <c r="H51" s="219"/>
      <c r="I51" s="219"/>
      <c r="J51" s="219"/>
      <c r="K51" s="219"/>
      <c r="L51" s="219"/>
      <c r="M51" s="219"/>
      <c r="N51" s="219"/>
      <c r="O51" s="219"/>
      <c r="P51" s="219"/>
      <c r="Q51" s="219"/>
      <c r="R51" s="972">
        <f>R49*R50</f>
        <v>4283647.2539085131</v>
      </c>
    </row>
    <row r="52" spans="1:18" ht="13.5" thickBot="1">
      <c r="A52" s="106">
        <f t="shared" si="0"/>
        <v>41</v>
      </c>
      <c r="B52" s="143" t="s">
        <v>211</v>
      </c>
      <c r="C52" s="544"/>
      <c r="D52" s="106" t="str">
        <f>"Lines "&amp;A19&amp;" + "&amp;A27&amp;" + "&amp;A33&amp;" + "&amp;A49</f>
        <v>Lines 8 + 16 + 22 + 38</v>
      </c>
      <c r="E52" s="479">
        <f t="shared" ref="E52:Q52" si="7">E49+E33+E27+E19</f>
        <v>16952899.550000001</v>
      </c>
      <c r="F52" s="479">
        <f t="shared" si="7"/>
        <v>20761143.98</v>
      </c>
      <c r="G52" s="479">
        <f t="shared" si="7"/>
        <v>19582013.48</v>
      </c>
      <c r="H52" s="479">
        <f t="shared" si="7"/>
        <v>17326748.050000004</v>
      </c>
      <c r="I52" s="479">
        <f t="shared" si="7"/>
        <v>17406021.260000002</v>
      </c>
      <c r="J52" s="479">
        <f t="shared" si="7"/>
        <v>17804659.930000003</v>
      </c>
      <c r="K52" s="479">
        <f t="shared" si="7"/>
        <v>19745423.950000003</v>
      </c>
      <c r="L52" s="479">
        <f t="shared" si="7"/>
        <v>19176825.980000004</v>
      </c>
      <c r="M52" s="479">
        <f t="shared" si="7"/>
        <v>16997400.420000002</v>
      </c>
      <c r="N52" s="479">
        <f t="shared" si="7"/>
        <v>16064938.680000003</v>
      </c>
      <c r="O52" s="479">
        <f t="shared" si="7"/>
        <v>18499067.970000003</v>
      </c>
      <c r="P52" s="479">
        <f t="shared" si="7"/>
        <v>15883668.110000003</v>
      </c>
      <c r="Q52" s="479">
        <f t="shared" si="7"/>
        <v>17340829.490000002</v>
      </c>
      <c r="R52" s="220"/>
    </row>
    <row r="53" spans="1:18" ht="13.5" thickTop="1">
      <c r="A53" s="106">
        <f t="shared" si="0"/>
        <v>42</v>
      </c>
      <c r="C53" s="544"/>
      <c r="E53" s="264"/>
      <c r="F53" s="264"/>
      <c r="G53" s="264"/>
      <c r="H53" s="264"/>
      <c r="I53" s="264"/>
      <c r="J53" s="264"/>
      <c r="K53" s="264"/>
      <c r="L53" s="264"/>
      <c r="M53" s="264"/>
      <c r="N53" s="264"/>
      <c r="O53" s="264"/>
      <c r="P53" s="264"/>
      <c r="Q53" s="264"/>
      <c r="R53" s="220"/>
    </row>
    <row r="54" spans="1:18" ht="12.75">
      <c r="A54" s="106">
        <f t="shared" si="0"/>
        <v>43</v>
      </c>
      <c r="B54" s="563" t="s">
        <v>1040</v>
      </c>
      <c r="C54" s="544"/>
      <c r="D54" s="110"/>
      <c r="E54" s="217"/>
      <c r="F54" s="264"/>
      <c r="G54" s="264"/>
      <c r="H54" s="264"/>
      <c r="I54" s="264"/>
      <c r="J54" s="264"/>
      <c r="K54" s="264"/>
      <c r="L54" s="264"/>
      <c r="M54" s="264"/>
      <c r="N54" s="264"/>
      <c r="O54" s="264"/>
      <c r="P54" s="264"/>
      <c r="Q54" s="264"/>
      <c r="R54" s="220"/>
    </row>
    <row r="55" spans="1:18" ht="12.75">
      <c r="A55" s="106">
        <f t="shared" si="0"/>
        <v>44</v>
      </c>
      <c r="B55" s="543" t="s">
        <v>1821</v>
      </c>
      <c r="D55" s="758" t="s">
        <v>1383</v>
      </c>
      <c r="E55" s="216">
        <v>19518670</v>
      </c>
      <c r="F55" s="216">
        <v>0</v>
      </c>
      <c r="G55" s="216">
        <v>0</v>
      </c>
      <c r="H55" s="216">
        <v>17353721</v>
      </c>
      <c r="I55" s="216">
        <v>5819394</v>
      </c>
      <c r="J55" s="216">
        <v>0</v>
      </c>
      <c r="K55" s="216">
        <v>75494538</v>
      </c>
      <c r="L55" s="216">
        <v>47871642.880000003</v>
      </c>
      <c r="M55" s="216">
        <v>30190441.070000004</v>
      </c>
      <c r="N55" s="216">
        <v>5173491.4800000042</v>
      </c>
      <c r="O55" s="216">
        <v>9060939.4200000037</v>
      </c>
      <c r="P55" s="216">
        <v>0</v>
      </c>
      <c r="Q55" s="216">
        <v>45519747.270000003</v>
      </c>
      <c r="R55" s="220"/>
    </row>
    <row r="56" spans="1:18" ht="12.75">
      <c r="A56" s="106">
        <f t="shared" si="0"/>
        <v>45</v>
      </c>
      <c r="B56" s="543" t="s">
        <v>1822</v>
      </c>
      <c r="D56" s="758" t="s">
        <v>1383</v>
      </c>
      <c r="E56" s="145">
        <v>0</v>
      </c>
      <c r="F56" s="145">
        <v>0</v>
      </c>
      <c r="G56" s="145">
        <v>0</v>
      </c>
      <c r="H56" s="145">
        <v>0</v>
      </c>
      <c r="I56" s="145">
        <v>0</v>
      </c>
      <c r="J56" s="145">
        <v>0</v>
      </c>
      <c r="K56" s="145">
        <v>5667515</v>
      </c>
      <c r="L56" s="145">
        <v>1843064.1600000001</v>
      </c>
      <c r="M56" s="145">
        <v>0</v>
      </c>
      <c r="N56" s="145">
        <v>0</v>
      </c>
      <c r="O56" s="145">
        <v>0</v>
      </c>
      <c r="P56" s="145">
        <v>0</v>
      </c>
      <c r="Q56" s="145">
        <v>0</v>
      </c>
      <c r="R56" s="220"/>
    </row>
    <row r="57" spans="1:18" ht="12.75">
      <c r="A57" s="106">
        <f t="shared" si="0"/>
        <v>46</v>
      </c>
      <c r="B57" s="543"/>
      <c r="C57" s="546"/>
      <c r="D57" s="218"/>
      <c r="E57" s="137"/>
      <c r="F57" s="218"/>
      <c r="G57" s="218"/>
      <c r="H57" s="218"/>
      <c r="I57" s="218"/>
      <c r="J57" s="218"/>
      <c r="K57" s="218"/>
      <c r="L57" s="218"/>
      <c r="M57" s="218"/>
      <c r="N57" s="218"/>
      <c r="O57" s="218"/>
      <c r="P57" s="218"/>
      <c r="Q57" s="218"/>
      <c r="R57" s="220"/>
    </row>
    <row r="58" spans="1:18" ht="12.75">
      <c r="A58" s="106">
        <f t="shared" si="0"/>
        <v>47</v>
      </c>
      <c r="B58" s="143"/>
      <c r="C58" s="544"/>
      <c r="D58" s="140"/>
      <c r="E58" s="264"/>
      <c r="F58" s="264"/>
      <c r="G58" s="264"/>
      <c r="H58" s="264"/>
      <c r="I58" s="264"/>
      <c r="J58" s="264"/>
      <c r="K58" s="264"/>
      <c r="L58" s="264"/>
      <c r="M58" s="264"/>
      <c r="N58" s="264"/>
      <c r="O58" s="264"/>
      <c r="P58" s="264"/>
      <c r="Q58" s="264"/>
      <c r="R58" s="220"/>
    </row>
    <row r="59" spans="1:18" ht="39" thickBot="1">
      <c r="A59" s="106">
        <f t="shared" si="0"/>
        <v>48</v>
      </c>
      <c r="B59" s="143" t="s">
        <v>790</v>
      </c>
      <c r="C59" s="544"/>
      <c r="D59" s="140" t="s">
        <v>375</v>
      </c>
      <c r="E59" s="479">
        <f>SUM(E52:E58)</f>
        <v>36471569.549999997</v>
      </c>
      <c r="F59" s="479">
        <f t="shared" ref="F59:P59" si="8">SUM(F52:F58)</f>
        <v>20761143.98</v>
      </c>
      <c r="G59" s="479">
        <f t="shared" si="8"/>
        <v>19582013.48</v>
      </c>
      <c r="H59" s="479">
        <f t="shared" si="8"/>
        <v>34680469.050000004</v>
      </c>
      <c r="I59" s="479">
        <f>SUM(I52:I58)</f>
        <v>23225415.260000002</v>
      </c>
      <c r="J59" s="479">
        <f t="shared" si="8"/>
        <v>17804659.930000003</v>
      </c>
      <c r="K59" s="479">
        <f t="shared" si="8"/>
        <v>100907476.95</v>
      </c>
      <c r="L59" s="479">
        <f t="shared" si="8"/>
        <v>68891533.020000011</v>
      </c>
      <c r="M59" s="479">
        <f t="shared" si="8"/>
        <v>47187841.49000001</v>
      </c>
      <c r="N59" s="479">
        <f t="shared" si="8"/>
        <v>21238430.160000008</v>
      </c>
      <c r="O59" s="479">
        <f t="shared" si="8"/>
        <v>27560007.390000008</v>
      </c>
      <c r="P59" s="479">
        <f t="shared" si="8"/>
        <v>15883668.110000003</v>
      </c>
      <c r="Q59" s="479">
        <f>SUM(Q52:Q58)</f>
        <v>62860576.760000005</v>
      </c>
      <c r="R59" s="220"/>
    </row>
    <row r="60" spans="1:18" ht="13.5" thickTop="1">
      <c r="A60" s="106"/>
      <c r="E60" s="134"/>
      <c r="F60" s="134"/>
      <c r="G60" s="134"/>
      <c r="H60" s="134"/>
      <c r="I60" s="134"/>
      <c r="J60" s="134"/>
      <c r="K60" s="134"/>
      <c r="L60" s="134"/>
      <c r="M60" s="134"/>
      <c r="N60" s="134"/>
      <c r="O60" s="134"/>
      <c r="P60" s="134"/>
      <c r="Q60" s="134"/>
    </row>
    <row r="61" spans="1:18" ht="12.75">
      <c r="A61" s="106"/>
      <c r="B61" s="187" t="s">
        <v>763</v>
      </c>
      <c r="E61" s="134"/>
      <c r="F61" s="134"/>
      <c r="G61" s="134"/>
      <c r="H61" s="134"/>
      <c r="I61" s="134"/>
      <c r="J61" s="134"/>
      <c r="K61" s="134"/>
      <c r="L61" s="134"/>
      <c r="M61" s="134"/>
      <c r="N61" s="134"/>
      <c r="O61" s="134"/>
      <c r="P61" s="134"/>
      <c r="Q61" s="134"/>
    </row>
    <row r="62" spans="1:18" ht="12.75">
      <c r="B62" s="187"/>
    </row>
    <row r="63" spans="1:18" ht="12.75"/>
    <row r="64" spans="1:18" ht="12.75">
      <c r="A64" s="748" t="s">
        <v>1064</v>
      </c>
      <c r="E64" s="748"/>
      <c r="F64" s="748"/>
    </row>
    <row r="65" spans="1:18" ht="12.75"/>
    <row r="66" spans="1:18" ht="12.75">
      <c r="A66" s="2" t="s">
        <v>862</v>
      </c>
      <c r="B66" s="2" t="s">
        <v>912</v>
      </c>
      <c r="C66" s="274"/>
      <c r="D66" s="2" t="s">
        <v>864</v>
      </c>
      <c r="E66" s="234">
        <v>42735</v>
      </c>
      <c r="F66" s="234">
        <v>42766</v>
      </c>
      <c r="G66" s="1147">
        <v>42794</v>
      </c>
      <c r="H66" s="234">
        <v>42825</v>
      </c>
      <c r="I66" s="1147">
        <v>42855</v>
      </c>
      <c r="J66" s="234">
        <v>42886</v>
      </c>
      <c r="K66" s="1147">
        <v>42916</v>
      </c>
      <c r="L66" s="234">
        <v>42947</v>
      </c>
      <c r="M66" s="1147">
        <v>42978</v>
      </c>
      <c r="N66" s="234">
        <v>43008</v>
      </c>
      <c r="O66" s="1147">
        <v>43039</v>
      </c>
      <c r="P66" s="234">
        <v>43069</v>
      </c>
      <c r="Q66" s="1147">
        <v>43100</v>
      </c>
      <c r="R66" s="185" t="s">
        <v>951</v>
      </c>
    </row>
    <row r="67" spans="1:18" ht="12.75">
      <c r="E67" s="111" t="s">
        <v>358</v>
      </c>
      <c r="F67" s="111" t="s">
        <v>357</v>
      </c>
      <c r="G67" s="111" t="s">
        <v>358</v>
      </c>
      <c r="H67" s="111" t="s">
        <v>360</v>
      </c>
      <c r="I67" s="111" t="s">
        <v>361</v>
      </c>
      <c r="J67" s="111" t="s">
        <v>362</v>
      </c>
      <c r="K67" s="111" t="s">
        <v>363</v>
      </c>
      <c r="L67" s="111" t="s">
        <v>364</v>
      </c>
      <c r="M67" s="111" t="s">
        <v>365</v>
      </c>
      <c r="N67" s="111" t="s">
        <v>366</v>
      </c>
      <c r="O67" s="111" t="s">
        <v>367</v>
      </c>
      <c r="P67" s="111" t="s">
        <v>368</v>
      </c>
      <c r="Q67" s="111" t="s">
        <v>369</v>
      </c>
      <c r="R67" s="116" t="s">
        <v>370</v>
      </c>
    </row>
    <row r="68" spans="1:18" ht="12.75">
      <c r="B68" s="99" t="s">
        <v>1039</v>
      </c>
    </row>
    <row r="69" spans="1:18" ht="12.75"/>
    <row r="70" spans="1:18" ht="12.75">
      <c r="A70" s="106">
        <v>1</v>
      </c>
      <c r="B70" s="143" t="s">
        <v>979</v>
      </c>
      <c r="D70" s="99"/>
      <c r="E70" s="99"/>
      <c r="Q70" s="99"/>
    </row>
    <row r="71" spans="1:18" ht="12.75">
      <c r="A71" s="106">
        <f t="shared" ref="A71:A119" si="9">A70+1</f>
        <v>2</v>
      </c>
      <c r="B71" s="762" t="s">
        <v>1811</v>
      </c>
      <c r="D71" s="758" t="str">
        <f>D13</f>
        <v>Company Records</v>
      </c>
      <c r="E71" s="216">
        <v>7612514.3900000015</v>
      </c>
      <c r="F71" s="216">
        <v>6679516.9200000018</v>
      </c>
      <c r="G71" s="216">
        <v>5824083.9900000021</v>
      </c>
      <c r="H71" s="216">
        <v>5009096.8400000017</v>
      </c>
      <c r="I71" s="216">
        <v>4143114.910000002</v>
      </c>
      <c r="J71" s="216">
        <v>3203556.5700000022</v>
      </c>
      <c r="K71" s="216">
        <v>2289000.9400000023</v>
      </c>
      <c r="L71" s="216">
        <v>1740290.0300000021</v>
      </c>
      <c r="M71" s="216">
        <v>4745807.4800000023</v>
      </c>
      <c r="N71" s="216">
        <v>3864989.7800000021</v>
      </c>
      <c r="O71" s="216">
        <v>3241218.4800000023</v>
      </c>
      <c r="P71" s="216">
        <v>3086052.5500000021</v>
      </c>
      <c r="Q71" s="216">
        <v>8148260.7500000019</v>
      </c>
      <c r="R71" s="217">
        <f>IF(E71=0,0,AVERAGE(E71:Q71))</f>
        <v>4583654.1253846176</v>
      </c>
    </row>
    <row r="72" spans="1:18" ht="12.75">
      <c r="A72" s="106">
        <f t="shared" si="9"/>
        <v>3</v>
      </c>
      <c r="B72" s="762" t="s">
        <v>1814</v>
      </c>
      <c r="D72" s="758" t="str">
        <f>D16</f>
        <v>Company Records</v>
      </c>
      <c r="E72" s="216">
        <v>164573.79000000027</v>
      </c>
      <c r="F72" s="216">
        <v>51665.470000000263</v>
      </c>
      <c r="G72" s="216">
        <v>509053.60000000027</v>
      </c>
      <c r="H72" s="216">
        <v>746821.56000000029</v>
      </c>
      <c r="I72" s="216">
        <v>757537.4500000003</v>
      </c>
      <c r="J72" s="216">
        <v>686908.46000000031</v>
      </c>
      <c r="K72" s="216">
        <v>615998.8200000003</v>
      </c>
      <c r="L72" s="216">
        <v>543930.87000000034</v>
      </c>
      <c r="M72" s="216">
        <v>479402.97000000032</v>
      </c>
      <c r="N72" s="216">
        <v>407063.96000000031</v>
      </c>
      <c r="O72" s="216">
        <v>338133.15000000031</v>
      </c>
      <c r="P72" s="216">
        <v>263813.16000000032</v>
      </c>
      <c r="Q72" s="216">
        <v>189094.77000000031</v>
      </c>
      <c r="R72" s="139">
        <f>IF(E72=0,0,AVERAGE(E72:Q72))</f>
        <v>442615.23307692341</v>
      </c>
    </row>
    <row r="73" spans="1:18" ht="12.75">
      <c r="A73" s="106">
        <f t="shared" si="9"/>
        <v>4</v>
      </c>
      <c r="B73" s="762" t="s">
        <v>1816</v>
      </c>
      <c r="D73" s="758" t="str">
        <f>D17</f>
        <v>Company Records</v>
      </c>
      <c r="E73" s="216">
        <v>211536</v>
      </c>
      <c r="F73" s="216">
        <v>141024</v>
      </c>
      <c r="G73" s="216">
        <v>70512</v>
      </c>
      <c r="H73" s="216">
        <v>0</v>
      </c>
      <c r="I73" s="216">
        <v>-70512</v>
      </c>
      <c r="J73" s="216">
        <v>70512</v>
      </c>
      <c r="K73" s="216">
        <v>0</v>
      </c>
      <c r="L73" s="216">
        <v>-70512</v>
      </c>
      <c r="M73" s="216">
        <v>-141024</v>
      </c>
      <c r="N73" s="216">
        <v>0</v>
      </c>
      <c r="O73" s="216">
        <v>0</v>
      </c>
      <c r="P73" s="216">
        <v>0</v>
      </c>
      <c r="Q73" s="216">
        <v>0</v>
      </c>
      <c r="R73" s="139">
        <f>IF(E73=0,0,AVERAGE(E73:Q73))</f>
        <v>16272</v>
      </c>
    </row>
    <row r="74" spans="1:18" ht="12.75">
      <c r="A74" s="116">
        <f t="shared" si="9"/>
        <v>5</v>
      </c>
      <c r="B74" s="762" t="s">
        <v>1812</v>
      </c>
      <c r="D74" s="758" t="str">
        <f>D18</f>
        <v>Company Records</v>
      </c>
      <c r="E74" s="1188">
        <v>2834486.0400000014</v>
      </c>
      <c r="F74" s="1188">
        <v>2755985.6200000015</v>
      </c>
      <c r="G74" s="1188">
        <v>2706701.5400000014</v>
      </c>
      <c r="H74" s="1188">
        <v>2652137.0300000017</v>
      </c>
      <c r="I74" s="1188">
        <v>2599332.6600000015</v>
      </c>
      <c r="J74" s="1188">
        <v>2544768.1500000018</v>
      </c>
      <c r="K74" s="1188">
        <v>2507004.9900000016</v>
      </c>
      <c r="L74" s="1188">
        <v>2452440.4800000018</v>
      </c>
      <c r="M74" s="1188">
        <v>2397875.9700000021</v>
      </c>
      <c r="N74" s="1188">
        <v>2345071.6100000022</v>
      </c>
      <c r="O74" s="1188">
        <v>2290507.1000000024</v>
      </c>
      <c r="P74" s="1188">
        <v>0</v>
      </c>
      <c r="Q74" s="1188">
        <v>0</v>
      </c>
      <c r="R74" s="750">
        <f>IF(E74=0,0,AVERAGE(E74:Q74))</f>
        <v>2160485.4761538478</v>
      </c>
    </row>
    <row r="75" spans="1:18" ht="12.75">
      <c r="A75" s="116">
        <f t="shared" si="9"/>
        <v>6</v>
      </c>
      <c r="B75" s="181" t="s">
        <v>1384</v>
      </c>
      <c r="D75" s="105"/>
      <c r="E75" s="219">
        <f>SUM(E71:E74)</f>
        <v>10823110.220000003</v>
      </c>
      <c r="F75" s="219">
        <f t="shared" ref="F75:P75" si="10">SUM(F71:F74)</f>
        <v>9628192.0100000035</v>
      </c>
      <c r="G75" s="219">
        <f t="shared" si="10"/>
        <v>9110351.1300000045</v>
      </c>
      <c r="H75" s="219">
        <f t="shared" si="10"/>
        <v>8408055.4300000034</v>
      </c>
      <c r="I75" s="219">
        <f t="shared" si="10"/>
        <v>7429473.0200000033</v>
      </c>
      <c r="J75" s="219">
        <f t="shared" si="10"/>
        <v>6505745.1800000044</v>
      </c>
      <c r="K75" s="219">
        <f t="shared" si="10"/>
        <v>5412004.7500000037</v>
      </c>
      <c r="L75" s="219">
        <f t="shared" si="10"/>
        <v>4666149.3800000045</v>
      </c>
      <c r="M75" s="219">
        <f t="shared" si="10"/>
        <v>7482062.4200000055</v>
      </c>
      <c r="N75" s="219">
        <f t="shared" si="10"/>
        <v>6617125.3500000043</v>
      </c>
      <c r="O75" s="219">
        <f t="shared" si="10"/>
        <v>5869858.7300000051</v>
      </c>
      <c r="P75" s="219">
        <f t="shared" si="10"/>
        <v>3349865.7100000023</v>
      </c>
      <c r="Q75" s="219">
        <f>SUM(Q71:Q74)</f>
        <v>8337355.5200000023</v>
      </c>
      <c r="R75" s="217">
        <f>SUM(R71:R74)</f>
        <v>7203026.8346153889</v>
      </c>
    </row>
    <row r="76" spans="1:18" ht="13.5" thickBot="1">
      <c r="A76" s="116">
        <f t="shared" si="9"/>
        <v>7</v>
      </c>
      <c r="B76" s="181" t="s">
        <v>1385</v>
      </c>
      <c r="D76" s="106" t="str">
        <f ca="1">'ATRR Act'!G2&amp;" Line "&amp;'ATRR Act'!A193</f>
        <v>ATRR Act Line 171</v>
      </c>
      <c r="E76" s="106"/>
      <c r="Q76" s="106"/>
      <c r="R76" s="184">
        <f>'ATRR Act'!D193</f>
        <v>0.74699411576883989</v>
      </c>
    </row>
    <row r="77" spans="1:18" ht="13.5" thickBot="1">
      <c r="A77" s="116">
        <f t="shared" si="9"/>
        <v>8</v>
      </c>
      <c r="B77" s="181" t="s">
        <v>1386</v>
      </c>
      <c r="D77" s="105"/>
      <c r="E77" s="105"/>
      <c r="Q77" s="105"/>
      <c r="R77" s="221">
        <f>R75*R76</f>
        <v>5380618.6611827482</v>
      </c>
    </row>
    <row r="78" spans="1:18" ht="12.75">
      <c r="A78" s="116">
        <f t="shared" si="9"/>
        <v>9</v>
      </c>
      <c r="B78" s="105"/>
      <c r="D78" s="122"/>
      <c r="E78" s="122"/>
      <c r="Q78" s="122"/>
      <c r="R78" s="139"/>
    </row>
    <row r="79" spans="1:18" ht="12.75">
      <c r="A79" s="116">
        <f t="shared" si="9"/>
        <v>10</v>
      </c>
      <c r="B79" s="143" t="s">
        <v>980</v>
      </c>
      <c r="D79" s="131"/>
      <c r="E79" s="131"/>
      <c r="Q79" s="131"/>
      <c r="R79" s="139"/>
    </row>
    <row r="80" spans="1:18" ht="12.75">
      <c r="A80" s="116">
        <f t="shared" si="9"/>
        <v>11</v>
      </c>
      <c r="B80" s="764" t="s">
        <v>1817</v>
      </c>
      <c r="D80" s="758" t="str">
        <f>D24</f>
        <v>Company Records</v>
      </c>
      <c r="E80" s="216">
        <v>0</v>
      </c>
      <c r="F80" s="216">
        <v>817048.33</v>
      </c>
      <c r="G80" s="216">
        <v>817048.33</v>
      </c>
      <c r="H80" s="216">
        <v>817048.32</v>
      </c>
      <c r="I80" s="216">
        <v>817048.29999999993</v>
      </c>
      <c r="J80" s="216">
        <v>817048.32</v>
      </c>
      <c r="K80" s="216">
        <v>845717.24</v>
      </c>
      <c r="L80" s="216">
        <v>845717.24</v>
      </c>
      <c r="M80" s="216">
        <v>845717.24</v>
      </c>
      <c r="N80" s="216">
        <v>0</v>
      </c>
      <c r="O80" s="216">
        <v>845717.27</v>
      </c>
      <c r="P80" s="216">
        <v>0</v>
      </c>
      <c r="Q80" s="216">
        <v>845717.26</v>
      </c>
      <c r="R80" s="139">
        <f>AVERAGE(E80:Q80)</f>
        <v>639525.2192307692</v>
      </c>
    </row>
    <row r="81" spans="1:18" ht="12.75">
      <c r="A81" s="116">
        <f t="shared" si="9"/>
        <v>12</v>
      </c>
      <c r="B81" s="764" t="s">
        <v>1819</v>
      </c>
      <c r="D81" s="758" t="str">
        <f>D25</f>
        <v>Company Records</v>
      </c>
      <c r="E81" s="216">
        <v>354620.97</v>
      </c>
      <c r="F81" s="216">
        <v>347124.54</v>
      </c>
      <c r="G81" s="216">
        <v>336084.76999999996</v>
      </c>
      <c r="H81" s="216">
        <v>336084.76999999996</v>
      </c>
      <c r="I81" s="216">
        <v>336084.76999999996</v>
      </c>
      <c r="J81" s="216">
        <v>313865.48</v>
      </c>
      <c r="K81" s="216">
        <v>306459.05</v>
      </c>
      <c r="L81" s="216">
        <v>79599.01999999999</v>
      </c>
      <c r="M81" s="216">
        <v>64786.159999999989</v>
      </c>
      <c r="N81" s="216">
        <v>57379.729999999989</v>
      </c>
      <c r="O81" s="216">
        <v>49973.299999999988</v>
      </c>
      <c r="P81" s="216">
        <v>49973.299999999988</v>
      </c>
      <c r="Q81" s="216">
        <v>35160.439999999988</v>
      </c>
      <c r="R81" s="139">
        <f>AVERAGE(E81:Q81)</f>
        <v>205168.94615384613</v>
      </c>
    </row>
    <row r="82" spans="1:18" ht="12.75">
      <c r="A82" s="116">
        <f t="shared" si="9"/>
        <v>13</v>
      </c>
      <c r="B82" s="764" t="s">
        <v>1818</v>
      </c>
      <c r="D82" s="758" t="str">
        <f>D26</f>
        <v>Company Records</v>
      </c>
      <c r="E82" s="216">
        <v>16112.930000000004</v>
      </c>
      <c r="F82" s="216">
        <v>7200.6300000000047</v>
      </c>
      <c r="G82" s="216">
        <v>1726.6500000000051</v>
      </c>
      <c r="H82" s="216">
        <v>-4373.7599999999948</v>
      </c>
      <c r="I82" s="216">
        <v>2692.4100000000053</v>
      </c>
      <c r="J82" s="216">
        <v>-8271.7999999999938</v>
      </c>
      <c r="K82" s="216">
        <v>-16788.509999999995</v>
      </c>
      <c r="L82" s="216">
        <v>24653.12000000001</v>
      </c>
      <c r="M82" s="216">
        <v>16070.410000000011</v>
      </c>
      <c r="N82" s="216">
        <v>7487.7000000000116</v>
      </c>
      <c r="O82" s="216">
        <v>1673.840000000012</v>
      </c>
      <c r="P82" s="216">
        <v>23548.490000000013</v>
      </c>
      <c r="Q82" s="216">
        <v>14965.780000000013</v>
      </c>
      <c r="R82" s="139">
        <f>AVERAGE(E82:Q82)</f>
        <v>6669.0684615384689</v>
      </c>
    </row>
    <row r="83" spans="1:18" ht="12.75">
      <c r="A83" s="116">
        <f t="shared" si="9"/>
        <v>14</v>
      </c>
      <c r="B83" s="181" t="s">
        <v>1253</v>
      </c>
      <c r="D83" s="105"/>
      <c r="E83" s="219">
        <f t="shared" ref="E83:R83" si="11">SUM(E80:E82)</f>
        <v>370733.89999999997</v>
      </c>
      <c r="F83" s="219">
        <f t="shared" si="11"/>
        <v>1171373.5</v>
      </c>
      <c r="G83" s="219">
        <f t="shared" si="11"/>
        <v>1154859.7499999998</v>
      </c>
      <c r="H83" s="219">
        <f t="shared" si="11"/>
        <v>1148759.3299999998</v>
      </c>
      <c r="I83" s="219">
        <f t="shared" si="11"/>
        <v>1155825.4799999997</v>
      </c>
      <c r="J83" s="219">
        <f t="shared" si="11"/>
        <v>1122641.9999999998</v>
      </c>
      <c r="K83" s="219">
        <f t="shared" si="11"/>
        <v>1135387.78</v>
      </c>
      <c r="L83" s="219">
        <f t="shared" si="11"/>
        <v>949969.38</v>
      </c>
      <c r="M83" s="219">
        <f t="shared" si="11"/>
        <v>926573.81</v>
      </c>
      <c r="N83" s="219">
        <f t="shared" si="11"/>
        <v>64867.43</v>
      </c>
      <c r="O83" s="219">
        <f t="shared" si="11"/>
        <v>897364.41</v>
      </c>
      <c r="P83" s="219">
        <f t="shared" si="11"/>
        <v>73521.790000000008</v>
      </c>
      <c r="Q83" s="219">
        <f t="shared" si="11"/>
        <v>895843.48</v>
      </c>
      <c r="R83" s="219">
        <f t="shared" si="11"/>
        <v>851363.23384615383</v>
      </c>
    </row>
    <row r="84" spans="1:18" ht="13.5" thickBot="1">
      <c r="A84" s="116">
        <f t="shared" si="9"/>
        <v>15</v>
      </c>
      <c r="B84" s="181" t="s">
        <v>1385</v>
      </c>
      <c r="D84" s="105" t="str">
        <f ca="1">'ATRR Act'!G2&amp;" Line "&amp;'ATRR Act'!A193</f>
        <v>ATRR Act Line 171</v>
      </c>
      <c r="E84" s="105"/>
      <c r="Q84" s="105"/>
      <c r="R84" s="184">
        <f>R76</f>
        <v>0.74699411576883989</v>
      </c>
    </row>
    <row r="85" spans="1:18" ht="13.5" thickBot="1">
      <c r="A85" s="116">
        <f t="shared" si="9"/>
        <v>16</v>
      </c>
      <c r="B85" s="181" t="s">
        <v>1387</v>
      </c>
      <c r="D85" s="105"/>
      <c r="E85" s="105"/>
      <c r="Q85" s="105"/>
      <c r="R85" s="221">
        <f>R83*R84</f>
        <v>635963.32606500771</v>
      </c>
    </row>
    <row r="86" spans="1:18" ht="12.75">
      <c r="A86" s="116">
        <f t="shared" si="9"/>
        <v>17</v>
      </c>
      <c r="B86" s="105"/>
      <c r="R86" s="139"/>
    </row>
    <row r="87" spans="1:18" ht="12.75">
      <c r="A87" s="116">
        <f t="shared" si="9"/>
        <v>18</v>
      </c>
      <c r="B87" s="143" t="s">
        <v>981</v>
      </c>
      <c r="R87" s="139"/>
    </row>
    <row r="88" spans="1:18" ht="13.5" thickBot="1">
      <c r="A88" s="116">
        <f t="shared" si="9"/>
        <v>19</v>
      </c>
      <c r="B88" s="543" t="str">
        <f>B32</f>
        <v>Prepaids - Transmission Expense</v>
      </c>
      <c r="D88" s="758" t="str">
        <f>D32</f>
        <v>Company Records</v>
      </c>
      <c r="E88" s="216">
        <v>3640752.16</v>
      </c>
      <c r="F88" s="216">
        <v>3346663.5</v>
      </c>
      <c r="G88" s="216">
        <v>3030493.48</v>
      </c>
      <c r="H88" s="216">
        <v>2799254.86</v>
      </c>
      <c r="I88" s="216">
        <v>2520585.67</v>
      </c>
      <c r="J88" s="216">
        <v>2232661.88</v>
      </c>
      <c r="K88" s="216">
        <v>1941747.0799999998</v>
      </c>
      <c r="L88" s="216">
        <v>1441138.6999999997</v>
      </c>
      <c r="M88" s="216">
        <v>1195666.3599999999</v>
      </c>
      <c r="N88" s="216">
        <v>873203.55999999982</v>
      </c>
      <c r="O88" s="216">
        <v>585089.31999999983</v>
      </c>
      <c r="P88" s="216">
        <v>290443.72999999981</v>
      </c>
      <c r="Q88" s="216">
        <v>3076624.39</v>
      </c>
      <c r="R88" s="217">
        <f>AVERAGE(E88:Q88)</f>
        <v>2074948.0530769229</v>
      </c>
    </row>
    <row r="89" spans="1:18" ht="13.5" thickBot="1">
      <c r="A89" s="116">
        <f t="shared" si="9"/>
        <v>20</v>
      </c>
      <c r="B89" s="181" t="s">
        <v>117</v>
      </c>
      <c r="E89" s="219">
        <f t="shared" ref="E89:R89" si="12">SUM(E88:E88)</f>
        <v>3640752.16</v>
      </c>
      <c r="F89" s="219">
        <f t="shared" si="12"/>
        <v>3346663.5</v>
      </c>
      <c r="G89" s="219">
        <f t="shared" si="12"/>
        <v>3030493.48</v>
      </c>
      <c r="H89" s="219">
        <f t="shared" si="12"/>
        <v>2799254.86</v>
      </c>
      <c r="I89" s="219">
        <f t="shared" si="12"/>
        <v>2520585.67</v>
      </c>
      <c r="J89" s="219">
        <f t="shared" si="12"/>
        <v>2232661.88</v>
      </c>
      <c r="K89" s="219">
        <f t="shared" si="12"/>
        <v>1941747.0799999998</v>
      </c>
      <c r="L89" s="219">
        <f t="shared" si="12"/>
        <v>1441138.6999999997</v>
      </c>
      <c r="M89" s="219">
        <f t="shared" si="12"/>
        <v>1195666.3599999999</v>
      </c>
      <c r="N89" s="219">
        <f t="shared" si="12"/>
        <v>873203.55999999982</v>
      </c>
      <c r="O89" s="219">
        <f t="shared" si="12"/>
        <v>585089.31999999983</v>
      </c>
      <c r="P89" s="219">
        <f t="shared" si="12"/>
        <v>290443.72999999981</v>
      </c>
      <c r="Q89" s="219">
        <f t="shared" si="12"/>
        <v>3076624.39</v>
      </c>
      <c r="R89" s="476">
        <f t="shared" si="12"/>
        <v>2074948.0530769229</v>
      </c>
    </row>
    <row r="90" spans="1:18" ht="12.75">
      <c r="A90" s="106">
        <f t="shared" si="9"/>
        <v>21</v>
      </c>
      <c r="B90" s="181"/>
      <c r="R90" s="139"/>
    </row>
    <row r="91" spans="1:18" ht="12.75">
      <c r="A91" s="106">
        <f t="shared" si="9"/>
        <v>22</v>
      </c>
      <c r="B91" s="143" t="s">
        <v>1231</v>
      </c>
      <c r="D91" s="99"/>
      <c r="E91" s="99"/>
      <c r="Q91" s="99"/>
      <c r="R91" s="139"/>
    </row>
    <row r="92" spans="1:18" ht="12.75">
      <c r="A92" s="106">
        <f t="shared" si="9"/>
        <v>23</v>
      </c>
      <c r="B92" s="762" t="s">
        <v>1765</v>
      </c>
      <c r="D92" s="758" t="s">
        <v>1383</v>
      </c>
      <c r="E92" s="216">
        <v>102906.00000000003</v>
      </c>
      <c r="F92" s="216">
        <v>111646.28000000003</v>
      </c>
      <c r="G92" s="216">
        <v>119540.73000000003</v>
      </c>
      <c r="H92" s="216">
        <v>128281.01000000002</v>
      </c>
      <c r="I92" s="216">
        <v>136739.35000000003</v>
      </c>
      <c r="J92" s="216">
        <v>145479.63000000003</v>
      </c>
      <c r="K92" s="216">
        <v>153937.97000000003</v>
      </c>
      <c r="L92" s="216">
        <v>162678.25000000003</v>
      </c>
      <c r="M92" s="216">
        <v>68512.530000000028</v>
      </c>
      <c r="N92" s="216">
        <v>76970.870000000024</v>
      </c>
      <c r="O92" s="216">
        <v>85711.150000000023</v>
      </c>
      <c r="P92" s="216">
        <v>94169.49000000002</v>
      </c>
      <c r="Q92" s="216">
        <v>102909.77000000002</v>
      </c>
      <c r="R92" s="139">
        <f>AVERAGE(E92:Q92)</f>
        <v>114575.61769230773</v>
      </c>
    </row>
    <row r="93" spans="1:18" ht="12.75">
      <c r="A93" s="106">
        <f t="shared" si="9"/>
        <v>24</v>
      </c>
      <c r="B93" s="762" t="s">
        <v>1766</v>
      </c>
      <c r="D93" s="758" t="s">
        <v>1383</v>
      </c>
      <c r="E93" s="216">
        <v>0</v>
      </c>
      <c r="F93" s="216">
        <v>1611545.51</v>
      </c>
      <c r="G93" s="216">
        <v>805772.74</v>
      </c>
      <c r="H93" s="216">
        <v>0</v>
      </c>
      <c r="I93" s="216">
        <v>1611478.71</v>
      </c>
      <c r="J93" s="216">
        <v>805739.37</v>
      </c>
      <c r="K93" s="216">
        <v>3.0000000027939677E-2</v>
      </c>
      <c r="L93" s="216">
        <v>1691916.24</v>
      </c>
      <c r="M93" s="216">
        <v>845958.14</v>
      </c>
      <c r="N93" s="216">
        <v>3.0000000027939677E-2</v>
      </c>
      <c r="O93" s="216">
        <v>1691916.23</v>
      </c>
      <c r="P93" s="216">
        <v>845958.13</v>
      </c>
      <c r="Q93" s="216">
        <v>3.0000000027939677E-2</v>
      </c>
      <c r="R93" s="139">
        <f t="shared" ref="R93:R108" si="13">AVERAGE(E93:Q93)</f>
        <v>762329.62769230769</v>
      </c>
    </row>
    <row r="94" spans="1:18" ht="12.75">
      <c r="A94" s="106">
        <f t="shared" si="9"/>
        <v>25</v>
      </c>
      <c r="B94" s="762" t="s">
        <v>1767</v>
      </c>
      <c r="D94" s="758" t="s">
        <v>1383</v>
      </c>
      <c r="E94" s="216">
        <v>1557070</v>
      </c>
      <c r="F94" s="216">
        <v>1365855</v>
      </c>
      <c r="G94" s="216">
        <v>1478065</v>
      </c>
      <c r="H94" s="216">
        <v>637620</v>
      </c>
      <c r="I94" s="216">
        <v>1038885</v>
      </c>
      <c r="J94" s="216">
        <v>1248560</v>
      </c>
      <c r="K94" s="216">
        <v>699060</v>
      </c>
      <c r="L94" s="216">
        <v>837680</v>
      </c>
      <c r="M94" s="216">
        <v>791280</v>
      </c>
      <c r="N94" s="216">
        <v>1265195</v>
      </c>
      <c r="O94" s="216">
        <v>1633500</v>
      </c>
      <c r="P94" s="216">
        <v>386270</v>
      </c>
      <c r="Q94" s="216">
        <v>1197005</v>
      </c>
      <c r="R94" s="139">
        <f t="shared" si="13"/>
        <v>1087388.076923077</v>
      </c>
    </row>
    <row r="95" spans="1:18" ht="12.75">
      <c r="A95" s="106">
        <f t="shared" si="9"/>
        <v>26</v>
      </c>
      <c r="B95" s="762" t="s">
        <v>1768</v>
      </c>
      <c r="D95" s="758" t="s">
        <v>1383</v>
      </c>
      <c r="E95" s="216">
        <v>228500.49999999997</v>
      </c>
      <c r="F95" s="216">
        <v>197810.20999999996</v>
      </c>
      <c r="G95" s="216">
        <v>171008.63999999996</v>
      </c>
      <c r="H95" s="216">
        <v>145067.83999999997</v>
      </c>
      <c r="I95" s="216">
        <v>119386.81999999996</v>
      </c>
      <c r="J95" s="216">
        <v>92213.499999999971</v>
      </c>
      <c r="K95" s="216">
        <v>67900.409999999974</v>
      </c>
      <c r="L95" s="216">
        <v>181123.74999999997</v>
      </c>
      <c r="M95" s="216">
        <v>164852.50999999998</v>
      </c>
      <c r="N95" s="216">
        <v>148293.15999999997</v>
      </c>
      <c r="O95" s="216">
        <v>123831.05999999997</v>
      </c>
      <c r="P95" s="216">
        <v>112419.70999999996</v>
      </c>
      <c r="Q95" s="216">
        <v>240544.96999999997</v>
      </c>
      <c r="R95" s="139">
        <f t="shared" si="13"/>
        <v>153304.08307692304</v>
      </c>
    </row>
    <row r="96" spans="1:18" ht="12.75">
      <c r="A96" s="106">
        <f t="shared" si="9"/>
        <v>27</v>
      </c>
      <c r="B96" s="762" t="s">
        <v>1831</v>
      </c>
      <c r="D96" s="758" t="s">
        <v>1383</v>
      </c>
      <c r="E96" s="216">
        <v>-36000</v>
      </c>
      <c r="F96" s="216">
        <v>-36000</v>
      </c>
      <c r="G96" s="216">
        <v>206000</v>
      </c>
      <c r="H96" s="216">
        <v>206000</v>
      </c>
      <c r="I96" s="216">
        <v>206000</v>
      </c>
      <c r="J96" s="216">
        <v>206000</v>
      </c>
      <c r="K96" s="216">
        <v>206000</v>
      </c>
      <c r="L96" s="216">
        <v>206000</v>
      </c>
      <c r="M96" s="216">
        <v>206000</v>
      </c>
      <c r="N96" s="216">
        <v>206000</v>
      </c>
      <c r="O96" s="216">
        <v>206000</v>
      </c>
      <c r="P96" s="216">
        <v>206000</v>
      </c>
      <c r="Q96" s="216">
        <v>417947.5</v>
      </c>
      <c r="R96" s="139">
        <f t="shared" si="13"/>
        <v>185072.88461538462</v>
      </c>
    </row>
    <row r="97" spans="1:18" ht="12.75">
      <c r="A97" s="106">
        <f t="shared" si="9"/>
        <v>28</v>
      </c>
      <c r="B97" s="762" t="s">
        <v>1770</v>
      </c>
      <c r="D97" s="758" t="s">
        <v>1383</v>
      </c>
      <c r="E97" s="216">
        <v>-9.9999999511055648E-3</v>
      </c>
      <c r="F97" s="216">
        <v>1238365.33</v>
      </c>
      <c r="G97" s="216">
        <v>1683775.6600000001</v>
      </c>
      <c r="H97" s="216">
        <v>1501448.37</v>
      </c>
      <c r="I97" s="216">
        <v>1353460.31</v>
      </c>
      <c r="J97" s="216">
        <v>1171133.02</v>
      </c>
      <c r="K97" s="216">
        <v>988805.73</v>
      </c>
      <c r="L97" s="216">
        <v>772139.21</v>
      </c>
      <c r="M97" s="216">
        <v>589811.91999999993</v>
      </c>
      <c r="N97" s="216">
        <v>407484.62999999989</v>
      </c>
      <c r="O97" s="216">
        <v>225157.3299999999</v>
      </c>
      <c r="P97" s="216">
        <v>112578.6599999999</v>
      </c>
      <c r="Q97" s="216">
        <v>-1.0000000096624717E-2</v>
      </c>
      <c r="R97" s="139">
        <f t="shared" si="13"/>
        <v>772627.70384615404</v>
      </c>
    </row>
    <row r="98" spans="1:18" ht="12.75">
      <c r="A98" s="106">
        <f t="shared" si="9"/>
        <v>29</v>
      </c>
      <c r="B98" s="762" t="s">
        <v>1771</v>
      </c>
      <c r="D98" s="758" t="s">
        <v>1383</v>
      </c>
      <c r="E98" s="216">
        <v>397769.41000000003</v>
      </c>
      <c r="F98" s="216">
        <v>412086.08</v>
      </c>
      <c r="G98" s="216">
        <v>0</v>
      </c>
      <c r="H98" s="216">
        <v>0</v>
      </c>
      <c r="I98" s="216">
        <v>0</v>
      </c>
      <c r="J98" s="216">
        <v>0</v>
      </c>
      <c r="K98" s="216">
        <v>0</v>
      </c>
      <c r="L98" s="216">
        <v>0</v>
      </c>
      <c r="M98" s="216">
        <v>0</v>
      </c>
      <c r="N98" s="216">
        <v>0</v>
      </c>
      <c r="O98" s="216">
        <v>0</v>
      </c>
      <c r="P98" s="216">
        <v>0</v>
      </c>
      <c r="Q98" s="216">
        <v>0</v>
      </c>
      <c r="R98" s="139">
        <f t="shared" si="13"/>
        <v>62296.576153846152</v>
      </c>
    </row>
    <row r="99" spans="1:18" ht="12.75">
      <c r="A99" s="106">
        <f t="shared" si="9"/>
        <v>30</v>
      </c>
      <c r="B99" s="762" t="s">
        <v>1772</v>
      </c>
      <c r="D99" s="758" t="s">
        <v>1383</v>
      </c>
      <c r="E99" s="216">
        <v>606933.53</v>
      </c>
      <c r="F99" s="216">
        <v>0</v>
      </c>
      <c r="G99" s="216">
        <v>0</v>
      </c>
      <c r="H99" s="216">
        <v>0</v>
      </c>
      <c r="I99" s="216">
        <v>0</v>
      </c>
      <c r="J99" s="216">
        <v>0</v>
      </c>
      <c r="K99" s="216">
        <v>0</v>
      </c>
      <c r="L99" s="216">
        <v>0</v>
      </c>
      <c r="M99" s="216">
        <v>0</v>
      </c>
      <c r="N99" s="216">
        <v>0</v>
      </c>
      <c r="O99" s="216">
        <v>0</v>
      </c>
      <c r="P99" s="216">
        <v>0</v>
      </c>
      <c r="Q99" s="216">
        <v>0</v>
      </c>
      <c r="R99" s="139">
        <f t="shared" si="13"/>
        <v>46687.194615384615</v>
      </c>
    </row>
    <row r="100" spans="1:18" ht="12.75">
      <c r="A100" s="106">
        <f t="shared" si="9"/>
        <v>31</v>
      </c>
      <c r="B100" s="762" t="s">
        <v>1832</v>
      </c>
      <c r="D100" s="758" t="s">
        <v>1383</v>
      </c>
      <c r="E100" s="216">
        <v>17587.5</v>
      </c>
      <c r="F100" s="216">
        <v>22978.33</v>
      </c>
      <c r="G100" s="216">
        <v>4047.2300000000032</v>
      </c>
      <c r="H100" s="216">
        <v>1894.450000000003</v>
      </c>
      <c r="I100" s="216">
        <v>3705.5500000000029</v>
      </c>
      <c r="J100" s="216">
        <v>17363.340000000004</v>
      </c>
      <c r="K100" s="216">
        <v>0</v>
      </c>
      <c r="L100" s="216">
        <v>0</v>
      </c>
      <c r="M100" s="216">
        <v>0</v>
      </c>
      <c r="N100" s="216">
        <v>0</v>
      </c>
      <c r="O100" s="216">
        <v>0</v>
      </c>
      <c r="P100" s="216">
        <v>0</v>
      </c>
      <c r="Q100" s="216">
        <v>0</v>
      </c>
      <c r="R100" s="139">
        <f t="shared" si="13"/>
        <v>5198.1846153846172</v>
      </c>
    </row>
    <row r="101" spans="1:18" ht="12.75">
      <c r="A101" s="106">
        <f t="shared" si="9"/>
        <v>32</v>
      </c>
      <c r="B101" s="762" t="s">
        <v>1833</v>
      </c>
      <c r="D101" s="758" t="s">
        <v>1383</v>
      </c>
      <c r="E101" s="216">
        <v>171440.43</v>
      </c>
      <c r="F101" s="216">
        <v>157153.72999999998</v>
      </c>
      <c r="G101" s="216">
        <v>142867.02999999997</v>
      </c>
      <c r="H101" s="216">
        <v>128580.32999999997</v>
      </c>
      <c r="I101" s="216">
        <v>114293.62999999998</v>
      </c>
      <c r="J101" s="216">
        <v>100006.92999999998</v>
      </c>
      <c r="K101" s="216">
        <v>85720.229999999981</v>
      </c>
      <c r="L101" s="216">
        <v>71433.529999999984</v>
      </c>
      <c r="M101" s="216">
        <v>57146.829999999987</v>
      </c>
      <c r="N101" s="216">
        <v>42860.12999999999</v>
      </c>
      <c r="O101" s="216">
        <v>28573.429999999989</v>
      </c>
      <c r="P101" s="216">
        <v>14286.729999999989</v>
      </c>
      <c r="Q101" s="216">
        <v>176974.47999999998</v>
      </c>
      <c r="R101" s="139">
        <f t="shared" si="13"/>
        <v>99333.64923076921</v>
      </c>
    </row>
    <row r="102" spans="1:18" ht="12.75">
      <c r="A102" s="106">
        <f t="shared" si="9"/>
        <v>33</v>
      </c>
      <c r="B102" s="762" t="s">
        <v>1775</v>
      </c>
      <c r="D102" s="758" t="s">
        <v>1383</v>
      </c>
      <c r="E102" s="216">
        <v>-0.1700000002165325</v>
      </c>
      <c r="F102" s="216">
        <v>1758295.66</v>
      </c>
      <c r="G102" s="216">
        <v>1555632.41</v>
      </c>
      <c r="H102" s="216">
        <v>1352969.16</v>
      </c>
      <c r="I102" s="216">
        <v>1150305.9099999999</v>
      </c>
      <c r="J102" s="216">
        <v>947642.65999999992</v>
      </c>
      <c r="K102" s="216">
        <v>744979.40999999992</v>
      </c>
      <c r="L102" s="216">
        <v>620816.15999999992</v>
      </c>
      <c r="M102" s="216">
        <v>496652.90999999992</v>
      </c>
      <c r="N102" s="216">
        <v>372489.65999999992</v>
      </c>
      <c r="O102" s="216">
        <v>248326.40999999992</v>
      </c>
      <c r="P102" s="216">
        <v>124163.15999999992</v>
      </c>
      <c r="Q102" s="216">
        <v>278671.72999999992</v>
      </c>
      <c r="R102" s="139">
        <f t="shared" si="13"/>
        <v>742380.39</v>
      </c>
    </row>
    <row r="103" spans="1:18" ht="12.75">
      <c r="A103" s="106">
        <f t="shared" si="9"/>
        <v>34</v>
      </c>
      <c r="B103" s="762" t="s">
        <v>1776</v>
      </c>
      <c r="D103" s="758" t="s">
        <v>1383</v>
      </c>
      <c r="E103" s="216">
        <v>0</v>
      </c>
      <c r="F103" s="216">
        <v>0</v>
      </c>
      <c r="G103" s="216">
        <v>0</v>
      </c>
      <c r="H103" s="216">
        <v>0</v>
      </c>
      <c r="I103" s="216">
        <v>0</v>
      </c>
      <c r="J103" s="216">
        <v>0</v>
      </c>
      <c r="K103" s="216">
        <v>0</v>
      </c>
      <c r="L103" s="216">
        <v>0</v>
      </c>
      <c r="M103" s="216">
        <v>0</v>
      </c>
      <c r="N103" s="216">
        <v>0</v>
      </c>
      <c r="O103" s="216">
        <v>0</v>
      </c>
      <c r="P103" s="216">
        <v>0</v>
      </c>
      <c r="Q103" s="216">
        <v>0</v>
      </c>
      <c r="R103" s="139">
        <f t="shared" si="13"/>
        <v>0</v>
      </c>
    </row>
    <row r="104" spans="1:18" ht="12.75">
      <c r="A104" s="106">
        <f t="shared" si="9"/>
        <v>35</v>
      </c>
      <c r="B104" s="762" t="s">
        <v>1777</v>
      </c>
      <c r="D104" s="758" t="s">
        <v>1383</v>
      </c>
      <c r="E104" s="216">
        <v>3369033</v>
      </c>
      <c r="F104" s="216">
        <v>3369033</v>
      </c>
      <c r="G104" s="216">
        <v>3369033</v>
      </c>
      <c r="H104" s="216">
        <v>3709339</v>
      </c>
      <c r="I104" s="216">
        <v>3709339</v>
      </c>
      <c r="J104" s="216">
        <v>3709339</v>
      </c>
      <c r="K104" s="216">
        <v>3718513</v>
      </c>
      <c r="L104" s="216">
        <v>3718513</v>
      </c>
      <c r="M104" s="216">
        <v>3718513</v>
      </c>
      <c r="N104" s="216">
        <v>3562122</v>
      </c>
      <c r="O104" s="216">
        <v>3562122</v>
      </c>
      <c r="P104" s="216">
        <v>3562122</v>
      </c>
      <c r="Q104" s="216">
        <v>3718514</v>
      </c>
      <c r="R104" s="139">
        <f t="shared" si="13"/>
        <v>3599656.5384615385</v>
      </c>
    </row>
    <row r="105" spans="1:18" ht="12.75">
      <c r="A105" s="106">
        <f t="shared" si="9"/>
        <v>36</v>
      </c>
      <c r="B105" s="762" t="s">
        <v>1857</v>
      </c>
      <c r="D105" s="758" t="s">
        <v>1383</v>
      </c>
      <c r="E105" s="216">
        <v>69444.679999999877</v>
      </c>
      <c r="F105" s="216">
        <v>55555.719999999877</v>
      </c>
      <c r="G105" s="216">
        <v>41666.759999999878</v>
      </c>
      <c r="H105" s="216">
        <v>27777.799999999879</v>
      </c>
      <c r="I105" s="216">
        <v>13888.83999999988</v>
      </c>
      <c r="J105" s="216">
        <v>-0.12000000011903467</v>
      </c>
      <c r="K105" s="216">
        <v>-1.1903467100893295E-10</v>
      </c>
      <c r="L105" s="216">
        <v>-1.1903467100893295E-10</v>
      </c>
      <c r="M105" s="216">
        <v>-1.1903467100893295E-10</v>
      </c>
      <c r="N105" s="216">
        <v>-1.1903467100893295E-10</v>
      </c>
      <c r="O105" s="216">
        <v>-1.1903467100893295E-10</v>
      </c>
      <c r="P105" s="216">
        <v>-1.1903467100893295E-10</v>
      </c>
      <c r="Q105" s="216">
        <v>-1.1903467100893295E-10</v>
      </c>
      <c r="R105" s="139">
        <f t="shared" si="13"/>
        <v>16025.667692307574</v>
      </c>
    </row>
    <row r="106" spans="1:18" ht="12.75">
      <c r="A106" s="106">
        <f t="shared" si="9"/>
        <v>37</v>
      </c>
      <c r="B106" s="762" t="s">
        <v>1815</v>
      </c>
      <c r="D106" s="758" t="s">
        <v>1383</v>
      </c>
      <c r="E106" s="216">
        <v>2727166.5600000019</v>
      </c>
      <c r="F106" s="216">
        <v>2579249.890000002</v>
      </c>
      <c r="G106" s="216">
        <v>2431333.2200000021</v>
      </c>
      <c r="H106" s="216">
        <v>2283416.5500000021</v>
      </c>
      <c r="I106" s="216">
        <v>2135499.8800000022</v>
      </c>
      <c r="J106" s="216">
        <v>3631079.4600000023</v>
      </c>
      <c r="K106" s="216">
        <v>3483754.0400000024</v>
      </c>
      <c r="L106" s="216">
        <v>3336428.6200000024</v>
      </c>
      <c r="M106" s="216">
        <v>3189103.2000000025</v>
      </c>
      <c r="N106" s="216">
        <v>3041777.7800000026</v>
      </c>
      <c r="O106" s="216">
        <v>2894452.3600000027</v>
      </c>
      <c r="P106" s="216">
        <v>2747126.9400000027</v>
      </c>
      <c r="Q106" s="216">
        <v>2599801.5200000028</v>
      </c>
      <c r="R106" s="139">
        <f t="shared" si="13"/>
        <v>2852322.3092307718</v>
      </c>
    </row>
    <row r="107" spans="1:18" ht="12.75">
      <c r="A107" s="106"/>
      <c r="B107" s="762" t="s">
        <v>1858</v>
      </c>
      <c r="D107" s="758" t="s">
        <v>1383</v>
      </c>
      <c r="E107" s="216">
        <v>0</v>
      </c>
      <c r="F107" s="216">
        <v>0</v>
      </c>
      <c r="G107" s="216">
        <v>0</v>
      </c>
      <c r="H107" s="216">
        <v>0</v>
      </c>
      <c r="I107" s="216">
        <v>0</v>
      </c>
      <c r="J107" s="216">
        <v>0</v>
      </c>
      <c r="K107" s="216">
        <v>0</v>
      </c>
      <c r="L107" s="216">
        <v>0</v>
      </c>
      <c r="M107" s="216">
        <v>0</v>
      </c>
      <c r="N107" s="216">
        <v>0</v>
      </c>
      <c r="O107" s="216">
        <v>0</v>
      </c>
      <c r="P107" s="216">
        <v>0</v>
      </c>
      <c r="Q107" s="216">
        <v>25600</v>
      </c>
      <c r="R107" s="139">
        <f t="shared" si="13"/>
        <v>1969.2307692307693</v>
      </c>
    </row>
    <row r="108" spans="1:18" ht="12.75">
      <c r="A108" s="106">
        <f>A106+1</f>
        <v>38</v>
      </c>
      <c r="B108" s="762" t="s">
        <v>1769</v>
      </c>
      <c r="D108" s="758" t="s">
        <v>1383</v>
      </c>
      <c r="E108" s="216">
        <v>248462</v>
      </c>
      <c r="F108" s="216">
        <v>248462</v>
      </c>
      <c r="G108" s="216">
        <v>248462</v>
      </c>
      <c r="H108" s="216">
        <v>248462</v>
      </c>
      <c r="I108" s="216">
        <v>248462</v>
      </c>
      <c r="J108" s="216">
        <v>248462</v>
      </c>
      <c r="K108" s="216">
        <v>248462</v>
      </c>
      <c r="L108" s="216">
        <v>248462</v>
      </c>
      <c r="M108" s="216">
        <v>248462</v>
      </c>
      <c r="N108" s="216">
        <v>248462</v>
      </c>
      <c r="O108" s="216">
        <v>248462</v>
      </c>
      <c r="P108" s="216">
        <v>248462</v>
      </c>
      <c r="Q108" s="216">
        <v>248462</v>
      </c>
      <c r="R108" s="139">
        <f t="shared" si="13"/>
        <v>248462</v>
      </c>
    </row>
    <row r="109" spans="1:18" ht="12.75">
      <c r="A109" s="106">
        <f t="shared" si="9"/>
        <v>39</v>
      </c>
      <c r="B109" s="181" t="s">
        <v>1293</v>
      </c>
      <c r="D109" s="105"/>
      <c r="E109" s="219">
        <f t="shared" ref="E109:R109" si="14">SUM(E92:E108)</f>
        <v>9460313.4300000016</v>
      </c>
      <c r="F109" s="219">
        <f t="shared" si="14"/>
        <v>13092036.740000004</v>
      </c>
      <c r="G109" s="219">
        <f t="shared" si="14"/>
        <v>12257204.420000004</v>
      </c>
      <c r="H109" s="219">
        <f t="shared" si="14"/>
        <v>10370856.510000002</v>
      </c>
      <c r="I109" s="219">
        <f t="shared" si="14"/>
        <v>11841445.000000002</v>
      </c>
      <c r="J109" s="219">
        <f t="shared" si="14"/>
        <v>12323018.790000001</v>
      </c>
      <c r="K109" s="219">
        <f t="shared" si="14"/>
        <v>10397132.820000002</v>
      </c>
      <c r="L109" s="219">
        <f t="shared" si="14"/>
        <v>11847190.760000002</v>
      </c>
      <c r="M109" s="219">
        <f t="shared" si="14"/>
        <v>10376293.040000003</v>
      </c>
      <c r="N109" s="219">
        <f t="shared" si="14"/>
        <v>9371655.2600000016</v>
      </c>
      <c r="O109" s="219">
        <f t="shared" si="14"/>
        <v>10948051.970000003</v>
      </c>
      <c r="P109" s="219">
        <f t="shared" si="14"/>
        <v>8453556.8200000022</v>
      </c>
      <c r="Q109" s="219">
        <f t="shared" si="14"/>
        <v>9006430.9900000039</v>
      </c>
      <c r="R109" s="217">
        <f t="shared" si="14"/>
        <v>10749629.734615387</v>
      </c>
    </row>
    <row r="110" spans="1:18" ht="13.5" thickBot="1">
      <c r="A110" s="106">
        <f t="shared" si="9"/>
        <v>40</v>
      </c>
      <c r="B110" s="181" t="s">
        <v>1385</v>
      </c>
      <c r="D110" s="105" t="str">
        <f ca="1">'ATRR Act'!G2&amp;" Line "&amp;'ATRR Act'!A193</f>
        <v>ATRR Act Line 171</v>
      </c>
      <c r="E110" s="219"/>
      <c r="Q110" s="219"/>
      <c r="R110" s="184">
        <f>R84</f>
        <v>0.74699411576883989</v>
      </c>
    </row>
    <row r="111" spans="1:18" ht="13.5" thickBot="1">
      <c r="A111" s="106">
        <f t="shared" si="9"/>
        <v>41</v>
      </c>
      <c r="B111" s="181" t="s">
        <v>322</v>
      </c>
      <c r="D111" s="105"/>
      <c r="E111" s="219"/>
      <c r="Q111" s="219"/>
      <c r="R111" s="221">
        <f>R109*R110</f>
        <v>8029910.1584514501</v>
      </c>
    </row>
    <row r="112" spans="1:18" ht="13.5" thickBot="1">
      <c r="A112" s="106">
        <f t="shared" si="9"/>
        <v>42</v>
      </c>
      <c r="B112" s="143" t="s">
        <v>211</v>
      </c>
      <c r="D112" s="106" t="str">
        <f>"Lines "&amp;A75&amp;" + "&amp;A83&amp;" + "&amp;A89&amp;" + "&amp;A109</f>
        <v>Lines 6 + 14 + 20 + 39</v>
      </c>
      <c r="E112" s="479">
        <f t="shared" ref="E112:Q112" si="15">E109+E89+E83+E75</f>
        <v>24294909.710000005</v>
      </c>
      <c r="F112" s="479">
        <f t="shared" si="15"/>
        <v>27238265.750000007</v>
      </c>
      <c r="G112" s="479">
        <f t="shared" si="15"/>
        <v>25552908.780000009</v>
      </c>
      <c r="H112" s="479">
        <f t="shared" si="15"/>
        <v>22726926.130000003</v>
      </c>
      <c r="I112" s="479">
        <f t="shared" si="15"/>
        <v>22947329.170000006</v>
      </c>
      <c r="J112" s="479">
        <f t="shared" si="15"/>
        <v>22184067.850000005</v>
      </c>
      <c r="K112" s="479">
        <f t="shared" si="15"/>
        <v>18886272.430000007</v>
      </c>
      <c r="L112" s="479">
        <f t="shared" si="15"/>
        <v>18904448.220000006</v>
      </c>
      <c r="M112" s="479">
        <f t="shared" si="15"/>
        <v>19980595.63000001</v>
      </c>
      <c r="N112" s="479">
        <f t="shared" si="15"/>
        <v>16926851.600000005</v>
      </c>
      <c r="O112" s="479">
        <f t="shared" si="15"/>
        <v>18300364.430000007</v>
      </c>
      <c r="P112" s="479">
        <f t="shared" si="15"/>
        <v>12167388.050000004</v>
      </c>
      <c r="Q112" s="479">
        <f t="shared" si="15"/>
        <v>21316254.380000006</v>
      </c>
      <c r="R112" s="220"/>
    </row>
    <row r="113" spans="1:18" ht="13.5" thickTop="1">
      <c r="A113" s="106">
        <f t="shared" si="9"/>
        <v>43</v>
      </c>
      <c r="B113" s="143"/>
      <c r="D113" s="140"/>
      <c r="E113" s="264"/>
      <c r="F113" s="264"/>
      <c r="G113" s="264"/>
      <c r="H113" s="264"/>
      <c r="I113" s="264"/>
      <c r="J113" s="264"/>
      <c r="K113" s="264"/>
      <c r="L113" s="264"/>
      <c r="M113" s="264"/>
      <c r="N113" s="264"/>
      <c r="O113" s="264"/>
      <c r="P113" s="264"/>
      <c r="Q113" s="264"/>
      <c r="R113" s="220"/>
    </row>
    <row r="114" spans="1:18" ht="12.75">
      <c r="A114" s="106">
        <f t="shared" si="9"/>
        <v>44</v>
      </c>
      <c r="B114" s="563" t="s">
        <v>1040</v>
      </c>
      <c r="C114" s="544"/>
      <c r="D114" s="110"/>
      <c r="E114" s="217"/>
      <c r="F114" s="264"/>
      <c r="G114" s="264"/>
      <c r="H114" s="264"/>
      <c r="I114" s="264"/>
      <c r="J114" s="264"/>
      <c r="K114" s="264"/>
      <c r="L114" s="264"/>
      <c r="M114" s="264"/>
      <c r="N114" s="264"/>
      <c r="O114" s="264"/>
      <c r="P114" s="264"/>
      <c r="Q114" s="264"/>
      <c r="R114" s="220"/>
    </row>
    <row r="115" spans="1:18" ht="12.75">
      <c r="A115" s="106">
        <f t="shared" si="9"/>
        <v>45</v>
      </c>
      <c r="B115" s="543" t="s">
        <v>1821</v>
      </c>
      <c r="D115" s="758" t="str">
        <f>D55</f>
        <v>Company Records</v>
      </c>
      <c r="E115" s="216">
        <v>9215270.4600000009</v>
      </c>
      <c r="F115" s="216">
        <v>0</v>
      </c>
      <c r="G115" s="216">
        <v>0</v>
      </c>
      <c r="H115" s="216">
        <v>10047533.539999999</v>
      </c>
      <c r="I115" s="216">
        <v>4768419.4899999993</v>
      </c>
      <c r="J115" s="216">
        <v>0</v>
      </c>
      <c r="K115" s="216">
        <v>21968110.859999999</v>
      </c>
      <c r="L115" s="216">
        <v>0</v>
      </c>
      <c r="M115" s="216">
        <v>0</v>
      </c>
      <c r="N115" s="216">
        <v>1109829.8500000001</v>
      </c>
      <c r="O115" s="216">
        <v>0</v>
      </c>
      <c r="P115" s="216">
        <v>0</v>
      </c>
      <c r="Q115" s="216">
        <v>0</v>
      </c>
      <c r="R115" s="139">
        <f t="shared" ref="R115:R116" si="16">AVERAGE(E115:Q115)</f>
        <v>3623781.8615384614</v>
      </c>
    </row>
    <row r="116" spans="1:18" ht="12.75">
      <c r="A116" s="106">
        <f t="shared" si="9"/>
        <v>46</v>
      </c>
      <c r="B116" s="543" t="s">
        <v>1822</v>
      </c>
      <c r="D116" s="758" t="str">
        <f>D56</f>
        <v>Company Records</v>
      </c>
      <c r="E116" s="216">
        <v>0</v>
      </c>
      <c r="F116" s="216">
        <v>0</v>
      </c>
      <c r="G116" s="216">
        <v>0</v>
      </c>
      <c r="H116" s="216">
        <v>0</v>
      </c>
      <c r="I116" s="216">
        <v>0</v>
      </c>
      <c r="J116" s="216">
        <v>0</v>
      </c>
      <c r="K116" s="216">
        <v>0</v>
      </c>
      <c r="L116" s="216">
        <v>0</v>
      </c>
      <c r="M116" s="216">
        <v>0</v>
      </c>
      <c r="N116" s="216">
        <v>3400.76</v>
      </c>
      <c r="O116" s="216">
        <v>311</v>
      </c>
      <c r="P116" s="216">
        <v>311</v>
      </c>
      <c r="Q116" s="216">
        <v>311</v>
      </c>
      <c r="R116" s="139">
        <f t="shared" si="16"/>
        <v>333.36615384615385</v>
      </c>
    </row>
    <row r="117" spans="1:18" ht="12.75">
      <c r="A117" s="106">
        <f t="shared" si="9"/>
        <v>47</v>
      </c>
      <c r="B117" s="749"/>
      <c r="D117" s="758"/>
      <c r="E117" s="216"/>
      <c r="F117" s="216"/>
      <c r="G117" s="216"/>
      <c r="H117" s="216"/>
      <c r="I117" s="216"/>
      <c r="J117" s="216"/>
      <c r="K117" s="216"/>
      <c r="L117" s="216"/>
      <c r="M117" s="216"/>
      <c r="N117" s="216"/>
      <c r="O117" s="216"/>
      <c r="P117" s="216"/>
      <c r="Q117" s="216"/>
      <c r="R117" s="220"/>
    </row>
    <row r="118" spans="1:18" ht="12.75">
      <c r="A118" s="106">
        <f t="shared" si="9"/>
        <v>48</v>
      </c>
      <c r="B118" s="143"/>
      <c r="C118" s="544"/>
      <c r="D118" s="140"/>
      <c r="E118" s="264"/>
      <c r="F118" s="264"/>
      <c r="G118" s="264"/>
      <c r="H118" s="264"/>
      <c r="I118" s="264"/>
      <c r="J118" s="264"/>
      <c r="K118" s="264"/>
      <c r="L118" s="264"/>
      <c r="M118" s="264"/>
      <c r="N118" s="264"/>
      <c r="O118" s="264"/>
      <c r="P118" s="264"/>
      <c r="Q118" s="264"/>
      <c r="R118" s="220"/>
    </row>
    <row r="119" spans="1:18" ht="39" thickBot="1">
      <c r="A119" s="106">
        <f t="shared" si="9"/>
        <v>49</v>
      </c>
      <c r="B119" s="143" t="s">
        <v>790</v>
      </c>
      <c r="C119" s="544"/>
      <c r="D119" s="140" t="s">
        <v>375</v>
      </c>
      <c r="E119" s="479">
        <f t="shared" ref="E119:P119" si="17">SUM(E112:E118)</f>
        <v>33510180.170000006</v>
      </c>
      <c r="F119" s="479">
        <f t="shared" si="17"/>
        <v>27238265.750000007</v>
      </c>
      <c r="G119" s="479">
        <f t="shared" si="17"/>
        <v>25552908.780000009</v>
      </c>
      <c r="H119" s="479">
        <f t="shared" si="17"/>
        <v>32774459.670000002</v>
      </c>
      <c r="I119" s="479">
        <f t="shared" si="17"/>
        <v>27715748.660000004</v>
      </c>
      <c r="J119" s="479">
        <f t="shared" si="17"/>
        <v>22184067.850000005</v>
      </c>
      <c r="K119" s="479">
        <f t="shared" si="17"/>
        <v>40854383.290000007</v>
      </c>
      <c r="L119" s="479">
        <f t="shared" si="17"/>
        <v>18904448.220000006</v>
      </c>
      <c r="M119" s="479">
        <f t="shared" si="17"/>
        <v>19980595.63000001</v>
      </c>
      <c r="N119" s="479">
        <f t="shared" si="17"/>
        <v>18040082.210000008</v>
      </c>
      <c r="O119" s="479">
        <f t="shared" si="17"/>
        <v>18300675.430000007</v>
      </c>
      <c r="P119" s="479">
        <f t="shared" si="17"/>
        <v>12167699.050000004</v>
      </c>
      <c r="Q119" s="479">
        <f>SUM(Q112:Q118)</f>
        <v>21316565.380000006</v>
      </c>
    </row>
    <row r="120" spans="1:18" ht="13.5" thickTop="1">
      <c r="A120" s="106"/>
      <c r="B120" s="143"/>
      <c r="C120" s="544"/>
      <c r="D120" s="140"/>
      <c r="E120" s="264"/>
    </row>
    <row r="121" spans="1:18" ht="12.75">
      <c r="A121" s="106"/>
      <c r="B121" s="187" t="s">
        <v>763</v>
      </c>
    </row>
    <row r="122" spans="1:18" ht="9.9499999999999993" customHeight="1">
      <c r="B122" s="187"/>
    </row>
    <row r="127" spans="1:18" ht="9.9499999999999993" customHeight="1">
      <c r="E127" s="551"/>
      <c r="Q127" s="551"/>
    </row>
  </sheetData>
  <phoneticPr fontId="2" type="noConversion"/>
  <printOptions horizontalCentered="1"/>
  <pageMargins left="0.75" right="0.75" top="1" bottom="1" header="0.5" footer="0.5"/>
  <pageSetup scale="45" fitToHeight="2" orientation="landscape" r:id="rId1"/>
  <headerFooter alignWithMargins="0">
    <oddHeader>&amp;RPage &amp;P of &amp;N</oddHeader>
  </headerFooter>
  <rowBreaks count="1" manualBreakCount="1">
    <brk id="6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A15"/>
  <sheetViews>
    <sheetView tabSelected="1" view="pageBreakPreview" zoomScale="60" zoomScaleNormal="100" workbookViewId="0">
      <selection activeCell="Z34" sqref="Z34"/>
    </sheetView>
  </sheetViews>
  <sheetFormatPr defaultRowHeight="12.75"/>
  <cols>
    <col min="1" max="1" width="94.42578125" customWidth="1"/>
  </cols>
  <sheetData>
    <row r="5" spans="1:1" ht="20.25">
      <c r="A5" s="3" t="s">
        <v>774</v>
      </c>
    </row>
    <row r="6" spans="1:1" ht="20.25">
      <c r="A6" s="3" t="s">
        <v>378</v>
      </c>
    </row>
    <row r="7" spans="1:1" ht="20.25">
      <c r="A7" s="4" t="s">
        <v>1720</v>
      </c>
    </row>
    <row r="14" spans="1:1">
      <c r="A14" s="615"/>
    </row>
    <row r="15" spans="1:1" ht="15">
      <c r="A15" s="616"/>
    </row>
  </sheetData>
  <phoneticPr fontId="2" type="noConversion"/>
  <pageMargins left="0.75" right="0.75" top="1" bottom="1" header="0.5" footer="0.5"/>
  <pageSetup orientation="portrait" r:id="rId1"/>
  <headerFooter alignWithMargins="0">
    <oddHeader>&amp;RPage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1:G83"/>
  <sheetViews>
    <sheetView view="pageBreakPreview" topLeftCell="A25" zoomScale="60" zoomScaleNormal="90" workbookViewId="0">
      <selection activeCell="Z34" sqref="Z34"/>
    </sheetView>
  </sheetViews>
  <sheetFormatPr defaultRowHeight="12.75"/>
  <cols>
    <col min="1" max="1" width="9.28515625" bestFit="1" customWidth="1"/>
    <col min="2" max="2" width="56.42578125" bestFit="1" customWidth="1"/>
    <col min="3" max="3" width="7.7109375" customWidth="1"/>
    <col min="4" max="4" width="26.140625" bestFit="1" customWidth="1"/>
    <col min="5" max="5" width="14" customWidth="1"/>
    <col min="6" max="6" width="1.85546875" customWidth="1"/>
    <col min="7" max="7" width="12.140625" bestFit="1" customWidth="1"/>
  </cols>
  <sheetData>
    <row r="1" spans="1:6">
      <c r="A1" s="99" t="str">
        <f>'Cover Page'!A5</f>
        <v>Public Service Company of Colorado</v>
      </c>
      <c r="E1" s="577" t="str">
        <f>'Table of Contents'!A20</f>
        <v>Table 12</v>
      </c>
    </row>
    <row r="2" spans="1:6">
      <c r="A2" s="99" t="str">
        <f>'Cover Page'!A6</f>
        <v>Transmission Formula Rate Template</v>
      </c>
      <c r="E2" s="577" t="str">
        <f ca="1">MID(CELL("filename",$A$1),FIND("]",CELL("filename",$A$1))+1,LEN(CELL("filename",$A$1))-FIND("]",CELL("filename",$A$1)))</f>
        <v>WP_B-6</v>
      </c>
    </row>
    <row r="3" spans="1:6">
      <c r="A3" s="99" t="str">
        <f>'Cover Page'!A7</f>
        <v>Twelve Months Ended December 31, 2017</v>
      </c>
      <c r="E3" s="110"/>
    </row>
    <row r="4" spans="1:6">
      <c r="A4" s="99" t="s">
        <v>1341</v>
      </c>
    </row>
    <row r="6" spans="1:6" ht="13.5" thickBot="1"/>
    <row r="7" spans="1:6">
      <c r="A7" s="743" t="s">
        <v>983</v>
      </c>
      <c r="B7" s="305"/>
      <c r="C7" s="305"/>
      <c r="D7" s="305"/>
      <c r="E7" s="590"/>
    </row>
    <row r="8" spans="1:6" ht="25.5">
      <c r="A8" s="560" t="s">
        <v>862</v>
      </c>
      <c r="B8" s="2" t="s">
        <v>1342</v>
      </c>
      <c r="C8" s="2" t="s">
        <v>1343</v>
      </c>
      <c r="D8" s="274" t="s">
        <v>864</v>
      </c>
      <c r="E8" s="597" t="s">
        <v>760</v>
      </c>
      <c r="F8" s="164"/>
    </row>
    <row r="9" spans="1:6">
      <c r="A9" s="258"/>
      <c r="B9" s="116" t="s">
        <v>358</v>
      </c>
      <c r="C9" s="116" t="s">
        <v>1344</v>
      </c>
      <c r="D9" s="116" t="s">
        <v>359</v>
      </c>
      <c r="E9" s="791" t="s">
        <v>360</v>
      </c>
      <c r="F9" s="164"/>
    </row>
    <row r="10" spans="1:6" ht="13.5" thickBot="1">
      <c r="A10" s="258"/>
      <c r="B10" s="176"/>
      <c r="C10" s="164"/>
      <c r="D10" s="194"/>
      <c r="E10" s="744"/>
      <c r="F10" s="164"/>
    </row>
    <row r="11" spans="1:6" ht="13.5" thickBot="1">
      <c r="A11" s="260">
        <v>1</v>
      </c>
      <c r="B11" s="262" t="s">
        <v>909</v>
      </c>
      <c r="C11" s="747">
        <v>2016</v>
      </c>
      <c r="D11" s="198" t="s">
        <v>1363</v>
      </c>
      <c r="E11" s="745">
        <v>55613092.880000003</v>
      </c>
      <c r="F11" s="164"/>
    </row>
    <row r="12" spans="1:6" ht="13.5" thickBot="1">
      <c r="A12" s="260">
        <f t="shared" ref="A12:A41" si="0">A11+1</f>
        <v>2</v>
      </c>
      <c r="B12" s="262" t="s">
        <v>950</v>
      </c>
      <c r="C12" s="747">
        <v>2017</v>
      </c>
      <c r="D12" s="198" t="s">
        <v>1383</v>
      </c>
      <c r="E12" s="746">
        <v>56079084.359999999</v>
      </c>
      <c r="F12" s="164"/>
    </row>
    <row r="13" spans="1:6" ht="13.5" thickBot="1">
      <c r="A13" s="260">
        <f t="shared" si="0"/>
        <v>3</v>
      </c>
      <c r="B13" s="262" t="s">
        <v>899</v>
      </c>
      <c r="C13" s="187">
        <f>+C12</f>
        <v>2017</v>
      </c>
      <c r="D13" s="198" t="s">
        <v>1383</v>
      </c>
      <c r="E13" s="746">
        <v>56910267.18</v>
      </c>
      <c r="F13" s="164"/>
    </row>
    <row r="14" spans="1:6" ht="13.5" thickBot="1">
      <c r="A14" s="260">
        <f t="shared" si="0"/>
        <v>4</v>
      </c>
      <c r="B14" s="262" t="s">
        <v>900</v>
      </c>
      <c r="C14" s="187">
        <f t="shared" ref="C14:C23" si="1">+C13</f>
        <v>2017</v>
      </c>
      <c r="D14" s="198" t="s">
        <v>1383</v>
      </c>
      <c r="E14" s="746">
        <v>56236187.289999999</v>
      </c>
      <c r="F14" s="164"/>
    </row>
    <row r="15" spans="1:6" ht="13.5" thickBot="1">
      <c r="A15" s="260">
        <f t="shared" si="0"/>
        <v>5</v>
      </c>
      <c r="B15" s="262" t="s">
        <v>901</v>
      </c>
      <c r="C15" s="187">
        <f t="shared" si="1"/>
        <v>2017</v>
      </c>
      <c r="D15" s="198" t="s">
        <v>1383</v>
      </c>
      <c r="E15" s="746">
        <v>56106441.32</v>
      </c>
      <c r="F15" s="164"/>
    </row>
    <row r="16" spans="1:6" ht="13.5" thickBot="1">
      <c r="A16" s="260">
        <f t="shared" si="0"/>
        <v>6</v>
      </c>
      <c r="B16" s="262" t="s">
        <v>902</v>
      </c>
      <c r="C16" s="187">
        <f t="shared" si="1"/>
        <v>2017</v>
      </c>
      <c r="D16" s="198" t="s">
        <v>1383</v>
      </c>
      <c r="E16" s="746">
        <v>56924958.119999997</v>
      </c>
      <c r="F16" s="164"/>
    </row>
    <row r="17" spans="1:6" ht="13.5" thickBot="1">
      <c r="A17" s="260">
        <f t="shared" si="0"/>
        <v>7</v>
      </c>
      <c r="B17" s="262" t="s">
        <v>903</v>
      </c>
      <c r="C17" s="187">
        <f t="shared" si="1"/>
        <v>2017</v>
      </c>
      <c r="D17" s="198" t="s">
        <v>1383</v>
      </c>
      <c r="E17" s="746">
        <v>56159040.82</v>
      </c>
      <c r="F17" s="164"/>
    </row>
    <row r="18" spans="1:6" ht="13.5" thickBot="1">
      <c r="A18" s="260">
        <f t="shared" si="0"/>
        <v>8</v>
      </c>
      <c r="B18" s="262" t="s">
        <v>904</v>
      </c>
      <c r="C18" s="187">
        <f t="shared" si="1"/>
        <v>2017</v>
      </c>
      <c r="D18" s="198" t="s">
        <v>1383</v>
      </c>
      <c r="E18" s="746">
        <v>56129905.710000001</v>
      </c>
      <c r="F18" s="164"/>
    </row>
    <row r="19" spans="1:6" ht="13.5" thickBot="1">
      <c r="A19" s="260">
        <f t="shared" si="0"/>
        <v>9</v>
      </c>
      <c r="B19" s="262" t="s">
        <v>905</v>
      </c>
      <c r="C19" s="187">
        <f t="shared" si="1"/>
        <v>2017</v>
      </c>
      <c r="D19" s="198" t="s">
        <v>1383</v>
      </c>
      <c r="E19" s="746">
        <v>56385489.740000002</v>
      </c>
      <c r="F19" s="164"/>
    </row>
    <row r="20" spans="1:6" ht="13.5" thickBot="1">
      <c r="A20" s="260">
        <f t="shared" si="0"/>
        <v>10</v>
      </c>
      <c r="B20" s="262" t="s">
        <v>906</v>
      </c>
      <c r="C20" s="187">
        <f t="shared" si="1"/>
        <v>2017</v>
      </c>
      <c r="D20" s="198" t="s">
        <v>1383</v>
      </c>
      <c r="E20" s="746">
        <v>56908057.859999999</v>
      </c>
      <c r="F20" s="164"/>
    </row>
    <row r="21" spans="1:6" ht="13.5" thickBot="1">
      <c r="A21" s="260">
        <f t="shared" si="0"/>
        <v>11</v>
      </c>
      <c r="B21" s="262" t="s">
        <v>907</v>
      </c>
      <c r="C21" s="187">
        <f t="shared" si="1"/>
        <v>2017</v>
      </c>
      <c r="D21" s="198" t="s">
        <v>1383</v>
      </c>
      <c r="E21" s="746">
        <v>56569669.68</v>
      </c>
      <c r="F21" s="164"/>
    </row>
    <row r="22" spans="1:6" ht="13.5" thickBot="1">
      <c r="A22" s="260">
        <f t="shared" si="0"/>
        <v>12</v>
      </c>
      <c r="B22" s="262" t="s">
        <v>908</v>
      </c>
      <c r="C22" s="187">
        <f t="shared" si="1"/>
        <v>2017</v>
      </c>
      <c r="D22" s="198" t="s">
        <v>1383</v>
      </c>
      <c r="E22" s="746">
        <v>56534042.920000002</v>
      </c>
      <c r="F22" s="164"/>
    </row>
    <row r="23" spans="1:6">
      <c r="A23" s="260">
        <f t="shared" si="0"/>
        <v>13</v>
      </c>
      <c r="B23" s="262" t="s">
        <v>909</v>
      </c>
      <c r="C23" s="187">
        <f t="shared" si="1"/>
        <v>2017</v>
      </c>
      <c r="D23" s="198" t="s">
        <v>1364</v>
      </c>
      <c r="E23" s="752">
        <v>55934782.5</v>
      </c>
      <c r="F23" s="164"/>
    </row>
    <row r="24" spans="1:6">
      <c r="A24" s="260">
        <f t="shared" si="0"/>
        <v>14</v>
      </c>
      <c r="B24" s="187" t="str">
        <f>"13 Month Avg. (Lns "&amp;A11&amp;" - "&amp;A23&amp;")"</f>
        <v>13 Month Avg. (Lns 1 - 13)</v>
      </c>
      <c r="C24" s="187"/>
      <c r="D24" s="198"/>
      <c r="E24" s="322">
        <f>AVERAGE(E11:E23)</f>
        <v>56345463.106153838</v>
      </c>
      <c r="F24" s="493"/>
    </row>
    <row r="25" spans="1:6">
      <c r="A25" s="260">
        <f t="shared" si="0"/>
        <v>15</v>
      </c>
      <c r="B25" s="187"/>
      <c r="C25" s="187"/>
      <c r="D25" s="198"/>
      <c r="E25" s="322"/>
      <c r="F25" s="164"/>
    </row>
    <row r="26" spans="1:6" ht="13.5" thickBot="1">
      <c r="A26" s="260">
        <f t="shared" si="0"/>
        <v>16</v>
      </c>
      <c r="B26" s="740" t="s">
        <v>1353</v>
      </c>
      <c r="C26" s="187"/>
      <c r="D26" s="198"/>
      <c r="E26" s="322"/>
      <c r="F26" s="164"/>
    </row>
    <row r="27" spans="1:6" ht="13.5" thickBot="1">
      <c r="A27" s="260">
        <f t="shared" si="0"/>
        <v>17</v>
      </c>
      <c r="B27" s="187" t="s">
        <v>1347</v>
      </c>
      <c r="C27" s="187"/>
      <c r="D27" s="198" t="s">
        <v>1365</v>
      </c>
      <c r="E27" s="1137">
        <v>21663212</v>
      </c>
      <c r="F27" s="164"/>
    </row>
    <row r="28" spans="1:6" ht="13.5" thickBot="1">
      <c r="A28" s="260">
        <f t="shared" si="0"/>
        <v>18</v>
      </c>
      <c r="B28" s="187" t="s">
        <v>1348</v>
      </c>
      <c r="C28" s="187"/>
      <c r="D28" s="198" t="s">
        <v>1366</v>
      </c>
      <c r="E28" s="851">
        <v>0</v>
      </c>
      <c r="F28" s="164"/>
    </row>
    <row r="29" spans="1:6" ht="13.5" thickBot="1">
      <c r="A29" s="260">
        <f t="shared" si="0"/>
        <v>19</v>
      </c>
      <c r="B29" s="187" t="s">
        <v>1345</v>
      </c>
      <c r="C29" s="187"/>
      <c r="D29" s="198" t="s">
        <v>1371</v>
      </c>
      <c r="E29" s="851">
        <v>31112063</v>
      </c>
      <c r="F29" s="164"/>
    </row>
    <row r="30" spans="1:6" ht="13.5" thickBot="1">
      <c r="A30" s="260">
        <f t="shared" si="0"/>
        <v>20</v>
      </c>
      <c r="B30" s="187" t="s">
        <v>1346</v>
      </c>
      <c r="C30" s="187"/>
      <c r="D30" s="198" t="s">
        <v>1370</v>
      </c>
      <c r="E30" s="851">
        <v>1047519</v>
      </c>
      <c r="F30" s="164"/>
    </row>
    <row r="31" spans="1:6" ht="13.5" thickBot="1">
      <c r="A31" s="260">
        <f t="shared" si="0"/>
        <v>21</v>
      </c>
      <c r="B31" s="187" t="s">
        <v>1349</v>
      </c>
      <c r="C31" s="187"/>
      <c r="D31" s="198" t="s">
        <v>1369</v>
      </c>
      <c r="E31" s="851">
        <v>3758601</v>
      </c>
      <c r="F31" s="164"/>
    </row>
    <row r="32" spans="1:6" ht="13.5" thickBot="1">
      <c r="A32" s="260">
        <f t="shared" si="0"/>
        <v>22</v>
      </c>
      <c r="B32" s="187" t="s">
        <v>1350</v>
      </c>
      <c r="C32" s="187"/>
      <c r="D32" s="198" t="s">
        <v>1368</v>
      </c>
      <c r="E32" s="851">
        <v>0</v>
      </c>
      <c r="F32" s="164"/>
    </row>
    <row r="33" spans="1:6">
      <c r="A33" s="260">
        <f t="shared" si="0"/>
        <v>23</v>
      </c>
      <c r="B33" s="187" t="s">
        <v>1351</v>
      </c>
      <c r="C33" s="187"/>
      <c r="D33" s="198" t="s">
        <v>1367</v>
      </c>
      <c r="E33" s="851">
        <v>-1422354</v>
      </c>
      <c r="F33" s="164"/>
    </row>
    <row r="34" spans="1:6">
      <c r="A34" s="260">
        <f t="shared" si="0"/>
        <v>24</v>
      </c>
      <c r="B34" s="187" t="s">
        <v>1352</v>
      </c>
      <c r="C34" s="187"/>
      <c r="D34" s="198"/>
      <c r="E34" s="322">
        <f>SUM(E27:E33)</f>
        <v>56159041</v>
      </c>
      <c r="F34" s="164"/>
    </row>
    <row r="35" spans="1:6">
      <c r="A35" s="260">
        <f t="shared" si="0"/>
        <v>25</v>
      </c>
      <c r="B35" s="187"/>
      <c r="C35" s="187"/>
      <c r="D35" s="198"/>
      <c r="E35" s="322"/>
      <c r="F35" s="164"/>
    </row>
    <row r="36" spans="1:6">
      <c r="A36" s="260">
        <f t="shared" si="0"/>
        <v>26</v>
      </c>
      <c r="B36" s="187" t="s">
        <v>1355</v>
      </c>
      <c r="C36" s="187"/>
      <c r="D36" s="198" t="s">
        <v>1356</v>
      </c>
      <c r="E36" s="741">
        <f>IF(E27=0,0,E30/E34)</f>
        <v>1.8652722363973417E-2</v>
      </c>
      <c r="F36" s="164"/>
    </row>
    <row r="37" spans="1:6">
      <c r="A37" s="260">
        <f t="shared" si="0"/>
        <v>27</v>
      </c>
      <c r="B37" s="187" t="s">
        <v>1357</v>
      </c>
      <c r="C37" s="187"/>
      <c r="D37" s="198" t="s">
        <v>1358</v>
      </c>
      <c r="E37" s="741">
        <f>IF(E30=0,0,E33/E34)</f>
        <v>-2.5327248732755249E-2</v>
      </c>
      <c r="F37" s="164"/>
    </row>
    <row r="38" spans="1:6" ht="13.5" thickBot="1">
      <c r="A38" s="260">
        <f t="shared" si="0"/>
        <v>28</v>
      </c>
      <c r="B38" s="187"/>
      <c r="C38" s="187"/>
      <c r="D38" s="198"/>
      <c r="E38" s="322"/>
      <c r="F38" s="164"/>
    </row>
    <row r="39" spans="1:6" ht="13.5" thickBot="1">
      <c r="A39" s="260">
        <f t="shared" si="0"/>
        <v>29</v>
      </c>
      <c r="B39" s="187" t="s">
        <v>1354</v>
      </c>
      <c r="C39" s="187"/>
      <c r="D39" s="198" t="s">
        <v>1360</v>
      </c>
      <c r="E39" s="221">
        <f>+E24*E36</f>
        <v>1050996.2797885947</v>
      </c>
      <c r="F39" s="164"/>
    </row>
    <row r="40" spans="1:6" ht="13.5" thickBot="1">
      <c r="A40" s="260">
        <f t="shared" si="0"/>
        <v>30</v>
      </c>
      <c r="B40" s="164"/>
      <c r="C40" s="187"/>
      <c r="D40" s="198"/>
      <c r="E40" s="322"/>
      <c r="F40" s="164"/>
    </row>
    <row r="41" spans="1:6" ht="13.5" thickBot="1">
      <c r="A41" s="260">
        <f t="shared" si="0"/>
        <v>31</v>
      </c>
      <c r="B41" s="187" t="s">
        <v>1359</v>
      </c>
      <c r="C41" s="187"/>
      <c r="D41" s="198" t="s">
        <v>1361</v>
      </c>
      <c r="E41" s="221">
        <f>+E24*E37</f>
        <v>-1427075.5590518424</v>
      </c>
      <c r="F41" s="164"/>
    </row>
    <row r="42" spans="1:6">
      <c r="A42" s="260"/>
      <c r="B42" s="187"/>
      <c r="C42" s="187"/>
      <c r="D42" s="198"/>
      <c r="E42" s="322"/>
      <c r="F42" s="164"/>
    </row>
    <row r="43" spans="1:6">
      <c r="A43" s="260"/>
      <c r="B43" s="187" t="s">
        <v>1362</v>
      </c>
      <c r="C43" s="187"/>
      <c r="D43" s="198"/>
      <c r="E43" s="322"/>
      <c r="F43" s="164"/>
    </row>
    <row r="44" spans="1:6" ht="13.5" thickBot="1">
      <c r="A44" s="603"/>
      <c r="B44" s="742"/>
      <c r="C44" s="742"/>
      <c r="D44" s="604"/>
      <c r="E44" s="326"/>
      <c r="F44" s="164"/>
    </row>
    <row r="45" spans="1:6">
      <c r="A45" s="198"/>
      <c r="B45" s="187"/>
      <c r="C45" s="187"/>
      <c r="D45" s="198"/>
      <c r="E45" s="217"/>
      <c r="F45" s="164"/>
    </row>
    <row r="46" spans="1:6">
      <c r="A46" s="198"/>
      <c r="B46" s="187"/>
      <c r="C46" s="187"/>
      <c r="D46" s="198"/>
      <c r="E46" s="217"/>
      <c r="F46" s="164"/>
    </row>
    <row r="47" spans="1:6">
      <c r="A47" s="198"/>
      <c r="B47" s="187"/>
      <c r="C47" s="187"/>
      <c r="D47" s="198"/>
      <c r="E47" s="217"/>
      <c r="F47" s="164"/>
    </row>
    <row r="48" spans="1:6" ht="13.5" thickBot="1">
      <c r="A48" s="164"/>
      <c r="B48" s="187"/>
      <c r="C48" s="187"/>
      <c r="D48" s="164"/>
      <c r="E48" s="164"/>
      <c r="F48" s="164"/>
    </row>
    <row r="49" spans="1:5">
      <c r="A49" s="743" t="s">
        <v>1064</v>
      </c>
      <c r="B49" s="1239"/>
      <c r="C49" s="1239"/>
      <c r="D49" s="1239"/>
      <c r="E49" s="1240"/>
    </row>
    <row r="50" spans="1:5" ht="25.5">
      <c r="A50" s="560" t="s">
        <v>862</v>
      </c>
      <c r="B50" s="2" t="s">
        <v>1342</v>
      </c>
      <c r="C50" s="2" t="s">
        <v>1343</v>
      </c>
      <c r="D50" s="274" t="s">
        <v>864</v>
      </c>
      <c r="E50" s="597" t="s">
        <v>930</v>
      </c>
    </row>
    <row r="51" spans="1:5">
      <c r="A51" s="258"/>
      <c r="B51" s="116" t="s">
        <v>358</v>
      </c>
      <c r="C51" s="116" t="s">
        <v>1344</v>
      </c>
      <c r="D51" s="116" t="s">
        <v>359</v>
      </c>
      <c r="E51" s="791" t="s">
        <v>360</v>
      </c>
    </row>
    <row r="52" spans="1:5" ht="13.5" thickBot="1">
      <c r="A52" s="258"/>
      <c r="B52" s="176"/>
      <c r="C52" s="176"/>
      <c r="D52" s="194"/>
      <c r="E52" s="259"/>
    </row>
    <row r="53" spans="1:5" ht="13.5" thickBot="1">
      <c r="A53" s="260">
        <v>1</v>
      </c>
      <c r="B53" s="262" t="s">
        <v>909</v>
      </c>
      <c r="C53" s="747">
        <v>2016</v>
      </c>
      <c r="D53" s="198" t="s">
        <v>1363</v>
      </c>
      <c r="E53" s="745">
        <v>63858810.210000001</v>
      </c>
    </row>
    <row r="54" spans="1:5" ht="13.5" thickBot="1">
      <c r="A54" s="260">
        <f t="shared" ref="A54:A83" si="2">A53+1</f>
        <v>2</v>
      </c>
      <c r="B54" s="262" t="s">
        <v>950</v>
      </c>
      <c r="C54" s="747">
        <v>2017</v>
      </c>
      <c r="D54" s="198" t="s">
        <v>1383</v>
      </c>
      <c r="E54" s="746">
        <v>66636448.469999999</v>
      </c>
    </row>
    <row r="55" spans="1:5" ht="13.5" thickBot="1">
      <c r="A55" s="260">
        <f t="shared" si="2"/>
        <v>3</v>
      </c>
      <c r="B55" s="262" t="s">
        <v>899</v>
      </c>
      <c r="C55" s="187">
        <f>+C54</f>
        <v>2017</v>
      </c>
      <c r="D55" s="198" t="s">
        <v>1383</v>
      </c>
      <c r="E55" s="746">
        <v>67081004.100000001</v>
      </c>
    </row>
    <row r="56" spans="1:5" ht="13.5" thickBot="1">
      <c r="A56" s="260">
        <f t="shared" si="2"/>
        <v>4</v>
      </c>
      <c r="B56" s="262" t="s">
        <v>900</v>
      </c>
      <c r="C56" s="187">
        <f t="shared" ref="C56:C65" si="3">+C55</f>
        <v>2017</v>
      </c>
      <c r="D56" s="198" t="s">
        <v>1383</v>
      </c>
      <c r="E56" s="746">
        <v>70022092.799999997</v>
      </c>
    </row>
    <row r="57" spans="1:5" ht="13.5" thickBot="1">
      <c r="A57" s="260">
        <f t="shared" si="2"/>
        <v>5</v>
      </c>
      <c r="B57" s="262" t="s">
        <v>901</v>
      </c>
      <c r="C57" s="187">
        <f t="shared" si="3"/>
        <v>2017</v>
      </c>
      <c r="D57" s="198" t="s">
        <v>1383</v>
      </c>
      <c r="E57" s="746">
        <v>69833454.929999992</v>
      </c>
    </row>
    <row r="58" spans="1:5" ht="13.5" thickBot="1">
      <c r="A58" s="260">
        <f t="shared" si="2"/>
        <v>6</v>
      </c>
      <c r="B58" s="262" t="s">
        <v>902</v>
      </c>
      <c r="C58" s="187">
        <f t="shared" si="3"/>
        <v>2017</v>
      </c>
      <c r="D58" s="198" t="s">
        <v>1383</v>
      </c>
      <c r="E58" s="746">
        <v>70285065.079999998</v>
      </c>
    </row>
    <row r="59" spans="1:5" ht="13.5" thickBot="1">
      <c r="A59" s="260">
        <f t="shared" si="2"/>
        <v>7</v>
      </c>
      <c r="B59" s="262" t="s">
        <v>903</v>
      </c>
      <c r="C59" s="187">
        <f t="shared" si="3"/>
        <v>2017</v>
      </c>
      <c r="D59" s="198" t="s">
        <v>1383</v>
      </c>
      <c r="E59" s="746">
        <v>69532378.75</v>
      </c>
    </row>
    <row r="60" spans="1:5" ht="13.5" thickBot="1">
      <c r="A60" s="260">
        <f t="shared" si="2"/>
        <v>8</v>
      </c>
      <c r="B60" s="262" t="s">
        <v>904</v>
      </c>
      <c r="C60" s="187">
        <f t="shared" si="3"/>
        <v>2017</v>
      </c>
      <c r="D60" s="198" t="s">
        <v>1383</v>
      </c>
      <c r="E60" s="746">
        <v>69690717.090000004</v>
      </c>
    </row>
    <row r="61" spans="1:5" ht="13.5" thickBot="1">
      <c r="A61" s="260">
        <f t="shared" si="2"/>
        <v>9</v>
      </c>
      <c r="B61" s="262" t="s">
        <v>905</v>
      </c>
      <c r="C61" s="187">
        <f t="shared" si="3"/>
        <v>2017</v>
      </c>
      <c r="D61" s="198" t="s">
        <v>1383</v>
      </c>
      <c r="E61" s="746">
        <v>68910350.980000004</v>
      </c>
    </row>
    <row r="62" spans="1:5" ht="13.5" thickBot="1">
      <c r="A62" s="260">
        <f t="shared" si="2"/>
        <v>10</v>
      </c>
      <c r="B62" s="262" t="s">
        <v>906</v>
      </c>
      <c r="C62" s="187">
        <f t="shared" si="3"/>
        <v>2017</v>
      </c>
      <c r="D62" s="198" t="s">
        <v>1383</v>
      </c>
      <c r="E62" s="746">
        <v>67485690.75</v>
      </c>
    </row>
    <row r="63" spans="1:5" ht="13.5" thickBot="1">
      <c r="A63" s="260">
        <f t="shared" si="2"/>
        <v>11</v>
      </c>
      <c r="B63" s="262" t="s">
        <v>907</v>
      </c>
      <c r="C63" s="187">
        <f t="shared" si="3"/>
        <v>2017</v>
      </c>
      <c r="D63" s="198" t="s">
        <v>1383</v>
      </c>
      <c r="E63" s="746">
        <v>66826480.939999998</v>
      </c>
    </row>
    <row r="64" spans="1:5" ht="13.5" thickBot="1">
      <c r="A64" s="260">
        <f t="shared" si="2"/>
        <v>12</v>
      </c>
      <c r="B64" s="262" t="s">
        <v>908</v>
      </c>
      <c r="C64" s="187">
        <f t="shared" si="3"/>
        <v>2017</v>
      </c>
      <c r="D64" s="198" t="s">
        <v>1383</v>
      </c>
      <c r="E64" s="746">
        <v>66542073.859999999</v>
      </c>
    </row>
    <row r="65" spans="1:7">
      <c r="A65" s="260">
        <f t="shared" si="2"/>
        <v>13</v>
      </c>
      <c r="B65" s="262" t="s">
        <v>909</v>
      </c>
      <c r="C65" s="187">
        <f t="shared" si="3"/>
        <v>2017</v>
      </c>
      <c r="D65" s="198" t="s">
        <v>1364</v>
      </c>
      <c r="E65" s="752">
        <v>67440196.459999993</v>
      </c>
    </row>
    <row r="66" spans="1:7">
      <c r="A66" s="260">
        <f t="shared" si="2"/>
        <v>14</v>
      </c>
      <c r="B66" s="187" t="str">
        <f>"13 Month Avg. (Lns "&amp;A53&amp;" - "&amp;A65&amp;")"</f>
        <v>13 Month Avg. (Lns 1 - 13)</v>
      </c>
      <c r="C66" s="187"/>
      <c r="D66" s="198"/>
      <c r="E66" s="322">
        <f>IF(E65=0,0,AVERAGE(E53:E65))</f>
        <v>68011135.72461538</v>
      </c>
    </row>
    <row r="67" spans="1:7">
      <c r="A67" s="260">
        <f t="shared" si="2"/>
        <v>15</v>
      </c>
      <c r="B67" s="187"/>
      <c r="C67" s="187"/>
      <c r="D67" s="198"/>
      <c r="E67" s="322"/>
    </row>
    <row r="68" spans="1:7" ht="13.5" thickBot="1">
      <c r="A68" s="260">
        <f t="shared" si="2"/>
        <v>16</v>
      </c>
      <c r="B68" s="740" t="s">
        <v>1353</v>
      </c>
      <c r="C68" s="187"/>
      <c r="D68" s="198"/>
      <c r="E68" s="322"/>
    </row>
    <row r="69" spans="1:7" ht="13.5" thickBot="1">
      <c r="A69" s="260">
        <f t="shared" si="2"/>
        <v>17</v>
      </c>
      <c r="B69" s="187" t="s">
        <v>1347</v>
      </c>
      <c r="C69" s="187"/>
      <c r="D69" s="198" t="s">
        <v>1365</v>
      </c>
      <c r="E69" s="745">
        <v>16369867</v>
      </c>
    </row>
    <row r="70" spans="1:7" ht="13.5" thickBot="1">
      <c r="A70" s="260">
        <f t="shared" si="2"/>
        <v>18</v>
      </c>
      <c r="B70" s="187" t="s">
        <v>1348</v>
      </c>
      <c r="C70" s="187"/>
      <c r="D70" s="198" t="s">
        <v>1366</v>
      </c>
      <c r="E70" s="746">
        <v>0</v>
      </c>
    </row>
    <row r="71" spans="1:7" ht="13.5" thickBot="1">
      <c r="A71" s="260">
        <f t="shared" si="2"/>
        <v>19</v>
      </c>
      <c r="B71" s="187" t="s">
        <v>1345</v>
      </c>
      <c r="C71" s="187"/>
      <c r="D71" s="198" t="s">
        <v>1371</v>
      </c>
      <c r="E71" s="746">
        <v>45044449</v>
      </c>
    </row>
    <row r="72" spans="1:7" ht="13.5" thickBot="1">
      <c r="A72" s="260">
        <f t="shared" si="2"/>
        <v>20</v>
      </c>
      <c r="B72" s="187" t="s">
        <v>1346</v>
      </c>
      <c r="C72" s="187"/>
      <c r="D72" s="198" t="s">
        <v>1370</v>
      </c>
      <c r="E72" s="746">
        <v>3532734</v>
      </c>
    </row>
    <row r="73" spans="1:7" ht="13.5" thickBot="1">
      <c r="A73" s="260">
        <f t="shared" si="2"/>
        <v>21</v>
      </c>
      <c r="B73" s="187" t="s">
        <v>1349</v>
      </c>
      <c r="C73" s="187"/>
      <c r="D73" s="198" t="s">
        <v>1369</v>
      </c>
      <c r="E73" s="746">
        <v>3707309</v>
      </c>
    </row>
    <row r="74" spans="1:7" ht="13.5" thickBot="1">
      <c r="A74" s="260">
        <f t="shared" si="2"/>
        <v>22</v>
      </c>
      <c r="B74" s="187" t="s">
        <v>1350</v>
      </c>
      <c r="C74" s="187"/>
      <c r="D74" s="198" t="s">
        <v>1368</v>
      </c>
      <c r="E74" s="746">
        <v>0</v>
      </c>
    </row>
    <row r="75" spans="1:7">
      <c r="A75" s="260">
        <f t="shared" si="2"/>
        <v>23</v>
      </c>
      <c r="B75" s="187" t="s">
        <v>1351</v>
      </c>
      <c r="C75" s="187"/>
      <c r="D75" s="198" t="s">
        <v>1367</v>
      </c>
      <c r="E75" s="752">
        <v>-1214163</v>
      </c>
    </row>
    <row r="76" spans="1:7">
      <c r="A76" s="260">
        <f t="shared" si="2"/>
        <v>24</v>
      </c>
      <c r="B76" s="187" t="s">
        <v>1352</v>
      </c>
      <c r="C76" s="187"/>
      <c r="D76" s="198"/>
      <c r="E76" s="322">
        <f>SUM(E69:E75)</f>
        <v>67440196</v>
      </c>
      <c r="G76" s="551"/>
    </row>
    <row r="77" spans="1:7">
      <c r="A77" s="260">
        <f t="shared" si="2"/>
        <v>25</v>
      </c>
      <c r="B77" s="187"/>
      <c r="C77" s="187"/>
      <c r="D77" s="198"/>
      <c r="E77" s="322"/>
    </row>
    <row r="78" spans="1:7">
      <c r="A78" s="260">
        <f t="shared" si="2"/>
        <v>26</v>
      </c>
      <c r="B78" s="187" t="s">
        <v>1355</v>
      </c>
      <c r="C78" s="187"/>
      <c r="D78" s="198" t="s">
        <v>1356</v>
      </c>
      <c r="E78" s="741">
        <f>IF(E69=0,0,E72/E76)</f>
        <v>5.238321074867576E-2</v>
      </c>
      <c r="G78" s="118"/>
    </row>
    <row r="79" spans="1:7">
      <c r="A79" s="260">
        <f t="shared" si="2"/>
        <v>27</v>
      </c>
      <c r="B79" s="187" t="s">
        <v>1357</v>
      </c>
      <c r="C79" s="187"/>
      <c r="D79" s="198" t="s">
        <v>1358</v>
      </c>
      <c r="E79" s="741">
        <f>IF(E72=0,0,E75/E76)</f>
        <v>-1.8003550879359842E-2</v>
      </c>
    </row>
    <row r="80" spans="1:7" ht="13.5" thickBot="1">
      <c r="A80" s="260">
        <f t="shared" si="2"/>
        <v>28</v>
      </c>
      <c r="B80" s="187"/>
      <c r="C80" s="187"/>
      <c r="D80" s="198"/>
      <c r="E80" s="322"/>
    </row>
    <row r="81" spans="1:5" ht="13.5" thickBot="1">
      <c r="A81" s="260">
        <f t="shared" si="2"/>
        <v>29</v>
      </c>
      <c r="B81" s="187" t="s">
        <v>1354</v>
      </c>
      <c r="C81" s="187"/>
      <c r="D81" s="198" t="s">
        <v>1360</v>
      </c>
      <c r="E81" s="221">
        <f>+E66*E78</f>
        <v>3562641.6559193186</v>
      </c>
    </row>
    <row r="82" spans="1:5" ht="13.5" thickBot="1">
      <c r="A82" s="260">
        <f t="shared" si="2"/>
        <v>30</v>
      </c>
      <c r="B82" s="164"/>
      <c r="C82" s="187"/>
      <c r="D82" s="198"/>
      <c r="E82" s="322"/>
    </row>
    <row r="83" spans="1:5" ht="13.5" thickBot="1">
      <c r="A83" s="603">
        <f t="shared" si="2"/>
        <v>31</v>
      </c>
      <c r="B83" s="742" t="s">
        <v>1359</v>
      </c>
      <c r="C83" s="742"/>
      <c r="D83" s="604" t="s">
        <v>1361</v>
      </c>
      <c r="E83" s="221">
        <f>+E66*E79</f>
        <v>-1224441.9423811608</v>
      </c>
    </row>
  </sheetData>
  <mergeCells count="1">
    <mergeCell ref="B49:E49"/>
  </mergeCells>
  <phoneticPr fontId="2" type="noConversion"/>
  <printOptions horizontalCentered="1"/>
  <pageMargins left="0.75" right="0.75" top="1" bottom="1" header="0.5" footer="0.5"/>
  <pageSetup scale="78" fitToHeight="2" orientation="portrait" r:id="rId1"/>
  <headerFooter alignWithMargins="0">
    <oddHeader>&amp;RPage &amp;P of &amp;N</oddHeader>
  </headerFooter>
  <rowBreaks count="1" manualBreakCount="1">
    <brk id="46"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1:H51"/>
  <sheetViews>
    <sheetView view="pageBreakPreview" zoomScale="60" zoomScaleNormal="100" workbookViewId="0">
      <selection activeCell="Z34" sqref="Z34"/>
    </sheetView>
  </sheetViews>
  <sheetFormatPr defaultRowHeight="12.75"/>
  <cols>
    <col min="1" max="1" width="9.28515625" bestFit="1" customWidth="1"/>
    <col min="2" max="2" width="17.7109375" customWidth="1"/>
    <col min="3" max="3" width="19" bestFit="1" customWidth="1"/>
    <col min="4" max="4" width="12.7109375" bestFit="1" customWidth="1"/>
    <col min="5" max="5" width="12.5703125" customWidth="1"/>
    <col min="6" max="6" width="12.7109375" bestFit="1" customWidth="1"/>
  </cols>
  <sheetData>
    <row r="1" spans="1:8">
      <c r="A1" s="99" t="str">
        <f>'Cover Page'!A5</f>
        <v>Public Service Company of Colorado</v>
      </c>
      <c r="F1" s="577" t="str">
        <f>'Table of Contents'!A21</f>
        <v>Table 13</v>
      </c>
    </row>
    <row r="2" spans="1:8">
      <c r="A2" s="99" t="str">
        <f>'Cover Page'!A6</f>
        <v>Transmission Formula Rate Template</v>
      </c>
      <c r="F2" s="485" t="str">
        <f ca="1">MID(CELL("filename",D1),FIND("]",CELL("filename",D1))+1,LEN(CELL("filename",D1))-FIND("]",CELL("filename",D1)))</f>
        <v>WP_B-7</v>
      </c>
    </row>
    <row r="3" spans="1:8">
      <c r="A3" s="99" t="str">
        <f>'Cover Page'!A7</f>
        <v>Twelve Months Ended December 31, 2017</v>
      </c>
    </row>
    <row r="4" spans="1:8">
      <c r="A4" s="99" t="s">
        <v>931</v>
      </c>
    </row>
    <row r="6" spans="1:8" ht="13.5" thickBot="1"/>
    <row r="7" spans="1:8">
      <c r="A7" s="304" t="s">
        <v>983</v>
      </c>
      <c r="B7" s="305"/>
      <c r="C7" s="279"/>
      <c r="D7" s="305"/>
      <c r="E7" s="305"/>
      <c r="F7" s="590"/>
    </row>
    <row r="8" spans="1:8" ht="25.5">
      <c r="A8" s="560" t="s">
        <v>862</v>
      </c>
      <c r="B8" s="2" t="s">
        <v>928</v>
      </c>
      <c r="C8" s="274" t="s">
        <v>864</v>
      </c>
      <c r="D8" s="146" t="s">
        <v>929</v>
      </c>
      <c r="E8" s="146" t="s">
        <v>621</v>
      </c>
      <c r="F8" s="597" t="s">
        <v>930</v>
      </c>
    </row>
    <row r="9" spans="1:8">
      <c r="A9" s="258"/>
      <c r="B9" s="116" t="s">
        <v>358</v>
      </c>
      <c r="C9" s="116" t="s">
        <v>357</v>
      </c>
      <c r="D9" s="116" t="s">
        <v>359</v>
      </c>
      <c r="E9" s="116" t="s">
        <v>360</v>
      </c>
      <c r="F9" s="791" t="s">
        <v>361</v>
      </c>
    </row>
    <row r="10" spans="1:8">
      <c r="A10" s="258"/>
      <c r="B10" s="176" t="s">
        <v>390</v>
      </c>
      <c r="C10" s="194"/>
      <c r="D10" s="164"/>
      <c r="E10" s="164"/>
      <c r="F10" s="259"/>
    </row>
    <row r="11" spans="1:8">
      <c r="A11" s="258"/>
      <c r="B11" s="176"/>
      <c r="C11" s="194"/>
      <c r="D11" s="164"/>
      <c r="E11" s="164"/>
      <c r="F11" s="259"/>
    </row>
    <row r="12" spans="1:8">
      <c r="A12" s="260">
        <v>1</v>
      </c>
      <c r="B12" s="262" t="s">
        <v>909</v>
      </c>
      <c r="C12" s="198" t="s">
        <v>1383</v>
      </c>
      <c r="D12" s="853">
        <v>0</v>
      </c>
      <c r="E12" s="244">
        <v>0</v>
      </c>
      <c r="F12" s="598">
        <f>D12-E12</f>
        <v>0</v>
      </c>
      <c r="H12" s="100"/>
    </row>
    <row r="13" spans="1:8">
      <c r="A13" s="260">
        <f>A12+1</f>
        <v>2</v>
      </c>
      <c r="B13" s="262" t="s">
        <v>950</v>
      </c>
      <c r="C13" s="198" t="s">
        <v>1383</v>
      </c>
      <c r="D13" s="888">
        <f>F12</f>
        <v>0</v>
      </c>
      <c r="E13" s="888">
        <f>E12</f>
        <v>0</v>
      </c>
      <c r="F13" s="598">
        <f>D13-E13</f>
        <v>0</v>
      </c>
    </row>
    <row r="14" spans="1:8">
      <c r="A14" s="260">
        <f t="shared" ref="A14:A26" si="0">A13+1</f>
        <v>3</v>
      </c>
      <c r="B14" s="262" t="s">
        <v>899</v>
      </c>
      <c r="C14" s="198" t="s">
        <v>1383</v>
      </c>
      <c r="D14" s="888">
        <f t="shared" ref="D14:D24" si="1">F13</f>
        <v>0</v>
      </c>
      <c r="E14" s="888">
        <f>E13</f>
        <v>0</v>
      </c>
      <c r="F14" s="598">
        <f>D14-E14</f>
        <v>0</v>
      </c>
    </row>
    <row r="15" spans="1:8">
      <c r="A15" s="260">
        <f t="shared" si="0"/>
        <v>4</v>
      </c>
      <c r="B15" s="262" t="s">
        <v>900</v>
      </c>
      <c r="C15" s="198" t="s">
        <v>1383</v>
      </c>
      <c r="D15" s="888">
        <f t="shared" si="1"/>
        <v>0</v>
      </c>
      <c r="E15" s="888">
        <f t="shared" ref="E15:E23" si="2">E14</f>
        <v>0</v>
      </c>
      <c r="F15" s="598">
        <f>D15-E15</f>
        <v>0</v>
      </c>
    </row>
    <row r="16" spans="1:8">
      <c r="A16" s="260">
        <f t="shared" si="0"/>
        <v>5</v>
      </c>
      <c r="B16" s="262" t="s">
        <v>901</v>
      </c>
      <c r="C16" s="198" t="s">
        <v>1383</v>
      </c>
      <c r="D16" s="888">
        <f t="shared" si="1"/>
        <v>0</v>
      </c>
      <c r="E16" s="888">
        <f t="shared" si="2"/>
        <v>0</v>
      </c>
      <c r="F16" s="598">
        <f>D16-E16</f>
        <v>0</v>
      </c>
    </row>
    <row r="17" spans="1:7">
      <c r="A17" s="260">
        <f t="shared" si="0"/>
        <v>6</v>
      </c>
      <c r="B17" s="262" t="s">
        <v>902</v>
      </c>
      <c r="C17" s="198" t="s">
        <v>1383</v>
      </c>
      <c r="D17" s="888">
        <f t="shared" si="1"/>
        <v>0</v>
      </c>
      <c r="E17" s="888">
        <f>E16</f>
        <v>0</v>
      </c>
      <c r="F17" s="598">
        <f t="shared" ref="F17:F24" si="3">D17-E17</f>
        <v>0</v>
      </c>
    </row>
    <row r="18" spans="1:7">
      <c r="A18" s="260">
        <f t="shared" si="0"/>
        <v>7</v>
      </c>
      <c r="B18" s="262" t="s">
        <v>903</v>
      </c>
      <c r="C18" s="198" t="s">
        <v>1383</v>
      </c>
      <c r="D18" s="888">
        <f t="shared" si="1"/>
        <v>0</v>
      </c>
      <c r="E18" s="888">
        <f t="shared" si="2"/>
        <v>0</v>
      </c>
      <c r="F18" s="598">
        <f t="shared" si="3"/>
        <v>0</v>
      </c>
    </row>
    <row r="19" spans="1:7">
      <c r="A19" s="260">
        <f t="shared" si="0"/>
        <v>8</v>
      </c>
      <c r="B19" s="262" t="s">
        <v>904</v>
      </c>
      <c r="C19" s="198" t="s">
        <v>1383</v>
      </c>
      <c r="D19" s="888">
        <f t="shared" si="1"/>
        <v>0</v>
      </c>
      <c r="E19" s="888">
        <f t="shared" si="2"/>
        <v>0</v>
      </c>
      <c r="F19" s="598">
        <f t="shared" si="3"/>
        <v>0</v>
      </c>
    </row>
    <row r="20" spans="1:7">
      <c r="A20" s="260">
        <f t="shared" si="0"/>
        <v>9</v>
      </c>
      <c r="B20" s="262" t="s">
        <v>905</v>
      </c>
      <c r="C20" s="198" t="s">
        <v>1383</v>
      </c>
      <c r="D20" s="888">
        <f t="shared" si="1"/>
        <v>0</v>
      </c>
      <c r="E20" s="888">
        <f t="shared" si="2"/>
        <v>0</v>
      </c>
      <c r="F20" s="598">
        <f t="shared" si="3"/>
        <v>0</v>
      </c>
    </row>
    <row r="21" spans="1:7">
      <c r="A21" s="260">
        <f t="shared" si="0"/>
        <v>10</v>
      </c>
      <c r="B21" s="262" t="s">
        <v>906</v>
      </c>
      <c r="C21" s="198" t="s">
        <v>1383</v>
      </c>
      <c r="D21" s="888">
        <f t="shared" si="1"/>
        <v>0</v>
      </c>
      <c r="E21" s="888">
        <f t="shared" si="2"/>
        <v>0</v>
      </c>
      <c r="F21" s="598">
        <f t="shared" si="3"/>
        <v>0</v>
      </c>
    </row>
    <row r="22" spans="1:7">
      <c r="A22" s="260">
        <f t="shared" si="0"/>
        <v>11</v>
      </c>
      <c r="B22" s="262" t="s">
        <v>907</v>
      </c>
      <c r="C22" s="198" t="s">
        <v>1383</v>
      </c>
      <c r="D22" s="888">
        <f t="shared" si="1"/>
        <v>0</v>
      </c>
      <c r="E22" s="888">
        <f t="shared" si="2"/>
        <v>0</v>
      </c>
      <c r="F22" s="598">
        <f t="shared" si="3"/>
        <v>0</v>
      </c>
    </row>
    <row r="23" spans="1:7">
      <c r="A23" s="260">
        <f t="shared" si="0"/>
        <v>12</v>
      </c>
      <c r="B23" s="262" t="s">
        <v>908</v>
      </c>
      <c r="C23" s="198" t="s">
        <v>1383</v>
      </c>
      <c r="D23" s="888">
        <f t="shared" si="1"/>
        <v>0</v>
      </c>
      <c r="E23" s="888">
        <f t="shared" si="2"/>
        <v>0</v>
      </c>
      <c r="F23" s="598">
        <f t="shared" si="3"/>
        <v>0</v>
      </c>
    </row>
    <row r="24" spans="1:7" ht="13.5" thickBot="1">
      <c r="A24" s="260">
        <f t="shared" si="0"/>
        <v>13</v>
      </c>
      <c r="B24" s="262" t="s">
        <v>909</v>
      </c>
      <c r="C24" s="198" t="s">
        <v>1383</v>
      </c>
      <c r="D24" s="889">
        <f t="shared" si="1"/>
        <v>0</v>
      </c>
      <c r="E24" s="889">
        <v>0</v>
      </c>
      <c r="F24" s="598">
        <f t="shared" si="3"/>
        <v>0</v>
      </c>
    </row>
    <row r="25" spans="1:7" ht="13.5" thickBot="1">
      <c r="A25" s="260">
        <f t="shared" si="0"/>
        <v>14</v>
      </c>
      <c r="B25" s="187" t="str">
        <f>"13 Month Avg. (Lns "&amp;A12&amp;" - "&amp;A24&amp;")"</f>
        <v>13 Month Avg. (Lns 1 - 13)</v>
      </c>
      <c r="C25" s="198"/>
      <c r="D25" s="561">
        <f>AVERAGE(D12:D24)</f>
        <v>0</v>
      </c>
      <c r="E25" s="164"/>
      <c r="F25" s="562">
        <f>AVERAGE(F12:F24)</f>
        <v>0</v>
      </c>
      <c r="G25" s="100"/>
    </row>
    <row r="26" spans="1:7" ht="13.5" thickBot="1">
      <c r="A26" s="260">
        <f t="shared" si="0"/>
        <v>15</v>
      </c>
      <c r="B26" s="187" t="str">
        <f>"12 Month Total. (Lns "&amp;A13&amp;" - "&amp;A24&amp;")"</f>
        <v>12 Month Total. (Lns 2 - 13)</v>
      </c>
      <c r="C26" s="198"/>
      <c r="D26" s="561"/>
      <c r="E26" s="562">
        <f>SUM(E13:E24)</f>
        <v>0</v>
      </c>
      <c r="F26" s="599"/>
    </row>
    <row r="27" spans="1:7" ht="13.5" thickBot="1">
      <c r="A27" s="271"/>
      <c r="B27" s="272"/>
      <c r="C27" s="272"/>
      <c r="D27" s="272"/>
      <c r="E27" s="272"/>
      <c r="F27" s="273"/>
    </row>
    <row r="28" spans="1:7">
      <c r="A28" s="164"/>
      <c r="B28" s="164"/>
      <c r="C28" s="164"/>
      <c r="D28" s="164"/>
      <c r="E28" s="164"/>
      <c r="F28" s="164"/>
    </row>
    <row r="29" spans="1:7">
      <c r="A29" s="164"/>
      <c r="B29" s="164"/>
      <c r="C29" s="164"/>
      <c r="D29" s="164"/>
      <c r="E29" s="164"/>
      <c r="F29" s="164"/>
    </row>
    <row r="30" spans="1:7" ht="13.5" thickBot="1">
      <c r="A30" s="164"/>
      <c r="B30" s="164"/>
      <c r="C30" s="164"/>
      <c r="D30" s="164"/>
      <c r="E30" s="164"/>
      <c r="F30" s="164"/>
    </row>
    <row r="31" spans="1:7">
      <c r="A31" s="304" t="s">
        <v>1064</v>
      </c>
      <c r="B31" s="305"/>
      <c r="C31" s="279"/>
      <c r="D31" s="305"/>
      <c r="E31" s="305"/>
      <c r="F31" s="590"/>
    </row>
    <row r="32" spans="1:7" ht="25.5">
      <c r="A32" s="560" t="s">
        <v>862</v>
      </c>
      <c r="B32" s="2" t="s">
        <v>928</v>
      </c>
      <c r="C32" s="274" t="s">
        <v>864</v>
      </c>
      <c r="D32" s="146" t="s">
        <v>929</v>
      </c>
      <c r="E32" s="146" t="s">
        <v>621</v>
      </c>
      <c r="F32" s="597" t="s">
        <v>930</v>
      </c>
    </row>
    <row r="33" spans="1:6">
      <c r="A33" s="258"/>
      <c r="B33" s="116" t="s">
        <v>358</v>
      </c>
      <c r="C33" s="116" t="s">
        <v>357</v>
      </c>
      <c r="D33" s="116" t="s">
        <v>359</v>
      </c>
      <c r="E33" s="116" t="s">
        <v>360</v>
      </c>
      <c r="F33" s="791" t="s">
        <v>361</v>
      </c>
    </row>
    <row r="34" spans="1:6">
      <c r="A34" s="258"/>
      <c r="B34" s="176" t="s">
        <v>390</v>
      </c>
      <c r="C34" s="194"/>
      <c r="D34" s="164"/>
      <c r="E34" s="164"/>
      <c r="F34" s="259"/>
    </row>
    <row r="35" spans="1:6">
      <c r="A35" s="258"/>
      <c r="B35" s="176"/>
      <c r="C35" s="194"/>
      <c r="D35" s="164"/>
      <c r="E35" s="164"/>
      <c r="F35" s="259"/>
    </row>
    <row r="36" spans="1:6">
      <c r="A36" s="260">
        <v>1</v>
      </c>
      <c r="B36" s="262" t="s">
        <v>909</v>
      </c>
      <c r="C36" s="237" t="s">
        <v>1587</v>
      </c>
      <c r="D36" s="463"/>
      <c r="E36" s="463"/>
      <c r="F36" s="598">
        <f>SUM(D36:E36)</f>
        <v>0</v>
      </c>
    </row>
    <row r="37" spans="1:6">
      <c r="A37" s="260">
        <f>A36+1</f>
        <v>2</v>
      </c>
      <c r="B37" s="262" t="s">
        <v>950</v>
      </c>
      <c r="C37" s="198" t="s">
        <v>1383</v>
      </c>
      <c r="D37" s="463"/>
      <c r="E37" s="463"/>
      <c r="F37" s="598">
        <f t="shared" ref="F37:F48" si="4">SUM(D37:E37)</f>
        <v>0</v>
      </c>
    </row>
    <row r="38" spans="1:6">
      <c r="A38" s="260">
        <f t="shared" ref="A38:A50" si="5">A37+1</f>
        <v>3</v>
      </c>
      <c r="B38" s="262" t="s">
        <v>899</v>
      </c>
      <c r="C38" s="198" t="s">
        <v>1383</v>
      </c>
      <c r="D38" s="463"/>
      <c r="E38" s="463"/>
      <c r="F38" s="598">
        <f t="shared" si="4"/>
        <v>0</v>
      </c>
    </row>
    <row r="39" spans="1:6">
      <c r="A39" s="260">
        <f t="shared" si="5"/>
        <v>4</v>
      </c>
      <c r="B39" s="262" t="s">
        <v>900</v>
      </c>
      <c r="C39" s="198" t="s">
        <v>1383</v>
      </c>
      <c r="D39" s="463"/>
      <c r="E39" s="463"/>
      <c r="F39" s="598">
        <f t="shared" si="4"/>
        <v>0</v>
      </c>
    </row>
    <row r="40" spans="1:6">
      <c r="A40" s="260">
        <f t="shared" si="5"/>
        <v>5</v>
      </c>
      <c r="B40" s="262" t="s">
        <v>901</v>
      </c>
      <c r="C40" s="198" t="s">
        <v>1383</v>
      </c>
      <c r="D40" s="463"/>
      <c r="E40" s="463"/>
      <c r="F40" s="598">
        <f t="shared" si="4"/>
        <v>0</v>
      </c>
    </row>
    <row r="41" spans="1:6">
      <c r="A41" s="260">
        <f t="shared" si="5"/>
        <v>6</v>
      </c>
      <c r="B41" s="262" t="s">
        <v>902</v>
      </c>
      <c r="C41" s="198" t="s">
        <v>1383</v>
      </c>
      <c r="D41" s="463"/>
      <c r="E41" s="463"/>
      <c r="F41" s="598">
        <f t="shared" si="4"/>
        <v>0</v>
      </c>
    </row>
    <row r="42" spans="1:6">
      <c r="A42" s="260">
        <f t="shared" si="5"/>
        <v>7</v>
      </c>
      <c r="B42" s="262" t="s">
        <v>903</v>
      </c>
      <c r="C42" s="198" t="s">
        <v>1383</v>
      </c>
      <c r="D42" s="463"/>
      <c r="E42" s="463"/>
      <c r="F42" s="598">
        <f t="shared" si="4"/>
        <v>0</v>
      </c>
    </row>
    <row r="43" spans="1:6">
      <c r="A43" s="260">
        <f t="shared" si="5"/>
        <v>8</v>
      </c>
      <c r="B43" s="262" t="s">
        <v>904</v>
      </c>
      <c r="C43" s="198" t="s">
        <v>1383</v>
      </c>
      <c r="D43" s="463"/>
      <c r="E43" s="463"/>
      <c r="F43" s="598">
        <f t="shared" si="4"/>
        <v>0</v>
      </c>
    </row>
    <row r="44" spans="1:6">
      <c r="A44" s="260">
        <f t="shared" si="5"/>
        <v>9</v>
      </c>
      <c r="B44" s="262" t="s">
        <v>905</v>
      </c>
      <c r="C44" s="198" t="s">
        <v>1383</v>
      </c>
      <c r="D44" s="463"/>
      <c r="E44" s="463"/>
      <c r="F44" s="598">
        <f t="shared" si="4"/>
        <v>0</v>
      </c>
    </row>
    <row r="45" spans="1:6">
      <c r="A45" s="260">
        <f t="shared" si="5"/>
        <v>10</v>
      </c>
      <c r="B45" s="262" t="s">
        <v>906</v>
      </c>
      <c r="C45" s="198" t="s">
        <v>1383</v>
      </c>
      <c r="D45" s="463"/>
      <c r="E45" s="463"/>
      <c r="F45" s="598">
        <f t="shared" si="4"/>
        <v>0</v>
      </c>
    </row>
    <row r="46" spans="1:6">
      <c r="A46" s="260">
        <f t="shared" si="5"/>
        <v>11</v>
      </c>
      <c r="B46" s="262" t="s">
        <v>907</v>
      </c>
      <c r="C46" s="198" t="s">
        <v>1383</v>
      </c>
      <c r="D46" s="463"/>
      <c r="E46" s="463"/>
      <c r="F46" s="598">
        <f t="shared" si="4"/>
        <v>0</v>
      </c>
    </row>
    <row r="47" spans="1:6">
      <c r="A47" s="260">
        <f t="shared" si="5"/>
        <v>12</v>
      </c>
      <c r="B47" s="262" t="s">
        <v>908</v>
      </c>
      <c r="C47" s="198" t="s">
        <v>1383</v>
      </c>
      <c r="D47" s="463"/>
      <c r="E47" s="463"/>
      <c r="F47" s="598">
        <f t="shared" si="4"/>
        <v>0</v>
      </c>
    </row>
    <row r="48" spans="1:6" ht="13.5" thickBot="1">
      <c r="A48" s="260">
        <f t="shared" si="5"/>
        <v>13</v>
      </c>
      <c r="B48" s="262" t="s">
        <v>909</v>
      </c>
      <c r="C48" s="237" t="s">
        <v>1588</v>
      </c>
      <c r="D48" s="464"/>
      <c r="E48" s="464"/>
      <c r="F48" s="598">
        <f t="shared" si="4"/>
        <v>0</v>
      </c>
    </row>
    <row r="49" spans="1:7" ht="13.5" thickBot="1">
      <c r="A49" s="260">
        <f t="shared" si="5"/>
        <v>14</v>
      </c>
      <c r="B49" s="187" t="str">
        <f>"13 Month Avg. (Lns "&amp;A36&amp;" - "&amp;A48&amp;")"</f>
        <v>13 Month Avg. (Lns 1 - 13)</v>
      </c>
      <c r="C49" s="198"/>
      <c r="D49" s="561">
        <f>IF(D36=0,0,AVERAGE(D36:D48))</f>
        <v>0</v>
      </c>
      <c r="E49" s="164"/>
      <c r="F49" s="562">
        <f>AVERAGE(F36:F48)</f>
        <v>0</v>
      </c>
      <c r="G49" s="100"/>
    </row>
    <row r="50" spans="1:7" ht="13.5" thickBot="1">
      <c r="A50" s="260">
        <f t="shared" si="5"/>
        <v>15</v>
      </c>
      <c r="B50" s="187" t="str">
        <f>"12 Month Total. (Lns "&amp;A37&amp;" - "&amp;A48&amp;")"</f>
        <v>12 Month Total. (Lns 2 - 13)</v>
      </c>
      <c r="C50" s="198"/>
      <c r="D50" s="561"/>
      <c r="E50" s="562">
        <f>SUM(E37:E48)</f>
        <v>0</v>
      </c>
      <c r="F50" s="599"/>
    </row>
    <row r="51" spans="1:7" ht="13.5" thickBot="1">
      <c r="A51" s="271"/>
      <c r="B51" s="272"/>
      <c r="C51" s="272"/>
      <c r="D51" s="272"/>
      <c r="E51" s="272"/>
      <c r="F51" s="273"/>
    </row>
  </sheetData>
  <phoneticPr fontId="2" type="noConversion"/>
  <hyperlinks>
    <hyperlink ref="F12" r:id="rId1" display="\\FNPCPLM02\Home\201331\PSCo FERC Transmission\2015 Estimate\Formula Template\Data Sources\WP B-7\TSB-2015 Amortization.xls'!M58"/>
  </hyperlinks>
  <printOptions horizontalCentered="1"/>
  <pageMargins left="0.75" right="0.75" top="1" bottom="1" header="0.5" footer="0.5"/>
  <pageSetup scale="85" orientation="portrait" r:id="rId2"/>
  <headerFooter alignWithMargins="0">
    <oddHeader>&amp;RPage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pageSetUpPr fitToPage="1"/>
  </sheetPr>
  <dimension ref="A1:M63"/>
  <sheetViews>
    <sheetView view="pageBreakPreview" zoomScale="60" zoomScaleNormal="100" workbookViewId="0">
      <selection activeCell="Z34" sqref="Z34"/>
    </sheetView>
  </sheetViews>
  <sheetFormatPr defaultRowHeight="12.75"/>
  <cols>
    <col min="2" max="2" width="8.28515625" customWidth="1"/>
    <col min="3" max="3" width="10" customWidth="1"/>
    <col min="4" max="4" width="12.28515625" customWidth="1"/>
    <col min="5" max="5" width="14.85546875" customWidth="1"/>
    <col min="6" max="6" width="21.5703125" bestFit="1" customWidth="1"/>
    <col min="7" max="7" width="1.85546875" customWidth="1"/>
    <col min="8" max="8" width="14.7109375" customWidth="1"/>
    <col min="9" max="9" width="17.28515625" customWidth="1"/>
    <col min="10" max="10" width="16" style="142" customWidth="1"/>
    <col min="11" max="11" width="15" customWidth="1"/>
    <col min="12" max="12" width="16.42578125" customWidth="1"/>
  </cols>
  <sheetData>
    <row r="1" spans="1:13">
      <c r="A1" s="99" t="str">
        <f>'Cover Page'!A5</f>
        <v>Public Service Company of Colorado</v>
      </c>
      <c r="L1" s="577" t="str">
        <f>'Table of Contents'!A22</f>
        <v>Table 14</v>
      </c>
    </row>
    <row r="2" spans="1:13">
      <c r="A2" s="99" t="str">
        <f>'Cover Page'!A6</f>
        <v>Transmission Formula Rate Template</v>
      </c>
      <c r="L2" s="485" t="str">
        <f ca="1">MID(CELL("filename",J1),FIND("]",CELL("filename",J1))+1,LEN(CELL("filename",J1))-FIND("]",CELL("filename",J1)))</f>
        <v>WP_B-8</v>
      </c>
    </row>
    <row r="3" spans="1:13">
      <c r="A3" s="99" t="str">
        <f>'Cover Page'!A7</f>
        <v>Twelve Months Ended December 31, 2017</v>
      </c>
    </row>
    <row r="4" spans="1:13">
      <c r="A4" s="131" t="s">
        <v>886</v>
      </c>
    </row>
    <row r="5" spans="1:13" ht="13.5" thickBot="1">
      <c r="A5" s="164"/>
      <c r="B5" s="164"/>
      <c r="C5" s="164"/>
      <c r="D5" s="164"/>
      <c r="E5" s="164"/>
      <c r="F5" s="164"/>
      <c r="G5" s="164"/>
    </row>
    <row r="6" spans="1:13">
      <c r="A6" s="236" t="s">
        <v>983</v>
      </c>
      <c r="B6" s="557"/>
      <c r="C6" s="557"/>
      <c r="D6" s="557"/>
      <c r="E6" s="557"/>
      <c r="F6" s="557"/>
      <c r="G6" s="557"/>
      <c r="H6" s="305"/>
      <c r="I6" s="305"/>
      <c r="J6" s="566"/>
      <c r="K6" s="305"/>
      <c r="L6" s="590"/>
    </row>
    <row r="7" spans="1:13">
      <c r="A7" s="558"/>
      <c r="B7" s="194"/>
      <c r="C7" s="194"/>
      <c r="D7" s="194"/>
      <c r="E7" s="194"/>
      <c r="F7" s="194"/>
      <c r="G7" s="194"/>
      <c r="H7" s="1241" t="s">
        <v>440</v>
      </c>
      <c r="I7" s="1242"/>
      <c r="J7" s="1242"/>
      <c r="K7" s="1242"/>
      <c r="L7" s="1243"/>
    </row>
    <row r="8" spans="1:13" ht="38.25">
      <c r="A8" s="239" t="s">
        <v>862</v>
      </c>
      <c r="B8" s="585" t="s">
        <v>887</v>
      </c>
      <c r="C8" s="585" t="s">
        <v>434</v>
      </c>
      <c r="D8" s="585" t="s">
        <v>889</v>
      </c>
      <c r="E8" s="2" t="s">
        <v>896</v>
      </c>
      <c r="F8" s="2" t="s">
        <v>888</v>
      </c>
      <c r="G8" s="281"/>
      <c r="H8" s="585" t="s">
        <v>435</v>
      </c>
      <c r="I8" s="585" t="s">
        <v>436</v>
      </c>
      <c r="J8" s="588" t="s">
        <v>439</v>
      </c>
      <c r="K8" s="585" t="s">
        <v>437</v>
      </c>
      <c r="L8" s="586" t="s">
        <v>438</v>
      </c>
      <c r="M8" s="164"/>
    </row>
    <row r="9" spans="1:13">
      <c r="A9" s="258"/>
      <c r="B9" s="164"/>
      <c r="C9" s="164"/>
      <c r="D9" s="164"/>
      <c r="E9" s="164"/>
      <c r="F9" s="792" t="s">
        <v>358</v>
      </c>
      <c r="G9" s="792"/>
      <c r="H9" s="792" t="s">
        <v>357</v>
      </c>
      <c r="I9" s="792" t="s">
        <v>359</v>
      </c>
      <c r="J9" s="792" t="s">
        <v>360</v>
      </c>
      <c r="K9" s="792" t="s">
        <v>361</v>
      </c>
      <c r="L9" s="793" t="s">
        <v>362</v>
      </c>
    </row>
    <row r="10" spans="1:13">
      <c r="A10" s="260">
        <v>1</v>
      </c>
      <c r="B10" s="559"/>
      <c r="C10" s="275"/>
      <c r="D10" s="276"/>
      <c r="E10" s="584"/>
      <c r="F10" s="480"/>
      <c r="G10" s="480"/>
      <c r="H10" s="164"/>
      <c r="I10" s="164"/>
      <c r="K10" s="164"/>
      <c r="L10" s="259"/>
    </row>
    <row r="11" spans="1:13">
      <c r="A11" s="260">
        <v>2</v>
      </c>
      <c r="B11" s="584"/>
      <c r="C11" s="164"/>
      <c r="D11" s="164"/>
      <c r="E11" s="584" t="s">
        <v>909</v>
      </c>
      <c r="F11" s="463"/>
      <c r="G11" s="480"/>
      <c r="H11" s="276"/>
      <c r="I11" s="276"/>
      <c r="J11" s="480">
        <f>H11-I11</f>
        <v>0</v>
      </c>
      <c r="K11" s="276"/>
      <c r="L11" s="591"/>
    </row>
    <row r="12" spans="1:13">
      <c r="A12" s="260">
        <v>3</v>
      </c>
      <c r="B12" s="584"/>
      <c r="C12" s="116"/>
      <c r="D12" s="142"/>
      <c r="E12" s="584" t="s">
        <v>950</v>
      </c>
      <c r="F12" s="463"/>
      <c r="G12" s="480"/>
      <c r="H12" s="276"/>
      <c r="I12" s="276"/>
      <c r="J12" s="480">
        <f t="shared" ref="J12:J23" si="0">H12-I12</f>
        <v>0</v>
      </c>
      <c r="K12" s="142"/>
      <c r="L12" s="592"/>
    </row>
    <row r="13" spans="1:13">
      <c r="A13" s="260">
        <v>4</v>
      </c>
      <c r="B13" s="584"/>
      <c r="C13" s="116"/>
      <c r="D13" s="142"/>
      <c r="E13" s="584" t="s">
        <v>899</v>
      </c>
      <c r="F13" s="463"/>
      <c r="G13" s="480"/>
      <c r="H13" s="276"/>
      <c r="I13" s="276"/>
      <c r="J13" s="480">
        <f t="shared" si="0"/>
        <v>0</v>
      </c>
      <c r="K13" s="142"/>
      <c r="L13" s="592"/>
    </row>
    <row r="14" spans="1:13">
      <c r="A14" s="260">
        <v>5</v>
      </c>
      <c r="B14" s="584"/>
      <c r="C14" s="116"/>
      <c r="D14" s="142"/>
      <c r="E14" s="584" t="s">
        <v>900</v>
      </c>
      <c r="F14" s="463"/>
      <c r="G14" s="480"/>
      <c r="H14" s="276"/>
      <c r="I14" s="276"/>
      <c r="J14" s="480">
        <f t="shared" si="0"/>
        <v>0</v>
      </c>
      <c r="K14" s="142"/>
      <c r="L14" s="592"/>
    </row>
    <row r="15" spans="1:13">
      <c r="A15" s="260">
        <v>6</v>
      </c>
      <c r="B15" s="584"/>
      <c r="C15" s="116"/>
      <c r="D15" s="142"/>
      <c r="E15" s="584" t="s">
        <v>901</v>
      </c>
      <c r="F15" s="463"/>
      <c r="G15" s="480"/>
      <c r="H15" s="276"/>
      <c r="I15" s="276"/>
      <c r="J15" s="480">
        <f t="shared" si="0"/>
        <v>0</v>
      </c>
      <c r="K15" s="142"/>
      <c r="L15" s="592"/>
    </row>
    <row r="16" spans="1:13">
      <c r="A16" s="260">
        <v>7</v>
      </c>
      <c r="B16" s="584"/>
      <c r="C16" s="116"/>
      <c r="D16" s="142"/>
      <c r="E16" s="584" t="s">
        <v>902</v>
      </c>
      <c r="F16" s="463"/>
      <c r="G16" s="480"/>
      <c r="H16" s="276"/>
      <c r="I16" s="276"/>
      <c r="J16" s="480">
        <f t="shared" si="0"/>
        <v>0</v>
      </c>
      <c r="K16" s="142"/>
      <c r="L16" s="592"/>
    </row>
    <row r="17" spans="1:12">
      <c r="A17" s="260">
        <v>8</v>
      </c>
      <c r="B17" s="584"/>
      <c r="C17" s="116"/>
      <c r="D17" s="142"/>
      <c r="E17" s="584" t="s">
        <v>903</v>
      </c>
      <c r="F17" s="463"/>
      <c r="G17" s="480"/>
      <c r="H17" s="276"/>
      <c r="I17" s="276"/>
      <c r="J17" s="480">
        <f t="shared" si="0"/>
        <v>0</v>
      </c>
      <c r="K17" s="142"/>
      <c r="L17" s="592"/>
    </row>
    <row r="18" spans="1:12">
      <c r="A18" s="260">
        <v>9</v>
      </c>
      <c r="B18" s="584"/>
      <c r="C18" s="116"/>
      <c r="D18" s="142"/>
      <c r="E18" s="584" t="s">
        <v>904</v>
      </c>
      <c r="F18" s="463"/>
      <c r="G18" s="480"/>
      <c r="H18" s="276"/>
      <c r="I18" s="276"/>
      <c r="J18" s="480">
        <f t="shared" si="0"/>
        <v>0</v>
      </c>
      <c r="K18" s="142"/>
      <c r="L18" s="592"/>
    </row>
    <row r="19" spans="1:12">
      <c r="A19" s="260">
        <v>10</v>
      </c>
      <c r="B19" s="584"/>
      <c r="C19" s="116"/>
      <c r="D19" s="142"/>
      <c r="E19" s="584" t="s">
        <v>905</v>
      </c>
      <c r="F19" s="463"/>
      <c r="G19" s="480"/>
      <c r="H19" s="276"/>
      <c r="I19" s="276"/>
      <c r="J19" s="480">
        <f t="shared" si="0"/>
        <v>0</v>
      </c>
      <c r="K19" s="142"/>
      <c r="L19" s="592"/>
    </row>
    <row r="20" spans="1:12">
      <c r="A20" s="260">
        <v>11</v>
      </c>
      <c r="B20" s="584"/>
      <c r="C20" s="116"/>
      <c r="D20" s="142"/>
      <c r="E20" s="584" t="s">
        <v>906</v>
      </c>
      <c r="F20" s="463"/>
      <c r="G20" s="480"/>
      <c r="H20" s="276"/>
      <c r="I20" s="276"/>
      <c r="J20" s="480">
        <f t="shared" si="0"/>
        <v>0</v>
      </c>
      <c r="K20" s="142"/>
      <c r="L20" s="592"/>
    </row>
    <row r="21" spans="1:12">
      <c r="A21" s="260">
        <v>12</v>
      </c>
      <c r="B21" s="584"/>
      <c r="C21" s="116"/>
      <c r="D21" s="142"/>
      <c r="E21" s="584" t="s">
        <v>907</v>
      </c>
      <c r="F21" s="463"/>
      <c r="G21" s="480"/>
      <c r="H21" s="276"/>
      <c r="I21" s="276"/>
      <c r="J21" s="480">
        <f t="shared" si="0"/>
        <v>0</v>
      </c>
      <c r="K21" s="142"/>
      <c r="L21" s="592"/>
    </row>
    <row r="22" spans="1:12">
      <c r="A22" s="260">
        <v>13</v>
      </c>
      <c r="B22" s="584"/>
      <c r="C22" s="116"/>
      <c r="D22" s="142"/>
      <c r="E22" s="584" t="s">
        <v>908</v>
      </c>
      <c r="F22" s="463"/>
      <c r="G22" s="480"/>
      <c r="H22" s="276"/>
      <c r="I22" s="276"/>
      <c r="J22" s="480">
        <f t="shared" si="0"/>
        <v>0</v>
      </c>
      <c r="K22" s="142"/>
      <c r="L22" s="592"/>
    </row>
    <row r="23" spans="1:12">
      <c r="A23" s="260">
        <v>14</v>
      </c>
      <c r="B23" s="584"/>
      <c r="C23" s="116"/>
      <c r="D23" s="142"/>
      <c r="E23" s="584" t="s">
        <v>909</v>
      </c>
      <c r="F23" s="463"/>
      <c r="G23" s="480"/>
      <c r="H23" s="276"/>
      <c r="I23" s="276"/>
      <c r="J23" s="480">
        <f t="shared" si="0"/>
        <v>0</v>
      </c>
      <c r="K23" s="276"/>
      <c r="L23" s="593"/>
    </row>
    <row r="24" spans="1:12" ht="13.5" thickBot="1">
      <c r="A24" s="260">
        <v>15</v>
      </c>
      <c r="B24" s="164"/>
      <c r="C24" s="164"/>
      <c r="D24" s="164"/>
      <c r="E24" s="142"/>
      <c r="F24" s="164"/>
      <c r="G24" s="142"/>
      <c r="H24" s="587"/>
      <c r="I24" s="587"/>
      <c r="K24" s="589"/>
      <c r="L24" s="594"/>
    </row>
    <row r="25" spans="1:12" ht="13.5" thickBot="1">
      <c r="A25" s="260">
        <v>16</v>
      </c>
      <c r="B25" s="164"/>
      <c r="C25" s="164"/>
      <c r="D25" s="164"/>
      <c r="E25" s="694" t="str">
        <f>"13 Month Avg. (Lns "&amp;A11&amp;" - "&amp;A23&amp;")"</f>
        <v>13 Month Avg. (Lns 2 - 14)</v>
      </c>
      <c r="F25" s="320">
        <f>IF(F23=0,0,AVERAGE(F11:F23))</f>
        <v>0</v>
      </c>
      <c r="G25" s="480"/>
      <c r="H25" s="530">
        <f>IF(H23=0,0,AVERAGE(H11:H23))</f>
        <v>0</v>
      </c>
      <c r="I25" s="530">
        <f>IF(I23=0,0,AVERAGE(I11:I23))</f>
        <v>0</v>
      </c>
      <c r="J25" s="320">
        <f>IF(J23=0,0,AVERAGE(J11:J23))</f>
        <v>0</v>
      </c>
      <c r="K25" s="164"/>
      <c r="L25" s="259"/>
    </row>
    <row r="26" spans="1:12" ht="13.5" thickBot="1">
      <c r="A26" s="260">
        <v>17</v>
      </c>
      <c r="B26" s="164"/>
      <c r="C26" s="164"/>
      <c r="D26" s="164"/>
      <c r="E26" s="694" t="str">
        <f>"BOY/EOY Avg. (Lns "&amp;A11&amp;" and "&amp;A23&amp;")"</f>
        <v>BOY/EOY Avg. (Lns 2 and 14)</v>
      </c>
      <c r="F26" s="164"/>
      <c r="G26" s="142"/>
      <c r="H26" s="164"/>
      <c r="I26" s="164"/>
      <c r="K26" s="320">
        <f>(K11+K23)/2</f>
        <v>0</v>
      </c>
      <c r="L26" s="259"/>
    </row>
    <row r="27" spans="1:12" ht="13.5" thickBot="1">
      <c r="A27" s="260">
        <v>18</v>
      </c>
      <c r="B27" s="164"/>
      <c r="C27" s="164"/>
      <c r="D27" s="164"/>
      <c r="E27" s="694" t="str">
        <f>"12 Month Total (Sum Lns "&amp;A12&amp;" - "&amp;A23&amp;")"</f>
        <v>12 Month Total (Sum Lns 3 - 14)</v>
      </c>
      <c r="F27" s="164"/>
      <c r="G27" s="164"/>
      <c r="H27" s="164"/>
      <c r="I27" s="164"/>
      <c r="K27" s="164"/>
      <c r="L27" s="320">
        <f>SUM(L12:L23)</f>
        <v>0</v>
      </c>
    </row>
    <row r="28" spans="1:12">
      <c r="A28" s="258"/>
      <c r="B28" s="164"/>
      <c r="C28" s="164"/>
      <c r="D28" s="164"/>
      <c r="E28" s="164"/>
      <c r="F28" s="164"/>
      <c r="G28" s="164"/>
      <c r="H28" s="164"/>
      <c r="I28" s="164"/>
      <c r="K28" s="164"/>
      <c r="L28" s="259"/>
    </row>
    <row r="29" spans="1:12">
      <c r="A29" s="258" t="s">
        <v>89</v>
      </c>
      <c r="B29" s="164"/>
      <c r="C29" s="164"/>
      <c r="D29" s="164"/>
      <c r="E29" s="290"/>
      <c r="F29" s="164"/>
      <c r="G29" s="164"/>
      <c r="H29" s="164"/>
      <c r="I29" s="164"/>
      <c r="K29" s="164"/>
      <c r="L29" s="259"/>
    </row>
    <row r="30" spans="1:12">
      <c r="A30" s="260" t="s">
        <v>793</v>
      </c>
      <c r="B30" s="290" t="s">
        <v>891</v>
      </c>
      <c r="C30" s="164"/>
      <c r="D30" s="164"/>
      <c r="E30" s="164"/>
      <c r="F30" s="164"/>
      <c r="G30" s="164"/>
      <c r="H30" s="164"/>
      <c r="I30" s="164"/>
      <c r="K30" s="164"/>
      <c r="L30" s="259"/>
    </row>
    <row r="31" spans="1:12">
      <c r="A31" s="260" t="s">
        <v>794</v>
      </c>
      <c r="B31" s="164" t="s">
        <v>890</v>
      </c>
      <c r="C31" s="164"/>
      <c r="D31" s="164"/>
      <c r="E31" s="164"/>
      <c r="F31" s="164"/>
      <c r="G31" s="164"/>
      <c r="H31" s="164"/>
      <c r="I31" s="164"/>
      <c r="K31" s="164"/>
      <c r="L31" s="259"/>
    </row>
    <row r="32" spans="1:12">
      <c r="A32" s="260"/>
      <c r="B32" s="164"/>
      <c r="C32" s="164"/>
      <c r="D32" s="164"/>
      <c r="E32" s="164"/>
      <c r="F32" s="164"/>
      <c r="G32" s="164"/>
      <c r="H32" s="164"/>
      <c r="I32" s="164"/>
      <c r="K32" s="164"/>
      <c r="L32" s="259"/>
    </row>
    <row r="33" spans="1:12" ht="13.5" thickBot="1">
      <c r="A33" s="271"/>
      <c r="B33" s="272"/>
      <c r="C33" s="272"/>
      <c r="D33" s="272"/>
      <c r="E33" s="272"/>
      <c r="F33" s="272"/>
      <c r="G33" s="272"/>
      <c r="H33" s="272"/>
      <c r="I33" s="272"/>
      <c r="J33" s="436"/>
      <c r="K33" s="272"/>
      <c r="L33" s="273"/>
    </row>
    <row r="34" spans="1:12">
      <c r="A34" s="164"/>
      <c r="B34" s="164"/>
      <c r="C34" s="164"/>
      <c r="D34" s="164"/>
      <c r="E34" s="164"/>
      <c r="F34" s="164"/>
      <c r="G34" s="164"/>
    </row>
    <row r="35" spans="1:12" ht="13.5" thickBot="1">
      <c r="A35" s="164"/>
      <c r="B35" s="164"/>
      <c r="C35" s="164"/>
      <c r="D35" s="164"/>
      <c r="E35" s="164"/>
      <c r="F35" s="164"/>
      <c r="G35" s="164"/>
    </row>
    <row r="36" spans="1:12">
      <c r="A36" s="236" t="s">
        <v>1064</v>
      </c>
      <c r="B36" s="557"/>
      <c r="C36" s="557"/>
      <c r="D36" s="557"/>
      <c r="E36" s="557"/>
      <c r="F36" s="557"/>
      <c r="G36" s="557"/>
      <c r="H36" s="305"/>
      <c r="I36" s="305"/>
      <c r="J36" s="566"/>
      <c r="K36" s="305"/>
      <c r="L36" s="590"/>
    </row>
    <row r="37" spans="1:12">
      <c r="A37" s="558"/>
      <c r="B37" s="194"/>
      <c r="C37" s="194"/>
      <c r="D37" s="194"/>
      <c r="E37" s="194"/>
      <c r="F37" s="194"/>
      <c r="G37" s="194"/>
      <c r="H37" s="1241" t="s">
        <v>440</v>
      </c>
      <c r="I37" s="1242"/>
      <c r="J37" s="1242"/>
      <c r="K37" s="1242"/>
      <c r="L37" s="1243"/>
    </row>
    <row r="38" spans="1:12" ht="38.25">
      <c r="A38" s="239" t="s">
        <v>862</v>
      </c>
      <c r="B38" s="585" t="s">
        <v>887</v>
      </c>
      <c r="C38" s="585" t="s">
        <v>434</v>
      </c>
      <c r="D38" s="585" t="s">
        <v>889</v>
      </c>
      <c r="E38" s="2" t="s">
        <v>896</v>
      </c>
      <c r="F38" s="2" t="s">
        <v>888</v>
      </c>
      <c r="G38" s="281"/>
      <c r="H38" s="585" t="s">
        <v>435</v>
      </c>
      <c r="I38" s="585" t="s">
        <v>436</v>
      </c>
      <c r="J38" s="588" t="s">
        <v>439</v>
      </c>
      <c r="K38" s="585" t="s">
        <v>437</v>
      </c>
      <c r="L38" s="586" t="s">
        <v>438</v>
      </c>
    </row>
    <row r="39" spans="1:12">
      <c r="A39" s="258"/>
      <c r="B39" s="164"/>
      <c r="C39" s="164"/>
      <c r="D39" s="164"/>
      <c r="E39" s="164"/>
      <c r="F39" s="792" t="s">
        <v>358</v>
      </c>
      <c r="G39" s="792"/>
      <c r="H39" s="792" t="s">
        <v>357</v>
      </c>
      <c r="I39" s="792" t="s">
        <v>359</v>
      </c>
      <c r="J39" s="792" t="s">
        <v>360</v>
      </c>
      <c r="K39" s="792" t="s">
        <v>361</v>
      </c>
      <c r="L39" s="793" t="s">
        <v>362</v>
      </c>
    </row>
    <row r="40" spans="1:12">
      <c r="A40" s="260">
        <v>1</v>
      </c>
      <c r="B40" s="559"/>
      <c r="C40" s="275"/>
      <c r="D40" s="276"/>
      <c r="E40" s="584"/>
      <c r="F40" s="480"/>
      <c r="G40" s="480"/>
      <c r="H40" s="164"/>
      <c r="I40" s="164"/>
      <c r="K40" s="164"/>
      <c r="L40" s="259"/>
    </row>
    <row r="41" spans="1:12">
      <c r="A41" s="260">
        <v>2</v>
      </c>
      <c r="B41" s="584"/>
      <c r="C41" s="164"/>
      <c r="D41" s="164"/>
      <c r="E41" s="584" t="s">
        <v>909</v>
      </c>
      <c r="F41" s="463"/>
      <c r="G41" s="480"/>
      <c r="H41" s="276"/>
      <c r="I41" s="276"/>
      <c r="J41" s="480">
        <f>H41-I41</f>
        <v>0</v>
      </c>
      <c r="K41" s="276"/>
      <c r="L41" s="591"/>
    </row>
    <row r="42" spans="1:12">
      <c r="A42" s="260">
        <v>3</v>
      </c>
      <c r="B42" s="584"/>
      <c r="C42" s="116"/>
      <c r="D42" s="142"/>
      <c r="E42" s="584" t="s">
        <v>950</v>
      </c>
      <c r="F42" s="463"/>
      <c r="G42" s="480"/>
      <c r="H42" s="276"/>
      <c r="I42" s="276"/>
      <c r="J42" s="480">
        <f t="shared" ref="J42:J53" si="1">H42-I42</f>
        <v>0</v>
      </c>
      <c r="K42" s="142"/>
      <c r="L42" s="592"/>
    </row>
    <row r="43" spans="1:12">
      <c r="A43" s="260">
        <v>4</v>
      </c>
      <c r="B43" s="584"/>
      <c r="C43" s="116"/>
      <c r="D43" s="142"/>
      <c r="E43" s="584" t="s">
        <v>899</v>
      </c>
      <c r="F43" s="463"/>
      <c r="G43" s="480"/>
      <c r="H43" s="276"/>
      <c r="I43" s="276"/>
      <c r="J43" s="480">
        <f t="shared" si="1"/>
        <v>0</v>
      </c>
      <c r="K43" s="142"/>
      <c r="L43" s="592"/>
    </row>
    <row r="44" spans="1:12">
      <c r="A44" s="260">
        <v>5</v>
      </c>
      <c r="B44" s="584"/>
      <c r="C44" s="116"/>
      <c r="D44" s="142"/>
      <c r="E44" s="584" t="s">
        <v>900</v>
      </c>
      <c r="F44" s="463"/>
      <c r="G44" s="480"/>
      <c r="H44" s="276"/>
      <c r="I44" s="276"/>
      <c r="J44" s="480">
        <f t="shared" si="1"/>
        <v>0</v>
      </c>
      <c r="K44" s="142"/>
      <c r="L44" s="592"/>
    </row>
    <row r="45" spans="1:12">
      <c r="A45" s="260">
        <v>6</v>
      </c>
      <c r="B45" s="584"/>
      <c r="C45" s="116"/>
      <c r="D45" s="142"/>
      <c r="E45" s="584" t="s">
        <v>901</v>
      </c>
      <c r="F45" s="463"/>
      <c r="G45" s="480"/>
      <c r="H45" s="276"/>
      <c r="I45" s="276"/>
      <c r="J45" s="480">
        <f t="shared" si="1"/>
        <v>0</v>
      </c>
      <c r="K45" s="142"/>
      <c r="L45" s="592"/>
    </row>
    <row r="46" spans="1:12">
      <c r="A46" s="260">
        <v>7</v>
      </c>
      <c r="B46" s="584"/>
      <c r="C46" s="116"/>
      <c r="D46" s="142"/>
      <c r="E46" s="584" t="s">
        <v>902</v>
      </c>
      <c r="F46" s="463"/>
      <c r="G46" s="480"/>
      <c r="H46" s="276"/>
      <c r="I46" s="276"/>
      <c r="J46" s="480">
        <f t="shared" si="1"/>
        <v>0</v>
      </c>
      <c r="K46" s="142"/>
      <c r="L46" s="592"/>
    </row>
    <row r="47" spans="1:12">
      <c r="A47" s="260">
        <v>8</v>
      </c>
      <c r="B47" s="584"/>
      <c r="C47" s="116"/>
      <c r="D47" s="142"/>
      <c r="E47" s="584" t="s">
        <v>903</v>
      </c>
      <c r="F47" s="463"/>
      <c r="G47" s="480"/>
      <c r="H47" s="276"/>
      <c r="I47" s="276"/>
      <c r="J47" s="480">
        <f t="shared" si="1"/>
        <v>0</v>
      </c>
      <c r="K47" s="142"/>
      <c r="L47" s="592"/>
    </row>
    <row r="48" spans="1:12">
      <c r="A48" s="260">
        <v>9</v>
      </c>
      <c r="B48" s="584"/>
      <c r="C48" s="116"/>
      <c r="D48" s="142"/>
      <c r="E48" s="584" t="s">
        <v>904</v>
      </c>
      <c r="F48" s="463"/>
      <c r="G48" s="480"/>
      <c r="H48" s="276"/>
      <c r="I48" s="276"/>
      <c r="J48" s="480">
        <f t="shared" si="1"/>
        <v>0</v>
      </c>
      <c r="K48" s="142"/>
      <c r="L48" s="592"/>
    </row>
    <row r="49" spans="1:12">
      <c r="A49" s="260">
        <v>10</v>
      </c>
      <c r="B49" s="584"/>
      <c r="C49" s="116"/>
      <c r="D49" s="142"/>
      <c r="E49" s="584" t="s">
        <v>905</v>
      </c>
      <c r="F49" s="463"/>
      <c r="G49" s="480"/>
      <c r="H49" s="276"/>
      <c r="I49" s="276"/>
      <c r="J49" s="480">
        <f t="shared" si="1"/>
        <v>0</v>
      </c>
      <c r="K49" s="142"/>
      <c r="L49" s="592"/>
    </row>
    <row r="50" spans="1:12">
      <c r="A50" s="260">
        <v>11</v>
      </c>
      <c r="B50" s="584"/>
      <c r="C50" s="116"/>
      <c r="D50" s="142"/>
      <c r="E50" s="584" t="s">
        <v>906</v>
      </c>
      <c r="F50" s="463"/>
      <c r="G50" s="480"/>
      <c r="H50" s="276"/>
      <c r="I50" s="276"/>
      <c r="J50" s="480">
        <f t="shared" si="1"/>
        <v>0</v>
      </c>
      <c r="K50" s="142"/>
      <c r="L50" s="592"/>
    </row>
    <row r="51" spans="1:12">
      <c r="A51" s="260">
        <v>12</v>
      </c>
      <c r="B51" s="584"/>
      <c r="C51" s="116"/>
      <c r="D51" s="142"/>
      <c r="E51" s="584" t="s">
        <v>907</v>
      </c>
      <c r="F51" s="463"/>
      <c r="G51" s="480"/>
      <c r="H51" s="276"/>
      <c r="I51" s="276"/>
      <c r="J51" s="480">
        <f t="shared" si="1"/>
        <v>0</v>
      </c>
      <c r="K51" s="142"/>
      <c r="L51" s="592"/>
    </row>
    <row r="52" spans="1:12">
      <c r="A52" s="260">
        <v>13</v>
      </c>
      <c r="B52" s="584"/>
      <c r="C52" s="116"/>
      <c r="D52" s="142"/>
      <c r="E52" s="584" t="s">
        <v>908</v>
      </c>
      <c r="F52" s="463"/>
      <c r="G52" s="480"/>
      <c r="H52" s="276"/>
      <c r="I52" s="276"/>
      <c r="J52" s="480">
        <f t="shared" si="1"/>
        <v>0</v>
      </c>
      <c r="K52" s="142"/>
      <c r="L52" s="592"/>
    </row>
    <row r="53" spans="1:12">
      <c r="A53" s="260">
        <v>14</v>
      </c>
      <c r="B53" s="584"/>
      <c r="C53" s="116"/>
      <c r="D53" s="142"/>
      <c r="E53" s="584" t="s">
        <v>909</v>
      </c>
      <c r="F53" s="463"/>
      <c r="G53" s="480"/>
      <c r="H53" s="276"/>
      <c r="I53" s="276"/>
      <c r="J53" s="480">
        <f t="shared" si="1"/>
        <v>0</v>
      </c>
      <c r="K53" s="276"/>
      <c r="L53" s="593"/>
    </row>
    <row r="54" spans="1:12" ht="13.5" thickBot="1">
      <c r="A54" s="260">
        <v>15</v>
      </c>
      <c r="B54" s="164"/>
      <c r="C54" s="164"/>
      <c r="D54" s="164"/>
      <c r="E54" s="142"/>
      <c r="F54" s="164"/>
      <c r="G54" s="142"/>
      <c r="H54" s="587"/>
      <c r="I54" s="587"/>
      <c r="K54" s="589"/>
      <c r="L54" s="594"/>
    </row>
    <row r="55" spans="1:12" ht="13.5" thickBot="1">
      <c r="A55" s="260">
        <v>16</v>
      </c>
      <c r="B55" s="164"/>
      <c r="C55" s="164"/>
      <c r="D55" s="164"/>
      <c r="E55" s="694" t="str">
        <f>"13 Month Avg. (Lns "&amp;A41&amp;" - "&amp;A53&amp;")"</f>
        <v>13 Month Avg. (Lns 2 - 14)</v>
      </c>
      <c r="F55" s="320">
        <f>IF(F53=0,0,AVERAGE(F41:F53))</f>
        <v>0</v>
      </c>
      <c r="G55" s="480"/>
      <c r="H55" s="530">
        <f>IF(H53=0,0,AVERAGE(H41:H53))</f>
        <v>0</v>
      </c>
      <c r="I55" s="530">
        <f>IF(I53=0,0,AVERAGE(I41:I53))</f>
        <v>0</v>
      </c>
      <c r="J55" s="320">
        <f>IF(J53=0,0,AVERAGE(J41:J53))</f>
        <v>0</v>
      </c>
      <c r="K55" s="164"/>
      <c r="L55" s="259"/>
    </row>
    <row r="56" spans="1:12" ht="13.5" thickBot="1">
      <c r="A56" s="260">
        <v>17</v>
      </c>
      <c r="B56" s="164"/>
      <c r="C56" s="164"/>
      <c r="D56" s="164"/>
      <c r="E56" s="694" t="str">
        <f>"BOY/EOY Avg. (Lns "&amp;A41&amp;" and "&amp;A53&amp;")"</f>
        <v>BOY/EOY Avg. (Lns 2 and 14)</v>
      </c>
      <c r="F56" s="164"/>
      <c r="G56" s="142"/>
      <c r="H56" s="164"/>
      <c r="I56" s="164"/>
      <c r="K56" s="320">
        <f>(K41+K53)/2</f>
        <v>0</v>
      </c>
      <c r="L56" s="259"/>
    </row>
    <row r="57" spans="1:12" ht="13.5" thickBot="1">
      <c r="A57" s="260">
        <v>18</v>
      </c>
      <c r="B57" s="164"/>
      <c r="C57" s="164"/>
      <c r="D57" s="164"/>
      <c r="E57" s="694" t="str">
        <f>"12 Month Total (Sum Lns "&amp;A42&amp;" - "&amp;A53&amp;")"</f>
        <v>12 Month Total (Sum Lns 3 - 14)</v>
      </c>
      <c r="F57" s="164"/>
      <c r="G57" s="164"/>
      <c r="H57" s="164"/>
      <c r="I57" s="164"/>
      <c r="K57" s="164"/>
      <c r="L57" s="320">
        <f>SUM(L42:L53)</f>
        <v>0</v>
      </c>
    </row>
    <row r="58" spans="1:12">
      <c r="A58" s="258"/>
      <c r="B58" s="164"/>
      <c r="C58" s="164"/>
      <c r="D58" s="164"/>
      <c r="E58" s="164"/>
      <c r="F58" s="164"/>
      <c r="G58" s="164"/>
      <c r="H58" s="164"/>
      <c r="I58" s="164"/>
      <c r="K58" s="164"/>
      <c r="L58" s="259"/>
    </row>
    <row r="59" spans="1:12">
      <c r="A59" s="258" t="s">
        <v>89</v>
      </c>
      <c r="B59" s="164"/>
      <c r="C59" s="164"/>
      <c r="D59" s="164"/>
      <c r="E59" s="290"/>
      <c r="F59" s="164"/>
      <c r="G59" s="164"/>
      <c r="H59" s="164"/>
      <c r="I59" s="164"/>
      <c r="K59" s="164"/>
      <c r="L59" s="259"/>
    </row>
    <row r="60" spans="1:12">
      <c r="A60" s="260" t="s">
        <v>793</v>
      </c>
      <c r="B60" s="290" t="s">
        <v>891</v>
      </c>
      <c r="C60" s="164"/>
      <c r="D60" s="164"/>
      <c r="E60" s="164"/>
      <c r="F60" s="164"/>
      <c r="G60" s="164"/>
      <c r="H60" s="164"/>
      <c r="I60" s="164"/>
      <c r="K60" s="164"/>
      <c r="L60" s="259"/>
    </row>
    <row r="61" spans="1:12">
      <c r="A61" s="260" t="s">
        <v>794</v>
      </c>
      <c r="B61" s="164" t="s">
        <v>890</v>
      </c>
      <c r="C61" s="164"/>
      <c r="D61" s="164"/>
      <c r="E61" s="164"/>
      <c r="F61" s="164"/>
      <c r="G61" s="164"/>
      <c r="H61" s="164"/>
      <c r="I61" s="164"/>
      <c r="K61" s="164"/>
      <c r="L61" s="259"/>
    </row>
    <row r="62" spans="1:12">
      <c r="A62" s="260"/>
      <c r="B62" s="164"/>
      <c r="C62" s="164"/>
      <c r="D62" s="164"/>
      <c r="E62" s="164"/>
      <c r="F62" s="164"/>
      <c r="G62" s="164"/>
      <c r="H62" s="164"/>
      <c r="I62" s="164"/>
      <c r="K62" s="164"/>
      <c r="L62" s="259"/>
    </row>
    <row r="63" spans="1:12" ht="13.5" thickBot="1">
      <c r="A63" s="271"/>
      <c r="B63" s="272"/>
      <c r="C63" s="272"/>
      <c r="D63" s="272"/>
      <c r="E63" s="272"/>
      <c r="F63" s="272"/>
      <c r="G63" s="272"/>
      <c r="H63" s="272"/>
      <c r="I63" s="272"/>
      <c r="J63" s="436"/>
      <c r="K63" s="272"/>
      <c r="L63" s="273"/>
    </row>
  </sheetData>
  <mergeCells count="2">
    <mergeCell ref="H7:L7"/>
    <mergeCell ref="H37:L37"/>
  </mergeCells>
  <phoneticPr fontId="2" type="noConversion"/>
  <pageMargins left="0.75" right="0.75" top="1" bottom="1" header="0.5" footer="0.5"/>
  <pageSetup scale="57" orientation="portrait" r:id="rId1"/>
  <headerFooter alignWithMargins="0">
    <oddHeader>&amp;RPage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Z166"/>
  <sheetViews>
    <sheetView view="pageBreakPreview" topLeftCell="A103" zoomScale="60" zoomScaleNormal="80" workbookViewId="0">
      <selection activeCell="Z34" sqref="Z34"/>
    </sheetView>
  </sheetViews>
  <sheetFormatPr defaultRowHeight="12.75"/>
  <cols>
    <col min="1" max="1" width="5.42578125" style="75" customWidth="1"/>
    <col min="2" max="2" width="22.42578125" style="73" customWidth="1"/>
    <col min="3" max="3" width="18.7109375" style="73" bestFit="1" customWidth="1"/>
    <col min="4" max="4" width="18.140625" style="73" bestFit="1" customWidth="1"/>
    <col min="5" max="5" width="15.140625" style="73" bestFit="1" customWidth="1"/>
    <col min="6" max="6" width="19" style="73" bestFit="1" customWidth="1"/>
    <col min="7" max="7" width="19.42578125" style="73" customWidth="1"/>
    <col min="8" max="8" width="15.7109375" style="73" bestFit="1" customWidth="1"/>
    <col min="9" max="9" width="16.85546875" style="73" bestFit="1" customWidth="1"/>
    <col min="10" max="10" width="17.7109375" style="73" bestFit="1" customWidth="1"/>
    <col min="11" max="11" width="14.28515625" style="73" bestFit="1" customWidth="1"/>
    <col min="12" max="12" width="12.28515625" style="73" bestFit="1" customWidth="1"/>
    <col min="13" max="13" width="16.5703125" style="73" bestFit="1" customWidth="1"/>
    <col min="14" max="14" width="16.7109375" style="73" bestFit="1" customWidth="1"/>
    <col min="15" max="25" width="11.28515625" style="73" bestFit="1" customWidth="1"/>
    <col min="26" max="16384" width="9.140625" style="73"/>
  </cols>
  <sheetData>
    <row r="1" spans="1:26">
      <c r="A1" s="979" t="s">
        <v>774</v>
      </c>
      <c r="G1" s="310"/>
      <c r="L1" s="898" t="s">
        <v>148</v>
      </c>
    </row>
    <row r="2" spans="1:26">
      <c r="A2" s="979" t="s">
        <v>378</v>
      </c>
      <c r="G2" s="310"/>
      <c r="H2" s="310"/>
      <c r="I2" s="94"/>
      <c r="J2" s="94"/>
      <c r="K2" s="94"/>
      <c r="L2" s="898" t="s">
        <v>1578</v>
      </c>
    </row>
    <row r="3" spans="1:26">
      <c r="A3" s="1006" t="str">
        <f>'Cover Page'!A7</f>
        <v>Twelve Months Ended December 31, 2017</v>
      </c>
      <c r="G3" s="94"/>
      <c r="H3" s="94"/>
      <c r="I3" s="94"/>
      <c r="J3" s="94"/>
      <c r="K3" s="94"/>
    </row>
    <row r="4" spans="1:26">
      <c r="A4" s="979" t="s">
        <v>937</v>
      </c>
      <c r="G4" s="94"/>
      <c r="J4" s="94"/>
      <c r="K4" s="94"/>
    </row>
    <row r="5" spans="1:26">
      <c r="A5" s="979"/>
      <c r="E5" s="94"/>
      <c r="G5" s="94"/>
      <c r="H5" s="94"/>
    </row>
    <row r="6" spans="1:26">
      <c r="C6" s="1005"/>
      <c r="D6" s="94"/>
      <c r="G6" s="310"/>
      <c r="H6" s="310"/>
    </row>
    <row r="7" spans="1:26">
      <c r="B7" s="1006" t="s">
        <v>938</v>
      </c>
      <c r="C7" s="94"/>
      <c r="J7" s="94"/>
      <c r="K7" s="94"/>
    </row>
    <row r="8" spans="1:26" ht="25.5">
      <c r="C8" s="1007" t="s">
        <v>939</v>
      </c>
      <c r="D8" s="1007" t="s">
        <v>941</v>
      </c>
      <c r="E8" s="1007" t="s">
        <v>942</v>
      </c>
      <c r="F8" s="1007" t="s">
        <v>943</v>
      </c>
      <c r="G8" s="1008" t="s">
        <v>944</v>
      </c>
      <c r="H8" s="1007" t="s">
        <v>945</v>
      </c>
      <c r="I8" s="1007" t="s">
        <v>947</v>
      </c>
      <c r="J8" s="1007" t="s">
        <v>948</v>
      </c>
      <c r="K8" s="1007" t="s">
        <v>949</v>
      </c>
    </row>
    <row r="9" spans="1:26" ht="25.5">
      <c r="B9" s="1009" t="s">
        <v>167</v>
      </c>
      <c r="C9" s="1009" t="s">
        <v>1383</v>
      </c>
      <c r="D9" s="1009" t="s">
        <v>1383</v>
      </c>
      <c r="E9" s="1009" t="s">
        <v>1383</v>
      </c>
      <c r="F9" s="1009" t="s">
        <v>1383</v>
      </c>
      <c r="G9" s="1009" t="s">
        <v>1383</v>
      </c>
      <c r="H9" s="1009" t="s">
        <v>1383</v>
      </c>
      <c r="I9" s="1009" t="s">
        <v>1383</v>
      </c>
      <c r="J9" s="1009" t="s">
        <v>1383</v>
      </c>
      <c r="K9" s="1009" t="s">
        <v>1383</v>
      </c>
    </row>
    <row r="10" spans="1:26">
      <c r="A10" s="997">
        <v>1</v>
      </c>
      <c r="B10" s="73" t="s">
        <v>909</v>
      </c>
      <c r="C10" s="994">
        <v>110696969.36299129</v>
      </c>
      <c r="D10" s="994">
        <v>3371770254.6900005</v>
      </c>
      <c r="E10" s="994">
        <v>141899558.74000001</v>
      </c>
      <c r="F10" s="994">
        <v>1845296834.1099992</v>
      </c>
      <c r="G10" s="994">
        <v>2101104319.5499985</v>
      </c>
      <c r="H10" s="994">
        <v>4588384251.8699951</v>
      </c>
      <c r="I10" s="994">
        <v>255817104.02999985</v>
      </c>
      <c r="J10" s="994">
        <v>378266105.97000003</v>
      </c>
      <c r="K10" s="994">
        <v>428527812.65999955</v>
      </c>
      <c r="M10" s="310"/>
      <c r="N10" s="310"/>
      <c r="O10" s="310"/>
      <c r="P10" s="310"/>
      <c r="Q10" s="310"/>
      <c r="R10" s="310"/>
      <c r="S10" s="310"/>
      <c r="T10" s="310"/>
      <c r="U10" s="310"/>
      <c r="V10" s="310"/>
      <c r="W10" s="310"/>
      <c r="X10" s="310"/>
      <c r="Y10" s="310"/>
      <c r="Z10" s="310"/>
    </row>
    <row r="11" spans="1:26">
      <c r="A11" s="997">
        <f t="shared" ref="A11:A24" si="0">A10+1</f>
        <v>2</v>
      </c>
      <c r="B11" s="73" t="s">
        <v>950</v>
      </c>
      <c r="C11" s="994">
        <v>110703969.36294273</v>
      </c>
      <c r="D11" s="994">
        <v>3371820339.7399993</v>
      </c>
      <c r="E11" s="994">
        <v>141899558.74000001</v>
      </c>
      <c r="F11" s="994">
        <v>1845296834.1099992</v>
      </c>
      <c r="G11" s="994">
        <v>2102658573.7999997</v>
      </c>
      <c r="H11" s="994">
        <v>4597661320.8999987</v>
      </c>
      <c r="I11" s="994">
        <v>257847708.30999988</v>
      </c>
      <c r="J11" s="994">
        <v>410870625.56</v>
      </c>
      <c r="K11" s="994">
        <v>431198025.19000012</v>
      </c>
      <c r="M11" s="310"/>
      <c r="N11" s="310"/>
    </row>
    <row r="12" spans="1:26">
      <c r="A12" s="997">
        <f t="shared" si="0"/>
        <v>3</v>
      </c>
      <c r="B12" s="73" t="s">
        <v>899</v>
      </c>
      <c r="C12" s="994">
        <v>110705369.36293301</v>
      </c>
      <c r="D12" s="994">
        <v>3372425759.27</v>
      </c>
      <c r="E12" s="994">
        <v>141899558.74000001</v>
      </c>
      <c r="F12" s="994">
        <v>1845357022.8899989</v>
      </c>
      <c r="G12" s="994">
        <v>2106074123.4700015</v>
      </c>
      <c r="H12" s="994">
        <v>4608741243.9900007</v>
      </c>
      <c r="I12" s="994">
        <v>259389444.28999996</v>
      </c>
      <c r="J12" s="994">
        <v>411374573.43000007</v>
      </c>
      <c r="K12" s="994">
        <v>433137941.26999968</v>
      </c>
      <c r="M12" s="310"/>
      <c r="N12" s="310"/>
    </row>
    <row r="13" spans="1:26">
      <c r="A13" s="997">
        <f t="shared" si="0"/>
        <v>4</v>
      </c>
      <c r="B13" s="73" t="s">
        <v>900</v>
      </c>
      <c r="C13" s="994">
        <v>110706769.36292329</v>
      </c>
      <c r="D13" s="994">
        <v>3372498195.9900007</v>
      </c>
      <c r="E13" s="994">
        <v>141899558.74000001</v>
      </c>
      <c r="F13" s="994">
        <v>1846353947.8699989</v>
      </c>
      <c r="G13" s="994">
        <v>2109657123.0800004</v>
      </c>
      <c r="H13" s="994">
        <v>4622962122.5699987</v>
      </c>
      <c r="I13" s="994">
        <v>261608116.53999984</v>
      </c>
      <c r="J13" s="994">
        <v>411858905.50999999</v>
      </c>
      <c r="K13" s="994">
        <v>434828073.13000005</v>
      </c>
      <c r="M13" s="310"/>
      <c r="N13" s="310"/>
    </row>
    <row r="14" spans="1:26">
      <c r="A14" s="997">
        <f t="shared" si="0"/>
        <v>5</v>
      </c>
      <c r="B14" s="73" t="s">
        <v>901</v>
      </c>
      <c r="C14" s="994">
        <v>110707169.36292052</v>
      </c>
      <c r="D14" s="994">
        <v>3372572506.3400011</v>
      </c>
      <c r="E14" s="994">
        <v>141899558.74000001</v>
      </c>
      <c r="F14" s="994">
        <v>1852292766.5199986</v>
      </c>
      <c r="G14" s="994">
        <v>2117624989.0300009</v>
      </c>
      <c r="H14" s="994">
        <v>4637844645.0900021</v>
      </c>
      <c r="I14" s="994">
        <v>263406292.52999985</v>
      </c>
      <c r="J14" s="994">
        <v>412330584.46000004</v>
      </c>
      <c r="K14" s="994">
        <v>436981149.00000024</v>
      </c>
      <c r="M14" s="310"/>
      <c r="N14" s="310"/>
    </row>
    <row r="15" spans="1:26">
      <c r="A15" s="997">
        <f t="shared" si="0"/>
        <v>6</v>
      </c>
      <c r="B15" s="73" t="s">
        <v>902</v>
      </c>
      <c r="C15" s="994">
        <v>110707969.36291498</v>
      </c>
      <c r="D15" s="994">
        <v>3393583047.2799988</v>
      </c>
      <c r="E15" s="994">
        <v>141899558.74000001</v>
      </c>
      <c r="F15" s="994">
        <v>1852647936.9700007</v>
      </c>
      <c r="G15" s="994">
        <v>2142641225.7100008</v>
      </c>
      <c r="H15" s="994">
        <v>4666091167.0299997</v>
      </c>
      <c r="I15" s="994">
        <v>266639200.55000001</v>
      </c>
      <c r="J15" s="994">
        <v>456125266.22000003</v>
      </c>
      <c r="K15" s="994">
        <v>439253342.55999976</v>
      </c>
      <c r="M15" s="310"/>
      <c r="N15" s="310"/>
    </row>
    <row r="16" spans="1:26">
      <c r="A16" s="997">
        <f t="shared" si="0"/>
        <v>7</v>
      </c>
      <c r="B16" s="73" t="s">
        <v>903</v>
      </c>
      <c r="C16" s="994">
        <v>110709369.36290525</v>
      </c>
      <c r="D16" s="994">
        <v>3397390558.3199992</v>
      </c>
      <c r="E16" s="994">
        <v>141899558.74000001</v>
      </c>
      <c r="F16" s="994">
        <v>1857933936.9700007</v>
      </c>
      <c r="G16" s="994">
        <v>2161835501.690001</v>
      </c>
      <c r="H16" s="994">
        <v>4683146346.5699959</v>
      </c>
      <c r="I16" s="994">
        <v>269445697.25999999</v>
      </c>
      <c r="J16" s="994">
        <v>457125930.41999996</v>
      </c>
      <c r="K16" s="994">
        <v>441640940.65999991</v>
      </c>
      <c r="M16" s="310"/>
      <c r="N16" s="310"/>
    </row>
    <row r="17" spans="1:14">
      <c r="A17" s="997">
        <f t="shared" si="0"/>
        <v>8</v>
      </c>
      <c r="B17" s="73" t="s">
        <v>904</v>
      </c>
      <c r="C17" s="994">
        <v>110710169.36289971</v>
      </c>
      <c r="D17" s="994">
        <v>3400228524.900001</v>
      </c>
      <c r="E17" s="994">
        <v>141899558.74000001</v>
      </c>
      <c r="F17" s="994">
        <v>1857933936.9700007</v>
      </c>
      <c r="G17" s="994">
        <v>2163685173.4300003</v>
      </c>
      <c r="H17" s="994">
        <v>4697727621.3399973</v>
      </c>
      <c r="I17" s="994">
        <v>271163560.4199999</v>
      </c>
      <c r="J17" s="994">
        <v>457576992.84000003</v>
      </c>
      <c r="K17" s="994">
        <v>443999490.16999978</v>
      </c>
      <c r="M17" s="310"/>
      <c r="N17" s="310"/>
    </row>
    <row r="18" spans="1:14">
      <c r="A18" s="997">
        <f t="shared" si="0"/>
        <v>9</v>
      </c>
      <c r="B18" s="73" t="s">
        <v>905</v>
      </c>
      <c r="C18" s="994">
        <v>110710969.36289415</v>
      </c>
      <c r="D18" s="994">
        <v>3404844983.5800009</v>
      </c>
      <c r="E18" s="994">
        <v>141899558.74000001</v>
      </c>
      <c r="F18" s="994">
        <v>1857933936.9700007</v>
      </c>
      <c r="G18" s="994">
        <v>2182010881.3200002</v>
      </c>
      <c r="H18" s="994">
        <v>4713614216.3499956</v>
      </c>
      <c r="I18" s="994">
        <v>273390792.38999999</v>
      </c>
      <c r="J18" s="994">
        <v>502035703.50999999</v>
      </c>
      <c r="K18" s="994">
        <v>446374238.52999955</v>
      </c>
      <c r="M18" s="310"/>
      <c r="N18" s="310"/>
    </row>
    <row r="19" spans="1:14">
      <c r="A19" s="997">
        <f t="shared" si="0"/>
        <v>10</v>
      </c>
      <c r="B19" s="73" t="s">
        <v>906</v>
      </c>
      <c r="C19" s="994">
        <v>110711769.3628886</v>
      </c>
      <c r="D19" s="994">
        <v>3409357443.1100006</v>
      </c>
      <c r="E19" s="994">
        <v>142438023.96000001</v>
      </c>
      <c r="F19" s="994">
        <v>1860105457.6700001</v>
      </c>
      <c r="G19" s="994">
        <v>2187765084.23</v>
      </c>
      <c r="H19" s="994">
        <v>4728092481.1400003</v>
      </c>
      <c r="I19" s="994">
        <v>275674424.53999978</v>
      </c>
      <c r="J19" s="994">
        <v>504760362.21000004</v>
      </c>
      <c r="K19" s="994">
        <v>449199239.89999998</v>
      </c>
      <c r="M19" s="310"/>
      <c r="N19" s="310"/>
    </row>
    <row r="20" spans="1:14">
      <c r="A20" s="997">
        <f t="shared" si="0"/>
        <v>11</v>
      </c>
      <c r="B20" s="73" t="s">
        <v>907</v>
      </c>
      <c r="C20" s="994">
        <v>110713169.3628789</v>
      </c>
      <c r="D20" s="994">
        <v>3412938049.4300022</v>
      </c>
      <c r="E20" s="994">
        <v>142579752.93000007</v>
      </c>
      <c r="F20" s="994">
        <v>1866283652.6500001</v>
      </c>
      <c r="G20" s="994">
        <v>2203485643.5800009</v>
      </c>
      <c r="H20" s="994">
        <v>4743092248.6499987</v>
      </c>
      <c r="I20" s="994">
        <v>278104068.29999977</v>
      </c>
      <c r="J20" s="994">
        <v>508499058.84000003</v>
      </c>
      <c r="K20" s="994">
        <v>453130277.66000003</v>
      </c>
      <c r="M20" s="310"/>
      <c r="N20" s="310"/>
    </row>
    <row r="21" spans="1:14">
      <c r="A21" s="997">
        <f t="shared" si="0"/>
        <v>12</v>
      </c>
      <c r="B21" s="73" t="s">
        <v>908</v>
      </c>
      <c r="C21" s="994">
        <v>110713969.36287333</v>
      </c>
      <c r="D21" s="994">
        <v>3414073275.6000009</v>
      </c>
      <c r="E21" s="994">
        <v>142595340.82000002</v>
      </c>
      <c r="F21" s="994">
        <v>1868023337.7800007</v>
      </c>
      <c r="G21" s="994">
        <v>2205990881.4500022</v>
      </c>
      <c r="H21" s="994">
        <v>4756699434.3600035</v>
      </c>
      <c r="I21" s="994">
        <v>280326345.74999994</v>
      </c>
      <c r="J21" s="994">
        <v>510294947.47999996</v>
      </c>
      <c r="K21" s="994">
        <v>455239392.21999991</v>
      </c>
      <c r="M21" s="310"/>
      <c r="N21" s="310"/>
    </row>
    <row r="22" spans="1:14">
      <c r="A22" s="997">
        <f t="shared" si="0"/>
        <v>13</v>
      </c>
      <c r="B22" s="73" t="s">
        <v>909</v>
      </c>
      <c r="C22" s="247">
        <v>112749966.20285253</v>
      </c>
      <c r="D22" s="247">
        <v>3216462403.900002</v>
      </c>
      <c r="E22" s="247">
        <v>142610928.71000004</v>
      </c>
      <c r="F22" s="247">
        <v>1868555313.9299994</v>
      </c>
      <c r="G22" s="247">
        <v>2225725796.6299996</v>
      </c>
      <c r="H22" s="247">
        <v>4785035601.3400002</v>
      </c>
      <c r="I22" s="247">
        <v>286011561.23000014</v>
      </c>
      <c r="J22" s="247">
        <v>520459003.60999995</v>
      </c>
      <c r="K22" s="247">
        <v>469650788.69999993</v>
      </c>
      <c r="M22" s="310"/>
      <c r="N22" s="310"/>
    </row>
    <row r="23" spans="1:14">
      <c r="A23" s="997">
        <f t="shared" si="0"/>
        <v>14</v>
      </c>
      <c r="B23" s="623" t="str">
        <f>"13 Month Avg. (Lns "&amp;A10&amp;" - "&amp;A22&amp;")"</f>
        <v>13 Month Avg. (Lns 1 - 13)</v>
      </c>
      <c r="C23" s="166">
        <f t="shared" ref="C23:K23" si="1">IF(C22=0,0,AVERAGE(C10:C22))</f>
        <v>110865199.88906294</v>
      </c>
      <c r="D23" s="166">
        <f t="shared" si="1"/>
        <v>3377689641.7038469</v>
      </c>
      <c r="E23" s="166">
        <f t="shared" si="1"/>
        <v>142101544.2369231</v>
      </c>
      <c r="F23" s="166">
        <f t="shared" si="1"/>
        <v>1855693455.0315387</v>
      </c>
      <c r="G23" s="166">
        <f t="shared" si="1"/>
        <v>2154635332.074616</v>
      </c>
      <c r="H23" s="166">
        <f t="shared" si="1"/>
        <v>4679160977.0153847</v>
      </c>
      <c r="I23" s="166">
        <f t="shared" si="1"/>
        <v>269140332.01076913</v>
      </c>
      <c r="J23" s="166">
        <f t="shared" si="1"/>
        <v>457044466.15846151</v>
      </c>
      <c r="K23" s="166">
        <f t="shared" si="1"/>
        <v>443320054.7423076</v>
      </c>
      <c r="M23" s="310"/>
      <c r="N23" s="310"/>
    </row>
    <row r="24" spans="1:14">
      <c r="A24" s="1251">
        <f t="shared" si="0"/>
        <v>15</v>
      </c>
      <c r="B24" s="1252" t="s">
        <v>952</v>
      </c>
      <c r="C24" s="166"/>
      <c r="D24" s="166"/>
      <c r="E24" s="166"/>
      <c r="F24" s="166"/>
      <c r="G24" s="166"/>
      <c r="H24" s="166"/>
      <c r="I24" s="166"/>
      <c r="J24" s="166"/>
      <c r="M24" s="310"/>
      <c r="N24" s="310"/>
    </row>
    <row r="25" spans="1:14">
      <c r="A25" s="1251"/>
      <c r="B25" s="1252"/>
      <c r="C25" s="1010"/>
      <c r="D25" s="1010"/>
      <c r="E25" s="1010"/>
      <c r="F25" s="1010"/>
      <c r="G25" s="1010"/>
      <c r="H25" s="1010"/>
      <c r="I25" s="1010"/>
      <c r="J25" s="1010"/>
      <c r="K25" s="1010"/>
      <c r="M25" s="310"/>
      <c r="N25" s="310"/>
    </row>
    <row r="26" spans="1:14" ht="13.5" thickBot="1">
      <c r="A26" s="997">
        <f>A24+1</f>
        <v>16</v>
      </c>
      <c r="M26" s="310"/>
      <c r="N26" s="310"/>
    </row>
    <row r="27" spans="1:14" ht="13.5" thickBot="1">
      <c r="A27" s="997">
        <f t="shared" ref="A27:A90" si="2">A26+1</f>
        <v>17</v>
      </c>
      <c r="B27" s="73" t="s">
        <v>953</v>
      </c>
      <c r="C27" s="693">
        <f t="shared" ref="C27:K27" si="3">C23-C25</f>
        <v>110865199.88906294</v>
      </c>
      <c r="D27" s="693">
        <f t="shared" si="3"/>
        <v>3377689641.7038469</v>
      </c>
      <c r="E27" s="693">
        <f t="shared" si="3"/>
        <v>142101544.2369231</v>
      </c>
      <c r="F27" s="693">
        <f t="shared" si="3"/>
        <v>1855693455.0315387</v>
      </c>
      <c r="G27" s="693">
        <f t="shared" si="3"/>
        <v>2154635332.074616</v>
      </c>
      <c r="H27" s="693">
        <f t="shared" si="3"/>
        <v>4679160977.0153847</v>
      </c>
      <c r="I27" s="693">
        <f t="shared" si="3"/>
        <v>269140332.01076913</v>
      </c>
      <c r="J27" s="693">
        <f t="shared" si="3"/>
        <v>457044466.15846151</v>
      </c>
      <c r="K27" s="693">
        <f t="shared" si="3"/>
        <v>443320054.7423076</v>
      </c>
      <c r="M27" s="310"/>
      <c r="N27" s="310"/>
    </row>
    <row r="28" spans="1:14">
      <c r="A28" s="997">
        <f t="shared" si="2"/>
        <v>18</v>
      </c>
      <c r="C28" s="166"/>
      <c r="D28" s="166"/>
      <c r="E28" s="166"/>
      <c r="F28" s="166"/>
      <c r="G28" s="166"/>
      <c r="H28" s="166"/>
      <c r="M28" s="310"/>
      <c r="N28" s="310"/>
    </row>
    <row r="29" spans="1:14">
      <c r="A29" s="997">
        <f t="shared" si="2"/>
        <v>19</v>
      </c>
      <c r="B29" s="1006" t="s">
        <v>954</v>
      </c>
      <c r="C29" s="166"/>
      <c r="D29" s="166"/>
      <c r="E29" s="166"/>
      <c r="F29" s="166"/>
      <c r="G29" s="166"/>
      <c r="H29" s="166"/>
      <c r="M29" s="310"/>
      <c r="N29" s="310"/>
    </row>
    <row r="30" spans="1:14">
      <c r="A30" s="997">
        <f t="shared" si="2"/>
        <v>20</v>
      </c>
      <c r="J30" s="94"/>
      <c r="K30" s="94"/>
      <c r="M30" s="310"/>
      <c r="N30" s="310"/>
    </row>
    <row r="31" spans="1:14" ht="25.5">
      <c r="A31" s="997">
        <f t="shared" si="2"/>
        <v>21</v>
      </c>
      <c r="C31" s="1007" t="s">
        <v>939</v>
      </c>
      <c r="D31" s="1007" t="s">
        <v>941</v>
      </c>
      <c r="E31" s="1007" t="s">
        <v>942</v>
      </c>
      <c r="F31" s="1007" t="s">
        <v>943</v>
      </c>
      <c r="G31" s="1008" t="s">
        <v>944</v>
      </c>
      <c r="H31" s="1007" t="s">
        <v>945</v>
      </c>
      <c r="I31" s="1007" t="s">
        <v>947</v>
      </c>
      <c r="J31" s="1007" t="s">
        <v>948</v>
      </c>
      <c r="K31" s="1007" t="s">
        <v>949</v>
      </c>
      <c r="M31" s="310"/>
      <c r="N31" s="310"/>
    </row>
    <row r="32" spans="1:14" ht="25.5">
      <c r="A32" s="997">
        <f t="shared" si="2"/>
        <v>22</v>
      </c>
      <c r="B32" s="1009" t="s">
        <v>167</v>
      </c>
      <c r="C32" s="1009" t="s">
        <v>1383</v>
      </c>
      <c r="D32" s="1009" t="s">
        <v>1383</v>
      </c>
      <c r="E32" s="1009" t="s">
        <v>1383</v>
      </c>
      <c r="F32" s="1009" t="s">
        <v>1383</v>
      </c>
      <c r="G32" s="1009" t="s">
        <v>1383</v>
      </c>
      <c r="H32" s="1009" t="s">
        <v>1383</v>
      </c>
      <c r="I32" s="1009" t="s">
        <v>1383</v>
      </c>
      <c r="J32" s="1009" t="s">
        <v>1383</v>
      </c>
      <c r="K32" s="1009" t="s">
        <v>1383</v>
      </c>
      <c r="M32" s="310"/>
      <c r="N32" s="310"/>
    </row>
    <row r="33" spans="1:26">
      <c r="A33" s="997">
        <f t="shared" si="2"/>
        <v>23</v>
      </c>
      <c r="B33" s="73" t="s">
        <v>909</v>
      </c>
      <c r="C33" s="994">
        <v>55800129.090000011</v>
      </c>
      <c r="D33" s="994">
        <v>1226019167.9199998</v>
      </c>
      <c r="E33" s="994">
        <v>46943116.819999941</v>
      </c>
      <c r="F33" s="994">
        <v>400836937.26000005</v>
      </c>
      <c r="G33" s="994">
        <v>465047116.79000002</v>
      </c>
      <c r="H33" s="994">
        <v>1350156636.5499997</v>
      </c>
      <c r="I33" s="994">
        <v>96375289.810000032</v>
      </c>
      <c r="J33" s="994">
        <v>273951712.70000005</v>
      </c>
      <c r="K33" s="994">
        <v>186113009.04999995</v>
      </c>
      <c r="M33" s="310"/>
      <c r="N33" s="310"/>
      <c r="O33" s="310"/>
      <c r="P33" s="310"/>
      <c r="Q33" s="310"/>
      <c r="R33" s="310"/>
      <c r="S33" s="310"/>
      <c r="T33" s="310"/>
      <c r="U33" s="310"/>
      <c r="V33" s="310"/>
      <c r="W33" s="310"/>
      <c r="X33" s="310"/>
      <c r="Y33" s="310"/>
      <c r="Z33" s="310"/>
    </row>
    <row r="34" spans="1:26">
      <c r="A34" s="997">
        <f t="shared" si="2"/>
        <v>24</v>
      </c>
      <c r="B34" s="73" t="s">
        <v>950</v>
      </c>
      <c r="C34" s="994">
        <v>56678538.18</v>
      </c>
      <c r="D34" s="994">
        <v>1232367615.660001</v>
      </c>
      <c r="E34" s="994">
        <v>47110904.550000072</v>
      </c>
      <c r="F34" s="994">
        <v>404520978.44000065</v>
      </c>
      <c r="G34" s="994">
        <v>467415706.26000005</v>
      </c>
      <c r="H34" s="994">
        <v>1355480353.8099995</v>
      </c>
      <c r="I34" s="994">
        <v>97763959.459999993</v>
      </c>
      <c r="J34" s="994">
        <v>276314649.36000001</v>
      </c>
      <c r="K34" s="994">
        <v>188893314.40999994</v>
      </c>
      <c r="M34" s="310"/>
      <c r="N34" s="310"/>
    </row>
    <row r="35" spans="1:26">
      <c r="A35" s="997">
        <f t="shared" si="2"/>
        <v>25</v>
      </c>
      <c r="B35" s="73" t="s">
        <v>899</v>
      </c>
      <c r="C35" s="994">
        <v>57556952.909999996</v>
      </c>
      <c r="D35" s="994">
        <v>1238554603.3400004</v>
      </c>
      <c r="E35" s="994">
        <v>47278692.280000024</v>
      </c>
      <c r="F35" s="994">
        <v>408202081.07000011</v>
      </c>
      <c r="G35" s="994">
        <v>469772250.02999979</v>
      </c>
      <c r="H35" s="994">
        <v>1360703543.9799995</v>
      </c>
      <c r="I35" s="994">
        <v>99169770.34999992</v>
      </c>
      <c r="J35" s="994">
        <v>278624069.59999996</v>
      </c>
      <c r="K35" s="994">
        <v>191690811.04999995</v>
      </c>
      <c r="M35" s="310"/>
      <c r="N35" s="310"/>
    </row>
    <row r="36" spans="1:26">
      <c r="A36" s="997">
        <f t="shared" si="2"/>
        <v>26</v>
      </c>
      <c r="B36" s="73" t="s">
        <v>900</v>
      </c>
      <c r="C36" s="994">
        <v>58435373.530000001</v>
      </c>
      <c r="D36" s="994">
        <v>1244695417.6000001</v>
      </c>
      <c r="E36" s="994">
        <v>47446480.01000008</v>
      </c>
      <c r="F36" s="994">
        <v>411708157.10999984</v>
      </c>
      <c r="G36" s="994">
        <v>472064524.78000015</v>
      </c>
      <c r="H36" s="994">
        <v>1365709773.1700003</v>
      </c>
      <c r="I36" s="994">
        <v>100592627.51000002</v>
      </c>
      <c r="J36" s="994">
        <v>280934309.85000002</v>
      </c>
      <c r="K36" s="994">
        <v>194503703.17000011</v>
      </c>
      <c r="M36" s="310"/>
      <c r="N36" s="310"/>
    </row>
    <row r="37" spans="1:26">
      <c r="A37" s="997">
        <f t="shared" si="2"/>
        <v>27</v>
      </c>
      <c r="B37" s="73" t="s">
        <v>901</v>
      </c>
      <c r="C37" s="994">
        <v>59313795.700000003</v>
      </c>
      <c r="D37" s="994">
        <v>1251033810.3000004</v>
      </c>
      <c r="E37" s="994">
        <v>47614267.740000017</v>
      </c>
      <c r="F37" s="994">
        <v>415163145.3700003</v>
      </c>
      <c r="G37" s="994">
        <v>474358625.77000028</v>
      </c>
      <c r="H37" s="994">
        <v>1370798848.7599993</v>
      </c>
      <c r="I37" s="994">
        <v>102030539.93999998</v>
      </c>
      <c r="J37" s="994">
        <v>283190335.36000001</v>
      </c>
      <c r="K37" s="994">
        <v>197324175.29999995</v>
      </c>
      <c r="M37" s="310"/>
      <c r="N37" s="310"/>
    </row>
    <row r="38" spans="1:26">
      <c r="A38" s="997">
        <f t="shared" si="2"/>
        <v>28</v>
      </c>
      <c r="B38" s="73" t="s">
        <v>902</v>
      </c>
      <c r="C38" s="994">
        <v>60180359.709999993</v>
      </c>
      <c r="D38" s="994">
        <v>1257387956.6400001</v>
      </c>
      <c r="E38" s="994">
        <v>47782055.469999932</v>
      </c>
      <c r="F38" s="994">
        <v>418859565.90999973</v>
      </c>
      <c r="G38" s="994">
        <v>476738928.01000053</v>
      </c>
      <c r="H38" s="994">
        <v>1375869730.1499994</v>
      </c>
      <c r="I38" s="994">
        <v>103489219.77999997</v>
      </c>
      <c r="J38" s="994">
        <v>285662527.92000002</v>
      </c>
      <c r="K38" s="994">
        <v>200177241.86000016</v>
      </c>
      <c r="M38" s="310"/>
      <c r="N38" s="310"/>
    </row>
    <row r="39" spans="1:26">
      <c r="A39" s="997">
        <f t="shared" si="2"/>
        <v>29</v>
      </c>
      <c r="B39" s="73" t="s">
        <v>903</v>
      </c>
      <c r="C39" s="994">
        <v>61046929.609999985</v>
      </c>
      <c r="D39" s="994">
        <v>1263733620.4700003</v>
      </c>
      <c r="E39" s="994">
        <v>47949843.200000003</v>
      </c>
      <c r="F39" s="994">
        <v>422554517.44000041</v>
      </c>
      <c r="G39" s="994">
        <v>479134657.37999952</v>
      </c>
      <c r="H39" s="994">
        <v>1381173924.6999984</v>
      </c>
      <c r="I39" s="994">
        <v>104976252.82000002</v>
      </c>
      <c r="J39" s="994">
        <v>288136239.12</v>
      </c>
      <c r="K39" s="994">
        <v>203061966.38999996</v>
      </c>
      <c r="M39" s="310"/>
      <c r="N39" s="310"/>
    </row>
    <row r="40" spans="1:26">
      <c r="A40" s="997">
        <f t="shared" si="2"/>
        <v>30</v>
      </c>
      <c r="B40" s="73" t="s">
        <v>904</v>
      </c>
      <c r="C40" s="994">
        <v>61909569.889999993</v>
      </c>
      <c r="D40" s="994">
        <v>1268043005.5599999</v>
      </c>
      <c r="E40" s="994">
        <v>48117630.93000003</v>
      </c>
      <c r="F40" s="994">
        <v>426247620.96999955</v>
      </c>
      <c r="G40" s="994">
        <v>481525793.24000013</v>
      </c>
      <c r="H40" s="994">
        <v>1386713797.3299987</v>
      </c>
      <c r="I40" s="994">
        <v>106473213.52999994</v>
      </c>
      <c r="J40" s="994">
        <v>290577567.25</v>
      </c>
      <c r="K40" s="994">
        <v>205944924.96000007</v>
      </c>
      <c r="M40" s="310"/>
      <c r="N40" s="310"/>
    </row>
    <row r="41" spans="1:26">
      <c r="A41" s="997">
        <f t="shared" si="2"/>
        <v>31</v>
      </c>
      <c r="B41" s="73" t="s">
        <v>905</v>
      </c>
      <c r="C41" s="994">
        <v>62772213.560000002</v>
      </c>
      <c r="D41" s="994">
        <v>1274411925.279999</v>
      </c>
      <c r="E41" s="994">
        <v>48285418.660000056</v>
      </c>
      <c r="F41" s="994">
        <v>429938764.50000036</v>
      </c>
      <c r="G41" s="994">
        <v>484017081.17999929</v>
      </c>
      <c r="H41" s="994">
        <v>1392191848.4299986</v>
      </c>
      <c r="I41" s="994">
        <v>107974222.54999994</v>
      </c>
      <c r="J41" s="994">
        <v>293245986.11000001</v>
      </c>
      <c r="K41" s="994">
        <v>208827914.56999981</v>
      </c>
      <c r="M41" s="310"/>
      <c r="N41" s="310"/>
    </row>
    <row r="42" spans="1:26">
      <c r="A42" s="997">
        <f t="shared" si="2"/>
        <v>32</v>
      </c>
      <c r="B42" s="73" t="s">
        <v>906</v>
      </c>
      <c r="C42" s="994">
        <v>63634860.569999993</v>
      </c>
      <c r="D42" s="994">
        <v>1280592913.2799995</v>
      </c>
      <c r="E42" s="994">
        <v>48453580.470000014</v>
      </c>
      <c r="F42" s="994">
        <v>433630150.25999963</v>
      </c>
      <c r="G42" s="994">
        <v>486488045.53000009</v>
      </c>
      <c r="H42" s="994">
        <v>1397535296.9400008</v>
      </c>
      <c r="I42" s="994">
        <v>109491313.4100001</v>
      </c>
      <c r="J42" s="994">
        <v>295943345.47000003</v>
      </c>
      <c r="K42" s="994">
        <v>211745438.07999998</v>
      </c>
      <c r="M42" s="310"/>
      <c r="N42" s="310"/>
    </row>
    <row r="43" spans="1:26">
      <c r="A43" s="997">
        <f t="shared" si="2"/>
        <v>33</v>
      </c>
      <c r="B43" s="73" t="s">
        <v>907</v>
      </c>
      <c r="C43" s="994">
        <v>64482433.640000008</v>
      </c>
      <c r="D43" s="994">
        <v>1286670652.0799992</v>
      </c>
      <c r="E43" s="994">
        <v>48622211.350000046</v>
      </c>
      <c r="F43" s="994">
        <v>437257575.43999982</v>
      </c>
      <c r="G43" s="994">
        <v>488978710.56000018</v>
      </c>
      <c r="H43" s="994">
        <v>1402862183.2999997</v>
      </c>
      <c r="I43" s="994">
        <v>111022579.24999991</v>
      </c>
      <c r="J43" s="994">
        <v>298668431.25</v>
      </c>
      <c r="K43" s="994">
        <v>214693899.93000025</v>
      </c>
      <c r="M43" s="310"/>
      <c r="N43" s="310"/>
    </row>
    <row r="44" spans="1:26">
      <c r="A44" s="997">
        <f t="shared" si="2"/>
        <v>34</v>
      </c>
      <c r="B44" s="73" t="s">
        <v>908</v>
      </c>
      <c r="C44" s="994">
        <v>65320530.769999996</v>
      </c>
      <c r="D44" s="994">
        <v>1293153096.8700001</v>
      </c>
      <c r="E44" s="994">
        <v>48790947.579999991</v>
      </c>
      <c r="F44" s="994">
        <v>440957408.3799997</v>
      </c>
      <c r="G44" s="994">
        <v>491489200.76999968</v>
      </c>
      <c r="H44" s="994">
        <v>1408234640.9199986</v>
      </c>
      <c r="I44" s="994">
        <v>112569190.06000003</v>
      </c>
      <c r="J44" s="994">
        <v>301420393.53000003</v>
      </c>
      <c r="K44" s="994">
        <v>217667443.70000002</v>
      </c>
      <c r="M44" s="310"/>
      <c r="N44" s="310"/>
    </row>
    <row r="45" spans="1:26">
      <c r="A45" s="997">
        <f t="shared" si="2"/>
        <v>35</v>
      </c>
      <c r="B45" s="73" t="s">
        <v>909</v>
      </c>
      <c r="C45" s="247">
        <v>66188824.609999999</v>
      </c>
      <c r="D45" s="247">
        <v>1115030037.2099998</v>
      </c>
      <c r="E45" s="247">
        <v>48959704.579999946</v>
      </c>
      <c r="F45" s="247">
        <v>444648056.99999994</v>
      </c>
      <c r="G45" s="247">
        <v>494004277.27999949</v>
      </c>
      <c r="H45" s="247">
        <v>1413776142.9299991</v>
      </c>
      <c r="I45" s="247">
        <v>114146371.67999987</v>
      </c>
      <c r="J45" s="247">
        <v>304331970.04000002</v>
      </c>
      <c r="K45" s="247">
        <v>220842625.05000013</v>
      </c>
      <c r="M45" s="310"/>
      <c r="N45" s="310"/>
    </row>
    <row r="46" spans="1:26" ht="25.5">
      <c r="A46" s="997">
        <f t="shared" si="2"/>
        <v>36</v>
      </c>
      <c r="B46" s="1009" t="str">
        <f>"13 Month Avg. (Lns "&amp;A33&amp;" - "&amp;A45&amp;")"</f>
        <v>13 Month Avg. (Lns 23 - 35)</v>
      </c>
      <c r="C46" s="166">
        <f t="shared" ref="C46:K46" si="4">IF(C45=0,0,AVERAGE(C33:C45))</f>
        <v>61024654.751538463</v>
      </c>
      <c r="D46" s="166">
        <f t="shared" si="4"/>
        <v>1248591832.4776921</v>
      </c>
      <c r="E46" s="166">
        <f t="shared" si="4"/>
        <v>47950373.356923088</v>
      </c>
      <c r="F46" s="166">
        <f t="shared" si="4"/>
        <v>422655766.08846158</v>
      </c>
      <c r="G46" s="166">
        <f t="shared" si="4"/>
        <v>479310378.2753846</v>
      </c>
      <c r="H46" s="166">
        <f t="shared" si="4"/>
        <v>1381631286.2284608</v>
      </c>
      <c r="I46" s="166">
        <f t="shared" si="4"/>
        <v>105082657.70384613</v>
      </c>
      <c r="J46" s="166">
        <f t="shared" si="4"/>
        <v>288538579.81230778</v>
      </c>
      <c r="K46" s="166">
        <f t="shared" si="4"/>
        <v>203191266.7323077</v>
      </c>
      <c r="M46" s="310"/>
      <c r="N46" s="310"/>
    </row>
    <row r="47" spans="1:26">
      <c r="A47" s="997">
        <f t="shared" si="2"/>
        <v>37</v>
      </c>
      <c r="B47" s="1252" t="s">
        <v>952</v>
      </c>
      <c r="C47" s="166"/>
      <c r="D47" s="166"/>
      <c r="E47" s="166"/>
      <c r="F47" s="166"/>
      <c r="G47" s="166"/>
      <c r="H47" s="166"/>
      <c r="I47" s="166"/>
      <c r="J47" s="166"/>
    </row>
    <row r="48" spans="1:26" ht="12.75" customHeight="1">
      <c r="A48" s="997">
        <f t="shared" si="2"/>
        <v>38</v>
      </c>
      <c r="B48" s="1252"/>
      <c r="C48" s="1011"/>
      <c r="D48" s="1011"/>
      <c r="E48" s="1011"/>
      <c r="F48" s="1011"/>
      <c r="G48" s="1011"/>
      <c r="H48" s="1011"/>
      <c r="I48" s="1011"/>
      <c r="J48" s="1011"/>
      <c r="K48" s="1011"/>
    </row>
    <row r="49" spans="1:25" ht="13.5" thickBot="1">
      <c r="A49" s="997">
        <f t="shared" si="2"/>
        <v>39</v>
      </c>
    </row>
    <row r="50" spans="1:25" ht="13.5" thickBot="1">
      <c r="A50" s="997">
        <f t="shared" si="2"/>
        <v>40</v>
      </c>
      <c r="B50" s="73" t="s">
        <v>953</v>
      </c>
      <c r="C50" s="693">
        <f t="shared" ref="C50:K50" si="5">C46-C48</f>
        <v>61024654.751538463</v>
      </c>
      <c r="D50" s="693">
        <f t="shared" si="5"/>
        <v>1248591832.4776921</v>
      </c>
      <c r="E50" s="693">
        <f t="shared" si="5"/>
        <v>47950373.356923088</v>
      </c>
      <c r="F50" s="693">
        <f t="shared" si="5"/>
        <v>422655766.08846158</v>
      </c>
      <c r="G50" s="693">
        <f t="shared" si="5"/>
        <v>479310378.2753846</v>
      </c>
      <c r="H50" s="693">
        <f t="shared" si="5"/>
        <v>1381631286.2284608</v>
      </c>
      <c r="I50" s="693">
        <f t="shared" si="5"/>
        <v>105082657.70384613</v>
      </c>
      <c r="J50" s="693">
        <f t="shared" si="5"/>
        <v>288538579.81230778</v>
      </c>
      <c r="K50" s="693">
        <f t="shared" si="5"/>
        <v>203191266.7323077</v>
      </c>
    </row>
    <row r="51" spans="1:25">
      <c r="A51" s="997">
        <f t="shared" si="2"/>
        <v>41</v>
      </c>
      <c r="C51" s="94"/>
    </row>
    <row r="52" spans="1:25">
      <c r="A52" s="997">
        <f t="shared" si="2"/>
        <v>42</v>
      </c>
      <c r="B52" s="1006" t="s">
        <v>961</v>
      </c>
      <c r="C52" s="94"/>
    </row>
    <row r="53" spans="1:25">
      <c r="A53" s="997">
        <f t="shared" si="2"/>
        <v>43</v>
      </c>
      <c r="B53" s="1006"/>
      <c r="C53" s="1012"/>
    </row>
    <row r="54" spans="1:25" ht="25.5">
      <c r="A54" s="997">
        <f t="shared" si="2"/>
        <v>44</v>
      </c>
      <c r="B54" s="1006"/>
      <c r="C54" s="1007" t="s">
        <v>939</v>
      </c>
      <c r="D54" s="1007" t="s">
        <v>941</v>
      </c>
      <c r="E54" s="1007" t="s">
        <v>942</v>
      </c>
      <c r="F54" s="1007" t="s">
        <v>943</v>
      </c>
      <c r="G54" s="1008" t="s">
        <v>944</v>
      </c>
      <c r="H54" s="1007" t="s">
        <v>945</v>
      </c>
      <c r="I54" s="1007" t="s">
        <v>947</v>
      </c>
      <c r="J54" s="1007" t="s">
        <v>948</v>
      </c>
      <c r="K54" s="1007" t="s">
        <v>949</v>
      </c>
    </row>
    <row r="55" spans="1:25" ht="26.25" thickBot="1">
      <c r="A55" s="997">
        <f t="shared" si="2"/>
        <v>45</v>
      </c>
      <c r="B55" s="1009" t="s">
        <v>167</v>
      </c>
      <c r="C55" s="1009" t="s">
        <v>1383</v>
      </c>
      <c r="D55" s="1009" t="s">
        <v>1383</v>
      </c>
      <c r="E55" s="1009" t="s">
        <v>1383</v>
      </c>
      <c r="F55" s="1009" t="s">
        <v>1383</v>
      </c>
      <c r="G55" s="1009" t="s">
        <v>1383</v>
      </c>
      <c r="H55" s="1009" t="s">
        <v>1383</v>
      </c>
      <c r="I55" s="1009" t="s">
        <v>1383</v>
      </c>
      <c r="J55" s="1009" t="s">
        <v>1383</v>
      </c>
      <c r="K55" s="1009" t="s">
        <v>1383</v>
      </c>
    </row>
    <row r="56" spans="1:25" ht="13.5" thickBot="1">
      <c r="A56" s="997">
        <f t="shared" si="2"/>
        <v>46</v>
      </c>
      <c r="B56" s="73" t="s">
        <v>790</v>
      </c>
      <c r="C56" s="1013">
        <v>10388695.520000001</v>
      </c>
      <c r="D56" s="1013">
        <v>84466546.419999972</v>
      </c>
      <c r="E56" s="1013">
        <v>2016587.7599999984</v>
      </c>
      <c r="F56" s="1013">
        <v>44518607.780000016</v>
      </c>
      <c r="G56" s="1013">
        <v>35495908.439999983</v>
      </c>
      <c r="H56" s="1013">
        <v>104355080.35000001</v>
      </c>
      <c r="I56" s="1013">
        <v>11914496.499999989</v>
      </c>
      <c r="J56" s="1013">
        <v>31544513.199999999</v>
      </c>
      <c r="K56" s="1013">
        <v>32179517.079999998</v>
      </c>
      <c r="L56" s="94"/>
    </row>
    <row r="57" spans="1:25">
      <c r="A57" s="997">
        <f t="shared" si="2"/>
        <v>47</v>
      </c>
      <c r="C57" s="166"/>
      <c r="D57" s="166"/>
      <c r="E57" s="166"/>
      <c r="F57" s="166"/>
      <c r="G57" s="166"/>
      <c r="H57" s="166"/>
      <c r="I57" s="166"/>
      <c r="J57" s="166"/>
      <c r="K57" s="166"/>
      <c r="L57" s="94"/>
    </row>
    <row r="58" spans="1:25">
      <c r="A58" s="997">
        <f t="shared" si="2"/>
        <v>48</v>
      </c>
      <c r="B58" s="1002" t="s">
        <v>1703</v>
      </c>
      <c r="C58" s="729"/>
      <c r="D58" s="308"/>
    </row>
    <row r="59" spans="1:25">
      <c r="A59" s="997">
        <f t="shared" si="2"/>
        <v>49</v>
      </c>
    </row>
    <row r="60" spans="1:25">
      <c r="A60" s="997">
        <f t="shared" si="2"/>
        <v>50</v>
      </c>
      <c r="B60" s="1014" t="s">
        <v>956</v>
      </c>
    </row>
    <row r="61" spans="1:25">
      <c r="A61" s="997">
        <f t="shared" si="2"/>
        <v>51</v>
      </c>
      <c r="B61" s="1006"/>
    </row>
    <row r="62" spans="1:25" ht="25.5" customHeight="1">
      <c r="A62" s="997">
        <f t="shared" si="2"/>
        <v>52</v>
      </c>
      <c r="B62" s="1006"/>
      <c r="C62" s="1247" t="s">
        <v>976</v>
      </c>
      <c r="D62" s="1247"/>
      <c r="E62" s="1247"/>
      <c r="F62" s="1016" t="s">
        <v>945</v>
      </c>
      <c r="G62" s="1016" t="s">
        <v>947</v>
      </c>
      <c r="H62" s="1248" t="s">
        <v>948</v>
      </c>
      <c r="I62" s="1249"/>
      <c r="J62" s="1249"/>
      <c r="K62" s="1250"/>
      <c r="L62" s="1016" t="s">
        <v>949</v>
      </c>
    </row>
    <row r="63" spans="1:25" ht="25.5">
      <c r="A63" s="997">
        <f t="shared" si="2"/>
        <v>53</v>
      </c>
      <c r="C63" s="1015" t="s">
        <v>940</v>
      </c>
      <c r="D63" s="1015" t="s">
        <v>957</v>
      </c>
      <c r="E63" s="1015" t="s">
        <v>790</v>
      </c>
      <c r="F63" s="1016" t="s">
        <v>957</v>
      </c>
      <c r="G63" s="1016" t="s">
        <v>957</v>
      </c>
      <c r="H63" s="1016" t="s">
        <v>940</v>
      </c>
      <c r="I63" s="1016" t="s">
        <v>958</v>
      </c>
      <c r="J63" s="1017" t="s">
        <v>959</v>
      </c>
      <c r="K63" s="1015" t="s">
        <v>790</v>
      </c>
      <c r="L63" s="1016" t="s">
        <v>957</v>
      </c>
    </row>
    <row r="64" spans="1:25">
      <c r="A64" s="997">
        <f t="shared" si="2"/>
        <v>54</v>
      </c>
      <c r="B64" s="73" t="s">
        <v>909</v>
      </c>
      <c r="C64" s="994">
        <v>20923687.991965163</v>
      </c>
      <c r="D64" s="994">
        <v>9461968.3599999994</v>
      </c>
      <c r="E64" s="94">
        <f>SUM(C64:D64)</f>
        <v>30385656.351965163</v>
      </c>
      <c r="F64" s="994">
        <v>1386360.8900000001</v>
      </c>
      <c r="G64" s="994">
        <v>16635319</v>
      </c>
      <c r="H64" s="994">
        <v>3383421.1</v>
      </c>
      <c r="I64" s="994">
        <v>74029945.280000001</v>
      </c>
      <c r="J64" s="994">
        <v>12937276.4</v>
      </c>
      <c r="K64" s="94">
        <f>SUM(H64:J64)</f>
        <v>90350642.780000001</v>
      </c>
      <c r="L64" s="994">
        <v>416351.38</v>
      </c>
      <c r="O64" s="310"/>
      <c r="P64" s="310"/>
      <c r="Q64" s="310"/>
      <c r="R64" s="310"/>
      <c r="S64" s="310"/>
      <c r="T64" s="310"/>
      <c r="U64" s="310"/>
      <c r="V64" s="310"/>
      <c r="W64" s="310"/>
      <c r="X64" s="310"/>
      <c r="Y64" s="310"/>
    </row>
    <row r="65" spans="1:12">
      <c r="A65" s="997">
        <f t="shared" si="2"/>
        <v>55</v>
      </c>
      <c r="B65" s="73" t="s">
        <v>950</v>
      </c>
      <c r="C65" s="994">
        <v>20930687.991770882</v>
      </c>
      <c r="D65" s="994">
        <v>9461968.3599999994</v>
      </c>
      <c r="E65" s="94">
        <f t="shared" ref="E65:E76" si="6">SUM(C65:D65)</f>
        <v>30392656.351770882</v>
      </c>
      <c r="F65" s="994">
        <v>1386360.8900000001</v>
      </c>
      <c r="G65" s="994">
        <v>16635319</v>
      </c>
      <c r="H65" s="994">
        <v>3383421.1</v>
      </c>
      <c r="I65" s="994">
        <v>74029945.280000001</v>
      </c>
      <c r="J65" s="994">
        <v>12937276.4</v>
      </c>
      <c r="K65" s="94">
        <f t="shared" ref="K65:K76" si="7">SUM(H65:J65)</f>
        <v>90350642.780000001</v>
      </c>
      <c r="L65" s="994">
        <v>416351.38</v>
      </c>
    </row>
    <row r="66" spans="1:12">
      <c r="A66" s="997">
        <f t="shared" si="2"/>
        <v>56</v>
      </c>
      <c r="B66" s="73" t="s">
        <v>899</v>
      </c>
      <c r="C66" s="994">
        <v>20932087.991732024</v>
      </c>
      <c r="D66" s="994">
        <v>9461968.3599999994</v>
      </c>
      <c r="E66" s="94">
        <f t="shared" si="6"/>
        <v>30394056.351732023</v>
      </c>
      <c r="F66" s="994">
        <v>1386360.8900000001</v>
      </c>
      <c r="G66" s="994">
        <v>16635319</v>
      </c>
      <c r="H66" s="994">
        <v>3383421.1</v>
      </c>
      <c r="I66" s="994">
        <v>74029945.280000001</v>
      </c>
      <c r="J66" s="994">
        <v>12937276.4</v>
      </c>
      <c r="K66" s="94">
        <f t="shared" si="7"/>
        <v>90350642.780000001</v>
      </c>
      <c r="L66" s="994">
        <v>416351.38</v>
      </c>
    </row>
    <row r="67" spans="1:12">
      <c r="A67" s="997">
        <f t="shared" si="2"/>
        <v>57</v>
      </c>
      <c r="B67" s="73" t="s">
        <v>900</v>
      </c>
      <c r="C67" s="994">
        <v>20933487.991693173</v>
      </c>
      <c r="D67" s="994">
        <v>9461968.3599999994</v>
      </c>
      <c r="E67" s="94">
        <f t="shared" si="6"/>
        <v>30395456.351693172</v>
      </c>
      <c r="F67" s="994">
        <v>1386360.8900000001</v>
      </c>
      <c r="G67" s="994">
        <v>16635319</v>
      </c>
      <c r="H67" s="994">
        <v>3383421.1</v>
      </c>
      <c r="I67" s="994">
        <v>74029945.280000001</v>
      </c>
      <c r="J67" s="994">
        <v>12937276.4</v>
      </c>
      <c r="K67" s="94">
        <f t="shared" si="7"/>
        <v>90350642.780000001</v>
      </c>
      <c r="L67" s="994">
        <v>416351.38</v>
      </c>
    </row>
    <row r="68" spans="1:12">
      <c r="A68" s="997">
        <f t="shared" si="2"/>
        <v>58</v>
      </c>
      <c r="B68" s="73" t="s">
        <v>901</v>
      </c>
      <c r="C68" s="994">
        <v>20933887.991682075</v>
      </c>
      <c r="D68" s="994">
        <v>9461968.3599999994</v>
      </c>
      <c r="E68" s="94">
        <f t="shared" si="6"/>
        <v>30395856.351682074</v>
      </c>
      <c r="F68" s="994">
        <v>1386360.8900000001</v>
      </c>
      <c r="G68" s="994">
        <v>16635319</v>
      </c>
      <c r="H68" s="994">
        <v>3383421.1</v>
      </c>
      <c r="I68" s="994">
        <v>74029945.280000001</v>
      </c>
      <c r="J68" s="994">
        <v>12937276.4</v>
      </c>
      <c r="K68" s="94">
        <f t="shared" si="7"/>
        <v>90350642.780000001</v>
      </c>
      <c r="L68" s="994">
        <v>416351.38</v>
      </c>
    </row>
    <row r="69" spans="1:12">
      <c r="A69" s="997">
        <f t="shared" si="2"/>
        <v>59</v>
      </c>
      <c r="B69" s="73" t="s">
        <v>902</v>
      </c>
      <c r="C69" s="994">
        <v>20934687.991659865</v>
      </c>
      <c r="D69" s="994">
        <v>9461968.3599999994</v>
      </c>
      <c r="E69" s="94">
        <f t="shared" si="6"/>
        <v>30396656.351659864</v>
      </c>
      <c r="F69" s="994">
        <v>1386360.8900000001</v>
      </c>
      <c r="G69" s="994">
        <v>16635319</v>
      </c>
      <c r="H69" s="994">
        <v>3383421.1</v>
      </c>
      <c r="I69" s="994">
        <v>74029945.280000001</v>
      </c>
      <c r="J69" s="994">
        <v>12937276.4</v>
      </c>
      <c r="K69" s="94">
        <f t="shared" si="7"/>
        <v>90350642.780000001</v>
      </c>
      <c r="L69" s="994">
        <v>416351.38</v>
      </c>
    </row>
    <row r="70" spans="1:12">
      <c r="A70" s="997">
        <f t="shared" si="2"/>
        <v>60</v>
      </c>
      <c r="B70" s="73" t="s">
        <v>903</v>
      </c>
      <c r="C70" s="994">
        <v>20936087.991621006</v>
      </c>
      <c r="D70" s="994">
        <v>9461968.3599999994</v>
      </c>
      <c r="E70" s="94">
        <f t="shared" si="6"/>
        <v>30398056.351621006</v>
      </c>
      <c r="F70" s="994">
        <v>1386360.8900000001</v>
      </c>
      <c r="G70" s="994">
        <v>16635319</v>
      </c>
      <c r="H70" s="994">
        <v>3383421.1</v>
      </c>
      <c r="I70" s="994">
        <v>74029945.280000001</v>
      </c>
      <c r="J70" s="994">
        <v>12937276.4</v>
      </c>
      <c r="K70" s="94">
        <f t="shared" si="7"/>
        <v>90350642.780000001</v>
      </c>
      <c r="L70" s="994">
        <v>416351.38</v>
      </c>
    </row>
    <row r="71" spans="1:12">
      <c r="A71" s="997">
        <f t="shared" si="2"/>
        <v>61</v>
      </c>
      <c r="B71" s="73" t="s">
        <v>904</v>
      </c>
      <c r="C71" s="994">
        <v>20936887.991598804</v>
      </c>
      <c r="D71" s="994">
        <v>9461968.3599999994</v>
      </c>
      <c r="E71" s="94">
        <f t="shared" si="6"/>
        <v>30398856.351598803</v>
      </c>
      <c r="F71" s="994">
        <v>1386360.8900000001</v>
      </c>
      <c r="G71" s="994">
        <v>16635319</v>
      </c>
      <c r="H71" s="994">
        <v>3383421.1</v>
      </c>
      <c r="I71" s="994">
        <v>74029945.280000001</v>
      </c>
      <c r="J71" s="994">
        <v>12937276.4</v>
      </c>
      <c r="K71" s="94">
        <f t="shared" si="7"/>
        <v>90350642.780000001</v>
      </c>
      <c r="L71" s="994">
        <v>416351.38</v>
      </c>
    </row>
    <row r="72" spans="1:12">
      <c r="A72" s="997">
        <f t="shared" si="2"/>
        <v>62</v>
      </c>
      <c r="B72" s="73" t="s">
        <v>905</v>
      </c>
      <c r="C72" s="994">
        <v>20937687.991576605</v>
      </c>
      <c r="D72" s="994">
        <v>9461968.3599999994</v>
      </c>
      <c r="E72" s="94">
        <f t="shared" si="6"/>
        <v>30399656.351576604</v>
      </c>
      <c r="F72" s="994">
        <v>1386360.8900000001</v>
      </c>
      <c r="G72" s="994">
        <v>16635319</v>
      </c>
      <c r="H72" s="994">
        <v>3383421.1</v>
      </c>
      <c r="I72" s="994">
        <v>74029945.280000001</v>
      </c>
      <c r="J72" s="994">
        <v>12937276.4</v>
      </c>
      <c r="K72" s="94">
        <f t="shared" si="7"/>
        <v>90350642.780000001</v>
      </c>
      <c r="L72" s="994">
        <v>416351.38</v>
      </c>
    </row>
    <row r="73" spans="1:12">
      <c r="A73" s="997">
        <f t="shared" si="2"/>
        <v>63</v>
      </c>
      <c r="B73" s="73" t="s">
        <v>906</v>
      </c>
      <c r="C73" s="994">
        <v>20938487.991554394</v>
      </c>
      <c r="D73" s="994">
        <v>9461968.3599999994</v>
      </c>
      <c r="E73" s="94">
        <f t="shared" si="6"/>
        <v>30400456.351554394</v>
      </c>
      <c r="F73" s="994">
        <v>1386360.8900000001</v>
      </c>
      <c r="G73" s="994">
        <v>16635319</v>
      </c>
      <c r="H73" s="994">
        <v>3383421.1</v>
      </c>
      <c r="I73" s="994">
        <v>74029945.280000001</v>
      </c>
      <c r="J73" s="994">
        <v>12937276.4</v>
      </c>
      <c r="K73" s="94">
        <f t="shared" si="7"/>
        <v>90350642.780000001</v>
      </c>
      <c r="L73" s="994">
        <v>416351.38</v>
      </c>
    </row>
    <row r="74" spans="1:12">
      <c r="A74" s="997">
        <f t="shared" si="2"/>
        <v>64</v>
      </c>
      <c r="B74" s="73" t="s">
        <v>907</v>
      </c>
      <c r="C74" s="994">
        <v>20939887.991515543</v>
      </c>
      <c r="D74" s="994">
        <v>9461968.3599999994</v>
      </c>
      <c r="E74" s="94">
        <f t="shared" si="6"/>
        <v>30401856.351515543</v>
      </c>
      <c r="F74" s="994">
        <v>1386360.8900000001</v>
      </c>
      <c r="G74" s="994">
        <v>16635319</v>
      </c>
      <c r="H74" s="994">
        <v>3383421.1</v>
      </c>
      <c r="I74" s="994">
        <v>74029945.280000001</v>
      </c>
      <c r="J74" s="994">
        <v>12937276.4</v>
      </c>
      <c r="K74" s="94">
        <f t="shared" si="7"/>
        <v>90350642.780000001</v>
      </c>
      <c r="L74" s="994">
        <v>416351.38</v>
      </c>
    </row>
    <row r="75" spans="1:12">
      <c r="A75" s="997">
        <f t="shared" si="2"/>
        <v>65</v>
      </c>
      <c r="B75" s="73" t="s">
        <v>908</v>
      </c>
      <c r="C75" s="994">
        <v>20940687.991493333</v>
      </c>
      <c r="D75" s="994">
        <v>9461968.3599999994</v>
      </c>
      <c r="E75" s="94">
        <f t="shared" si="6"/>
        <v>30402656.351493333</v>
      </c>
      <c r="F75" s="994">
        <v>1386360.8900000001</v>
      </c>
      <c r="G75" s="994">
        <v>16635319</v>
      </c>
      <c r="H75" s="994">
        <v>3383421.1</v>
      </c>
      <c r="I75" s="994">
        <v>74029945.280000001</v>
      </c>
      <c r="J75" s="994">
        <v>12937276.4</v>
      </c>
      <c r="K75" s="94">
        <f t="shared" si="7"/>
        <v>90350642.780000001</v>
      </c>
      <c r="L75" s="994">
        <v>416351.38</v>
      </c>
    </row>
    <row r="76" spans="1:12" ht="13.5" thickBot="1">
      <c r="A76" s="997">
        <f t="shared" si="2"/>
        <v>66</v>
      </c>
      <c r="B76" s="73" t="s">
        <v>909</v>
      </c>
      <c r="C76" s="247">
        <v>20943687.991410073</v>
      </c>
      <c r="D76" s="247">
        <v>9461968.3599999994</v>
      </c>
      <c r="E76" s="94">
        <f t="shared" si="6"/>
        <v>30405656.351410072</v>
      </c>
      <c r="F76" s="247">
        <v>1386360.8900000001</v>
      </c>
      <c r="G76" s="247">
        <v>16635319</v>
      </c>
      <c r="H76" s="247">
        <v>3383421.1</v>
      </c>
      <c r="I76" s="247">
        <v>74029945.280000001</v>
      </c>
      <c r="J76" s="247">
        <v>12937276.4</v>
      </c>
      <c r="K76" s="94">
        <f t="shared" si="7"/>
        <v>90350642.780000001</v>
      </c>
      <c r="L76" s="247">
        <v>416351.38</v>
      </c>
    </row>
    <row r="77" spans="1:12" ht="26.25" thickBot="1">
      <c r="A77" s="997">
        <f t="shared" si="2"/>
        <v>67</v>
      </c>
      <c r="B77" s="1009" t="str">
        <f>"13 Month Avg. (Lns "&amp;A64&amp;" - "&amp;A76&amp;")"</f>
        <v>13 Month Avg. (Lns 54 - 66)</v>
      </c>
      <c r="C77" s="166">
        <f t="shared" ref="C77:L77" si="8">IF(C76=0,0,AVERAGE(C64:C76))</f>
        <v>20935534.145482536</v>
      </c>
      <c r="D77" s="166">
        <f t="shared" si="8"/>
        <v>9461968.3599999994</v>
      </c>
      <c r="E77" s="693">
        <f t="shared" si="8"/>
        <v>30397502.505482536</v>
      </c>
      <c r="F77" s="693">
        <f t="shared" si="8"/>
        <v>1386360.8900000004</v>
      </c>
      <c r="G77" s="693">
        <f t="shared" si="8"/>
        <v>16635319</v>
      </c>
      <c r="H77" s="166">
        <f t="shared" si="8"/>
        <v>3383421.100000001</v>
      </c>
      <c r="I77" s="166">
        <f t="shared" si="8"/>
        <v>74029945.279999986</v>
      </c>
      <c r="J77" s="166">
        <f t="shared" si="8"/>
        <v>12937276.400000004</v>
      </c>
      <c r="K77" s="693">
        <f t="shared" si="8"/>
        <v>90350642.779999986</v>
      </c>
      <c r="L77" s="1018">
        <f t="shared" si="8"/>
        <v>416351.37999999995</v>
      </c>
    </row>
    <row r="78" spans="1:12">
      <c r="A78" s="997">
        <f t="shared" si="2"/>
        <v>68</v>
      </c>
      <c r="G78" s="165"/>
      <c r="H78" s="310"/>
      <c r="I78" s="310"/>
      <c r="J78" s="310"/>
    </row>
    <row r="79" spans="1:12">
      <c r="A79" s="997">
        <f t="shared" si="2"/>
        <v>69</v>
      </c>
      <c r="B79" s="1014" t="s">
        <v>960</v>
      </c>
      <c r="G79" s="308"/>
      <c r="H79" s="94"/>
    </row>
    <row r="80" spans="1:12">
      <c r="A80" s="997">
        <f t="shared" si="2"/>
        <v>70</v>
      </c>
      <c r="B80" s="1014"/>
      <c r="G80" s="308"/>
      <c r="H80" s="94"/>
    </row>
    <row r="81" spans="1:25" ht="24.75" customHeight="1">
      <c r="A81" s="997">
        <f t="shared" si="2"/>
        <v>71</v>
      </c>
      <c r="B81" s="1014"/>
      <c r="C81" s="1247" t="s">
        <v>976</v>
      </c>
      <c r="D81" s="1247"/>
      <c r="E81" s="1247"/>
      <c r="F81" s="1016" t="s">
        <v>945</v>
      </c>
      <c r="G81" s="1016" t="s">
        <v>947</v>
      </c>
      <c r="H81" s="1248" t="s">
        <v>948</v>
      </c>
      <c r="I81" s="1249"/>
      <c r="J81" s="1249"/>
      <c r="K81" s="1250"/>
      <c r="L81" s="1016" t="s">
        <v>949</v>
      </c>
    </row>
    <row r="82" spans="1:25" ht="29.25" customHeight="1">
      <c r="A82" s="997">
        <f t="shared" si="2"/>
        <v>72</v>
      </c>
      <c r="C82" s="1015" t="s">
        <v>940</v>
      </c>
      <c r="D82" s="1015" t="s">
        <v>957</v>
      </c>
      <c r="E82" s="1015" t="s">
        <v>790</v>
      </c>
      <c r="F82" s="1016" t="s">
        <v>957</v>
      </c>
      <c r="G82" s="1016" t="s">
        <v>957</v>
      </c>
      <c r="H82" s="1016" t="s">
        <v>940</v>
      </c>
      <c r="I82" s="1016" t="s">
        <v>958</v>
      </c>
      <c r="J82" s="1017" t="s">
        <v>959</v>
      </c>
      <c r="K82" s="1015" t="s">
        <v>790</v>
      </c>
      <c r="L82" s="1016" t="s">
        <v>957</v>
      </c>
    </row>
    <row r="83" spans="1:25">
      <c r="A83" s="997">
        <f t="shared" si="2"/>
        <v>73</v>
      </c>
      <c r="B83" s="73" t="s">
        <v>909</v>
      </c>
      <c r="C83" s="994">
        <v>4712455.2400000049</v>
      </c>
      <c r="D83" s="994">
        <v>9461968.3599999994</v>
      </c>
      <c r="E83" s="94">
        <f>SUM(C83:D83)</f>
        <v>14174423.600000005</v>
      </c>
      <c r="F83" s="994">
        <v>737725.20547856682</v>
      </c>
      <c r="G83" s="994">
        <v>7952169.9050518153</v>
      </c>
      <c r="H83" s="994">
        <v>2395936.0599999996</v>
      </c>
      <c r="I83" s="994">
        <v>70777461.310000002</v>
      </c>
      <c r="J83" s="994">
        <v>12756579.816999983</v>
      </c>
      <c r="K83" s="94">
        <f>SUM(H83:J83)</f>
        <v>85929977.186999992</v>
      </c>
      <c r="L83" s="994">
        <v>416351.38</v>
      </c>
      <c r="O83" s="310"/>
      <c r="P83" s="310"/>
      <c r="Q83" s="310"/>
      <c r="R83" s="310"/>
      <c r="S83" s="310"/>
      <c r="T83" s="310"/>
      <c r="U83" s="310"/>
      <c r="V83" s="310"/>
      <c r="W83" s="310"/>
      <c r="X83" s="310"/>
      <c r="Y83" s="310"/>
    </row>
    <row r="84" spans="1:25">
      <c r="A84" s="997">
        <f t="shared" si="2"/>
        <v>74</v>
      </c>
      <c r="B84" s="73" t="s">
        <v>950</v>
      </c>
      <c r="C84" s="994">
        <v>4766803.0800000066</v>
      </c>
      <c r="D84" s="994">
        <v>9461968.3599999994</v>
      </c>
      <c r="E84" s="94">
        <f t="shared" ref="E84:E95" si="9">SUM(C84:D84)</f>
        <v>14228771.440000005</v>
      </c>
      <c r="F84" s="994">
        <v>745223.37007565028</v>
      </c>
      <c r="G84" s="994">
        <v>8044634.5547101488</v>
      </c>
      <c r="H84" s="994">
        <v>2406199</v>
      </c>
      <c r="I84" s="994">
        <v>70855210.530000001</v>
      </c>
      <c r="J84" s="994">
        <v>12816812.009999983</v>
      </c>
      <c r="K84" s="94">
        <f t="shared" ref="K84:K95" si="10">SUM(H84:J84)</f>
        <v>86078221.539999992</v>
      </c>
      <c r="L84" s="994">
        <v>416351.38</v>
      </c>
    </row>
    <row r="85" spans="1:25">
      <c r="A85" s="997">
        <f t="shared" si="2"/>
        <v>75</v>
      </c>
      <c r="B85" s="73" t="s">
        <v>899</v>
      </c>
      <c r="C85" s="994">
        <v>4821156.6600000048</v>
      </c>
      <c r="D85" s="994">
        <v>9461968.3599999994</v>
      </c>
      <c r="E85" s="94">
        <f t="shared" si="9"/>
        <v>14283125.020000003</v>
      </c>
      <c r="F85" s="994">
        <v>752721.53467273363</v>
      </c>
      <c r="G85" s="994">
        <v>8137099.2043684814</v>
      </c>
      <c r="H85" s="994">
        <v>2416461.9699999997</v>
      </c>
      <c r="I85" s="994">
        <v>70932959.769999996</v>
      </c>
      <c r="J85" s="994">
        <v>12877044.202999983</v>
      </c>
      <c r="K85" s="94">
        <f t="shared" si="10"/>
        <v>86226465.942999974</v>
      </c>
      <c r="L85" s="994">
        <v>416351.38</v>
      </c>
    </row>
    <row r="86" spans="1:25">
      <c r="A86" s="997">
        <f t="shared" si="2"/>
        <v>76</v>
      </c>
      <c r="B86" s="73" t="s">
        <v>900</v>
      </c>
      <c r="C86" s="994">
        <v>4875516.0999999987</v>
      </c>
      <c r="D86" s="994">
        <v>9461968.3599999994</v>
      </c>
      <c r="E86" s="94">
        <f t="shared" si="9"/>
        <v>14337484.459999997</v>
      </c>
      <c r="F86" s="994">
        <v>760219.69926981698</v>
      </c>
      <c r="G86" s="994">
        <v>8229563.854026814</v>
      </c>
      <c r="H86" s="994">
        <v>2426724.9</v>
      </c>
      <c r="I86" s="994">
        <v>71010709.019999996</v>
      </c>
      <c r="J86" s="994">
        <v>12937276.395999983</v>
      </c>
      <c r="K86" s="94">
        <f t="shared" si="10"/>
        <v>86374710.315999985</v>
      </c>
      <c r="L86" s="994">
        <v>416351.38</v>
      </c>
    </row>
    <row r="87" spans="1:25">
      <c r="A87" s="997">
        <f t="shared" si="2"/>
        <v>77</v>
      </c>
      <c r="B87" s="73" t="s">
        <v>901</v>
      </c>
      <c r="C87" s="994">
        <v>4929877.1799999969</v>
      </c>
      <c r="D87" s="994">
        <v>9461968.3599999994</v>
      </c>
      <c r="E87" s="94">
        <f t="shared" si="9"/>
        <v>14391845.539999995</v>
      </c>
      <c r="F87" s="994">
        <v>767717.86386690044</v>
      </c>
      <c r="G87" s="994">
        <v>8322028.5036851475</v>
      </c>
      <c r="H87" s="994">
        <v>2436987.8899999997</v>
      </c>
      <c r="I87" s="994">
        <v>71088458.239999995</v>
      </c>
      <c r="J87" s="994">
        <v>12937276.395999983</v>
      </c>
      <c r="K87" s="94">
        <f t="shared" si="10"/>
        <v>86462722.525999978</v>
      </c>
      <c r="L87" s="994">
        <v>416351.38</v>
      </c>
    </row>
    <row r="88" spans="1:25">
      <c r="A88" s="997">
        <f t="shared" si="2"/>
        <v>78</v>
      </c>
      <c r="B88" s="73" t="s">
        <v>902</v>
      </c>
      <c r="C88" s="994">
        <v>4984241.589999998</v>
      </c>
      <c r="D88" s="994">
        <v>9461968.3599999994</v>
      </c>
      <c r="E88" s="94">
        <f t="shared" si="9"/>
        <v>14446209.949999997</v>
      </c>
      <c r="F88" s="994">
        <v>775216.02846398391</v>
      </c>
      <c r="G88" s="994">
        <v>8414493.1533434801</v>
      </c>
      <c r="H88" s="994">
        <v>2447250.84</v>
      </c>
      <c r="I88" s="994">
        <v>71166207.489999995</v>
      </c>
      <c r="J88" s="994">
        <v>12937276.395999983</v>
      </c>
      <c r="K88" s="94">
        <f t="shared" si="10"/>
        <v>86550734.725999981</v>
      </c>
      <c r="L88" s="994">
        <v>416351.38</v>
      </c>
    </row>
    <row r="89" spans="1:25">
      <c r="A89" s="997">
        <f t="shared" si="2"/>
        <v>79</v>
      </c>
      <c r="B89" s="73" t="s">
        <v>903</v>
      </c>
      <c r="C89" s="994">
        <v>5038611.8099999949</v>
      </c>
      <c r="D89" s="994">
        <v>9461968.3599999994</v>
      </c>
      <c r="E89" s="94">
        <f t="shared" si="9"/>
        <v>14500580.169999994</v>
      </c>
      <c r="F89" s="994">
        <v>782714.19306106726</v>
      </c>
      <c r="G89" s="994">
        <v>8506957.8030018136</v>
      </c>
      <c r="H89" s="994">
        <v>2457513.7899999996</v>
      </c>
      <c r="I89" s="994">
        <v>71243956.730000004</v>
      </c>
      <c r="J89" s="994">
        <v>12937276.395999983</v>
      </c>
      <c r="K89" s="94">
        <f t="shared" si="10"/>
        <v>86638746.915999994</v>
      </c>
      <c r="L89" s="994">
        <v>416351.38</v>
      </c>
    </row>
    <row r="90" spans="1:25">
      <c r="A90" s="997">
        <f t="shared" si="2"/>
        <v>80</v>
      </c>
      <c r="B90" s="73" t="s">
        <v>904</v>
      </c>
      <c r="C90" s="994">
        <v>5092985.4299999978</v>
      </c>
      <c r="D90" s="994">
        <v>9461968.3599999994</v>
      </c>
      <c r="E90" s="94">
        <f t="shared" si="9"/>
        <v>14554953.789999997</v>
      </c>
      <c r="F90" s="994">
        <v>790212.35765815072</v>
      </c>
      <c r="G90" s="994">
        <v>8599422.4526601471</v>
      </c>
      <c r="H90" s="994">
        <v>2467776.75</v>
      </c>
      <c r="I90" s="994">
        <v>71321705.939999998</v>
      </c>
      <c r="J90" s="994">
        <v>12937276.395999983</v>
      </c>
      <c r="K90" s="94">
        <f t="shared" si="10"/>
        <v>86726759.085999981</v>
      </c>
      <c r="L90" s="994">
        <v>416351.38</v>
      </c>
    </row>
    <row r="91" spans="1:25">
      <c r="A91" s="997">
        <f t="shared" ref="A91:A152" si="11">A90+1</f>
        <v>81</v>
      </c>
      <c r="B91" s="73" t="s">
        <v>905</v>
      </c>
      <c r="C91" s="994">
        <v>5147362.3300000057</v>
      </c>
      <c r="D91" s="994">
        <v>9461968.3599999994</v>
      </c>
      <c r="E91" s="94">
        <f t="shared" si="9"/>
        <v>14609330.690000005</v>
      </c>
      <c r="F91" s="994">
        <v>797710.52225523407</v>
      </c>
      <c r="G91" s="994">
        <v>8691887.1023184806</v>
      </c>
      <c r="H91" s="994">
        <v>2478039.7199999997</v>
      </c>
      <c r="I91" s="994">
        <v>71399455.180000007</v>
      </c>
      <c r="J91" s="994">
        <v>12937276.395999983</v>
      </c>
      <c r="K91" s="94">
        <f t="shared" si="10"/>
        <v>86814771.295999989</v>
      </c>
      <c r="L91" s="994">
        <v>416351.38</v>
      </c>
    </row>
    <row r="92" spans="1:25">
      <c r="A92" s="997">
        <f t="shared" si="11"/>
        <v>82</v>
      </c>
      <c r="B92" s="73" t="s">
        <v>906</v>
      </c>
      <c r="C92" s="994">
        <v>5201742.5899999989</v>
      </c>
      <c r="D92" s="994">
        <v>9461968.3599999994</v>
      </c>
      <c r="E92" s="94">
        <f t="shared" si="9"/>
        <v>14663710.949999999</v>
      </c>
      <c r="F92" s="994">
        <v>805208.68685231754</v>
      </c>
      <c r="G92" s="994">
        <v>8784351.7519768123</v>
      </c>
      <c r="H92" s="994">
        <v>2488302.69</v>
      </c>
      <c r="I92" s="994">
        <v>71477204.409999996</v>
      </c>
      <c r="J92" s="994">
        <v>12937276.395999983</v>
      </c>
      <c r="K92" s="94">
        <f t="shared" si="10"/>
        <v>86902783.495999977</v>
      </c>
      <c r="L92" s="994">
        <v>416351.38</v>
      </c>
    </row>
    <row r="93" spans="1:25">
      <c r="A93" s="997">
        <f t="shared" si="11"/>
        <v>83</v>
      </c>
      <c r="B93" s="73" t="s">
        <v>907</v>
      </c>
      <c r="C93" s="994">
        <v>5256128.6700000074</v>
      </c>
      <c r="D93" s="994">
        <v>9461968.3599999994</v>
      </c>
      <c r="E93" s="94">
        <f t="shared" si="9"/>
        <v>14718097.030000007</v>
      </c>
      <c r="F93" s="994">
        <v>812706.85144940089</v>
      </c>
      <c r="G93" s="994">
        <v>8876816.4016351458</v>
      </c>
      <c r="H93" s="994">
        <v>2498565.65</v>
      </c>
      <c r="I93" s="994">
        <v>71554953.640000001</v>
      </c>
      <c r="J93" s="994">
        <v>12937276.395999983</v>
      </c>
      <c r="K93" s="94">
        <f t="shared" si="10"/>
        <v>86990795.68599999</v>
      </c>
      <c r="L93" s="994">
        <v>416351.38</v>
      </c>
    </row>
    <row r="94" spans="1:25">
      <c r="A94" s="997">
        <f t="shared" si="11"/>
        <v>84</v>
      </c>
      <c r="B94" s="73" t="s">
        <v>908</v>
      </c>
      <c r="C94" s="994">
        <v>5310518.0599999987</v>
      </c>
      <c r="D94" s="994">
        <v>9461968.3599999994</v>
      </c>
      <c r="E94" s="94">
        <f t="shared" si="9"/>
        <v>14772486.419999998</v>
      </c>
      <c r="F94" s="994">
        <v>820205.01604648435</v>
      </c>
      <c r="G94" s="994">
        <v>8969281.0512934774</v>
      </c>
      <c r="H94" s="994">
        <v>2508828.61</v>
      </c>
      <c r="I94" s="994">
        <v>71632702.870000005</v>
      </c>
      <c r="J94" s="994">
        <v>12937276.395999983</v>
      </c>
      <c r="K94" s="94">
        <f t="shared" si="10"/>
        <v>87078807.875999987</v>
      </c>
      <c r="L94" s="994">
        <v>416351.38</v>
      </c>
    </row>
    <row r="95" spans="1:25" ht="13.5" thickBot="1">
      <c r="A95" s="997">
        <f t="shared" si="11"/>
        <v>85</v>
      </c>
      <c r="B95" s="73" t="s">
        <v>909</v>
      </c>
      <c r="C95" s="247">
        <v>5364919.9200000018</v>
      </c>
      <c r="D95" s="247">
        <v>9461968.3599999994</v>
      </c>
      <c r="E95" s="94">
        <f t="shared" si="9"/>
        <v>14826888.280000001</v>
      </c>
      <c r="F95" s="247">
        <v>827703.18064356782</v>
      </c>
      <c r="G95" s="247">
        <v>9061745.7009518109</v>
      </c>
      <c r="H95" s="247">
        <v>2519091.5599999996</v>
      </c>
      <c r="I95" s="247">
        <v>71710452.099999994</v>
      </c>
      <c r="J95" s="247">
        <v>12937276.395999983</v>
      </c>
      <c r="K95" s="94">
        <f t="shared" si="10"/>
        <v>87166820.055999979</v>
      </c>
      <c r="L95" s="247">
        <v>416351.38</v>
      </c>
    </row>
    <row r="96" spans="1:25" ht="26.25" thickBot="1">
      <c r="A96" s="997">
        <f t="shared" si="11"/>
        <v>86</v>
      </c>
      <c r="B96" s="1009" t="str">
        <f>"13 Month Avg. (Lns "&amp;A83&amp;" - "&amp;A95&amp;")"</f>
        <v>13 Month Avg. (Lns 73 - 85)</v>
      </c>
      <c r="C96" s="166">
        <f t="shared" ref="C96:L96" si="12">IF(C95=0,0,AVERAGE(C83:C95))</f>
        <v>5038639.8969230782</v>
      </c>
      <c r="D96" s="166">
        <f t="shared" si="12"/>
        <v>9461968.3599999994</v>
      </c>
      <c r="E96" s="693">
        <f t="shared" si="12"/>
        <v>14500608.256923076</v>
      </c>
      <c r="F96" s="693">
        <f t="shared" si="12"/>
        <v>782714.19306106737</v>
      </c>
      <c r="G96" s="693">
        <f t="shared" si="12"/>
        <v>8506957.8030018136</v>
      </c>
      <c r="H96" s="166">
        <f t="shared" si="12"/>
        <v>2457513.8023076919</v>
      </c>
      <c r="I96" s="166">
        <f t="shared" si="12"/>
        <v>71243956.710000008</v>
      </c>
      <c r="J96" s="166">
        <f t="shared" si="12"/>
        <v>12909476.922307674</v>
      </c>
      <c r="K96" s="693">
        <f t="shared" si="12"/>
        <v>86610947.434615374</v>
      </c>
      <c r="L96" s="1018">
        <f t="shared" si="12"/>
        <v>416351.37999999995</v>
      </c>
    </row>
    <row r="97" spans="1:12">
      <c r="A97" s="997">
        <f t="shared" si="11"/>
        <v>87</v>
      </c>
      <c r="G97" s="308"/>
    </row>
    <row r="98" spans="1:12">
      <c r="A98" s="997">
        <f t="shared" si="11"/>
        <v>88</v>
      </c>
      <c r="B98" s="1014" t="s">
        <v>961</v>
      </c>
      <c r="G98" s="308"/>
    </row>
    <row r="99" spans="1:12">
      <c r="A99" s="997">
        <f t="shared" si="11"/>
        <v>89</v>
      </c>
      <c r="B99" s="1014"/>
      <c r="G99" s="308"/>
    </row>
    <row r="100" spans="1:12" ht="25.5">
      <c r="A100" s="997">
        <f t="shared" si="11"/>
        <v>90</v>
      </c>
      <c r="B100" s="1014"/>
      <c r="C100" s="1247" t="s">
        <v>976</v>
      </c>
      <c r="D100" s="1247"/>
      <c r="E100" s="1247"/>
      <c r="F100" s="1016" t="s">
        <v>945</v>
      </c>
      <c r="G100" s="1016" t="s">
        <v>947</v>
      </c>
      <c r="H100" s="1248" t="s">
        <v>948</v>
      </c>
      <c r="I100" s="1249"/>
      <c r="J100" s="1249"/>
      <c r="K100" s="1250"/>
      <c r="L100" s="1016" t="s">
        <v>949</v>
      </c>
    </row>
    <row r="101" spans="1:12" ht="26.25" thickBot="1">
      <c r="A101" s="997">
        <f t="shared" si="11"/>
        <v>91</v>
      </c>
      <c r="B101" s="1006"/>
      <c r="C101" s="1019" t="s">
        <v>940</v>
      </c>
      <c r="D101" s="1019" t="s">
        <v>957</v>
      </c>
      <c r="E101" s="1019" t="s">
        <v>790</v>
      </c>
      <c r="F101" s="1016" t="s">
        <v>957</v>
      </c>
      <c r="G101" s="1016" t="s">
        <v>957</v>
      </c>
      <c r="H101" s="1016" t="s">
        <v>940</v>
      </c>
      <c r="I101" s="1020" t="s">
        <v>958</v>
      </c>
      <c r="J101" s="1021" t="s">
        <v>959</v>
      </c>
      <c r="K101" s="1019" t="s">
        <v>790</v>
      </c>
      <c r="L101" s="1016" t="s">
        <v>957</v>
      </c>
    </row>
    <row r="102" spans="1:12" ht="13.5" thickBot="1">
      <c r="A102" s="997">
        <f t="shared" si="11"/>
        <v>92</v>
      </c>
      <c r="B102" s="73" t="s">
        <v>962</v>
      </c>
      <c r="C102" s="1163">
        <v>652464.67999999691</v>
      </c>
      <c r="D102" s="1163">
        <v>0</v>
      </c>
      <c r="E102" s="693">
        <f>E95-E83</f>
        <v>652464.67999999598</v>
      </c>
      <c r="F102" s="1013">
        <v>89977.975164999996</v>
      </c>
      <c r="G102" s="1013">
        <v>1109575.7958999996</v>
      </c>
      <c r="H102" s="989">
        <v>123155.5</v>
      </c>
      <c r="I102" s="1163">
        <v>932990.78999999166</v>
      </c>
      <c r="J102" s="1163">
        <v>180696.57899999991</v>
      </c>
      <c r="K102" s="996">
        <f>SUM(H102:J102)</f>
        <v>1236842.8689999916</v>
      </c>
      <c r="L102" s="1013">
        <v>0</v>
      </c>
    </row>
    <row r="103" spans="1:12">
      <c r="A103" s="997">
        <f t="shared" si="11"/>
        <v>93</v>
      </c>
      <c r="B103" s="1006"/>
      <c r="G103" s="308"/>
    </row>
    <row r="104" spans="1:12">
      <c r="A104" s="997">
        <f t="shared" si="11"/>
        <v>94</v>
      </c>
      <c r="B104" s="1014" t="s">
        <v>963</v>
      </c>
      <c r="G104" s="308"/>
    </row>
    <row r="105" spans="1:12" ht="24.75" customHeight="1">
      <c r="A105" s="997">
        <f t="shared" si="11"/>
        <v>95</v>
      </c>
      <c r="B105" s="1014"/>
      <c r="C105" s="1247" t="s">
        <v>976</v>
      </c>
      <c r="D105" s="1247"/>
      <c r="E105" s="1247"/>
      <c r="F105" s="1016" t="s">
        <v>945</v>
      </c>
      <c r="G105" s="1016" t="s">
        <v>947</v>
      </c>
      <c r="H105" s="1248" t="s">
        <v>948</v>
      </c>
      <c r="I105" s="1249"/>
      <c r="J105" s="1249"/>
      <c r="K105" s="1250"/>
      <c r="L105" s="1016" t="s">
        <v>949</v>
      </c>
    </row>
    <row r="106" spans="1:12" ht="25.5">
      <c r="A106" s="997">
        <f t="shared" si="11"/>
        <v>96</v>
      </c>
      <c r="B106" s="1014"/>
      <c r="C106" s="1015" t="s">
        <v>940</v>
      </c>
      <c r="D106" s="1015" t="s">
        <v>957</v>
      </c>
      <c r="E106" s="1015" t="s">
        <v>790</v>
      </c>
      <c r="F106" s="1016" t="s">
        <v>957</v>
      </c>
      <c r="G106" s="1016" t="s">
        <v>957</v>
      </c>
      <c r="H106" s="1016" t="s">
        <v>940</v>
      </c>
      <c r="I106" s="1016" t="s">
        <v>958</v>
      </c>
      <c r="J106" s="1017" t="s">
        <v>959</v>
      </c>
      <c r="K106" s="1015" t="s">
        <v>790</v>
      </c>
      <c r="L106" s="1016" t="s">
        <v>957</v>
      </c>
    </row>
    <row r="107" spans="1:12">
      <c r="A107" s="997">
        <f t="shared" si="11"/>
        <v>97</v>
      </c>
      <c r="B107" s="73" t="s">
        <v>909</v>
      </c>
      <c r="C107" s="244">
        <v>-493732.93105685402</v>
      </c>
      <c r="D107" s="244">
        <v>-0.13122942676874744</v>
      </c>
      <c r="E107" s="94">
        <f>SUM(C107:D107)</f>
        <v>-493733.06228628079</v>
      </c>
      <c r="F107" s="244">
        <v>298281.7873159005</v>
      </c>
      <c r="G107" s="244">
        <v>3599580.6255438598</v>
      </c>
      <c r="H107" s="244">
        <v>-237237.87000000008</v>
      </c>
      <c r="I107" s="244">
        <v>739542.01</v>
      </c>
      <c r="J107" s="244">
        <v>65097.472408088448</v>
      </c>
      <c r="K107" s="94">
        <f>SUM(H107:J107)</f>
        <v>567401.61240808829</v>
      </c>
      <c r="L107" s="244">
        <v>-14606.050512939379</v>
      </c>
    </row>
    <row r="108" spans="1:12">
      <c r="A108" s="997">
        <f t="shared" si="11"/>
        <v>98</v>
      </c>
      <c r="B108" s="73" t="s">
        <v>909</v>
      </c>
      <c r="C108" s="247">
        <v>-605107.43409773381</v>
      </c>
      <c r="D108" s="247">
        <v>-0.13122942676874744</v>
      </c>
      <c r="E108" s="94">
        <f>SUM(C108:D108)</f>
        <v>-605107.56532716053</v>
      </c>
      <c r="F108" s="247">
        <v>282860.64018153236</v>
      </c>
      <c r="G108" s="247">
        <v>3239730.8989860928</v>
      </c>
      <c r="H108" s="247">
        <v>-229372.55000000013</v>
      </c>
      <c r="I108" s="247">
        <v>608458.29</v>
      </c>
      <c r="J108" s="247">
        <v>2.4080884413706372E-3</v>
      </c>
      <c r="K108" s="94">
        <f>SUM(H108:J108)</f>
        <v>379085.74240808829</v>
      </c>
      <c r="L108" s="885">
        <v>-13784.850793632297</v>
      </c>
    </row>
    <row r="109" spans="1:12" ht="13.5" thickBot="1">
      <c r="A109" s="997">
        <f t="shared" si="11"/>
        <v>99</v>
      </c>
      <c r="B109" s="1132" t="s">
        <v>1579</v>
      </c>
      <c r="C109" s="166">
        <f>'WP_ADIT Prorate'!J316</f>
        <v>29890.577243048931</v>
      </c>
      <c r="D109" s="166">
        <f>'WP_ADIT Prorate'!J347</f>
        <v>0</v>
      </c>
      <c r="E109" s="94">
        <f>SUM(C109:D109)</f>
        <v>29890.577243048931</v>
      </c>
      <c r="F109" s="166">
        <f>'WP_ADIT Prorate'!J378</f>
        <v>4138.7119763584342</v>
      </c>
      <c r="G109" s="166">
        <f>'WP_ADIT Prorate'!J409</f>
        <v>96576.10812069755</v>
      </c>
      <c r="H109" s="166">
        <f>'WP_ADIT Prorate'!J440</f>
        <v>-2110.8866803652782</v>
      </c>
      <c r="I109" s="166">
        <f>'WP_ADIT Prorate'!J471</f>
        <v>35180.11709132418</v>
      </c>
      <c r="J109" s="166">
        <f>'WP_ADIT Prorate'!J502</f>
        <v>17470.793603881288</v>
      </c>
      <c r="K109" s="94">
        <f>SUM(H109:J109)</f>
        <v>50540.024014840194</v>
      </c>
      <c r="L109" s="166">
        <f>'WP_ADIT Prorate'!J533</f>
        <v>-220.39275571814505</v>
      </c>
    </row>
    <row r="110" spans="1:12" ht="13.5" thickBot="1">
      <c r="A110" s="997">
        <f t="shared" si="11"/>
        <v>100</v>
      </c>
      <c r="B110" s="73" t="s">
        <v>1712</v>
      </c>
      <c r="C110" s="166">
        <f t="shared" ref="C110:L110" si="13">IF(C108=0,0,AVERAGE(C107:C108))+C109</f>
        <v>-519529.60533424502</v>
      </c>
      <c r="D110" s="166">
        <f t="shared" si="13"/>
        <v>-0.13122942676874744</v>
      </c>
      <c r="E110" s="693">
        <f t="shared" si="13"/>
        <v>-519529.73656367173</v>
      </c>
      <c r="F110" s="166">
        <f t="shared" si="13"/>
        <v>294709.92572507483</v>
      </c>
      <c r="G110" s="693">
        <f t="shared" si="13"/>
        <v>3516231.8703856738</v>
      </c>
      <c r="H110" s="166">
        <f t="shared" si="13"/>
        <v>-235416.09668036539</v>
      </c>
      <c r="I110" s="166">
        <f t="shared" si="13"/>
        <v>709180.2670913242</v>
      </c>
      <c r="J110" s="1152">
        <f t="shared" si="13"/>
        <v>50019.531011969731</v>
      </c>
      <c r="K110" s="693">
        <f t="shared" si="13"/>
        <v>523783.70142292848</v>
      </c>
      <c r="L110" s="1018">
        <f t="shared" si="13"/>
        <v>-14415.843409003983</v>
      </c>
    </row>
    <row r="111" spans="1:12">
      <c r="A111" s="997">
        <f t="shared" si="11"/>
        <v>101</v>
      </c>
    </row>
    <row r="112" spans="1:12">
      <c r="A112" s="997">
        <f t="shared" si="11"/>
        <v>102</v>
      </c>
    </row>
    <row r="113" spans="1:11">
      <c r="A113" s="997">
        <f t="shared" si="11"/>
        <v>103</v>
      </c>
      <c r="B113" s="1006" t="s">
        <v>964</v>
      </c>
    </row>
    <row r="114" spans="1:11">
      <c r="A114" s="997">
        <f t="shared" si="11"/>
        <v>104</v>
      </c>
      <c r="C114" s="1244" t="s">
        <v>938</v>
      </c>
      <c r="D114" s="1245"/>
      <c r="E114" s="1246"/>
      <c r="F114" s="1244" t="s">
        <v>965</v>
      </c>
      <c r="G114" s="1245"/>
      <c r="H114" s="1246"/>
      <c r="I114" s="1244" t="s">
        <v>963</v>
      </c>
      <c r="J114" s="1245"/>
      <c r="K114" s="1246"/>
    </row>
    <row r="115" spans="1:11" ht="25.5">
      <c r="A115" s="997">
        <f t="shared" si="11"/>
        <v>105</v>
      </c>
      <c r="C115" s="1023" t="s">
        <v>966</v>
      </c>
      <c r="D115" s="982" t="s">
        <v>967</v>
      </c>
      <c r="E115" s="1024" t="s">
        <v>968</v>
      </c>
      <c r="F115" s="1023" t="s">
        <v>966</v>
      </c>
      <c r="G115" s="982" t="s">
        <v>967</v>
      </c>
      <c r="H115" s="1024" t="s">
        <v>968</v>
      </c>
      <c r="I115" s="1023" t="s">
        <v>966</v>
      </c>
      <c r="J115" s="982" t="s">
        <v>967</v>
      </c>
      <c r="K115" s="1024" t="s">
        <v>968</v>
      </c>
    </row>
    <row r="116" spans="1:11">
      <c r="A116" s="997">
        <f t="shared" si="11"/>
        <v>106</v>
      </c>
      <c r="B116" s="73" t="s">
        <v>909</v>
      </c>
      <c r="C116" s="994">
        <v>58964184.359999999</v>
      </c>
      <c r="D116" s="994">
        <v>189174.00000000006</v>
      </c>
      <c r="E116" s="994">
        <v>55489.179999999978</v>
      </c>
      <c r="F116" s="994">
        <v>23321786.970950864</v>
      </c>
      <c r="G116" s="994">
        <v>131215.70999999953</v>
      </c>
      <c r="H116" s="994">
        <v>55489.179999999993</v>
      </c>
      <c r="I116" s="994">
        <v>1798415.6334264784</v>
      </c>
      <c r="J116" s="994">
        <v>-135117.91000000003</v>
      </c>
      <c r="K116" s="994">
        <v>61292.458954166243</v>
      </c>
    </row>
    <row r="117" spans="1:11">
      <c r="A117" s="997">
        <f t="shared" si="11"/>
        <v>107</v>
      </c>
      <c r="B117" s="73" t="s">
        <v>950</v>
      </c>
      <c r="C117" s="994">
        <v>58964184.359999999</v>
      </c>
      <c r="D117" s="994">
        <v>189174.00000000006</v>
      </c>
      <c r="E117" s="994">
        <v>55489.179999999978</v>
      </c>
      <c r="F117" s="994">
        <v>23401026.224819813</v>
      </c>
      <c r="G117" s="994">
        <v>131538.24999999971</v>
      </c>
      <c r="H117" s="994">
        <v>55489.179999999993</v>
      </c>
      <c r="I117" s="244">
        <v>0</v>
      </c>
      <c r="J117" s="244">
        <v>0</v>
      </c>
      <c r="K117" s="244">
        <v>0</v>
      </c>
    </row>
    <row r="118" spans="1:11">
      <c r="A118" s="997">
        <f t="shared" si="11"/>
        <v>108</v>
      </c>
      <c r="B118" s="73" t="s">
        <v>899</v>
      </c>
      <c r="C118" s="994">
        <v>58964184.359999999</v>
      </c>
      <c r="D118" s="994">
        <v>189174.00000000006</v>
      </c>
      <c r="E118" s="994">
        <v>55489.179999999978</v>
      </c>
      <c r="F118" s="994">
        <v>23480265.478688657</v>
      </c>
      <c r="G118" s="994">
        <v>131860.78999999992</v>
      </c>
      <c r="H118" s="994">
        <v>55489.179999999993</v>
      </c>
      <c r="I118" s="244">
        <v>0</v>
      </c>
      <c r="J118" s="244">
        <v>0</v>
      </c>
      <c r="K118" s="244">
        <v>0</v>
      </c>
    </row>
    <row r="119" spans="1:11">
      <c r="A119" s="997">
        <f t="shared" si="11"/>
        <v>109</v>
      </c>
      <c r="B119" s="73" t="s">
        <v>900</v>
      </c>
      <c r="C119" s="994">
        <v>58964184.359999999</v>
      </c>
      <c r="D119" s="994">
        <v>189174.00000000006</v>
      </c>
      <c r="E119" s="994">
        <v>55489.179999999978</v>
      </c>
      <c r="F119" s="994">
        <v>23559504.732557505</v>
      </c>
      <c r="G119" s="994">
        <v>132183.33000000007</v>
      </c>
      <c r="H119" s="994">
        <v>55489.179999999993</v>
      </c>
      <c r="I119" s="244">
        <v>0</v>
      </c>
      <c r="J119" s="244">
        <v>0</v>
      </c>
      <c r="K119" s="244">
        <v>0</v>
      </c>
    </row>
    <row r="120" spans="1:11">
      <c r="A120" s="997">
        <f t="shared" si="11"/>
        <v>110</v>
      </c>
      <c r="B120" s="73" t="s">
        <v>901</v>
      </c>
      <c r="C120" s="994">
        <v>58964184.359999999</v>
      </c>
      <c r="D120" s="994">
        <v>189174.00000000006</v>
      </c>
      <c r="E120" s="994">
        <v>55489.179999999978</v>
      </c>
      <c r="F120" s="994">
        <v>23638743.986426353</v>
      </c>
      <c r="G120" s="994">
        <v>132505.87000000029</v>
      </c>
      <c r="H120" s="994">
        <v>55489.179999999993</v>
      </c>
      <c r="I120" s="244">
        <v>0</v>
      </c>
      <c r="J120" s="244">
        <v>0</v>
      </c>
      <c r="K120" s="244">
        <v>0</v>
      </c>
    </row>
    <row r="121" spans="1:11">
      <c r="A121" s="997">
        <f t="shared" si="11"/>
        <v>111</v>
      </c>
      <c r="B121" s="73" t="s">
        <v>902</v>
      </c>
      <c r="C121" s="994">
        <v>58964184.359999999</v>
      </c>
      <c r="D121" s="994">
        <v>189174.00000000006</v>
      </c>
      <c r="E121" s="994">
        <v>55489.179999999978</v>
      </c>
      <c r="F121" s="994">
        <v>23717983.240295198</v>
      </c>
      <c r="G121" s="994">
        <v>132828.41000000047</v>
      </c>
      <c r="H121" s="994">
        <v>55489.179999999993</v>
      </c>
      <c r="I121" s="244">
        <v>0</v>
      </c>
      <c r="J121" s="244">
        <v>0</v>
      </c>
      <c r="K121" s="244">
        <v>0</v>
      </c>
    </row>
    <row r="122" spans="1:11">
      <c r="A122" s="997">
        <f t="shared" si="11"/>
        <v>112</v>
      </c>
      <c r="B122" s="73" t="s">
        <v>903</v>
      </c>
      <c r="C122" s="994">
        <v>58964184.359999999</v>
      </c>
      <c r="D122" s="994">
        <v>189174.00000000006</v>
      </c>
      <c r="E122" s="994">
        <v>55489.179999999978</v>
      </c>
      <c r="F122" s="994">
        <v>23797222.494164046</v>
      </c>
      <c r="G122" s="994">
        <v>133150.94999999966</v>
      </c>
      <c r="H122" s="994">
        <v>55489.179999999993</v>
      </c>
      <c r="I122" s="244">
        <v>0</v>
      </c>
      <c r="J122" s="244">
        <v>0</v>
      </c>
      <c r="K122" s="244">
        <v>0</v>
      </c>
    </row>
    <row r="123" spans="1:11">
      <c r="A123" s="997">
        <f t="shared" si="11"/>
        <v>113</v>
      </c>
      <c r="B123" s="73" t="s">
        <v>904</v>
      </c>
      <c r="C123" s="994">
        <v>58964184.359999999</v>
      </c>
      <c r="D123" s="994">
        <v>189174.00000000006</v>
      </c>
      <c r="E123" s="994">
        <v>55489.179999999978</v>
      </c>
      <c r="F123" s="994">
        <v>23876461.748032983</v>
      </c>
      <c r="G123" s="994">
        <v>133473.48999999985</v>
      </c>
      <c r="H123" s="994">
        <v>55489.179999999993</v>
      </c>
      <c r="I123" s="244">
        <v>0</v>
      </c>
      <c r="J123" s="244">
        <v>0</v>
      </c>
      <c r="K123" s="244">
        <v>0</v>
      </c>
    </row>
    <row r="124" spans="1:11">
      <c r="A124" s="997">
        <f t="shared" si="11"/>
        <v>114</v>
      </c>
      <c r="B124" s="73" t="s">
        <v>905</v>
      </c>
      <c r="C124" s="994">
        <v>58964184.359999999</v>
      </c>
      <c r="D124" s="994">
        <v>189174.00000000006</v>
      </c>
      <c r="E124" s="994">
        <v>55489.179999999978</v>
      </c>
      <c r="F124" s="994">
        <v>23955701.001901835</v>
      </c>
      <c r="G124" s="994">
        <v>133796.03000000003</v>
      </c>
      <c r="H124" s="994">
        <v>55489.179999999993</v>
      </c>
      <c r="I124" s="244">
        <v>0</v>
      </c>
      <c r="J124" s="244">
        <v>0</v>
      </c>
      <c r="K124" s="244">
        <v>0</v>
      </c>
    </row>
    <row r="125" spans="1:11">
      <c r="A125" s="997">
        <f t="shared" si="11"/>
        <v>115</v>
      </c>
      <c r="B125" s="73" t="s">
        <v>906</v>
      </c>
      <c r="C125" s="994">
        <v>58964184.359999999</v>
      </c>
      <c r="D125" s="994">
        <v>189174.00000000006</v>
      </c>
      <c r="E125" s="994">
        <v>55489.179999999978</v>
      </c>
      <c r="F125" s="994">
        <v>24034940.25577068</v>
      </c>
      <c r="G125" s="994">
        <v>134118.57000000024</v>
      </c>
      <c r="H125" s="994">
        <v>55489.179999999993</v>
      </c>
      <c r="I125" s="244">
        <v>0</v>
      </c>
      <c r="J125" s="244">
        <v>0</v>
      </c>
      <c r="K125" s="244">
        <v>0</v>
      </c>
    </row>
    <row r="126" spans="1:11">
      <c r="A126" s="997">
        <f t="shared" si="11"/>
        <v>116</v>
      </c>
      <c r="B126" s="73" t="s">
        <v>907</v>
      </c>
      <c r="C126" s="994">
        <v>58964184.359999999</v>
      </c>
      <c r="D126" s="994">
        <v>189174.00000000006</v>
      </c>
      <c r="E126" s="994">
        <v>55489.179999999978</v>
      </c>
      <c r="F126" s="994">
        <v>24114179.509639528</v>
      </c>
      <c r="G126" s="994">
        <v>134441.11000000039</v>
      </c>
      <c r="H126" s="994">
        <v>55489.179999999993</v>
      </c>
      <c r="I126" s="244">
        <v>0</v>
      </c>
      <c r="J126" s="244">
        <v>0</v>
      </c>
      <c r="K126" s="244">
        <v>0</v>
      </c>
    </row>
    <row r="127" spans="1:11">
      <c r="A127" s="997">
        <f t="shared" si="11"/>
        <v>117</v>
      </c>
      <c r="B127" s="73" t="s">
        <v>908</v>
      </c>
      <c r="C127" s="994">
        <v>58964184.359999999</v>
      </c>
      <c r="D127" s="994">
        <v>189174.00000000006</v>
      </c>
      <c r="E127" s="994">
        <v>55489.179999999978</v>
      </c>
      <c r="F127" s="994">
        <v>24193418.763508376</v>
      </c>
      <c r="G127" s="994">
        <v>134763.64999999962</v>
      </c>
      <c r="H127" s="994">
        <v>55489.179999999993</v>
      </c>
      <c r="I127" s="244">
        <v>0</v>
      </c>
      <c r="J127" s="244">
        <v>0</v>
      </c>
      <c r="K127" s="244">
        <v>0</v>
      </c>
    </row>
    <row r="128" spans="1:11" ht="13.5" thickBot="1">
      <c r="A128" s="997">
        <f t="shared" si="11"/>
        <v>118</v>
      </c>
      <c r="B128" s="73" t="s">
        <v>909</v>
      </c>
      <c r="C128" s="994">
        <v>58964184.359999999</v>
      </c>
      <c r="D128" s="994">
        <v>189174.00000000006</v>
      </c>
      <c r="E128" s="994">
        <v>55489.179999999978</v>
      </c>
      <c r="F128" s="994">
        <v>24272658.017377317</v>
      </c>
      <c r="G128" s="994">
        <v>135086.1899999998</v>
      </c>
      <c r="H128" s="994">
        <v>55489.179999999993</v>
      </c>
      <c r="I128" s="994">
        <v>2218032.4333927273</v>
      </c>
      <c r="J128" s="994">
        <v>-117210.49000000002</v>
      </c>
      <c r="K128" s="994">
        <v>46624.171597614797</v>
      </c>
    </row>
    <row r="129" spans="1:11" ht="26.25" thickBot="1">
      <c r="A129" s="997">
        <f t="shared" si="11"/>
        <v>119</v>
      </c>
      <c r="B129" s="1009" t="str">
        <f>"13 Month Avg. (Lns "&amp;A116&amp;" - "&amp;A128&amp;")"</f>
        <v>13 Month Avg. (Lns 106 - 118)</v>
      </c>
      <c r="C129" s="693">
        <f t="shared" ref="C129:K129" si="14">IF(C128=0,0,AVERAGE(C116:C128))</f>
        <v>58964184.360000007</v>
      </c>
      <c r="D129" s="693">
        <f t="shared" si="14"/>
        <v>189174.00000000003</v>
      </c>
      <c r="E129" s="693">
        <f t="shared" si="14"/>
        <v>55489.179999999971</v>
      </c>
      <c r="F129" s="693">
        <f t="shared" si="14"/>
        <v>23797222.494164091</v>
      </c>
      <c r="G129" s="693">
        <f t="shared" si="14"/>
        <v>133150.94999999995</v>
      </c>
      <c r="H129" s="693">
        <f t="shared" si="14"/>
        <v>55489.179999999986</v>
      </c>
      <c r="I129" s="693">
        <f t="shared" si="14"/>
        <v>308957.5436014774</v>
      </c>
      <c r="J129" s="693">
        <f t="shared" si="14"/>
        <v>-19409.876923076929</v>
      </c>
      <c r="K129" s="693">
        <f t="shared" si="14"/>
        <v>8301.279273213926</v>
      </c>
    </row>
    <row r="130" spans="1:11">
      <c r="A130" s="997">
        <f t="shared" si="11"/>
        <v>120</v>
      </c>
    </row>
    <row r="131" spans="1:11">
      <c r="A131" s="997">
        <f t="shared" si="11"/>
        <v>121</v>
      </c>
      <c r="F131" s="1244" t="s">
        <v>961</v>
      </c>
      <c r="G131" s="1245"/>
      <c r="H131" s="1246"/>
    </row>
    <row r="132" spans="1:11">
      <c r="A132" s="997">
        <f t="shared" si="11"/>
        <v>122</v>
      </c>
      <c r="F132" s="1023" t="s">
        <v>966</v>
      </c>
      <c r="G132" s="982" t="s">
        <v>967</v>
      </c>
      <c r="H132" s="1024" t="s">
        <v>968</v>
      </c>
    </row>
    <row r="133" spans="1:11" ht="13.5" thickBot="1">
      <c r="A133" s="997">
        <f t="shared" si="11"/>
        <v>123</v>
      </c>
      <c r="J133" s="94"/>
    </row>
    <row r="134" spans="1:11" ht="13.5" thickBot="1">
      <c r="A134" s="997">
        <f t="shared" si="11"/>
        <v>124</v>
      </c>
      <c r="B134" s="73" t="s">
        <v>962</v>
      </c>
      <c r="F134" s="1025">
        <v>950871.04642635921</v>
      </c>
      <c r="G134" s="1025">
        <v>3870.48</v>
      </c>
      <c r="H134" s="1025">
        <v>0</v>
      </c>
    </row>
    <row r="135" spans="1:11">
      <c r="A135" s="997">
        <f t="shared" si="11"/>
        <v>125</v>
      </c>
    </row>
    <row r="136" spans="1:11">
      <c r="A136" s="997">
        <f t="shared" si="11"/>
        <v>126</v>
      </c>
      <c r="I136" s="309"/>
      <c r="J136" s="309"/>
      <c r="K136" s="309"/>
    </row>
    <row r="137" spans="1:11">
      <c r="A137" s="997">
        <f t="shared" si="11"/>
        <v>127</v>
      </c>
      <c r="D137" s="1026"/>
      <c r="E137" s="1026" t="s">
        <v>94</v>
      </c>
      <c r="H137" s="1026"/>
      <c r="I137" s="1026" t="s">
        <v>94</v>
      </c>
    </row>
    <row r="138" spans="1:11">
      <c r="A138" s="997">
        <f t="shared" si="11"/>
        <v>128</v>
      </c>
      <c r="C138" s="443" t="s">
        <v>623</v>
      </c>
      <c r="D138" s="1026" t="s">
        <v>506</v>
      </c>
      <c r="E138" s="1026" t="s">
        <v>507</v>
      </c>
      <c r="G138" s="443" t="s">
        <v>623</v>
      </c>
      <c r="H138" s="1026" t="s">
        <v>506</v>
      </c>
      <c r="I138" s="1026" t="s">
        <v>507</v>
      </c>
      <c r="K138" s="443" t="s">
        <v>625</v>
      </c>
    </row>
    <row r="139" spans="1:11">
      <c r="A139" s="997">
        <f t="shared" si="11"/>
        <v>129</v>
      </c>
      <c r="C139" s="443" t="s">
        <v>622</v>
      </c>
      <c r="D139" s="1026" t="s">
        <v>621</v>
      </c>
      <c r="E139" s="1026" t="s">
        <v>95</v>
      </c>
      <c r="G139" s="443" t="s">
        <v>624</v>
      </c>
      <c r="H139" s="1026" t="s">
        <v>621</v>
      </c>
      <c r="I139" s="1026" t="s">
        <v>95</v>
      </c>
      <c r="K139" s="443" t="s">
        <v>626</v>
      </c>
    </row>
    <row r="140" spans="1:11">
      <c r="A140" s="997">
        <f t="shared" si="11"/>
        <v>130</v>
      </c>
      <c r="C140" s="981" t="s">
        <v>588</v>
      </c>
      <c r="D140" s="1027" t="s">
        <v>589</v>
      </c>
      <c r="E140" s="1027" t="s">
        <v>506</v>
      </c>
      <c r="G140" s="981" t="s">
        <v>591</v>
      </c>
      <c r="H140" s="1027" t="s">
        <v>589</v>
      </c>
      <c r="I140" s="1027" t="s">
        <v>506</v>
      </c>
      <c r="K140" s="981" t="s">
        <v>592</v>
      </c>
    </row>
    <row r="141" spans="1:11">
      <c r="A141" s="997">
        <f t="shared" si="11"/>
        <v>131</v>
      </c>
      <c r="B141" s="73" t="s">
        <v>909</v>
      </c>
      <c r="C141" s="318"/>
      <c r="D141" s="596"/>
      <c r="E141" s="310">
        <f>C141-D141</f>
        <v>0</v>
      </c>
      <c r="G141" s="318"/>
      <c r="H141" s="596"/>
      <c r="I141" s="310">
        <f>G141-H141</f>
        <v>0</v>
      </c>
      <c r="K141" s="318"/>
    </row>
    <row r="142" spans="1:11">
      <c r="A142" s="997">
        <f t="shared" si="11"/>
        <v>132</v>
      </c>
      <c r="B142" s="73" t="s">
        <v>950</v>
      </c>
      <c r="C142" s="596"/>
      <c r="D142" s="596"/>
      <c r="E142" s="310">
        <f t="shared" ref="E142:E153" si="15">C142-D142</f>
        <v>0</v>
      </c>
      <c r="G142" s="596"/>
      <c r="H142" s="596"/>
      <c r="I142" s="310">
        <f t="shared" ref="I142:I153" si="16">G142-H142</f>
        <v>0</v>
      </c>
      <c r="K142" s="596"/>
    </row>
    <row r="143" spans="1:11">
      <c r="A143" s="997">
        <f t="shared" si="11"/>
        <v>133</v>
      </c>
      <c r="B143" s="73" t="s">
        <v>899</v>
      </c>
      <c r="C143" s="596"/>
      <c r="D143" s="596"/>
      <c r="E143" s="310">
        <f t="shared" si="15"/>
        <v>0</v>
      </c>
      <c r="G143" s="596"/>
      <c r="H143" s="596"/>
      <c r="I143" s="310">
        <f t="shared" si="16"/>
        <v>0</v>
      </c>
      <c r="K143" s="596"/>
    </row>
    <row r="144" spans="1:11">
      <c r="A144" s="997">
        <f t="shared" si="11"/>
        <v>134</v>
      </c>
      <c r="B144" s="73" t="s">
        <v>900</v>
      </c>
      <c r="C144" s="596"/>
      <c r="D144" s="596"/>
      <c r="E144" s="310">
        <f t="shared" si="15"/>
        <v>0</v>
      </c>
      <c r="G144" s="596"/>
      <c r="H144" s="596"/>
      <c r="I144" s="310">
        <f t="shared" si="16"/>
        <v>0</v>
      </c>
      <c r="K144" s="596"/>
    </row>
    <row r="145" spans="1:11">
      <c r="A145" s="997">
        <f t="shared" si="11"/>
        <v>135</v>
      </c>
      <c r="B145" s="73" t="s">
        <v>901</v>
      </c>
      <c r="C145" s="596"/>
      <c r="D145" s="596"/>
      <c r="E145" s="310">
        <f t="shared" si="15"/>
        <v>0</v>
      </c>
      <c r="G145" s="596"/>
      <c r="H145" s="596"/>
      <c r="I145" s="310">
        <f t="shared" si="16"/>
        <v>0</v>
      </c>
      <c r="K145" s="596"/>
    </row>
    <row r="146" spans="1:11">
      <c r="A146" s="997">
        <f t="shared" si="11"/>
        <v>136</v>
      </c>
      <c r="B146" s="73" t="s">
        <v>902</v>
      </c>
      <c r="C146" s="596"/>
      <c r="D146" s="596"/>
      <c r="E146" s="310">
        <f t="shared" si="15"/>
        <v>0</v>
      </c>
      <c r="G146" s="596"/>
      <c r="H146" s="596"/>
      <c r="I146" s="310">
        <f t="shared" si="16"/>
        <v>0</v>
      </c>
      <c r="K146" s="596"/>
    </row>
    <row r="147" spans="1:11">
      <c r="A147" s="997">
        <f t="shared" si="11"/>
        <v>137</v>
      </c>
      <c r="B147" s="73" t="s">
        <v>903</v>
      </c>
      <c r="C147" s="596"/>
      <c r="D147" s="596"/>
      <c r="E147" s="310">
        <f t="shared" si="15"/>
        <v>0</v>
      </c>
      <c r="G147" s="596"/>
      <c r="H147" s="596"/>
      <c r="I147" s="310">
        <f t="shared" si="16"/>
        <v>0</v>
      </c>
      <c r="K147" s="596"/>
    </row>
    <row r="148" spans="1:11">
      <c r="A148" s="997">
        <f t="shared" si="11"/>
        <v>138</v>
      </c>
      <c r="B148" s="73" t="s">
        <v>904</v>
      </c>
      <c r="C148" s="596"/>
      <c r="D148" s="596"/>
      <c r="E148" s="310">
        <f t="shared" si="15"/>
        <v>0</v>
      </c>
      <c r="G148" s="596"/>
      <c r="H148" s="596"/>
      <c r="I148" s="310">
        <f t="shared" si="16"/>
        <v>0</v>
      </c>
      <c r="K148" s="596"/>
    </row>
    <row r="149" spans="1:11">
      <c r="A149" s="997">
        <f t="shared" si="11"/>
        <v>139</v>
      </c>
      <c r="B149" s="73" t="s">
        <v>905</v>
      </c>
      <c r="C149" s="596"/>
      <c r="D149" s="596"/>
      <c r="E149" s="310">
        <f t="shared" si="15"/>
        <v>0</v>
      </c>
      <c r="G149" s="596"/>
      <c r="H149" s="596"/>
      <c r="I149" s="310">
        <f t="shared" si="16"/>
        <v>0</v>
      </c>
      <c r="K149" s="596"/>
    </row>
    <row r="150" spans="1:11">
      <c r="A150" s="997">
        <f t="shared" si="11"/>
        <v>140</v>
      </c>
      <c r="B150" s="73" t="s">
        <v>906</v>
      </c>
      <c r="C150" s="596"/>
      <c r="D150" s="596"/>
      <c r="E150" s="310">
        <f t="shared" si="15"/>
        <v>0</v>
      </c>
      <c r="G150" s="596"/>
      <c r="H150" s="596"/>
      <c r="I150" s="310">
        <f t="shared" si="16"/>
        <v>0</v>
      </c>
      <c r="K150" s="596"/>
    </row>
    <row r="151" spans="1:11">
      <c r="A151" s="997">
        <f t="shared" si="11"/>
        <v>141</v>
      </c>
      <c r="B151" s="73" t="s">
        <v>907</v>
      </c>
      <c r="C151" s="596"/>
      <c r="D151" s="596"/>
      <c r="E151" s="310">
        <f t="shared" si="15"/>
        <v>0</v>
      </c>
      <c r="G151" s="596"/>
      <c r="H151" s="596"/>
      <c r="I151" s="310">
        <f t="shared" si="16"/>
        <v>0</v>
      </c>
      <c r="K151" s="596"/>
    </row>
    <row r="152" spans="1:11">
      <c r="A152" s="997">
        <f t="shared" si="11"/>
        <v>142</v>
      </c>
      <c r="B152" s="73" t="s">
        <v>908</v>
      </c>
      <c r="C152" s="596"/>
      <c r="D152" s="596"/>
      <c r="E152" s="310">
        <f t="shared" si="15"/>
        <v>0</v>
      </c>
      <c r="G152" s="596"/>
      <c r="H152" s="596"/>
      <c r="I152" s="310">
        <f t="shared" si="16"/>
        <v>0</v>
      </c>
      <c r="K152" s="596"/>
    </row>
    <row r="153" spans="1:11" ht="13.5" thickBot="1">
      <c r="A153" s="997">
        <f t="shared" ref="A153:A162" si="17">A152+1</f>
        <v>143</v>
      </c>
      <c r="B153" s="73" t="s">
        <v>909</v>
      </c>
      <c r="C153" s="1028"/>
      <c r="D153" s="1028"/>
      <c r="E153" s="310">
        <f t="shared" si="15"/>
        <v>0</v>
      </c>
      <c r="G153" s="1028"/>
      <c r="H153" s="1028"/>
      <c r="I153" s="310">
        <f t="shared" si="16"/>
        <v>0</v>
      </c>
      <c r="K153" s="1029"/>
    </row>
    <row r="154" spans="1:11" ht="26.25" thickBot="1">
      <c r="A154" s="997">
        <f t="shared" si="17"/>
        <v>144</v>
      </c>
      <c r="B154" s="1009" t="str">
        <f>"13 Month Avg. (Lns "&amp;A141&amp;" - "&amp;A153&amp;")"</f>
        <v>13 Month Avg. (Lns 131 - 143)</v>
      </c>
      <c r="C154" s="166">
        <f>IF(C153=0,0,AVERAGE(C141:C153))</f>
        <v>0</v>
      </c>
      <c r="D154" s="696">
        <f>SUM(D142:D153)</f>
        <v>0</v>
      </c>
      <c r="E154" s="693">
        <f>IF(E153=0,0,AVERAGE(E141:E153))</f>
        <v>0</v>
      </c>
      <c r="G154" s="166">
        <f>IF(G153=0,0,AVERAGE(G141:G153))</f>
        <v>0</v>
      </c>
      <c r="H154" s="696">
        <f>SUM(H142:H153)</f>
        <v>0</v>
      </c>
      <c r="I154" s="693">
        <f>IF(I153=0,0,AVERAGE(I141:I153))</f>
        <v>0</v>
      </c>
      <c r="K154" s="693">
        <f>IF(K153=0,0,AVERAGE(K141:K153))</f>
        <v>0</v>
      </c>
    </row>
    <row r="155" spans="1:11">
      <c r="A155" s="997">
        <f t="shared" si="17"/>
        <v>145</v>
      </c>
      <c r="F155" s="898"/>
    </row>
    <row r="156" spans="1:11" hidden="1">
      <c r="A156" s="997">
        <f t="shared" si="17"/>
        <v>146</v>
      </c>
    </row>
    <row r="157" spans="1:11">
      <c r="A157" s="997">
        <f>A155+1</f>
        <v>146</v>
      </c>
      <c r="B157" s="73" t="s">
        <v>969</v>
      </c>
    </row>
    <row r="158" spans="1:11">
      <c r="A158" s="997">
        <f t="shared" si="17"/>
        <v>147</v>
      </c>
      <c r="B158" s="73" t="s">
        <v>593</v>
      </c>
    </row>
    <row r="159" spans="1:11">
      <c r="A159" s="997">
        <f t="shared" si="17"/>
        <v>148</v>
      </c>
      <c r="B159" s="73" t="s">
        <v>594</v>
      </c>
    </row>
    <row r="160" spans="1:11">
      <c r="A160" s="997">
        <f t="shared" si="17"/>
        <v>149</v>
      </c>
      <c r="B160" s="73" t="s">
        <v>1701</v>
      </c>
    </row>
    <row r="161" spans="1:11">
      <c r="A161" s="997">
        <f t="shared" si="17"/>
        <v>150</v>
      </c>
      <c r="B161" s="1133" t="s">
        <v>1702</v>
      </c>
    </row>
    <row r="162" spans="1:11">
      <c r="A162" s="997">
        <f t="shared" si="17"/>
        <v>151</v>
      </c>
      <c r="B162" s="1133" t="s">
        <v>1580</v>
      </c>
    </row>
    <row r="163" spans="1:11">
      <c r="I163" s="310"/>
      <c r="J163" s="310"/>
      <c r="K163" s="310"/>
    </row>
    <row r="165" spans="1:11">
      <c r="I165" s="94"/>
      <c r="J165" s="94"/>
      <c r="K165" s="94"/>
    </row>
    <row r="166" spans="1:11">
      <c r="I166" s="94"/>
      <c r="J166" s="94"/>
      <c r="K166" s="94"/>
    </row>
  </sheetData>
  <mergeCells count="15">
    <mergeCell ref="C81:E81"/>
    <mergeCell ref="H81:K81"/>
    <mergeCell ref="A24:A25"/>
    <mergeCell ref="B24:B25"/>
    <mergeCell ref="B47:B48"/>
    <mergeCell ref="C62:E62"/>
    <mergeCell ref="H62:K62"/>
    <mergeCell ref="F131:H131"/>
    <mergeCell ref="C100:E100"/>
    <mergeCell ref="H100:K100"/>
    <mergeCell ref="C105:E105"/>
    <mergeCell ref="H105:K105"/>
    <mergeCell ref="C114:E114"/>
    <mergeCell ref="F114:H114"/>
    <mergeCell ref="I114:K114"/>
  </mergeCells>
  <pageMargins left="0.7" right="0.7" top="0.75" bottom="0.75" header="0.3" footer="0.3"/>
  <pageSetup scale="64" fitToHeight="0" orientation="landscape" r:id="rId1"/>
  <rowBreaks count="2" manualBreakCount="2">
    <brk id="51" max="16383" man="1"/>
    <brk id="103"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Z163"/>
  <sheetViews>
    <sheetView view="pageBreakPreview" topLeftCell="A112" zoomScale="60" zoomScaleNormal="80" workbookViewId="0">
      <selection activeCell="Z34" sqref="Z34"/>
    </sheetView>
  </sheetViews>
  <sheetFormatPr defaultRowHeight="12.75"/>
  <cols>
    <col min="1" max="1" width="5.42578125" style="75" customWidth="1"/>
    <col min="2" max="2" width="23.28515625" style="73" customWidth="1"/>
    <col min="3" max="3" width="23" style="73" bestFit="1" customWidth="1"/>
    <col min="4" max="4" width="22.5703125" style="73" bestFit="1" customWidth="1"/>
    <col min="5" max="5" width="16.5703125" style="73" bestFit="1" customWidth="1"/>
    <col min="6" max="6" width="18.5703125" style="73" bestFit="1" customWidth="1"/>
    <col min="7" max="7" width="22.7109375" style="73" bestFit="1" customWidth="1"/>
    <col min="8" max="8" width="15.7109375" style="73" bestFit="1" customWidth="1"/>
    <col min="9" max="9" width="23" style="73" bestFit="1" customWidth="1"/>
    <col min="10" max="10" width="20.85546875" style="73" bestFit="1" customWidth="1"/>
    <col min="11" max="11" width="18.85546875" style="73" bestFit="1" customWidth="1"/>
    <col min="12" max="12" width="17" style="73" bestFit="1" customWidth="1"/>
    <col min="13" max="13" width="16.5703125" style="73" bestFit="1" customWidth="1"/>
    <col min="14" max="14" width="16.7109375" style="73" bestFit="1" customWidth="1"/>
    <col min="15" max="25" width="11.28515625" style="73" bestFit="1" customWidth="1"/>
    <col min="26" max="16384" width="9.140625" style="73"/>
  </cols>
  <sheetData>
    <row r="1" spans="1:26">
      <c r="A1" s="979" t="s">
        <v>774</v>
      </c>
      <c r="L1" s="898" t="s">
        <v>149</v>
      </c>
    </row>
    <row r="2" spans="1:26">
      <c r="A2" s="979" t="s">
        <v>378</v>
      </c>
      <c r="G2" s="310"/>
      <c r="H2" s="310"/>
      <c r="L2" s="898" t="s">
        <v>1581</v>
      </c>
    </row>
    <row r="3" spans="1:26">
      <c r="A3" s="99" t="s">
        <v>1720</v>
      </c>
      <c r="G3" s="94"/>
      <c r="H3" s="94"/>
    </row>
    <row r="4" spans="1:26">
      <c r="A4" s="979" t="s">
        <v>518</v>
      </c>
    </row>
    <row r="5" spans="1:26">
      <c r="A5" s="979"/>
      <c r="E5" s="94"/>
      <c r="G5" s="94"/>
      <c r="H5" s="94"/>
    </row>
    <row r="6" spans="1:26">
      <c r="G6" s="310"/>
      <c r="H6" s="310"/>
    </row>
    <row r="7" spans="1:26">
      <c r="B7" s="1006" t="s">
        <v>938</v>
      </c>
    </row>
    <row r="8" spans="1:26" ht="25.5">
      <c r="C8" s="1007" t="s">
        <v>939</v>
      </c>
      <c r="D8" s="1007" t="s">
        <v>941</v>
      </c>
      <c r="E8" s="1007" t="s">
        <v>942</v>
      </c>
      <c r="F8" s="1007" t="s">
        <v>943</v>
      </c>
      <c r="G8" s="1008" t="s">
        <v>944</v>
      </c>
      <c r="H8" s="1007" t="s">
        <v>945</v>
      </c>
      <c r="I8" s="1007" t="s">
        <v>947</v>
      </c>
      <c r="J8" s="1007" t="s">
        <v>948</v>
      </c>
      <c r="K8" s="1007" t="s">
        <v>949</v>
      </c>
    </row>
    <row r="9" spans="1:26" ht="25.5">
      <c r="B9" s="1009" t="s">
        <v>167</v>
      </c>
      <c r="C9" s="1009" t="s">
        <v>168</v>
      </c>
      <c r="D9" s="1009" t="s">
        <v>169</v>
      </c>
      <c r="E9" s="1009" t="s">
        <v>170</v>
      </c>
      <c r="F9" s="1009" t="s">
        <v>171</v>
      </c>
      <c r="G9" s="1009" t="s">
        <v>172</v>
      </c>
      <c r="H9" s="1009" t="s">
        <v>173</v>
      </c>
      <c r="I9" s="1009" t="s">
        <v>181</v>
      </c>
      <c r="J9" s="1208" t="s">
        <v>1706</v>
      </c>
      <c r="K9" s="1208" t="s">
        <v>1706</v>
      </c>
    </row>
    <row r="10" spans="1:26">
      <c r="A10" s="997">
        <v>1</v>
      </c>
      <c r="B10" s="73" t="s">
        <v>909</v>
      </c>
      <c r="C10" s="244">
        <v>110615628.89</v>
      </c>
      <c r="D10" s="244">
        <v>3403828054.0800009</v>
      </c>
      <c r="E10" s="244">
        <v>146017367.06</v>
      </c>
      <c r="F10" s="244">
        <v>1846407717.6700001</v>
      </c>
      <c r="G10" s="244">
        <v>2056734900.9200008</v>
      </c>
      <c r="H10" s="244">
        <v>4601078952.0599985</v>
      </c>
      <c r="I10" s="244">
        <v>237303758.82999998</v>
      </c>
      <c r="J10" s="244">
        <v>366988391.50999999</v>
      </c>
      <c r="K10" s="244">
        <v>395927983.41000021</v>
      </c>
      <c r="M10" s="310"/>
      <c r="N10" s="310"/>
      <c r="O10" s="310"/>
      <c r="P10" s="310"/>
      <c r="Q10" s="310"/>
      <c r="R10" s="310"/>
      <c r="S10" s="310"/>
      <c r="T10" s="310"/>
      <c r="U10" s="310"/>
      <c r="V10" s="310"/>
      <c r="W10" s="310"/>
      <c r="X10" s="310"/>
      <c r="Y10" s="310"/>
      <c r="Z10" s="310"/>
    </row>
    <row r="11" spans="1:26">
      <c r="A11" s="997">
        <v>2</v>
      </c>
      <c r="B11" s="73" t="s">
        <v>950</v>
      </c>
      <c r="C11" s="244">
        <v>110677032.86</v>
      </c>
      <c r="D11" s="244">
        <v>3404816722.5800004</v>
      </c>
      <c r="E11" s="244">
        <v>146056792.81</v>
      </c>
      <c r="F11" s="244">
        <v>1846479947.9500003</v>
      </c>
      <c r="G11" s="244">
        <v>2057849704.8800004</v>
      </c>
      <c r="H11" s="244">
        <v>4612417086.4199991</v>
      </c>
      <c r="I11" s="244">
        <v>238394652.97000003</v>
      </c>
      <c r="J11" s="244">
        <v>361083932.62</v>
      </c>
      <c r="K11" s="244">
        <v>395382488.25000012</v>
      </c>
    </row>
    <row r="12" spans="1:26">
      <c r="A12" s="997">
        <v>3</v>
      </c>
      <c r="B12" s="73" t="s">
        <v>899</v>
      </c>
      <c r="C12" s="244">
        <v>110717242.15000001</v>
      </c>
      <c r="D12" s="244">
        <v>3406069339.6200004</v>
      </c>
      <c r="E12" s="244">
        <v>146124691.59999999</v>
      </c>
      <c r="F12" s="244">
        <v>1847805975.3200002</v>
      </c>
      <c r="G12" s="244">
        <v>2059410197.8800004</v>
      </c>
      <c r="H12" s="244">
        <v>4632444717.1799994</v>
      </c>
      <c r="I12" s="244">
        <v>241467880.95000005</v>
      </c>
      <c r="J12" s="244">
        <v>386787259.47000003</v>
      </c>
      <c r="K12" s="244">
        <v>395976858.50000012</v>
      </c>
    </row>
    <row r="13" spans="1:26">
      <c r="A13" s="997">
        <v>4</v>
      </c>
      <c r="B13" s="73" t="s">
        <v>900</v>
      </c>
      <c r="C13" s="244">
        <v>110702707.07000001</v>
      </c>
      <c r="D13" s="244">
        <v>3407110095.1500001</v>
      </c>
      <c r="E13" s="244">
        <v>146355800.88</v>
      </c>
      <c r="F13" s="244">
        <v>1848272409.5</v>
      </c>
      <c r="G13" s="244">
        <v>2063983055.6000004</v>
      </c>
      <c r="H13" s="244">
        <v>4649052114.6999989</v>
      </c>
      <c r="I13" s="244">
        <v>244857666.54999998</v>
      </c>
      <c r="J13" s="244">
        <v>390617101.77999997</v>
      </c>
      <c r="K13" s="244">
        <v>389214115.41000009</v>
      </c>
    </row>
    <row r="14" spans="1:26">
      <c r="A14" s="997">
        <v>5</v>
      </c>
      <c r="B14" s="73" t="s">
        <v>901</v>
      </c>
      <c r="C14" s="244">
        <v>110706902.40000001</v>
      </c>
      <c r="D14" s="244">
        <v>3390610615.8599997</v>
      </c>
      <c r="E14" s="244">
        <v>146388398.13999999</v>
      </c>
      <c r="F14" s="244">
        <v>1845757727.5800004</v>
      </c>
      <c r="G14" s="244">
        <v>2064992385.8300004</v>
      </c>
      <c r="H14" s="244">
        <v>4671766105.0499983</v>
      </c>
      <c r="I14" s="244">
        <v>248409775.53999999</v>
      </c>
      <c r="J14" s="244">
        <v>424689359.46000004</v>
      </c>
      <c r="K14" s="244">
        <v>391027263.64000016</v>
      </c>
    </row>
    <row r="15" spans="1:26">
      <c r="A15" s="997">
        <v>6</v>
      </c>
      <c r="B15" s="73" t="s">
        <v>902</v>
      </c>
      <c r="C15" s="244">
        <v>105240329.90000001</v>
      </c>
      <c r="D15" s="244">
        <v>3396042200.9399996</v>
      </c>
      <c r="E15" s="244">
        <v>146426112.78</v>
      </c>
      <c r="F15" s="244">
        <v>1861531036.6399999</v>
      </c>
      <c r="G15" s="244">
        <v>2082740392.9700005</v>
      </c>
      <c r="H15" s="244">
        <v>4686720520.5899982</v>
      </c>
      <c r="I15" s="244">
        <v>250200463.30000001</v>
      </c>
      <c r="J15" s="244">
        <v>371680814.45000005</v>
      </c>
      <c r="K15" s="244">
        <v>396026733.44000024</v>
      </c>
    </row>
    <row r="16" spans="1:26">
      <c r="A16" s="997">
        <v>7</v>
      </c>
      <c r="B16" s="73" t="s">
        <v>903</v>
      </c>
      <c r="C16" s="244">
        <v>105405341.66</v>
      </c>
      <c r="D16" s="244">
        <v>3389428065.1499996</v>
      </c>
      <c r="E16" s="244">
        <v>146346335.78999999</v>
      </c>
      <c r="F16" s="244">
        <v>1860992528.6600003</v>
      </c>
      <c r="G16" s="244">
        <v>2090130525.2400002</v>
      </c>
      <c r="H16" s="244">
        <v>4717956966.9099998</v>
      </c>
      <c r="I16" s="244">
        <v>252039117.09999999</v>
      </c>
      <c r="J16" s="244">
        <v>375149948.15000004</v>
      </c>
      <c r="K16" s="244">
        <v>397729783.4800002</v>
      </c>
    </row>
    <row r="17" spans="1:12">
      <c r="A17" s="997">
        <v>8</v>
      </c>
      <c r="B17" s="73" t="s">
        <v>904</v>
      </c>
      <c r="C17" s="244">
        <v>105859561.53999999</v>
      </c>
      <c r="D17" s="244">
        <v>3389420180.4999995</v>
      </c>
      <c r="E17" s="244">
        <v>146297629.44999999</v>
      </c>
      <c r="F17" s="244">
        <v>1854718714.25</v>
      </c>
      <c r="G17" s="244">
        <v>2091772351.4700003</v>
      </c>
      <c r="H17" s="244">
        <v>4734359624.5099993</v>
      </c>
      <c r="I17" s="244">
        <v>252311144.03</v>
      </c>
      <c r="J17" s="244">
        <v>375226730.03000003</v>
      </c>
      <c r="K17" s="244">
        <v>398341058.76000017</v>
      </c>
    </row>
    <row r="18" spans="1:12">
      <c r="A18" s="997">
        <v>9</v>
      </c>
      <c r="B18" s="73" t="s">
        <v>905</v>
      </c>
      <c r="C18" s="244">
        <v>105862298.81999999</v>
      </c>
      <c r="D18" s="244">
        <v>3385744415.3499999</v>
      </c>
      <c r="E18" s="244">
        <v>146313025.33999997</v>
      </c>
      <c r="F18" s="244">
        <v>1857778153.0500002</v>
      </c>
      <c r="G18" s="244">
        <v>2096191537.5400002</v>
      </c>
      <c r="H18" s="244">
        <v>4746436275.7999992</v>
      </c>
      <c r="I18" s="244">
        <v>254459240.97999999</v>
      </c>
      <c r="J18" s="244">
        <v>377384016.03000003</v>
      </c>
      <c r="K18" s="244">
        <v>403340043.73000026</v>
      </c>
    </row>
    <row r="19" spans="1:12">
      <c r="A19" s="997">
        <v>10</v>
      </c>
      <c r="B19" s="73" t="s">
        <v>906</v>
      </c>
      <c r="C19" s="244">
        <v>105874182.42999999</v>
      </c>
      <c r="D19" s="244">
        <v>3200428482.9000001</v>
      </c>
      <c r="E19" s="244">
        <v>146383620.71999997</v>
      </c>
      <c r="F19" s="244">
        <v>1858238563.73</v>
      </c>
      <c r="G19" s="244">
        <v>2103791453.8900006</v>
      </c>
      <c r="H19" s="244">
        <v>4755844471.039999</v>
      </c>
      <c r="I19" s="244">
        <v>254617483.01000002</v>
      </c>
      <c r="J19" s="244">
        <v>379162006.25</v>
      </c>
      <c r="K19" s="244">
        <v>400912514.07000023</v>
      </c>
    </row>
    <row r="20" spans="1:12">
      <c r="A20" s="997">
        <v>11</v>
      </c>
      <c r="B20" s="73" t="s">
        <v>907</v>
      </c>
      <c r="C20" s="244">
        <v>105873364.55</v>
      </c>
      <c r="D20" s="244">
        <v>3200115256.46</v>
      </c>
      <c r="E20" s="244">
        <v>147106349.50999999</v>
      </c>
      <c r="F20" s="244">
        <v>1861213279.23</v>
      </c>
      <c r="G20" s="244">
        <v>2100807181.4200003</v>
      </c>
      <c r="H20" s="244">
        <v>4772705247.5099983</v>
      </c>
      <c r="I20" s="244">
        <v>256173556.66000003</v>
      </c>
      <c r="J20" s="244">
        <v>416239347.79000002</v>
      </c>
      <c r="K20" s="244">
        <v>404731849.62000024</v>
      </c>
    </row>
    <row r="21" spans="1:12">
      <c r="A21" s="997">
        <v>12</v>
      </c>
      <c r="B21" s="73" t="s">
        <v>908</v>
      </c>
      <c r="C21" s="244">
        <v>106199932.54000001</v>
      </c>
      <c r="D21" s="244">
        <v>3208056025.9700003</v>
      </c>
      <c r="E21" s="244">
        <v>147138548.08999997</v>
      </c>
      <c r="F21" s="244">
        <v>1862130569.0999999</v>
      </c>
      <c r="G21" s="244">
        <v>2119375045.8399999</v>
      </c>
      <c r="H21" s="244">
        <v>4776123510.369998</v>
      </c>
      <c r="I21" s="244">
        <v>257475345.75000003</v>
      </c>
      <c r="J21" s="244">
        <v>417727284.25999999</v>
      </c>
      <c r="K21" s="244">
        <v>409082666.95000011</v>
      </c>
    </row>
    <row r="22" spans="1:12">
      <c r="A22" s="997">
        <v>13</v>
      </c>
      <c r="B22" s="73" t="s">
        <v>909</v>
      </c>
      <c r="C22" s="244">
        <v>106201179.96000001</v>
      </c>
      <c r="D22" s="244">
        <v>3211285796.04</v>
      </c>
      <c r="E22" s="244">
        <v>147216606.00999999</v>
      </c>
      <c r="F22" s="244">
        <v>1861916813.8099995</v>
      </c>
      <c r="G22" s="244">
        <v>2133315252.78</v>
      </c>
      <c r="H22" s="244">
        <v>4809705171.1999979</v>
      </c>
      <c r="I22" s="244">
        <v>239342132.75000006</v>
      </c>
      <c r="J22" s="244">
        <v>434387353.88999999</v>
      </c>
      <c r="K22" s="244">
        <v>401483755.12000102</v>
      </c>
      <c r="L22" s="94"/>
    </row>
    <row r="23" spans="1:12" ht="25.5">
      <c r="A23" s="997">
        <v>14</v>
      </c>
      <c r="B23" s="1009" t="s">
        <v>1891</v>
      </c>
      <c r="C23" s="166">
        <v>107687361.90538462</v>
      </c>
      <c r="D23" s="166">
        <v>3337919634.6615381</v>
      </c>
      <c r="E23" s="166">
        <v>146474713.70615384</v>
      </c>
      <c r="F23" s="166">
        <v>1854864879.7299998</v>
      </c>
      <c r="G23" s="166">
        <v>2086237998.9430773</v>
      </c>
      <c r="H23" s="166">
        <v>4705123904.8723059</v>
      </c>
      <c r="I23" s="166">
        <v>248234786.03230765</v>
      </c>
      <c r="J23" s="166">
        <v>390547965.05307698</v>
      </c>
      <c r="K23" s="166">
        <v>398398239.56769246</v>
      </c>
    </row>
    <row r="24" spans="1:12" ht="12.75" customHeight="1">
      <c r="A24" s="1277">
        <v>15</v>
      </c>
      <c r="B24" s="1278" t="s">
        <v>952</v>
      </c>
      <c r="C24" s="166"/>
      <c r="D24" s="166"/>
      <c r="E24" s="166"/>
      <c r="F24" s="166"/>
      <c r="G24" s="166"/>
      <c r="H24" s="166"/>
      <c r="I24" s="166"/>
      <c r="J24" s="166"/>
    </row>
    <row r="25" spans="1:12">
      <c r="A25" s="1277"/>
      <c r="B25" s="1278"/>
      <c r="C25" s="1010">
        <v>0</v>
      </c>
      <c r="D25" s="247">
        <v>53849006.313076951</v>
      </c>
      <c r="E25" s="247">
        <v>734812</v>
      </c>
      <c r="F25" s="247">
        <v>5404984.3500000006</v>
      </c>
      <c r="G25" s="247">
        <v>63392.270000000011</v>
      </c>
      <c r="H25" s="247">
        <v>6809773.8199999994</v>
      </c>
      <c r="I25" s="247">
        <v>0</v>
      </c>
      <c r="J25" s="247">
        <v>0</v>
      </c>
      <c r="K25" s="247">
        <v>369412.21999999986</v>
      </c>
    </row>
    <row r="26" spans="1:12" ht="13.5" thickBot="1">
      <c r="A26" s="997">
        <v>16</v>
      </c>
    </row>
    <row r="27" spans="1:12" ht="13.5" thickBot="1">
      <c r="A27" s="997">
        <v>17</v>
      </c>
      <c r="B27" s="73" t="s">
        <v>953</v>
      </c>
      <c r="C27" s="693">
        <v>107687361.90538462</v>
      </c>
      <c r="D27" s="693">
        <v>3284070628.3484612</v>
      </c>
      <c r="E27" s="693">
        <v>145739901.70615384</v>
      </c>
      <c r="F27" s="693">
        <v>1849459895.3799999</v>
      </c>
      <c r="G27" s="693">
        <v>2086174606.6730773</v>
      </c>
      <c r="H27" s="693">
        <v>4698314131.0523062</v>
      </c>
      <c r="I27" s="693">
        <v>248234786.03230765</v>
      </c>
      <c r="J27" s="693">
        <v>390547965.05307698</v>
      </c>
      <c r="K27" s="693">
        <v>398028827.34769243</v>
      </c>
    </row>
    <row r="28" spans="1:12">
      <c r="A28" s="997">
        <v>18</v>
      </c>
      <c r="C28" s="166"/>
      <c r="D28" s="166"/>
      <c r="E28" s="166"/>
      <c r="F28" s="166"/>
      <c r="G28" s="166"/>
      <c r="H28" s="166"/>
    </row>
    <row r="29" spans="1:12">
      <c r="A29" s="997">
        <v>19</v>
      </c>
      <c r="B29" s="1006" t="s">
        <v>954</v>
      </c>
      <c r="C29" s="166"/>
      <c r="D29" s="166"/>
      <c r="E29" s="166"/>
      <c r="F29" s="166"/>
      <c r="G29" s="166"/>
      <c r="H29" s="166"/>
    </row>
    <row r="30" spans="1:12">
      <c r="A30" s="997">
        <v>20</v>
      </c>
    </row>
    <row r="31" spans="1:12" ht="25.5">
      <c r="A31" s="997">
        <v>21</v>
      </c>
      <c r="C31" s="1007" t="s">
        <v>939</v>
      </c>
      <c r="D31" s="1007" t="s">
        <v>941</v>
      </c>
      <c r="E31" s="1007" t="s">
        <v>942</v>
      </c>
      <c r="F31" s="1007" t="s">
        <v>943</v>
      </c>
      <c r="G31" s="1008" t="s">
        <v>944</v>
      </c>
      <c r="H31" s="1007" t="s">
        <v>945</v>
      </c>
      <c r="I31" s="1007" t="s">
        <v>947</v>
      </c>
      <c r="J31" s="1007" t="s">
        <v>948</v>
      </c>
      <c r="K31" s="1007" t="s">
        <v>949</v>
      </c>
    </row>
    <row r="32" spans="1:12" ht="25.5">
      <c r="A32" s="997">
        <v>22</v>
      </c>
      <c r="B32" s="1009" t="s">
        <v>167</v>
      </c>
      <c r="C32" s="1009" t="s">
        <v>174</v>
      </c>
      <c r="D32" s="1009" t="s">
        <v>175</v>
      </c>
      <c r="E32" s="1009" t="s">
        <v>176</v>
      </c>
      <c r="F32" s="1009" t="s">
        <v>177</v>
      </c>
      <c r="G32" s="1009" t="s">
        <v>178</v>
      </c>
      <c r="H32" s="1009" t="s">
        <v>179</v>
      </c>
      <c r="I32" s="1009" t="s">
        <v>180</v>
      </c>
      <c r="J32" s="1208" t="s">
        <v>1707</v>
      </c>
      <c r="K32" s="1208" t="s">
        <v>1707</v>
      </c>
    </row>
    <row r="33" spans="1:26">
      <c r="A33" s="997">
        <v>23</v>
      </c>
      <c r="B33" s="73" t="s">
        <v>909</v>
      </c>
      <c r="C33" s="244">
        <v>55735341.810000002</v>
      </c>
      <c r="D33" s="244">
        <v>1229525585.1099992</v>
      </c>
      <c r="E33" s="244">
        <v>45327239.999999993</v>
      </c>
      <c r="F33" s="244">
        <v>394554582.7700001</v>
      </c>
      <c r="G33" s="244">
        <v>465055110.77999961</v>
      </c>
      <c r="H33" s="244">
        <v>1333170328.3400004</v>
      </c>
      <c r="I33" s="244">
        <v>93004815.479999974</v>
      </c>
      <c r="J33" s="244">
        <v>266988569.12</v>
      </c>
      <c r="K33" s="244">
        <v>170251485.79000008</v>
      </c>
      <c r="M33" s="310"/>
      <c r="N33" s="310"/>
      <c r="O33" s="310"/>
      <c r="P33" s="310"/>
      <c r="Q33" s="310"/>
      <c r="R33" s="310"/>
      <c r="S33" s="310"/>
      <c r="T33" s="310"/>
      <c r="U33" s="310"/>
      <c r="V33" s="310"/>
      <c r="W33" s="310"/>
      <c r="X33" s="310"/>
      <c r="Y33" s="310"/>
      <c r="Z33" s="310"/>
    </row>
    <row r="34" spans="1:26">
      <c r="A34" s="997">
        <v>24</v>
      </c>
      <c r="B34" s="73" t="s">
        <v>950</v>
      </c>
      <c r="C34" s="244">
        <v>56613676.530000016</v>
      </c>
      <c r="D34" s="244">
        <v>1234310833.7700005</v>
      </c>
      <c r="E34" s="244">
        <v>45464347.090000011</v>
      </c>
      <c r="F34" s="244">
        <v>397910726.01999992</v>
      </c>
      <c r="G34" s="244">
        <v>467132129.63000029</v>
      </c>
      <c r="H34" s="244">
        <v>1339772400.3099992</v>
      </c>
      <c r="I34" s="244">
        <v>94256331.870000109</v>
      </c>
      <c r="J34" s="244">
        <v>263253198.65000001</v>
      </c>
      <c r="K34" s="244">
        <v>172169536.86000016</v>
      </c>
    </row>
    <row r="35" spans="1:26">
      <c r="A35" s="997">
        <v>25</v>
      </c>
      <c r="B35" s="73" t="s">
        <v>899</v>
      </c>
      <c r="C35" s="244">
        <v>57485092.340000011</v>
      </c>
      <c r="D35" s="244">
        <v>1236597664.2299998</v>
      </c>
      <c r="E35" s="244">
        <v>45620825.730000012</v>
      </c>
      <c r="F35" s="244">
        <v>401316627.89999992</v>
      </c>
      <c r="G35" s="244">
        <v>468176118.56999999</v>
      </c>
      <c r="H35" s="244">
        <v>1344942116.8700006</v>
      </c>
      <c r="I35" s="244">
        <v>95682432.869999975</v>
      </c>
      <c r="J35" s="244">
        <v>265402337.66</v>
      </c>
      <c r="K35" s="244">
        <v>173767262.90000007</v>
      </c>
    </row>
    <row r="36" spans="1:26">
      <c r="A36" s="997">
        <v>26</v>
      </c>
      <c r="B36" s="73" t="s">
        <v>900</v>
      </c>
      <c r="C36" s="244">
        <v>58353868.099999994</v>
      </c>
      <c r="D36" s="244">
        <v>1239424350.9599993</v>
      </c>
      <c r="E36" s="244">
        <v>45793904.319999993</v>
      </c>
      <c r="F36" s="244">
        <v>404607409.83999991</v>
      </c>
      <c r="G36" s="244">
        <v>469621746.09999973</v>
      </c>
      <c r="H36" s="244">
        <v>1347910360.2499995</v>
      </c>
      <c r="I36" s="244">
        <v>97022451.079999879</v>
      </c>
      <c r="J36" s="244">
        <v>267606051.33999997</v>
      </c>
      <c r="K36" s="244">
        <v>168194028.02999997</v>
      </c>
    </row>
    <row r="37" spans="1:26">
      <c r="A37" s="997">
        <v>27</v>
      </c>
      <c r="B37" s="73" t="s">
        <v>901</v>
      </c>
      <c r="C37" s="244">
        <v>59223464.769999996</v>
      </c>
      <c r="D37" s="244">
        <v>1226658553.4199994</v>
      </c>
      <c r="E37" s="244">
        <v>45957674.019999996</v>
      </c>
      <c r="F37" s="244">
        <v>400961061.55999994</v>
      </c>
      <c r="G37" s="244">
        <v>469408828.98000044</v>
      </c>
      <c r="H37" s="244">
        <v>1351829709.5600002</v>
      </c>
      <c r="I37" s="244">
        <v>98427683.649999917</v>
      </c>
      <c r="J37" s="244">
        <v>269935902.67000002</v>
      </c>
      <c r="K37" s="244">
        <v>170475555.36000004</v>
      </c>
    </row>
    <row r="38" spans="1:26">
      <c r="A38" s="997">
        <v>28</v>
      </c>
      <c r="B38" s="73" t="s">
        <v>902</v>
      </c>
      <c r="C38" s="244">
        <v>54614412.049999997</v>
      </c>
      <c r="D38" s="244">
        <v>1229791394.8399994</v>
      </c>
      <c r="E38" s="244">
        <v>46125033.520000011</v>
      </c>
      <c r="F38" s="244">
        <v>402020882.6500001</v>
      </c>
      <c r="G38" s="244">
        <v>465336312.95000041</v>
      </c>
      <c r="H38" s="244">
        <v>1354805340.8900008</v>
      </c>
      <c r="I38" s="244">
        <v>99714302.419999972</v>
      </c>
      <c r="J38" s="244">
        <v>218652081.78999999</v>
      </c>
      <c r="K38" s="244">
        <v>171851092.58999997</v>
      </c>
    </row>
    <row r="39" spans="1:26">
      <c r="A39" s="997">
        <v>29</v>
      </c>
      <c r="B39" s="73" t="s">
        <v>903</v>
      </c>
      <c r="C39" s="244">
        <v>55474635.829999991</v>
      </c>
      <c r="D39" s="244">
        <v>1227441058.9599996</v>
      </c>
      <c r="E39" s="244">
        <v>46177823.899999999</v>
      </c>
      <c r="F39" s="244">
        <v>403952237.91999966</v>
      </c>
      <c r="G39" s="244">
        <v>472144179.41999972</v>
      </c>
      <c r="H39" s="244">
        <v>1361132962.3799987</v>
      </c>
      <c r="I39" s="244">
        <v>101068020.48999999</v>
      </c>
      <c r="J39" s="244">
        <v>221002090.89000002</v>
      </c>
      <c r="K39" s="244">
        <v>172337154.57000008</v>
      </c>
    </row>
    <row r="40" spans="1:26">
      <c r="A40" s="997">
        <v>30</v>
      </c>
      <c r="B40" s="73" t="s">
        <v>904</v>
      </c>
      <c r="C40" s="244">
        <v>56338491.590000004</v>
      </c>
      <c r="D40" s="244">
        <v>1230767517.6599996</v>
      </c>
      <c r="E40" s="244">
        <v>46261383.660000011</v>
      </c>
      <c r="F40" s="244">
        <v>415571093.03000015</v>
      </c>
      <c r="G40" s="244">
        <v>475067961.09999979</v>
      </c>
      <c r="H40" s="244">
        <v>1365227264.5999994</v>
      </c>
      <c r="I40" s="244">
        <v>102423751.21999997</v>
      </c>
      <c r="J40" s="244">
        <v>223316350.39999998</v>
      </c>
      <c r="K40" s="244">
        <v>174755436.30000004</v>
      </c>
    </row>
    <row r="41" spans="1:26">
      <c r="A41" s="997">
        <v>31</v>
      </c>
      <c r="B41" s="73" t="s">
        <v>905</v>
      </c>
      <c r="C41" s="244">
        <v>57204310.300000004</v>
      </c>
      <c r="D41" s="244">
        <v>1232569362.5199997</v>
      </c>
      <c r="E41" s="244">
        <v>46431962.839999996</v>
      </c>
      <c r="F41" s="244">
        <v>414595715.02000016</v>
      </c>
      <c r="G41" s="244">
        <v>475930681.11999965</v>
      </c>
      <c r="H41" s="244">
        <v>1367228203.1400003</v>
      </c>
      <c r="I41" s="244">
        <v>103776711.38999996</v>
      </c>
      <c r="J41" s="244">
        <v>225669582.60999998</v>
      </c>
      <c r="K41" s="244">
        <v>177256380.77999997</v>
      </c>
    </row>
    <row r="42" spans="1:26">
      <c r="A42" s="997">
        <v>32</v>
      </c>
      <c r="B42" s="73" t="s">
        <v>906</v>
      </c>
      <c r="C42" s="244">
        <v>58073662.890000008</v>
      </c>
      <c r="D42" s="244">
        <v>1027865466.2699996</v>
      </c>
      <c r="E42" s="244">
        <v>46582917.219999991</v>
      </c>
      <c r="F42" s="244">
        <v>418064995.25999993</v>
      </c>
      <c r="G42" s="244">
        <v>472511036.20999956</v>
      </c>
      <c r="H42" s="244">
        <v>1372300056.4300015</v>
      </c>
      <c r="I42" s="244">
        <v>105153584.01000006</v>
      </c>
      <c r="J42" s="244">
        <v>228016451.44999999</v>
      </c>
      <c r="K42" s="244">
        <v>175302595.33999991</v>
      </c>
    </row>
    <row r="43" spans="1:26">
      <c r="A43" s="997">
        <v>33</v>
      </c>
      <c r="B43" s="73" t="s">
        <v>907</v>
      </c>
      <c r="C43" s="244">
        <v>58922611.740000002</v>
      </c>
      <c r="D43" s="244">
        <v>1030967462.89</v>
      </c>
      <c r="E43" s="244">
        <v>46665394.850000016</v>
      </c>
      <c r="F43" s="244">
        <v>421664555.16999984</v>
      </c>
      <c r="G43" s="244">
        <v>471159791.06000012</v>
      </c>
      <c r="H43" s="244">
        <v>1378094318.6500001</v>
      </c>
      <c r="I43" s="244">
        <v>106578836.87000002</v>
      </c>
      <c r="J43" s="244">
        <v>230556602.32999998</v>
      </c>
      <c r="K43" s="244">
        <v>178656632.09999999</v>
      </c>
    </row>
    <row r="44" spans="1:26">
      <c r="A44" s="997">
        <v>34</v>
      </c>
      <c r="B44" s="73" t="s">
        <v>908</v>
      </c>
      <c r="C44" s="244">
        <v>59767490.390000008</v>
      </c>
      <c r="D44" s="244">
        <v>1038424805.3699992</v>
      </c>
      <c r="E44" s="244">
        <v>46833933.010000013</v>
      </c>
      <c r="F44" s="244">
        <v>425310784.43000013</v>
      </c>
      <c r="G44" s="244">
        <v>472060111.79999942</v>
      </c>
      <c r="H44" s="244">
        <v>1381539407.6199999</v>
      </c>
      <c r="I44" s="244">
        <v>107602364.63999999</v>
      </c>
      <c r="J44" s="244">
        <v>233120426.57999995</v>
      </c>
      <c r="K44" s="244">
        <v>181271110.91</v>
      </c>
    </row>
    <row r="45" spans="1:26">
      <c r="A45" s="997">
        <v>35</v>
      </c>
      <c r="B45" s="73" t="s">
        <v>909</v>
      </c>
      <c r="C45" s="247">
        <v>60608935.620000005</v>
      </c>
      <c r="D45" s="247">
        <v>1039809009.9499997</v>
      </c>
      <c r="E45" s="247">
        <v>46991379.330000013</v>
      </c>
      <c r="F45" s="247">
        <v>427482760.74000013</v>
      </c>
      <c r="G45" s="247">
        <v>474529628.11000049</v>
      </c>
      <c r="H45" s="247">
        <v>1382477029.1499994</v>
      </c>
      <c r="I45" s="247">
        <v>84472122.189999998</v>
      </c>
      <c r="J45" s="247">
        <v>235844936.50999999</v>
      </c>
      <c r="K45" s="247">
        <v>158284521.54999992</v>
      </c>
    </row>
    <row r="46" spans="1:26" ht="25.5">
      <c r="A46" s="997">
        <v>36</v>
      </c>
      <c r="B46" s="1009" t="s">
        <v>1892</v>
      </c>
      <c r="C46" s="166">
        <v>57570461.073846154</v>
      </c>
      <c r="D46" s="166">
        <v>1171088697.3807688</v>
      </c>
      <c r="E46" s="166">
        <v>46171832.268461548</v>
      </c>
      <c r="F46" s="166">
        <v>409847187.10076916</v>
      </c>
      <c r="G46" s="166">
        <v>470625664.29461533</v>
      </c>
      <c r="H46" s="166">
        <v>1360033038.3223076</v>
      </c>
      <c r="I46" s="166">
        <v>99167954.475384608</v>
      </c>
      <c r="J46" s="166">
        <v>242258814</v>
      </c>
      <c r="K46" s="166">
        <v>172659445.62153846</v>
      </c>
    </row>
    <row r="47" spans="1:26" ht="12.75" customHeight="1">
      <c r="A47" s="997">
        <v>37</v>
      </c>
      <c r="B47" s="1278" t="s">
        <v>952</v>
      </c>
      <c r="C47" s="166"/>
      <c r="D47" s="166"/>
      <c r="E47" s="166"/>
      <c r="F47" s="166"/>
      <c r="G47" s="166"/>
      <c r="H47" s="166"/>
      <c r="I47" s="166"/>
      <c r="J47" s="166"/>
    </row>
    <row r="48" spans="1:26">
      <c r="A48" s="997">
        <v>38</v>
      </c>
      <c r="B48" s="1278"/>
      <c r="C48" s="1011">
        <v>0</v>
      </c>
      <c r="D48" s="247">
        <v>4116294.1723076939</v>
      </c>
      <c r="E48" s="247">
        <v>85078.58</v>
      </c>
      <c r="F48" s="247">
        <v>403342.33153846156</v>
      </c>
      <c r="G48" s="247">
        <v>8413.2123076923071</v>
      </c>
      <c r="H48" s="247">
        <v>864414.74846153846</v>
      </c>
      <c r="I48" s="247">
        <v>0</v>
      </c>
      <c r="J48" s="247">
        <v>0</v>
      </c>
      <c r="K48" s="247">
        <v>79289.273076923084</v>
      </c>
    </row>
    <row r="49" spans="1:25" ht="13.5" thickBot="1">
      <c r="A49" s="997">
        <v>39</v>
      </c>
    </row>
    <row r="50" spans="1:25" ht="13.5" thickBot="1">
      <c r="A50" s="997">
        <v>40</v>
      </c>
      <c r="B50" s="73" t="s">
        <v>953</v>
      </c>
      <c r="C50" s="693">
        <v>57570461.073846154</v>
      </c>
      <c r="D50" s="693">
        <v>1166972403.208461</v>
      </c>
      <c r="E50" s="693">
        <v>46086753.68846155</v>
      </c>
      <c r="F50" s="693">
        <v>409443844.76923072</v>
      </c>
      <c r="G50" s="693">
        <v>470617251.08230764</v>
      </c>
      <c r="H50" s="693">
        <v>1359168623.5738461</v>
      </c>
      <c r="I50" s="693">
        <v>99167954.475384608</v>
      </c>
      <c r="J50" s="693">
        <v>242258814</v>
      </c>
      <c r="K50" s="693">
        <v>172580156.34846154</v>
      </c>
    </row>
    <row r="51" spans="1:25">
      <c r="A51" s="997">
        <v>41</v>
      </c>
      <c r="C51" s="94"/>
    </row>
    <row r="52" spans="1:25">
      <c r="A52" s="997">
        <v>42</v>
      </c>
      <c r="B52" s="1002" t="s">
        <v>961</v>
      </c>
      <c r="C52" s="94"/>
    </row>
    <row r="53" spans="1:25">
      <c r="A53" s="997">
        <v>43</v>
      </c>
      <c r="B53" s="1006"/>
      <c r="C53" s="1012"/>
    </row>
    <row r="54" spans="1:25" ht="25.5">
      <c r="A54" s="997">
        <v>44</v>
      </c>
      <c r="B54" s="1006"/>
      <c r="C54" s="1007" t="s">
        <v>939</v>
      </c>
      <c r="D54" s="1007" t="s">
        <v>941</v>
      </c>
      <c r="E54" s="1007" t="s">
        <v>942</v>
      </c>
      <c r="F54" s="1007" t="s">
        <v>943</v>
      </c>
      <c r="G54" s="1008" t="s">
        <v>944</v>
      </c>
      <c r="H54" s="1007" t="s">
        <v>945</v>
      </c>
      <c r="I54" s="1007" t="s">
        <v>947</v>
      </c>
      <c r="J54" s="1007" t="s">
        <v>948</v>
      </c>
      <c r="K54" s="1007" t="s">
        <v>949</v>
      </c>
    </row>
    <row r="55" spans="1:25" ht="26.25" thickBot="1">
      <c r="A55" s="997">
        <v>45</v>
      </c>
      <c r="B55" s="1009" t="s">
        <v>167</v>
      </c>
      <c r="C55" s="1009" t="s">
        <v>182</v>
      </c>
      <c r="D55" s="1009" t="s">
        <v>183</v>
      </c>
      <c r="E55" s="1009" t="s">
        <v>184</v>
      </c>
      <c r="F55" s="1009" t="s">
        <v>185</v>
      </c>
      <c r="G55" s="1009" t="s">
        <v>186</v>
      </c>
      <c r="H55" s="1009" t="s">
        <v>187</v>
      </c>
      <c r="I55" s="1009" t="s">
        <v>188</v>
      </c>
      <c r="J55" s="1009" t="s">
        <v>189</v>
      </c>
      <c r="K55" s="1009" t="s">
        <v>189</v>
      </c>
    </row>
    <row r="56" spans="1:25" ht="13.5" thickBot="1">
      <c r="A56" s="997">
        <v>46</v>
      </c>
      <c r="B56" s="73" t="s">
        <v>790</v>
      </c>
      <c r="C56" s="1013">
        <v>10340199.310000001</v>
      </c>
      <c r="D56" s="1013">
        <v>79633692.359999985</v>
      </c>
      <c r="E56" s="1013">
        <v>2064692.9399999995</v>
      </c>
      <c r="F56" s="1013">
        <v>44154809.109999992</v>
      </c>
      <c r="G56" s="1013">
        <v>34366297.740000002</v>
      </c>
      <c r="H56" s="1013">
        <v>108338272.47000003</v>
      </c>
      <c r="I56" s="1013">
        <v>10261900.299999997</v>
      </c>
      <c r="J56" s="1013">
        <v>28260902.219999999</v>
      </c>
      <c r="K56" s="1013">
        <v>28137477.030000005</v>
      </c>
      <c r="L56" s="94"/>
    </row>
    <row r="57" spans="1:25">
      <c r="A57" s="997">
        <v>47</v>
      </c>
      <c r="C57" s="94"/>
      <c r="J57" s="310"/>
      <c r="K57" s="310"/>
    </row>
    <row r="58" spans="1:25">
      <c r="A58" s="997">
        <v>48</v>
      </c>
      <c r="B58" s="1002" t="s">
        <v>1703</v>
      </c>
      <c r="C58" s="729"/>
      <c r="D58" s="308"/>
    </row>
    <row r="59" spans="1:25">
      <c r="A59" s="997">
        <v>49</v>
      </c>
      <c r="B59" s="1014" t="s">
        <v>956</v>
      </c>
    </row>
    <row r="60" spans="1:25">
      <c r="A60" s="997">
        <v>50</v>
      </c>
      <c r="B60" s="1006"/>
    </row>
    <row r="61" spans="1:25" ht="25.5" customHeight="1">
      <c r="A61" s="997">
        <v>51</v>
      </c>
      <c r="B61" s="1006"/>
      <c r="C61" s="1274" t="s">
        <v>976</v>
      </c>
      <c r="D61" s="1275"/>
      <c r="E61" s="1276"/>
      <c r="F61" s="1016" t="s">
        <v>945</v>
      </c>
      <c r="G61" s="1016" t="s">
        <v>947</v>
      </c>
      <c r="H61" s="1248" t="s">
        <v>948</v>
      </c>
      <c r="I61" s="1249"/>
      <c r="J61" s="1249"/>
      <c r="K61" s="1250"/>
      <c r="L61" s="1016" t="s">
        <v>949</v>
      </c>
    </row>
    <row r="62" spans="1:25">
      <c r="A62" s="997">
        <v>52</v>
      </c>
      <c r="C62" s="1210" t="s">
        <v>940</v>
      </c>
      <c r="D62" s="1210" t="s">
        <v>957</v>
      </c>
      <c r="E62" s="1210" t="s">
        <v>790</v>
      </c>
      <c r="F62" s="1016" t="s">
        <v>957</v>
      </c>
      <c r="G62" s="1016" t="s">
        <v>957</v>
      </c>
      <c r="H62" s="1016" t="s">
        <v>940</v>
      </c>
      <c r="I62" s="1016" t="s">
        <v>958</v>
      </c>
      <c r="J62" s="1017" t="s">
        <v>959</v>
      </c>
      <c r="K62" s="1210" t="s">
        <v>790</v>
      </c>
      <c r="L62" s="1016" t="s">
        <v>957</v>
      </c>
    </row>
    <row r="63" spans="1:25">
      <c r="A63" s="997">
        <v>53</v>
      </c>
      <c r="B63" s="73" t="s">
        <v>909</v>
      </c>
      <c r="C63" s="994">
        <v>17044256.98</v>
      </c>
      <c r="D63" s="994">
        <v>9461968.3599999994</v>
      </c>
      <c r="E63" s="94">
        <v>26506225.34</v>
      </c>
      <c r="F63" s="994">
        <v>1386360.8900000001</v>
      </c>
      <c r="G63" s="994">
        <v>16635319</v>
      </c>
      <c r="H63" s="994">
        <v>3383421.1</v>
      </c>
      <c r="I63" s="994">
        <v>72269043.780000001</v>
      </c>
      <c r="J63" s="994">
        <v>12937276.4</v>
      </c>
      <c r="K63" s="94">
        <v>88589741.280000001</v>
      </c>
      <c r="L63" s="994">
        <v>416351.38</v>
      </c>
      <c r="O63" s="310"/>
      <c r="P63" s="310"/>
      <c r="Q63" s="310"/>
      <c r="R63" s="310"/>
      <c r="S63" s="310"/>
      <c r="T63" s="310"/>
      <c r="U63" s="310"/>
      <c r="V63" s="310"/>
      <c r="W63" s="310"/>
      <c r="X63" s="310"/>
      <c r="Y63" s="310"/>
    </row>
    <row r="64" spans="1:25">
      <c r="A64" s="997">
        <v>54</v>
      </c>
      <c r="B64" s="73" t="s">
        <v>950</v>
      </c>
      <c r="C64" s="994">
        <v>17044256.98</v>
      </c>
      <c r="D64" s="994">
        <v>9461968.7100000009</v>
      </c>
      <c r="E64" s="94">
        <v>26506225.690000001</v>
      </c>
      <c r="F64" s="244">
        <v>1386360.8900000001</v>
      </c>
      <c r="G64" s="994">
        <v>16635319</v>
      </c>
      <c r="H64" s="244">
        <v>3383421.1</v>
      </c>
      <c r="I64" s="244">
        <v>72271313.569999993</v>
      </c>
      <c r="J64" s="994">
        <v>12937276.4</v>
      </c>
      <c r="K64" s="94">
        <v>88592011.069999993</v>
      </c>
      <c r="L64" s="244">
        <v>416351.38</v>
      </c>
    </row>
    <row r="65" spans="1:12">
      <c r="A65" s="997">
        <v>55</v>
      </c>
      <c r="B65" s="73" t="s">
        <v>899</v>
      </c>
      <c r="C65" s="994">
        <v>17044256.98</v>
      </c>
      <c r="D65" s="994">
        <v>9461968.7100000009</v>
      </c>
      <c r="E65" s="94">
        <v>26506225.690000001</v>
      </c>
      <c r="F65" s="244">
        <v>1386360.8900000001</v>
      </c>
      <c r="G65" s="994">
        <v>16635319</v>
      </c>
      <c r="H65" s="244">
        <v>3383421.1</v>
      </c>
      <c r="I65" s="244">
        <v>72270769.849999994</v>
      </c>
      <c r="J65" s="994">
        <v>12937276.4</v>
      </c>
      <c r="K65" s="94">
        <v>88591467.349999994</v>
      </c>
      <c r="L65" s="244">
        <v>416351.38</v>
      </c>
    </row>
    <row r="66" spans="1:12">
      <c r="A66" s="997">
        <v>56</v>
      </c>
      <c r="B66" s="73" t="s">
        <v>900</v>
      </c>
      <c r="C66" s="994">
        <v>17044256.98</v>
      </c>
      <c r="D66" s="994">
        <v>9461968.7100000009</v>
      </c>
      <c r="E66" s="94">
        <v>26506225.690000001</v>
      </c>
      <c r="F66" s="244">
        <v>1386360.8900000001</v>
      </c>
      <c r="G66" s="994">
        <v>16635319</v>
      </c>
      <c r="H66" s="244">
        <v>3383421.1</v>
      </c>
      <c r="I66" s="244">
        <v>72270769.849999994</v>
      </c>
      <c r="J66" s="994">
        <v>12937276.4</v>
      </c>
      <c r="K66" s="94">
        <v>88591467.349999994</v>
      </c>
      <c r="L66" s="244">
        <v>416351.38</v>
      </c>
    </row>
    <row r="67" spans="1:12">
      <c r="A67" s="997">
        <v>57</v>
      </c>
      <c r="B67" s="73" t="s">
        <v>901</v>
      </c>
      <c r="C67" s="994">
        <v>17044256.98</v>
      </c>
      <c r="D67" s="994">
        <v>9461968.7100000009</v>
      </c>
      <c r="E67" s="94">
        <v>26506225.690000001</v>
      </c>
      <c r="F67" s="244">
        <v>1386360.8900000001</v>
      </c>
      <c r="G67" s="994">
        <v>16635319</v>
      </c>
      <c r="H67" s="244">
        <v>3383421.1</v>
      </c>
      <c r="I67" s="244">
        <v>72271722.230000004</v>
      </c>
      <c r="J67" s="994">
        <v>12937276.4</v>
      </c>
      <c r="K67" s="94">
        <v>88592419.730000004</v>
      </c>
      <c r="L67" s="244">
        <v>416351.38</v>
      </c>
    </row>
    <row r="68" spans="1:12">
      <c r="A68" s="997">
        <v>58</v>
      </c>
      <c r="B68" s="73" t="s">
        <v>902</v>
      </c>
      <c r="C68" s="994">
        <v>17044256.98</v>
      </c>
      <c r="D68" s="994">
        <v>9461968.7100000009</v>
      </c>
      <c r="E68" s="94">
        <v>26506225.690000001</v>
      </c>
      <c r="F68" s="244">
        <v>1386360.8900000001</v>
      </c>
      <c r="G68" s="994">
        <v>16635319</v>
      </c>
      <c r="H68" s="244">
        <v>3383421.1</v>
      </c>
      <c r="I68" s="244">
        <v>65951463.25</v>
      </c>
      <c r="J68" s="994">
        <v>12937276.4</v>
      </c>
      <c r="K68" s="94">
        <v>82272160.75</v>
      </c>
      <c r="L68" s="244">
        <v>416351.38</v>
      </c>
    </row>
    <row r="69" spans="1:12">
      <c r="A69" s="997">
        <v>59</v>
      </c>
      <c r="B69" s="73" t="s">
        <v>903</v>
      </c>
      <c r="C69" s="994">
        <v>17047894.270000003</v>
      </c>
      <c r="D69" s="994">
        <v>9461968.7100000009</v>
      </c>
      <c r="E69" s="94">
        <v>26509862.980000004</v>
      </c>
      <c r="F69" s="244">
        <v>1386360.8900000001</v>
      </c>
      <c r="G69" s="994">
        <v>16635319</v>
      </c>
      <c r="H69" s="244">
        <v>3383421.1</v>
      </c>
      <c r="I69" s="244">
        <v>65951463.25</v>
      </c>
      <c r="J69" s="994">
        <v>12937276.4</v>
      </c>
      <c r="K69" s="94">
        <v>82272160.75</v>
      </c>
      <c r="L69" s="244">
        <v>416351.38</v>
      </c>
    </row>
    <row r="70" spans="1:12">
      <c r="A70" s="997">
        <v>60</v>
      </c>
      <c r="B70" s="73" t="s">
        <v>904</v>
      </c>
      <c r="C70" s="994">
        <v>17051036.049999997</v>
      </c>
      <c r="D70" s="994">
        <v>9461968.7100000009</v>
      </c>
      <c r="E70" s="94">
        <v>26513004.759999998</v>
      </c>
      <c r="F70" s="244">
        <v>1386360.8900000001</v>
      </c>
      <c r="G70" s="994">
        <v>16635319</v>
      </c>
      <c r="H70" s="244">
        <v>3383421.1</v>
      </c>
      <c r="I70" s="244">
        <v>65951463.25</v>
      </c>
      <c r="J70" s="994">
        <v>12937276.4</v>
      </c>
      <c r="K70" s="94">
        <v>82272160.75</v>
      </c>
      <c r="L70" s="244">
        <v>416351.38</v>
      </c>
    </row>
    <row r="71" spans="1:12">
      <c r="A71" s="997">
        <v>61</v>
      </c>
      <c r="B71" s="73" t="s">
        <v>905</v>
      </c>
      <c r="C71" s="994">
        <v>17051548.549999997</v>
      </c>
      <c r="D71" s="994">
        <v>9461968.7100000009</v>
      </c>
      <c r="E71" s="94">
        <v>26513517.259999998</v>
      </c>
      <c r="F71" s="244">
        <v>1386360.8900000001</v>
      </c>
      <c r="G71" s="994">
        <v>16635319</v>
      </c>
      <c r="H71" s="244">
        <v>3383421.1</v>
      </c>
      <c r="I71" s="244">
        <v>65951463.25</v>
      </c>
      <c r="J71" s="994">
        <v>12937276.4</v>
      </c>
      <c r="K71" s="94">
        <v>82272160.75</v>
      </c>
      <c r="L71" s="244">
        <v>416351.38</v>
      </c>
    </row>
    <row r="72" spans="1:12">
      <c r="A72" s="997">
        <v>62</v>
      </c>
      <c r="B72" s="73" t="s">
        <v>906</v>
      </c>
      <c r="C72" s="994">
        <v>17053392.049999997</v>
      </c>
      <c r="D72" s="994">
        <v>9461968.7100000009</v>
      </c>
      <c r="E72" s="94">
        <v>26515360.759999998</v>
      </c>
      <c r="F72" s="244">
        <v>1386360.8900000001</v>
      </c>
      <c r="G72" s="994">
        <v>16635319</v>
      </c>
      <c r="H72" s="244">
        <v>3383421.1</v>
      </c>
      <c r="I72" s="244">
        <v>65951463.25</v>
      </c>
      <c r="J72" s="994">
        <v>12937276.4</v>
      </c>
      <c r="K72" s="94">
        <v>82272160.75</v>
      </c>
      <c r="L72" s="244">
        <v>416351.38</v>
      </c>
    </row>
    <row r="73" spans="1:12">
      <c r="A73" s="997">
        <v>63</v>
      </c>
      <c r="B73" s="73" t="s">
        <v>907</v>
      </c>
      <c r="C73" s="994">
        <v>17053415.079999998</v>
      </c>
      <c r="D73" s="994">
        <v>9461968.7100000009</v>
      </c>
      <c r="E73" s="94">
        <v>26515383.789999999</v>
      </c>
      <c r="F73" s="244">
        <v>1386360.8900000001</v>
      </c>
      <c r="G73" s="994">
        <v>16635319</v>
      </c>
      <c r="H73" s="244">
        <v>3383421.1</v>
      </c>
      <c r="I73" s="244">
        <v>65951463.25</v>
      </c>
      <c r="J73" s="994">
        <v>12937276.4</v>
      </c>
      <c r="K73" s="94">
        <v>82272160.75</v>
      </c>
      <c r="L73" s="244">
        <v>416351.38</v>
      </c>
    </row>
    <row r="74" spans="1:12">
      <c r="A74" s="997">
        <v>64</v>
      </c>
      <c r="B74" s="73" t="s">
        <v>908</v>
      </c>
      <c r="C74" s="994">
        <v>17057891.859999999</v>
      </c>
      <c r="D74" s="994">
        <v>9461968.7100000009</v>
      </c>
      <c r="E74" s="94">
        <v>26519860.57</v>
      </c>
      <c r="F74" s="244">
        <v>1386360.8900000001</v>
      </c>
      <c r="G74" s="994">
        <v>16635319</v>
      </c>
      <c r="H74" s="244">
        <v>3383421.1</v>
      </c>
      <c r="I74" s="244">
        <v>65951463.25</v>
      </c>
      <c r="J74" s="994">
        <v>12937276.4</v>
      </c>
      <c r="K74" s="94">
        <v>82272160.75</v>
      </c>
      <c r="L74" s="244">
        <v>416351.38</v>
      </c>
    </row>
    <row r="75" spans="1:12" ht="13.5" thickBot="1">
      <c r="A75" s="997">
        <v>65</v>
      </c>
      <c r="B75" s="73" t="s">
        <v>909</v>
      </c>
      <c r="C75" s="247">
        <v>17059400.880000003</v>
      </c>
      <c r="D75" s="247">
        <v>9461968.7100000009</v>
      </c>
      <c r="E75" s="94">
        <v>26521369.590000004</v>
      </c>
      <c r="F75" s="244">
        <v>1386360.8900000001</v>
      </c>
      <c r="G75" s="994">
        <v>16635319</v>
      </c>
      <c r="H75" s="247">
        <v>3383421.1</v>
      </c>
      <c r="I75" s="247">
        <v>65951463.25</v>
      </c>
      <c r="J75" s="247">
        <v>12937276.4</v>
      </c>
      <c r="K75" s="94">
        <v>82272160.75</v>
      </c>
      <c r="L75" s="244">
        <v>416351.38</v>
      </c>
    </row>
    <row r="76" spans="1:12" ht="26.25" thickBot="1">
      <c r="A76" s="997">
        <v>66</v>
      </c>
      <c r="B76" s="1009" t="s">
        <v>1893</v>
      </c>
      <c r="C76" s="166">
        <v>17049240.047692306</v>
      </c>
      <c r="D76" s="166">
        <v>9461968.6830769274</v>
      </c>
      <c r="E76" s="693">
        <v>26511208.730769232</v>
      </c>
      <c r="F76" s="693">
        <v>1386360.8900000004</v>
      </c>
      <c r="G76" s="693">
        <v>16635319</v>
      </c>
      <c r="H76" s="166">
        <v>3383421.100000001</v>
      </c>
      <c r="I76" s="166">
        <v>68381948.098461539</v>
      </c>
      <c r="J76" s="166">
        <v>12937276.400000004</v>
      </c>
      <c r="K76" s="693">
        <v>84702645.598461539</v>
      </c>
      <c r="L76" s="1018">
        <v>416351.37999999995</v>
      </c>
    </row>
    <row r="77" spans="1:12">
      <c r="A77" s="997">
        <v>67</v>
      </c>
      <c r="D77" s="310"/>
      <c r="F77" s="165"/>
      <c r="G77" s="310"/>
      <c r="H77" s="310"/>
      <c r="I77" s="310"/>
      <c r="J77" s="310"/>
      <c r="K77" s="310"/>
    </row>
    <row r="78" spans="1:12">
      <c r="A78" s="997">
        <v>68</v>
      </c>
      <c r="B78" s="1014" t="s">
        <v>960</v>
      </c>
      <c r="F78" s="308"/>
      <c r="I78" s="94"/>
    </row>
    <row r="79" spans="1:12" ht="13.5" customHeight="1">
      <c r="A79" s="997">
        <v>69</v>
      </c>
      <c r="B79" s="1014"/>
      <c r="F79" s="308"/>
      <c r="I79" s="94"/>
    </row>
    <row r="80" spans="1:12" ht="27" customHeight="1">
      <c r="A80" s="997">
        <v>70</v>
      </c>
      <c r="B80" s="1014"/>
      <c r="C80" s="1274" t="s">
        <v>976</v>
      </c>
      <c r="D80" s="1275"/>
      <c r="E80" s="1276"/>
      <c r="F80" s="1016" t="s">
        <v>945</v>
      </c>
      <c r="G80" s="1016" t="s">
        <v>947</v>
      </c>
      <c r="H80" s="1248" t="s">
        <v>948</v>
      </c>
      <c r="I80" s="1249"/>
      <c r="J80" s="1249"/>
      <c r="K80" s="1250"/>
      <c r="L80" s="1016" t="s">
        <v>949</v>
      </c>
    </row>
    <row r="81" spans="1:25" ht="27" customHeight="1">
      <c r="A81" s="997">
        <v>71</v>
      </c>
      <c r="C81" s="1210" t="s">
        <v>940</v>
      </c>
      <c r="D81" s="1210" t="s">
        <v>957</v>
      </c>
      <c r="E81" s="1210" t="s">
        <v>790</v>
      </c>
      <c r="F81" s="1016" t="s">
        <v>957</v>
      </c>
      <c r="G81" s="1016" t="s">
        <v>957</v>
      </c>
      <c r="H81" s="1016" t="s">
        <v>940</v>
      </c>
      <c r="I81" s="1016" t="s">
        <v>958</v>
      </c>
      <c r="J81" s="1017" t="s">
        <v>959</v>
      </c>
      <c r="K81" s="1210" t="s">
        <v>790</v>
      </c>
      <c r="L81" s="1016" t="s">
        <v>957</v>
      </c>
    </row>
    <row r="82" spans="1:25">
      <c r="A82" s="997">
        <v>72</v>
      </c>
      <c r="B82" s="73" t="s">
        <v>909</v>
      </c>
      <c r="C82" s="244">
        <v>4599785.2200000044</v>
      </c>
      <c r="D82" s="244">
        <v>9461968.7100000009</v>
      </c>
      <c r="E82" s="94">
        <v>14061753.930000005</v>
      </c>
      <c r="F82" s="244">
        <v>737725.20547856623</v>
      </c>
      <c r="G82" s="244">
        <v>7952169.9050518274</v>
      </c>
      <c r="H82" s="244">
        <v>2395936.0599999996</v>
      </c>
      <c r="I82" s="244">
        <v>70767832.019999996</v>
      </c>
      <c r="J82" s="244">
        <v>12937276.4</v>
      </c>
      <c r="K82" s="94">
        <v>86101044.480000004</v>
      </c>
      <c r="L82" s="244">
        <v>416351.38</v>
      </c>
      <c r="O82" s="310"/>
      <c r="P82" s="310"/>
      <c r="Q82" s="310"/>
      <c r="R82" s="310"/>
      <c r="S82" s="310"/>
      <c r="T82" s="310"/>
      <c r="U82" s="310"/>
      <c r="V82" s="310"/>
      <c r="W82" s="310"/>
      <c r="X82" s="310"/>
      <c r="Y82" s="310"/>
    </row>
    <row r="83" spans="1:25">
      <c r="A83" s="997">
        <v>73</v>
      </c>
      <c r="B83" s="73" t="s">
        <v>950</v>
      </c>
      <c r="C83" s="244">
        <v>4638102.5400000066</v>
      </c>
      <c r="D83" s="244">
        <v>9461968.7100000009</v>
      </c>
      <c r="E83" s="94">
        <v>14100071.250000007</v>
      </c>
      <c r="F83" s="244">
        <v>745223.37007564958</v>
      </c>
      <c r="G83" s="994">
        <v>8044634.5547101609</v>
      </c>
      <c r="H83" s="244">
        <v>2406199</v>
      </c>
      <c r="I83" s="244">
        <v>70816396.120000005</v>
      </c>
      <c r="J83" s="244">
        <v>12937276.4</v>
      </c>
      <c r="K83" s="94">
        <v>86159871.520000011</v>
      </c>
      <c r="L83" s="244">
        <v>416351.38</v>
      </c>
    </row>
    <row r="84" spans="1:25">
      <c r="A84" s="997">
        <v>74</v>
      </c>
      <c r="B84" s="73" t="s">
        <v>899</v>
      </c>
      <c r="C84" s="244">
        <v>4676419.8100000042</v>
      </c>
      <c r="D84" s="244">
        <v>9461968.7100000009</v>
      </c>
      <c r="E84" s="94">
        <v>14138388.520000005</v>
      </c>
      <c r="F84" s="244">
        <v>752721.53467273293</v>
      </c>
      <c r="G84" s="994">
        <v>8137099.2043684945</v>
      </c>
      <c r="H84" s="244">
        <v>2416461.9699999997</v>
      </c>
      <c r="I84" s="244">
        <v>70864914.920000002</v>
      </c>
      <c r="J84" s="244">
        <v>12937276.4</v>
      </c>
      <c r="K84" s="94">
        <v>86218653.290000007</v>
      </c>
      <c r="L84" s="244">
        <v>416351.38</v>
      </c>
    </row>
    <row r="85" spans="1:25">
      <c r="A85" s="997">
        <v>75</v>
      </c>
      <c r="B85" s="73" t="s">
        <v>900</v>
      </c>
      <c r="C85" s="244">
        <v>4714737.1099999985</v>
      </c>
      <c r="D85" s="244">
        <v>9461968.7100000009</v>
      </c>
      <c r="E85" s="94">
        <v>14176705.82</v>
      </c>
      <c r="F85" s="244">
        <v>760219.69926981628</v>
      </c>
      <c r="G85" s="994">
        <v>8229563.854026828</v>
      </c>
      <c r="H85" s="244">
        <v>2426724.9</v>
      </c>
      <c r="I85" s="244">
        <v>70913469.980000004</v>
      </c>
      <c r="J85" s="244">
        <v>12937276.4</v>
      </c>
      <c r="K85" s="94">
        <v>86277471.280000016</v>
      </c>
      <c r="L85" s="244">
        <v>416351.38</v>
      </c>
    </row>
    <row r="86" spans="1:25">
      <c r="A86" s="997">
        <v>76</v>
      </c>
      <c r="B86" s="73" t="s">
        <v>901</v>
      </c>
      <c r="C86" s="244">
        <v>4753054.3499999968</v>
      </c>
      <c r="D86" s="244">
        <v>9461968.7100000009</v>
      </c>
      <c r="E86" s="94">
        <v>14215023.059999999</v>
      </c>
      <c r="F86" s="244">
        <v>767717.86386689963</v>
      </c>
      <c r="G86" s="994">
        <v>8322028.5036851615</v>
      </c>
      <c r="H86" s="244">
        <v>2436987.8899999997</v>
      </c>
      <c r="I86" s="244">
        <v>70962136.129999995</v>
      </c>
      <c r="J86" s="244">
        <v>12937276.4</v>
      </c>
      <c r="K86" s="94">
        <v>86336400.420000002</v>
      </c>
      <c r="L86" s="244">
        <v>416351.38</v>
      </c>
    </row>
    <row r="87" spans="1:25">
      <c r="A87" s="997">
        <v>77</v>
      </c>
      <c r="B87" s="73" t="s">
        <v>902</v>
      </c>
      <c r="C87" s="244">
        <v>4791371.6099999975</v>
      </c>
      <c r="D87" s="244">
        <v>9461968.7100000009</v>
      </c>
      <c r="E87" s="94">
        <v>14253340.319999998</v>
      </c>
      <c r="F87" s="244">
        <v>775216.02846398298</v>
      </c>
      <c r="G87" s="994">
        <v>8414493.153343495</v>
      </c>
      <c r="H87" s="244">
        <v>2447250.84</v>
      </c>
      <c r="I87" s="244">
        <v>64690448.07</v>
      </c>
      <c r="J87" s="244">
        <v>12937276.4</v>
      </c>
      <c r="K87" s="94">
        <v>80074975.310000002</v>
      </c>
      <c r="L87" s="244">
        <v>416351.38</v>
      </c>
    </row>
    <row r="88" spans="1:25">
      <c r="A88" s="997">
        <v>78</v>
      </c>
      <c r="B88" s="73" t="s">
        <v>903</v>
      </c>
      <c r="C88" s="244">
        <v>4829719.179999995</v>
      </c>
      <c r="D88" s="244">
        <v>9461968.7100000009</v>
      </c>
      <c r="E88" s="94">
        <v>14291687.889999997</v>
      </c>
      <c r="F88" s="244">
        <v>782714.19306106633</v>
      </c>
      <c r="G88" s="994">
        <v>8506957.8030018285</v>
      </c>
      <c r="H88" s="244">
        <v>2457513.7899999996</v>
      </c>
      <c r="I88" s="244">
        <v>64739018.990000002</v>
      </c>
      <c r="J88" s="244">
        <v>12937276.4</v>
      </c>
      <c r="K88" s="94">
        <v>80133809.180000007</v>
      </c>
      <c r="L88" s="244">
        <v>416351.38</v>
      </c>
    </row>
    <row r="89" spans="1:25">
      <c r="A89" s="997">
        <v>79</v>
      </c>
      <c r="B89" s="73" t="s">
        <v>904</v>
      </c>
      <c r="C89" s="244">
        <v>4868123.4899999984</v>
      </c>
      <c r="D89" s="244">
        <v>9461968.7100000009</v>
      </c>
      <c r="E89" s="94">
        <v>14330092.199999999</v>
      </c>
      <c r="F89" s="244">
        <v>790212.35765814967</v>
      </c>
      <c r="G89" s="994">
        <v>8599422.452660162</v>
      </c>
      <c r="H89" s="244">
        <v>2467776.75</v>
      </c>
      <c r="I89" s="244">
        <v>64787589.890000001</v>
      </c>
      <c r="J89" s="244">
        <v>12937276.4</v>
      </c>
      <c r="K89" s="94">
        <v>80192643.040000007</v>
      </c>
      <c r="L89" s="244">
        <v>416351.38</v>
      </c>
    </row>
    <row r="90" spans="1:25">
      <c r="A90" s="997">
        <v>80</v>
      </c>
      <c r="B90" s="73" t="s">
        <v>905</v>
      </c>
      <c r="C90" s="244">
        <v>4906558.9900000049</v>
      </c>
      <c r="D90" s="244">
        <v>9461968.7100000009</v>
      </c>
      <c r="E90" s="94">
        <v>14368527.700000007</v>
      </c>
      <c r="F90" s="244">
        <v>797710.52225523302</v>
      </c>
      <c r="G90" s="994">
        <v>8691887.1023184955</v>
      </c>
      <c r="H90" s="244">
        <v>2478039.7199999997</v>
      </c>
      <c r="I90" s="244">
        <v>64842305.329999998</v>
      </c>
      <c r="J90" s="244">
        <v>12937276.4</v>
      </c>
      <c r="K90" s="94">
        <v>80257621.450000003</v>
      </c>
      <c r="L90" s="244">
        <v>416351.38</v>
      </c>
    </row>
    <row r="91" spans="1:25">
      <c r="A91" s="997">
        <v>81</v>
      </c>
      <c r="B91" s="73" t="s">
        <v>906</v>
      </c>
      <c r="C91" s="244">
        <v>4945015.0399999991</v>
      </c>
      <c r="D91" s="244">
        <v>9461968.7100000009</v>
      </c>
      <c r="E91" s="94">
        <v>14406983.75</v>
      </c>
      <c r="F91" s="244">
        <v>805208.68685231637</v>
      </c>
      <c r="G91" s="994">
        <v>8784351.751976829</v>
      </c>
      <c r="H91" s="244">
        <v>2488302.69</v>
      </c>
      <c r="I91" s="244">
        <v>64890750.850000001</v>
      </c>
      <c r="J91" s="244">
        <v>12937276.4</v>
      </c>
      <c r="K91" s="94">
        <v>80316329.940000013</v>
      </c>
      <c r="L91" s="244">
        <v>416351.38</v>
      </c>
    </row>
    <row r="92" spans="1:25">
      <c r="A92" s="997">
        <v>82</v>
      </c>
      <c r="B92" s="73" t="s">
        <v>907</v>
      </c>
      <c r="C92" s="244">
        <v>4983487.3400000082</v>
      </c>
      <c r="D92" s="244">
        <v>9461968.7100000009</v>
      </c>
      <c r="E92" s="94">
        <v>14445456.050000008</v>
      </c>
      <c r="F92" s="244">
        <v>812706.85144939972</v>
      </c>
      <c r="G92" s="994">
        <v>8876816.4016351625</v>
      </c>
      <c r="H92" s="244">
        <v>2498565.65</v>
      </c>
      <c r="I92" s="244">
        <v>64939196.359999999</v>
      </c>
      <c r="J92" s="244">
        <v>12937276.4</v>
      </c>
      <c r="K92" s="94">
        <v>80375038.410000011</v>
      </c>
      <c r="L92" s="244">
        <v>416351.38</v>
      </c>
    </row>
    <row r="93" spans="1:25">
      <c r="A93" s="997">
        <v>83</v>
      </c>
      <c r="B93" s="73" t="s">
        <v>908</v>
      </c>
      <c r="C93" s="244">
        <v>5022000.419999999</v>
      </c>
      <c r="D93" s="244">
        <v>9461968.7100000009</v>
      </c>
      <c r="E93" s="94">
        <v>14483969.129999999</v>
      </c>
      <c r="F93" s="244">
        <v>820205.01604648307</v>
      </c>
      <c r="G93" s="994">
        <v>8969281.051293496</v>
      </c>
      <c r="H93" s="244">
        <v>2508828.61</v>
      </c>
      <c r="I93" s="244">
        <v>64987641.890000001</v>
      </c>
      <c r="J93" s="244">
        <v>12937276.4</v>
      </c>
      <c r="K93" s="94">
        <v>80433746.900000006</v>
      </c>
      <c r="L93" s="244">
        <v>416351.38</v>
      </c>
    </row>
    <row r="94" spans="1:25" ht="13.5" thickBot="1">
      <c r="A94" s="997">
        <v>84</v>
      </c>
      <c r="B94" s="73" t="s">
        <v>909</v>
      </c>
      <c r="C94" s="247">
        <v>5060568.3800000018</v>
      </c>
      <c r="D94" s="247">
        <v>9461968.7100000009</v>
      </c>
      <c r="E94" s="94">
        <v>14522537.090000004</v>
      </c>
      <c r="F94" s="244">
        <v>827703.18064356642</v>
      </c>
      <c r="G94" s="994">
        <v>9061745.7009518296</v>
      </c>
      <c r="H94" s="247">
        <v>2519091.5599999996</v>
      </c>
      <c r="I94" s="247">
        <v>65036087.399999999</v>
      </c>
      <c r="J94" s="247">
        <v>12937276.4</v>
      </c>
      <c r="K94" s="94">
        <v>80492455.359999999</v>
      </c>
      <c r="L94" s="244">
        <v>416351.38</v>
      </c>
    </row>
    <row r="95" spans="1:25" ht="26.25" thickBot="1">
      <c r="A95" s="997">
        <v>85</v>
      </c>
      <c r="B95" s="1009" t="s">
        <v>1894</v>
      </c>
      <c r="C95" s="166">
        <v>4829918.7292307708</v>
      </c>
      <c r="D95" s="166">
        <v>9461968.7100000046</v>
      </c>
      <c r="E95" s="693">
        <v>14291887.43923077</v>
      </c>
      <c r="F95" s="693">
        <v>782714.19306106621</v>
      </c>
      <c r="G95" s="693">
        <v>8506957.8030018285</v>
      </c>
      <c r="H95" s="166">
        <v>2457513.8023076919</v>
      </c>
      <c r="I95" s="166">
        <v>67172137.534615383</v>
      </c>
      <c r="J95" s="166">
        <v>12937276.400000004</v>
      </c>
      <c r="K95" s="693">
        <v>82566927.736923084</v>
      </c>
      <c r="L95" s="1018">
        <v>416351.37999999995</v>
      </c>
    </row>
    <row r="96" spans="1:25">
      <c r="A96" s="997">
        <v>86</v>
      </c>
      <c r="D96" s="308"/>
    </row>
    <row r="97" spans="1:12">
      <c r="A97" s="997">
        <v>87</v>
      </c>
      <c r="B97" s="1014" t="s">
        <v>961</v>
      </c>
      <c r="D97" s="308"/>
    </row>
    <row r="98" spans="1:12" ht="12.75" customHeight="1">
      <c r="A98" s="997">
        <v>88</v>
      </c>
      <c r="B98" s="1014"/>
      <c r="D98" s="308"/>
    </row>
    <row r="99" spans="1:12" ht="27.75" customHeight="1">
      <c r="A99" s="997">
        <v>89</v>
      </c>
      <c r="B99" s="1014"/>
      <c r="C99" s="1274" t="s">
        <v>976</v>
      </c>
      <c r="D99" s="1275"/>
      <c r="E99" s="1276"/>
      <c r="F99" s="1016" t="s">
        <v>945</v>
      </c>
      <c r="G99" s="1016" t="s">
        <v>947</v>
      </c>
      <c r="H99" s="1248" t="s">
        <v>948</v>
      </c>
      <c r="I99" s="1249"/>
      <c r="J99" s="1249"/>
      <c r="K99" s="1250"/>
      <c r="L99" s="1016" t="s">
        <v>949</v>
      </c>
    </row>
    <row r="100" spans="1:12" ht="13.5" thickBot="1">
      <c r="A100" s="997">
        <v>90</v>
      </c>
      <c r="B100" s="1006"/>
      <c r="C100" s="1210" t="s">
        <v>940</v>
      </c>
      <c r="D100" s="1210" t="s">
        <v>957</v>
      </c>
      <c r="E100" s="1210" t="s">
        <v>790</v>
      </c>
      <c r="F100" s="1016" t="s">
        <v>957</v>
      </c>
      <c r="G100" s="1016" t="s">
        <v>957</v>
      </c>
      <c r="H100" s="1016" t="s">
        <v>940</v>
      </c>
      <c r="I100" s="1016" t="s">
        <v>958</v>
      </c>
      <c r="J100" s="1017" t="s">
        <v>959</v>
      </c>
      <c r="K100" s="1210" t="s">
        <v>790</v>
      </c>
      <c r="L100" s="1016" t="s">
        <v>957</v>
      </c>
    </row>
    <row r="101" spans="1:12" ht="13.5" thickBot="1">
      <c r="A101" s="997">
        <v>91</v>
      </c>
      <c r="B101" s="73" t="s">
        <v>962</v>
      </c>
      <c r="C101" s="989">
        <v>460783.15999999736</v>
      </c>
      <c r="D101" s="989">
        <v>0</v>
      </c>
      <c r="E101" s="693">
        <v>460783.15999999736</v>
      </c>
      <c r="F101" s="1013">
        <v>89977.975164999996</v>
      </c>
      <c r="G101" s="1013">
        <v>1109575.7958999996</v>
      </c>
      <c r="H101" s="989">
        <v>123155.5</v>
      </c>
      <c r="I101" s="989">
        <v>588514.36</v>
      </c>
      <c r="J101" s="989">
        <v>0</v>
      </c>
      <c r="K101" s="996">
        <v>711669.86</v>
      </c>
      <c r="L101" s="1031">
        <v>0</v>
      </c>
    </row>
    <row r="102" spans="1:12">
      <c r="A102" s="997">
        <v>92</v>
      </c>
      <c r="B102" s="1006"/>
      <c r="D102" s="308"/>
    </row>
    <row r="103" spans="1:12">
      <c r="A103" s="997">
        <v>93</v>
      </c>
      <c r="B103" s="1014" t="s">
        <v>963</v>
      </c>
      <c r="D103" s="308"/>
    </row>
    <row r="104" spans="1:12" ht="27.75" customHeight="1">
      <c r="A104" s="997">
        <v>94</v>
      </c>
      <c r="B104" s="1014"/>
      <c r="C104" s="1274" t="s">
        <v>976</v>
      </c>
      <c r="D104" s="1275"/>
      <c r="E104" s="1276"/>
      <c r="F104" s="1016" t="s">
        <v>945</v>
      </c>
      <c r="G104" s="1016" t="s">
        <v>947</v>
      </c>
      <c r="H104" s="1248" t="s">
        <v>948</v>
      </c>
      <c r="I104" s="1249"/>
      <c r="J104" s="1249"/>
      <c r="K104" s="1250"/>
      <c r="L104" s="1016" t="s">
        <v>949</v>
      </c>
    </row>
    <row r="105" spans="1:12">
      <c r="A105" s="997">
        <v>95</v>
      </c>
      <c r="B105" s="1014"/>
      <c r="C105" s="1210" t="s">
        <v>940</v>
      </c>
      <c r="D105" s="1210" t="s">
        <v>957</v>
      </c>
      <c r="E105" s="1210" t="s">
        <v>790</v>
      </c>
      <c r="F105" s="1016" t="s">
        <v>957</v>
      </c>
      <c r="G105" s="1016" t="s">
        <v>957</v>
      </c>
      <c r="H105" s="1016" t="s">
        <v>940</v>
      </c>
      <c r="I105" s="1016" t="s">
        <v>958</v>
      </c>
      <c r="J105" s="1017" t="s">
        <v>959</v>
      </c>
      <c r="K105" s="1210" t="s">
        <v>790</v>
      </c>
      <c r="L105" s="1016" t="s">
        <v>957</v>
      </c>
    </row>
    <row r="106" spans="1:12">
      <c r="A106" s="997">
        <v>96</v>
      </c>
      <c r="B106" s="73" t="s">
        <v>909</v>
      </c>
      <c r="C106" s="244">
        <v>-470975.84532510908</v>
      </c>
      <c r="D106" s="244">
        <v>-5.8207660913467407E-10</v>
      </c>
      <c r="E106" s="94">
        <v>-470975.84532510967</v>
      </c>
      <c r="F106" s="244">
        <v>212046.01781357394</v>
      </c>
      <c r="G106" s="244">
        <v>3272957.8615997117</v>
      </c>
      <c r="H106" s="244">
        <v>-229375.39999999956</v>
      </c>
      <c r="I106" s="244">
        <v>345447.87</v>
      </c>
      <c r="J106" s="244">
        <v>0</v>
      </c>
      <c r="K106" s="94">
        <v>116072.47000000044</v>
      </c>
      <c r="L106" s="244">
        <v>-25748.566755660078</v>
      </c>
    </row>
    <row r="107" spans="1:12">
      <c r="A107" s="997">
        <v>97</v>
      </c>
      <c r="B107" s="73" t="s">
        <v>909</v>
      </c>
      <c r="C107" s="247">
        <v>-313123.30954509048</v>
      </c>
      <c r="D107" s="247">
        <v>-5.8207660913467407E-10</v>
      </c>
      <c r="E107" s="94">
        <v>-313123.30954509106</v>
      </c>
      <c r="F107" s="885">
        <v>180439.5530587238</v>
      </c>
      <c r="G107" s="244">
        <v>2877518.4762037825</v>
      </c>
      <c r="H107" s="247">
        <v>-237215.98000000039</v>
      </c>
      <c r="I107" s="247">
        <v>260912.09</v>
      </c>
      <c r="J107" s="247">
        <v>0</v>
      </c>
      <c r="K107" s="94">
        <v>23696.109999999608</v>
      </c>
      <c r="L107" s="885">
        <v>-24931.151938020088</v>
      </c>
    </row>
    <row r="108" spans="1:12" ht="13.5" thickBot="1">
      <c r="A108" s="997">
        <v>98</v>
      </c>
      <c r="B108" s="1132" t="s">
        <v>1579</v>
      </c>
      <c r="C108" s="1141"/>
      <c r="D108" s="1141"/>
      <c r="E108" s="729">
        <v>0</v>
      </c>
      <c r="F108" s="1141"/>
      <c r="G108" s="1141"/>
      <c r="H108" s="1141"/>
      <c r="I108" s="1141"/>
      <c r="J108" s="1141"/>
      <c r="K108" s="729">
        <v>0</v>
      </c>
      <c r="L108" s="1141"/>
    </row>
    <row r="109" spans="1:12" ht="13.5" thickBot="1">
      <c r="A109" s="997">
        <v>99</v>
      </c>
      <c r="B109" s="73" t="s">
        <v>1895</v>
      </c>
      <c r="C109" s="166">
        <v>-392049.57743509975</v>
      </c>
      <c r="D109" s="166">
        <v>-5.8207660913467407E-10</v>
      </c>
      <c r="E109" s="693">
        <v>-392049.57743510033</v>
      </c>
      <c r="F109" s="166">
        <v>196242.78543614887</v>
      </c>
      <c r="G109" s="693">
        <v>3075238.1689017471</v>
      </c>
      <c r="H109" s="166">
        <v>-233295.68999999997</v>
      </c>
      <c r="I109" s="166">
        <v>303179.98</v>
      </c>
      <c r="J109" s="166">
        <v>0</v>
      </c>
      <c r="K109" s="693">
        <v>69884.290000000023</v>
      </c>
      <c r="L109" s="1018">
        <v>-25339.859346840083</v>
      </c>
    </row>
    <row r="110" spans="1:12">
      <c r="A110" s="997">
        <v>100</v>
      </c>
    </row>
    <row r="111" spans="1:12">
      <c r="A111" s="997">
        <v>101</v>
      </c>
      <c r="C111" s="94"/>
      <c r="D111" s="94"/>
      <c r="F111" s="94"/>
      <c r="H111" s="94"/>
      <c r="I111" s="94"/>
      <c r="J111" s="94"/>
      <c r="L111" s="94"/>
    </row>
    <row r="112" spans="1:12">
      <c r="A112" s="997">
        <v>102</v>
      </c>
      <c r="B112" s="1006" t="s">
        <v>964</v>
      </c>
    </row>
    <row r="113" spans="1:11">
      <c r="A113" s="997">
        <v>103</v>
      </c>
      <c r="C113" s="1244" t="s">
        <v>938</v>
      </c>
      <c r="D113" s="1245"/>
      <c r="E113" s="1246"/>
      <c r="F113" s="1244" t="s">
        <v>965</v>
      </c>
      <c r="G113" s="1245"/>
      <c r="H113" s="1246"/>
      <c r="I113" s="1244" t="s">
        <v>963</v>
      </c>
      <c r="J113" s="1245"/>
      <c r="K113" s="1246"/>
    </row>
    <row r="114" spans="1:11" ht="25.5">
      <c r="A114" s="997">
        <v>104</v>
      </c>
      <c r="C114" s="1023" t="s">
        <v>966</v>
      </c>
      <c r="D114" s="982" t="s">
        <v>967</v>
      </c>
      <c r="E114" s="1024" t="s">
        <v>968</v>
      </c>
      <c r="F114" s="1023" t="s">
        <v>966</v>
      </c>
      <c r="G114" s="982" t="s">
        <v>967</v>
      </c>
      <c r="H114" s="1024" t="s">
        <v>968</v>
      </c>
      <c r="I114" s="1023" t="s">
        <v>966</v>
      </c>
      <c r="J114" s="982" t="s">
        <v>967</v>
      </c>
      <c r="K114" s="1024" t="s">
        <v>968</v>
      </c>
    </row>
    <row r="115" spans="1:11">
      <c r="A115" s="997">
        <v>105</v>
      </c>
      <c r="B115" s="73" t="s">
        <v>909</v>
      </c>
      <c r="C115" s="994">
        <v>57839720.039999999</v>
      </c>
      <c r="D115" s="994">
        <v>189174</v>
      </c>
      <c r="E115" s="994">
        <v>55489.18</v>
      </c>
      <c r="F115" s="994">
        <v>22007539.699999999</v>
      </c>
      <c r="G115" s="994">
        <v>131215.71</v>
      </c>
      <c r="H115" s="994">
        <v>19941.090000000004</v>
      </c>
      <c r="I115" s="994">
        <v>-1739177.4314264758</v>
      </c>
      <c r="J115" s="994">
        <v>135116.60999999996</v>
      </c>
      <c r="K115" s="994">
        <v>-67504.987834574014</v>
      </c>
    </row>
    <row r="116" spans="1:11">
      <c r="A116" s="997">
        <v>106</v>
      </c>
      <c r="B116" s="73" t="s">
        <v>950</v>
      </c>
      <c r="C116" s="244">
        <v>57315990.409999996</v>
      </c>
      <c r="D116" s="244">
        <v>189174</v>
      </c>
      <c r="E116" s="244">
        <v>55489.18</v>
      </c>
      <c r="F116" s="244">
        <v>21959870.43</v>
      </c>
      <c r="G116" s="244">
        <v>131538.25</v>
      </c>
      <c r="H116" s="244">
        <v>20126.62</v>
      </c>
      <c r="I116" s="244"/>
      <c r="J116" s="244"/>
      <c r="K116" s="244"/>
    </row>
    <row r="117" spans="1:11">
      <c r="A117" s="997">
        <v>107</v>
      </c>
      <c r="B117" s="73" t="s">
        <v>899</v>
      </c>
      <c r="C117" s="244">
        <v>57315990.409999996</v>
      </c>
      <c r="D117" s="244">
        <v>189174</v>
      </c>
      <c r="E117" s="244">
        <v>55489.18</v>
      </c>
      <c r="F117" s="244">
        <v>22036626.380000003</v>
      </c>
      <c r="G117" s="244">
        <v>131860.79</v>
      </c>
      <c r="H117" s="244">
        <v>20312.150000000001</v>
      </c>
      <c r="I117" s="244"/>
      <c r="J117" s="244"/>
      <c r="K117" s="244"/>
    </row>
    <row r="118" spans="1:11">
      <c r="A118" s="997">
        <v>108</v>
      </c>
      <c r="B118" s="73" t="s">
        <v>900</v>
      </c>
      <c r="C118" s="244">
        <v>57315990.409999996</v>
      </c>
      <c r="D118" s="244">
        <v>189174</v>
      </c>
      <c r="E118" s="244">
        <v>55489.18</v>
      </c>
      <c r="F118" s="244">
        <v>22113382</v>
      </c>
      <c r="G118" s="244">
        <v>132183.32999999999</v>
      </c>
      <c r="H118" s="244">
        <v>20497.68</v>
      </c>
      <c r="I118" s="244"/>
      <c r="J118" s="244"/>
      <c r="K118" s="244"/>
    </row>
    <row r="119" spans="1:11">
      <c r="A119" s="997">
        <v>109</v>
      </c>
      <c r="B119" s="73" t="s">
        <v>901</v>
      </c>
      <c r="C119" s="244">
        <v>56554773.409999996</v>
      </c>
      <c r="D119" s="244">
        <v>189174</v>
      </c>
      <c r="E119" s="244">
        <v>55489.18</v>
      </c>
      <c r="F119" s="244">
        <v>21809016.870000001</v>
      </c>
      <c r="G119" s="244">
        <v>132505.87</v>
      </c>
      <c r="H119" s="244">
        <v>20683.21</v>
      </c>
      <c r="I119" s="244"/>
      <c r="J119" s="244"/>
      <c r="K119" s="244"/>
    </row>
    <row r="120" spans="1:11">
      <c r="A120" s="997">
        <v>110</v>
      </c>
      <c r="B120" s="73" t="s">
        <v>902</v>
      </c>
      <c r="C120" s="244">
        <v>56554773.409999996</v>
      </c>
      <c r="D120" s="244">
        <v>189174</v>
      </c>
      <c r="E120" s="244">
        <v>55489.18</v>
      </c>
      <c r="F120" s="244">
        <v>21884643.690000005</v>
      </c>
      <c r="G120" s="244">
        <v>132828.41</v>
      </c>
      <c r="H120" s="244">
        <v>20868.740000000002</v>
      </c>
      <c r="I120" s="244"/>
      <c r="J120" s="244"/>
      <c r="K120" s="244"/>
    </row>
    <row r="121" spans="1:11">
      <c r="A121" s="997">
        <v>111</v>
      </c>
      <c r="B121" s="73" t="s">
        <v>903</v>
      </c>
      <c r="C121" s="244">
        <v>56554773.409999996</v>
      </c>
      <c r="D121" s="244">
        <v>189174</v>
      </c>
      <c r="E121" s="244">
        <v>55489.18</v>
      </c>
      <c r="F121" s="244">
        <v>21960270.760000002</v>
      </c>
      <c r="G121" s="244">
        <v>133150.95000000001</v>
      </c>
      <c r="H121" s="244">
        <v>21054.27</v>
      </c>
      <c r="I121" s="244"/>
      <c r="J121" s="244"/>
      <c r="K121" s="244"/>
    </row>
    <row r="122" spans="1:11">
      <c r="A122" s="997">
        <v>112</v>
      </c>
      <c r="B122" s="73" t="s">
        <v>904</v>
      </c>
      <c r="C122" s="244">
        <v>56555489.409999996</v>
      </c>
      <c r="D122" s="244">
        <v>189174</v>
      </c>
      <c r="E122" s="244">
        <v>55489.18</v>
      </c>
      <c r="F122" s="244">
        <v>22035898.010000002</v>
      </c>
      <c r="G122" s="244">
        <v>133473.49</v>
      </c>
      <c r="H122" s="244">
        <v>21239.8</v>
      </c>
      <c r="I122" s="244"/>
      <c r="J122" s="244"/>
      <c r="K122" s="244"/>
    </row>
    <row r="123" spans="1:11">
      <c r="A123" s="997">
        <v>113</v>
      </c>
      <c r="B123" s="73" t="s">
        <v>905</v>
      </c>
      <c r="C123" s="244">
        <v>56999214.530000001</v>
      </c>
      <c r="D123" s="244">
        <v>189174</v>
      </c>
      <c r="E123" s="244">
        <v>55489.18</v>
      </c>
      <c r="F123" s="244">
        <v>22111791.930000003</v>
      </c>
      <c r="G123" s="244">
        <v>133796.03</v>
      </c>
      <c r="H123" s="244">
        <v>21425.33</v>
      </c>
      <c r="I123" s="244"/>
      <c r="J123" s="244"/>
      <c r="K123" s="244"/>
    </row>
    <row r="124" spans="1:11">
      <c r="A124" s="997">
        <v>114</v>
      </c>
      <c r="B124" s="73" t="s">
        <v>906</v>
      </c>
      <c r="C124" s="244">
        <v>56999214.530000001</v>
      </c>
      <c r="D124" s="244">
        <v>189174</v>
      </c>
      <c r="E124" s="244">
        <v>55489.18</v>
      </c>
      <c r="F124" s="244">
        <v>22187952.079999998</v>
      </c>
      <c r="G124" s="244">
        <v>134118.57</v>
      </c>
      <c r="H124" s="244">
        <v>21610.86</v>
      </c>
      <c r="I124" s="244"/>
      <c r="J124" s="244"/>
      <c r="K124" s="244"/>
    </row>
    <row r="125" spans="1:11">
      <c r="A125" s="997">
        <v>115</v>
      </c>
      <c r="B125" s="73" t="s">
        <v>907</v>
      </c>
      <c r="C125" s="244">
        <v>56836604.549999997</v>
      </c>
      <c r="D125" s="244">
        <v>189174</v>
      </c>
      <c r="E125" s="244">
        <v>55489.18</v>
      </c>
      <c r="F125" s="244">
        <v>22101381.640000004</v>
      </c>
      <c r="G125" s="244">
        <v>134441.11000000002</v>
      </c>
      <c r="H125" s="244">
        <v>21796.39</v>
      </c>
      <c r="I125" s="244"/>
      <c r="J125" s="244"/>
      <c r="K125" s="244"/>
    </row>
    <row r="126" spans="1:11">
      <c r="A126" s="997">
        <v>116</v>
      </c>
      <c r="B126" s="73" t="s">
        <v>908</v>
      </c>
      <c r="C126" s="244">
        <v>56836515.829999998</v>
      </c>
      <c r="D126" s="244">
        <v>189174</v>
      </c>
      <c r="E126" s="244">
        <v>55489.18</v>
      </c>
      <c r="F126" s="244">
        <v>22177211.839999996</v>
      </c>
      <c r="G126" s="244">
        <v>134763.65</v>
      </c>
      <c r="H126" s="244">
        <v>21981.919999999998</v>
      </c>
      <c r="I126" s="244"/>
      <c r="J126" s="244"/>
      <c r="K126" s="244"/>
    </row>
    <row r="127" spans="1:11" ht="13.5" thickBot="1">
      <c r="A127" s="997">
        <v>117</v>
      </c>
      <c r="B127" s="73" t="s">
        <v>909</v>
      </c>
      <c r="C127" s="244">
        <v>56836515.829999998</v>
      </c>
      <c r="D127" s="244">
        <v>189174</v>
      </c>
      <c r="E127" s="244">
        <v>55489.18</v>
      </c>
      <c r="F127" s="244">
        <v>22253130.710000001</v>
      </c>
      <c r="G127" s="244">
        <v>135086.19</v>
      </c>
      <c r="H127" s="244">
        <v>22167.45</v>
      </c>
      <c r="I127" s="885">
        <v>-1895204.112981725</v>
      </c>
      <c r="J127" s="885">
        <v>117219.08000000002</v>
      </c>
      <c r="K127" s="885">
        <v>-50504.5</v>
      </c>
    </row>
    <row r="128" spans="1:11" ht="26.25" thickBot="1">
      <c r="A128" s="997">
        <v>118</v>
      </c>
      <c r="B128" s="1009" t="s">
        <v>1896</v>
      </c>
      <c r="C128" s="693">
        <v>56962735.859999985</v>
      </c>
      <c r="D128" s="693">
        <v>189174</v>
      </c>
      <c r="E128" s="693">
        <v>55489.180000000015</v>
      </c>
      <c r="F128" s="693">
        <v>22049132.003076918</v>
      </c>
      <c r="G128" s="693">
        <v>133150.95000000001</v>
      </c>
      <c r="H128" s="693">
        <v>21054.27</v>
      </c>
      <c r="I128" s="693">
        <v>-1817190.7722041004</v>
      </c>
      <c r="J128" s="693">
        <v>126167.84499999999</v>
      </c>
      <c r="K128" s="693">
        <v>-59004.743917287007</v>
      </c>
    </row>
    <row r="129" spans="1:11">
      <c r="A129" s="997">
        <v>119</v>
      </c>
    </row>
    <row r="130" spans="1:11">
      <c r="A130" s="997">
        <v>120</v>
      </c>
      <c r="F130" s="1244" t="s">
        <v>961</v>
      </c>
      <c r="G130" s="1245"/>
      <c r="H130" s="1246"/>
    </row>
    <row r="131" spans="1:11">
      <c r="A131" s="997">
        <v>121</v>
      </c>
      <c r="F131" s="1023" t="s">
        <v>966</v>
      </c>
      <c r="G131" s="982" t="s">
        <v>967</v>
      </c>
      <c r="H131" s="1024" t="s">
        <v>968</v>
      </c>
    </row>
    <row r="132" spans="1:11" ht="13.5" thickBot="1">
      <c r="A132" s="997">
        <v>122</v>
      </c>
      <c r="J132" s="94"/>
    </row>
    <row r="133" spans="1:11" ht="13.5" thickBot="1">
      <c r="A133" s="997">
        <v>123</v>
      </c>
      <c r="B133" s="73" t="s">
        <v>962</v>
      </c>
      <c r="F133" s="1025">
        <v>912706.85000000009</v>
      </c>
      <c r="G133" s="1025">
        <v>3870.4800000000009</v>
      </c>
      <c r="H133" s="1025">
        <v>2226.36</v>
      </c>
    </row>
    <row r="134" spans="1:11">
      <c r="A134" s="997">
        <v>124</v>
      </c>
    </row>
    <row r="135" spans="1:11">
      <c r="A135" s="997">
        <v>125</v>
      </c>
      <c r="I135" s="309"/>
      <c r="J135" s="309"/>
      <c r="K135" s="309"/>
    </row>
    <row r="136" spans="1:11">
      <c r="A136" s="997">
        <v>126</v>
      </c>
      <c r="D136" s="1026"/>
      <c r="E136" s="1026" t="s">
        <v>94</v>
      </c>
      <c r="H136" s="1026"/>
      <c r="I136" s="1026" t="s">
        <v>94</v>
      </c>
    </row>
    <row r="137" spans="1:11">
      <c r="A137" s="997">
        <v>127</v>
      </c>
      <c r="C137" s="1209" t="s">
        <v>623</v>
      </c>
      <c r="D137" s="1026" t="s">
        <v>506</v>
      </c>
      <c r="E137" s="1026" t="s">
        <v>507</v>
      </c>
      <c r="G137" s="1209" t="s">
        <v>623</v>
      </c>
      <c r="H137" s="1026" t="s">
        <v>506</v>
      </c>
      <c r="I137" s="1026" t="s">
        <v>507</v>
      </c>
      <c r="K137" s="1209" t="s">
        <v>625</v>
      </c>
    </row>
    <row r="138" spans="1:11">
      <c r="A138" s="997">
        <v>128</v>
      </c>
      <c r="C138" s="1209" t="s">
        <v>622</v>
      </c>
      <c r="D138" s="1026" t="s">
        <v>621</v>
      </c>
      <c r="E138" s="1026" t="s">
        <v>95</v>
      </c>
      <c r="G138" s="1209" t="s">
        <v>624</v>
      </c>
      <c r="H138" s="1026" t="s">
        <v>621</v>
      </c>
      <c r="I138" s="1026" t="s">
        <v>95</v>
      </c>
      <c r="K138" s="1209" t="s">
        <v>626</v>
      </c>
    </row>
    <row r="139" spans="1:11">
      <c r="A139" s="997">
        <v>129</v>
      </c>
      <c r="C139" s="981" t="s">
        <v>588</v>
      </c>
      <c r="D139" s="1027" t="s">
        <v>589</v>
      </c>
      <c r="E139" s="1027" t="s">
        <v>506</v>
      </c>
      <c r="G139" s="981" t="s">
        <v>591</v>
      </c>
      <c r="H139" s="1027" t="s">
        <v>589</v>
      </c>
      <c r="I139" s="1027" t="s">
        <v>506</v>
      </c>
      <c r="K139" s="981" t="s">
        <v>592</v>
      </c>
    </row>
    <row r="140" spans="1:11">
      <c r="A140" s="997">
        <v>130</v>
      </c>
      <c r="B140" s="73" t="s">
        <v>909</v>
      </c>
      <c r="C140" s="318"/>
      <c r="D140" s="596"/>
      <c r="E140" s="1283">
        <v>0</v>
      </c>
      <c r="G140" s="318"/>
      <c r="H140" s="596"/>
      <c r="I140" s="1283">
        <v>0</v>
      </c>
      <c r="K140" s="318"/>
    </row>
    <row r="141" spans="1:11">
      <c r="A141" s="997">
        <v>131</v>
      </c>
      <c r="B141" s="73" t="s">
        <v>950</v>
      </c>
      <c r="C141" s="596"/>
      <c r="D141" s="596"/>
      <c r="E141" s="1284">
        <v>0</v>
      </c>
      <c r="G141" s="596"/>
      <c r="H141" s="596"/>
      <c r="I141" s="1284">
        <v>0</v>
      </c>
      <c r="K141" s="596"/>
    </row>
    <row r="142" spans="1:11">
      <c r="A142" s="997">
        <v>132</v>
      </c>
      <c r="B142" s="73" t="s">
        <v>899</v>
      </c>
      <c r="C142" s="596"/>
      <c r="D142" s="596"/>
      <c r="E142" s="1284">
        <v>0</v>
      </c>
      <c r="G142" s="596"/>
      <c r="H142" s="596"/>
      <c r="I142" s="1284">
        <v>0</v>
      </c>
      <c r="K142" s="596"/>
    </row>
    <row r="143" spans="1:11">
      <c r="A143" s="997">
        <v>133</v>
      </c>
      <c r="B143" s="73" t="s">
        <v>900</v>
      </c>
      <c r="C143" s="596"/>
      <c r="D143" s="596"/>
      <c r="E143" s="1284">
        <v>0</v>
      </c>
      <c r="G143" s="596"/>
      <c r="H143" s="596"/>
      <c r="I143" s="1284">
        <v>0</v>
      </c>
      <c r="K143" s="596"/>
    </row>
    <row r="144" spans="1:11">
      <c r="A144" s="997">
        <v>134</v>
      </c>
      <c r="B144" s="73" t="s">
        <v>901</v>
      </c>
      <c r="C144" s="596"/>
      <c r="D144" s="596"/>
      <c r="E144" s="1284">
        <v>0</v>
      </c>
      <c r="G144" s="596"/>
      <c r="H144" s="596"/>
      <c r="I144" s="1284">
        <v>0</v>
      </c>
      <c r="K144" s="596"/>
    </row>
    <row r="145" spans="1:11">
      <c r="A145" s="997">
        <v>135</v>
      </c>
      <c r="B145" s="73" t="s">
        <v>902</v>
      </c>
      <c r="C145" s="596"/>
      <c r="D145" s="596"/>
      <c r="E145" s="1284">
        <v>0</v>
      </c>
      <c r="G145" s="596"/>
      <c r="H145" s="596"/>
      <c r="I145" s="1284">
        <v>0</v>
      </c>
      <c r="K145" s="596"/>
    </row>
    <row r="146" spans="1:11">
      <c r="A146" s="997">
        <v>136</v>
      </c>
      <c r="B146" s="73" t="s">
        <v>903</v>
      </c>
      <c r="C146" s="596"/>
      <c r="D146" s="596"/>
      <c r="E146" s="1284">
        <v>0</v>
      </c>
      <c r="G146" s="596"/>
      <c r="H146" s="596"/>
      <c r="I146" s="1284">
        <v>0</v>
      </c>
      <c r="K146" s="596"/>
    </row>
    <row r="147" spans="1:11">
      <c r="A147" s="997">
        <v>137</v>
      </c>
      <c r="B147" s="73" t="s">
        <v>904</v>
      </c>
      <c r="C147" s="596"/>
      <c r="D147" s="596"/>
      <c r="E147" s="1284">
        <v>0</v>
      </c>
      <c r="G147" s="596"/>
      <c r="H147" s="596"/>
      <c r="I147" s="1284">
        <v>0</v>
      </c>
      <c r="K147" s="596"/>
    </row>
    <row r="148" spans="1:11">
      <c r="A148" s="997">
        <v>138</v>
      </c>
      <c r="B148" s="73" t="s">
        <v>905</v>
      </c>
      <c r="C148" s="596"/>
      <c r="D148" s="596"/>
      <c r="E148" s="1284">
        <v>0</v>
      </c>
      <c r="G148" s="596"/>
      <c r="H148" s="596"/>
      <c r="I148" s="1284">
        <v>0</v>
      </c>
      <c r="K148" s="596"/>
    </row>
    <row r="149" spans="1:11">
      <c r="A149" s="997">
        <v>139</v>
      </c>
      <c r="B149" s="73" t="s">
        <v>906</v>
      </c>
      <c r="C149" s="596"/>
      <c r="D149" s="596"/>
      <c r="E149" s="1284">
        <v>0</v>
      </c>
      <c r="G149" s="596"/>
      <c r="H149" s="596"/>
      <c r="I149" s="1284">
        <v>0</v>
      </c>
      <c r="K149" s="596"/>
    </row>
    <row r="150" spans="1:11">
      <c r="A150" s="997">
        <v>140</v>
      </c>
      <c r="B150" s="73" t="s">
        <v>907</v>
      </c>
      <c r="C150" s="596"/>
      <c r="D150" s="596"/>
      <c r="E150" s="1284">
        <v>0</v>
      </c>
      <c r="G150" s="596"/>
      <c r="H150" s="596"/>
      <c r="I150" s="1284">
        <v>0</v>
      </c>
      <c r="K150" s="596"/>
    </row>
    <row r="151" spans="1:11">
      <c r="A151" s="997">
        <v>141</v>
      </c>
      <c r="B151" s="73" t="s">
        <v>908</v>
      </c>
      <c r="C151" s="596"/>
      <c r="D151" s="596"/>
      <c r="E151" s="1284">
        <v>0</v>
      </c>
      <c r="G151" s="596"/>
      <c r="H151" s="596"/>
      <c r="I151" s="1284">
        <v>0</v>
      </c>
      <c r="K151" s="596"/>
    </row>
    <row r="152" spans="1:11" ht="13.5" thickBot="1">
      <c r="A152" s="997">
        <v>142</v>
      </c>
      <c r="B152" s="73" t="s">
        <v>909</v>
      </c>
      <c r="C152" s="1028"/>
      <c r="D152" s="1028"/>
      <c r="E152" s="1285">
        <v>0</v>
      </c>
      <c r="G152" s="1028"/>
      <c r="H152" s="1028"/>
      <c r="I152" s="1285">
        <v>0</v>
      </c>
      <c r="K152" s="1029"/>
    </row>
    <row r="153" spans="1:11" ht="26.25" thickBot="1">
      <c r="A153" s="997">
        <v>143</v>
      </c>
      <c r="B153" s="1009" t="s">
        <v>1897</v>
      </c>
      <c r="C153" s="166">
        <v>0</v>
      </c>
      <c r="D153" s="696">
        <v>0</v>
      </c>
      <c r="E153" s="693">
        <v>0</v>
      </c>
      <c r="G153" s="166">
        <v>0</v>
      </c>
      <c r="H153" s="696">
        <v>0</v>
      </c>
      <c r="I153" s="693">
        <v>0</v>
      </c>
      <c r="K153" s="693">
        <v>0</v>
      </c>
    </row>
    <row r="154" spans="1:11">
      <c r="A154" s="997">
        <v>144</v>
      </c>
      <c r="F154" s="898"/>
    </row>
    <row r="155" spans="1:11">
      <c r="A155" s="997">
        <v>145</v>
      </c>
    </row>
    <row r="156" spans="1:11">
      <c r="A156" s="997">
        <v>146</v>
      </c>
      <c r="B156" t="s">
        <v>969</v>
      </c>
    </row>
    <row r="157" spans="1:11">
      <c r="A157" s="997">
        <v>147</v>
      </c>
      <c r="B157" t="s">
        <v>593</v>
      </c>
    </row>
    <row r="158" spans="1:11">
      <c r="A158" s="997">
        <v>148</v>
      </c>
      <c r="B158" t="s">
        <v>594</v>
      </c>
    </row>
    <row r="159" spans="1:11">
      <c r="A159" s="997">
        <v>149</v>
      </c>
      <c r="B159" s="73" t="s">
        <v>1701</v>
      </c>
    </row>
    <row r="160" spans="1:11">
      <c r="A160" s="997">
        <v>150</v>
      </c>
      <c r="B160" s="58" t="s">
        <v>1702</v>
      </c>
      <c r="H160" s="1030"/>
      <c r="I160" s="310"/>
      <c r="J160" s="310"/>
      <c r="K160" s="310"/>
    </row>
    <row r="161" spans="1:11">
      <c r="A161" s="997">
        <v>151</v>
      </c>
      <c r="B161" s="58" t="s">
        <v>1580</v>
      </c>
    </row>
    <row r="162" spans="1:11">
      <c r="A162" s="997">
        <v>152</v>
      </c>
      <c r="B162" s="73" t="s">
        <v>1709</v>
      </c>
      <c r="I162" s="94"/>
      <c r="J162" s="94"/>
      <c r="K162" s="94"/>
    </row>
    <row r="163" spans="1:11">
      <c r="A163" s="997">
        <v>153</v>
      </c>
      <c r="B163" s="73" t="s">
        <v>1708</v>
      </c>
      <c r="I163" s="94"/>
      <c r="J163" s="94"/>
      <c r="K163" s="94"/>
    </row>
  </sheetData>
  <mergeCells count="12">
    <mergeCell ref="C80:E80"/>
    <mergeCell ref="H80:K80"/>
    <mergeCell ref="C61:E61"/>
    <mergeCell ref="H61:K61"/>
    <mergeCell ref="F130:H130"/>
    <mergeCell ref="C99:E99"/>
    <mergeCell ref="H99:K99"/>
    <mergeCell ref="C104:E104"/>
    <mergeCell ref="H104:K104"/>
    <mergeCell ref="C113:E113"/>
    <mergeCell ref="F113:H113"/>
    <mergeCell ref="I113:K113"/>
  </mergeCells>
  <pageMargins left="0.7" right="0.7" top="0.75" bottom="0.75" header="0.3" footer="0.3"/>
  <pageSetup scale="54" fitToHeight="0" orientation="landscape" r:id="rId1"/>
  <rowBreaks count="2" manualBreakCount="2">
    <brk id="51" max="16383" man="1"/>
    <brk id="11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pageSetUpPr fitToPage="1"/>
  </sheetPr>
  <dimension ref="A1:N80"/>
  <sheetViews>
    <sheetView view="pageBreakPreview" topLeftCell="B1" zoomScale="60" zoomScaleNormal="100" workbookViewId="0">
      <selection activeCell="Z34" sqref="Z34"/>
    </sheetView>
  </sheetViews>
  <sheetFormatPr defaultRowHeight="12.75"/>
  <cols>
    <col min="1" max="1" width="9.28515625" style="75" bestFit="1" customWidth="1"/>
    <col min="2" max="2" width="7.140625" style="75" bestFit="1" customWidth="1"/>
    <col min="3" max="3" width="50.42578125" style="73" customWidth="1"/>
    <col min="4" max="4" width="2.5703125" style="73" customWidth="1"/>
    <col min="5" max="5" width="17.7109375" style="73" bestFit="1" customWidth="1"/>
    <col min="6" max="6" width="13.140625" style="73" bestFit="1" customWidth="1"/>
    <col min="7" max="7" width="12.140625" style="73" bestFit="1" customWidth="1"/>
    <col min="8" max="8" width="13" style="73" bestFit="1" customWidth="1"/>
    <col min="9" max="9" width="2.5703125" style="73" customWidth="1"/>
    <col min="10" max="10" width="11.42578125" style="73" bestFit="1" customWidth="1"/>
    <col min="11" max="11" width="13.28515625" style="73" bestFit="1" customWidth="1"/>
    <col min="12" max="13" width="13" style="73" bestFit="1" customWidth="1"/>
    <col min="14" max="14" width="10.28515625" style="73" bestFit="1" customWidth="1"/>
    <col min="15" max="16384" width="9.140625" style="73"/>
  </cols>
  <sheetData>
    <row r="1" spans="1:14">
      <c r="A1" s="131" t="str">
        <f>'Cover Page'!A5</f>
        <v>Public Service Company of Colorado</v>
      </c>
      <c r="M1" s="133" t="str">
        <f>'Table of Contents'!A25</f>
        <v>Table 17</v>
      </c>
    </row>
    <row r="2" spans="1:14">
      <c r="A2" s="131" t="str">
        <f>'Cover Page'!A6</f>
        <v>Transmission Formula Rate Template</v>
      </c>
      <c r="M2" s="133" t="str">
        <f ca="1">MID(CELL("filename",$A$1),FIND("]",CELL("filename",$A$1))+1,LEN(CELL("filename",$A$1))-FIND("]",CELL("filename",$A$1)))</f>
        <v>WP_C-1</v>
      </c>
    </row>
    <row r="3" spans="1:14">
      <c r="A3" s="131" t="str">
        <f>'Cover Page'!A7</f>
        <v>Twelve Months Ended December 31, 2017</v>
      </c>
    </row>
    <row r="4" spans="1:14">
      <c r="A4" s="254" t="s">
        <v>25</v>
      </c>
    </row>
    <row r="5" spans="1:14">
      <c r="A5" s="237"/>
      <c r="B5" s="237"/>
      <c r="C5" s="238"/>
      <c r="D5" s="238"/>
      <c r="E5" s="238"/>
      <c r="F5" s="238"/>
      <c r="G5" s="238"/>
      <c r="H5" s="238"/>
      <c r="I5" s="238"/>
      <c r="J5" s="238"/>
      <c r="K5" s="238"/>
      <c r="L5" s="238"/>
      <c r="M5" s="238"/>
    </row>
    <row r="6" spans="1:14">
      <c r="A6" s="254"/>
      <c r="B6" s="237"/>
      <c r="C6" s="238"/>
      <c r="D6" s="238"/>
      <c r="E6" s="238"/>
      <c r="F6" s="238"/>
      <c r="G6" s="238"/>
      <c r="H6" s="238"/>
      <c r="M6" s="238"/>
    </row>
    <row r="7" spans="1:14">
      <c r="A7" s="237"/>
      <c r="B7" s="237"/>
      <c r="C7" s="238"/>
      <c r="D7" s="238"/>
      <c r="E7" s="1241" t="s">
        <v>26</v>
      </c>
      <c r="F7" s="1242"/>
      <c r="G7" s="1242"/>
      <c r="H7" s="1253"/>
      <c r="J7" s="1241" t="s">
        <v>27</v>
      </c>
      <c r="K7" s="1242"/>
      <c r="L7" s="1242"/>
      <c r="M7" s="1253"/>
    </row>
    <row r="8" spans="1:14">
      <c r="A8" s="2" t="s">
        <v>862</v>
      </c>
      <c r="B8" s="240"/>
      <c r="C8" s="240" t="s">
        <v>1402</v>
      </c>
      <c r="D8" s="240"/>
      <c r="E8" s="550" t="s">
        <v>864</v>
      </c>
      <c r="F8" s="196" t="s">
        <v>1400</v>
      </c>
      <c r="G8" s="240" t="s">
        <v>1401</v>
      </c>
      <c r="H8" s="549" t="s">
        <v>790</v>
      </c>
      <c r="I8" s="255"/>
      <c r="J8" s="550" t="s">
        <v>864</v>
      </c>
      <c r="K8" s="2" t="s">
        <v>1400</v>
      </c>
      <c r="L8" s="240" t="s">
        <v>1401</v>
      </c>
      <c r="M8" s="549" t="s">
        <v>790</v>
      </c>
    </row>
    <row r="9" spans="1:14">
      <c r="A9" s="194"/>
      <c r="B9" s="241"/>
      <c r="C9" s="241"/>
      <c r="D9" s="241"/>
      <c r="E9" s="241"/>
      <c r="F9" s="311" t="s">
        <v>358</v>
      </c>
      <c r="G9" s="794" t="s">
        <v>357</v>
      </c>
      <c r="H9" s="794" t="s">
        <v>359</v>
      </c>
      <c r="I9" s="308"/>
      <c r="J9" s="308"/>
      <c r="K9" s="311" t="s">
        <v>358</v>
      </c>
      <c r="L9" s="794" t="s">
        <v>357</v>
      </c>
      <c r="M9" s="794" t="s">
        <v>359</v>
      </c>
    </row>
    <row r="10" spans="1:14">
      <c r="A10" s="237"/>
      <c r="B10" s="242"/>
      <c r="C10" s="243" t="s">
        <v>1403</v>
      </c>
      <c r="D10" s="243"/>
      <c r="E10" s="243"/>
      <c r="F10" s="238"/>
      <c r="G10" s="238"/>
      <c r="H10" s="238"/>
      <c r="M10" s="238"/>
    </row>
    <row r="11" spans="1:14">
      <c r="A11" s="237">
        <v>1</v>
      </c>
      <c r="B11" s="242">
        <v>560</v>
      </c>
      <c r="C11" s="243" t="s">
        <v>1404</v>
      </c>
      <c r="D11" s="243"/>
      <c r="E11" s="243" t="s">
        <v>1383</v>
      </c>
      <c r="F11" s="244">
        <v>2109732.7227999992</v>
      </c>
      <c r="G11" s="244">
        <v>4707195.4454999994</v>
      </c>
      <c r="H11" s="245">
        <f t="shared" ref="H11:H25" si="0">SUM(F11:G11)</f>
        <v>6816928.1682999991</v>
      </c>
      <c r="J11" s="256" t="s">
        <v>28</v>
      </c>
      <c r="K11" s="244">
        <v>2086507</v>
      </c>
      <c r="L11" s="244">
        <v>6389648</v>
      </c>
      <c r="M11" s="245">
        <f t="shared" ref="M11:M25" si="1">SUM(K11:L11)</f>
        <v>8476155</v>
      </c>
    </row>
    <row r="12" spans="1:14">
      <c r="A12" s="237">
        <f>A11+1</f>
        <v>2</v>
      </c>
      <c r="B12" s="246">
        <v>561.1</v>
      </c>
      <c r="C12" s="243" t="s">
        <v>1405</v>
      </c>
      <c r="D12" s="243"/>
      <c r="E12" s="243" t="s">
        <v>1383</v>
      </c>
      <c r="F12" s="244">
        <v>-71567.771800000002</v>
      </c>
      <c r="G12" s="244">
        <v>22504.113000000001</v>
      </c>
      <c r="H12" s="245">
        <f t="shared" si="0"/>
        <v>-49063.658800000005</v>
      </c>
      <c r="J12" s="256" t="s">
        <v>29</v>
      </c>
      <c r="K12" s="244">
        <v>1277</v>
      </c>
      <c r="L12" s="244">
        <v>1013809</v>
      </c>
      <c r="M12" s="245">
        <f t="shared" si="1"/>
        <v>1015086</v>
      </c>
    </row>
    <row r="13" spans="1:14">
      <c r="A13" s="237">
        <f t="shared" ref="A13:A46" si="2">A12+1</f>
        <v>3</v>
      </c>
      <c r="B13" s="246">
        <v>561.20000000000005</v>
      </c>
      <c r="C13" s="243" t="s">
        <v>0</v>
      </c>
      <c r="D13" s="243"/>
      <c r="E13" s="243" t="s">
        <v>1383</v>
      </c>
      <c r="F13" s="244">
        <v>1226360.0688999996</v>
      </c>
      <c r="G13" s="244">
        <v>3506926.949</v>
      </c>
      <c r="H13" s="245">
        <f t="shared" si="0"/>
        <v>4733287.0178999994</v>
      </c>
      <c r="J13" s="256" t="s">
        <v>30</v>
      </c>
      <c r="K13" s="244">
        <v>1125988</v>
      </c>
      <c r="L13" s="244">
        <v>1492431</v>
      </c>
      <c r="M13" s="245">
        <f t="shared" si="1"/>
        <v>2618419</v>
      </c>
    </row>
    <row r="14" spans="1:14">
      <c r="A14" s="237">
        <f t="shared" si="2"/>
        <v>4</v>
      </c>
      <c r="B14" s="246">
        <v>561.29999999999995</v>
      </c>
      <c r="C14" s="243" t="s">
        <v>1</v>
      </c>
      <c r="D14" s="243"/>
      <c r="E14" s="243" t="s">
        <v>1383</v>
      </c>
      <c r="F14" s="244">
        <v>0</v>
      </c>
      <c r="G14" s="244">
        <v>26332.386699999999</v>
      </c>
      <c r="H14" s="245">
        <f t="shared" si="0"/>
        <v>26332.386699999999</v>
      </c>
      <c r="J14" s="256" t="s">
        <v>31</v>
      </c>
      <c r="K14" s="244">
        <v>499</v>
      </c>
      <c r="L14" s="244">
        <v>841726</v>
      </c>
      <c r="M14" s="245">
        <f t="shared" si="1"/>
        <v>842225</v>
      </c>
      <c r="N14" s="94"/>
    </row>
    <row r="15" spans="1:14">
      <c r="A15" s="237">
        <f t="shared" si="2"/>
        <v>5</v>
      </c>
      <c r="B15" s="246">
        <v>561.4</v>
      </c>
      <c r="C15" s="243" t="s">
        <v>2</v>
      </c>
      <c r="D15" s="243"/>
      <c r="E15" s="243" t="s">
        <v>1383</v>
      </c>
      <c r="F15" s="244">
        <v>0</v>
      </c>
      <c r="G15" s="244">
        <v>0</v>
      </c>
      <c r="H15" s="245">
        <f t="shared" si="0"/>
        <v>0</v>
      </c>
      <c r="J15" s="256" t="s">
        <v>32</v>
      </c>
      <c r="K15" s="244">
        <v>220</v>
      </c>
      <c r="L15" s="244">
        <v>0</v>
      </c>
      <c r="M15" s="245">
        <f t="shared" si="1"/>
        <v>220</v>
      </c>
    </row>
    <row r="16" spans="1:14">
      <c r="A16" s="237">
        <f t="shared" si="2"/>
        <v>6</v>
      </c>
      <c r="B16" s="246">
        <v>561.5</v>
      </c>
      <c r="C16" s="243" t="s">
        <v>3</v>
      </c>
      <c r="D16" s="243"/>
      <c r="E16" s="243" t="s">
        <v>1383</v>
      </c>
      <c r="F16" s="244">
        <v>1016.2418</v>
      </c>
      <c r="G16" s="244">
        <v>72420.949099999998</v>
      </c>
      <c r="H16" s="245">
        <f t="shared" si="0"/>
        <v>73437.190900000001</v>
      </c>
      <c r="J16" s="256" t="s">
        <v>33</v>
      </c>
      <c r="K16" s="244">
        <v>180</v>
      </c>
      <c r="L16" s="244">
        <v>0</v>
      </c>
      <c r="M16" s="245">
        <f t="shared" si="1"/>
        <v>180</v>
      </c>
    </row>
    <row r="17" spans="1:13">
      <c r="A17" s="237">
        <f t="shared" si="2"/>
        <v>7</v>
      </c>
      <c r="B17" s="246">
        <v>561.6</v>
      </c>
      <c r="C17" s="243" t="s">
        <v>991</v>
      </c>
      <c r="D17" s="243"/>
      <c r="E17" s="243" t="s">
        <v>1383</v>
      </c>
      <c r="F17" s="244">
        <v>59712.21</v>
      </c>
      <c r="G17" s="244">
        <v>25928.507900000001</v>
      </c>
      <c r="H17" s="245">
        <f t="shared" si="0"/>
        <v>85640.717900000003</v>
      </c>
      <c r="J17" s="256" t="s">
        <v>34</v>
      </c>
      <c r="K17" s="244">
        <v>0</v>
      </c>
      <c r="L17" s="244">
        <v>0</v>
      </c>
      <c r="M17" s="245">
        <f t="shared" si="1"/>
        <v>0</v>
      </c>
    </row>
    <row r="18" spans="1:13">
      <c r="A18" s="237">
        <f t="shared" si="2"/>
        <v>8</v>
      </c>
      <c r="B18" s="242">
        <v>561.70000000000005</v>
      </c>
      <c r="C18" s="243" t="s">
        <v>4</v>
      </c>
      <c r="D18" s="243"/>
      <c r="E18" s="243" t="s">
        <v>1383</v>
      </c>
      <c r="F18" s="244">
        <v>-91559.590599999981</v>
      </c>
      <c r="G18" s="244">
        <v>63501.528000000006</v>
      </c>
      <c r="H18" s="245">
        <f t="shared" si="0"/>
        <v>-28058.062599999976</v>
      </c>
      <c r="J18" s="256" t="s">
        <v>35</v>
      </c>
      <c r="K18" s="244">
        <v>-271808</v>
      </c>
      <c r="L18" s="244">
        <v>130049</v>
      </c>
      <c r="M18" s="245">
        <f t="shared" si="1"/>
        <v>-141759</v>
      </c>
    </row>
    <row r="19" spans="1:13">
      <c r="A19" s="237">
        <f t="shared" si="2"/>
        <v>9</v>
      </c>
      <c r="B19" s="246">
        <v>561.79999999999995</v>
      </c>
      <c r="C19" s="243" t="s">
        <v>5</v>
      </c>
      <c r="D19" s="243"/>
      <c r="E19" s="243" t="s">
        <v>1383</v>
      </c>
      <c r="F19" s="244">
        <v>3270681.99</v>
      </c>
      <c r="G19" s="244">
        <v>8092.7866000000004</v>
      </c>
      <c r="H19" s="245">
        <f t="shared" si="0"/>
        <v>3278774.7766000004</v>
      </c>
      <c r="J19" s="256" t="s">
        <v>36</v>
      </c>
      <c r="K19" s="244">
        <v>4212233</v>
      </c>
      <c r="L19" s="244">
        <v>0</v>
      </c>
      <c r="M19" s="245">
        <f t="shared" si="1"/>
        <v>4212233</v>
      </c>
    </row>
    <row r="20" spans="1:13">
      <c r="A20" s="237">
        <f t="shared" si="2"/>
        <v>10</v>
      </c>
      <c r="B20" s="242">
        <v>562</v>
      </c>
      <c r="C20" s="243" t="s">
        <v>6</v>
      </c>
      <c r="D20" s="243"/>
      <c r="E20" s="243" t="s">
        <v>1383</v>
      </c>
      <c r="F20" s="244">
        <v>434540.5315000001</v>
      </c>
      <c r="G20" s="244">
        <v>1071493.0015999996</v>
      </c>
      <c r="H20" s="245">
        <f t="shared" si="0"/>
        <v>1506033.5330999997</v>
      </c>
      <c r="J20" s="256" t="s">
        <v>37</v>
      </c>
      <c r="K20" s="244">
        <v>349085</v>
      </c>
      <c r="L20" s="244">
        <v>1321824</v>
      </c>
      <c r="M20" s="245">
        <f t="shared" si="1"/>
        <v>1670909</v>
      </c>
    </row>
    <row r="21" spans="1:13">
      <c r="A21" s="237">
        <f t="shared" si="2"/>
        <v>11</v>
      </c>
      <c r="B21" s="242">
        <v>563</v>
      </c>
      <c r="C21" s="243" t="s">
        <v>7</v>
      </c>
      <c r="D21" s="243"/>
      <c r="E21" s="243" t="s">
        <v>1383</v>
      </c>
      <c r="F21" s="244">
        <v>777822.27060000005</v>
      </c>
      <c r="G21" s="244">
        <v>1364158.1765999997</v>
      </c>
      <c r="H21" s="245">
        <f t="shared" si="0"/>
        <v>2141980.4471999998</v>
      </c>
      <c r="J21" s="256" t="s">
        <v>38</v>
      </c>
      <c r="K21" s="244">
        <v>905888</v>
      </c>
      <c r="L21" s="244">
        <v>482601</v>
      </c>
      <c r="M21" s="245">
        <f t="shared" si="1"/>
        <v>1388489</v>
      </c>
    </row>
    <row r="22" spans="1:13">
      <c r="A22" s="237">
        <f t="shared" si="2"/>
        <v>12</v>
      </c>
      <c r="B22" s="246" t="s">
        <v>8</v>
      </c>
      <c r="C22" s="243" t="s">
        <v>9</v>
      </c>
      <c r="D22" s="243"/>
      <c r="E22" s="243" t="s">
        <v>1383</v>
      </c>
      <c r="F22" s="244">
        <v>2905.5276000000003</v>
      </c>
      <c r="G22" s="244">
        <v>0</v>
      </c>
      <c r="H22" s="245">
        <f t="shared" si="0"/>
        <v>2905.5276000000003</v>
      </c>
      <c r="J22" s="256" t="s">
        <v>39</v>
      </c>
      <c r="K22" s="244">
        <v>122612</v>
      </c>
      <c r="L22" s="244">
        <v>5652</v>
      </c>
      <c r="M22" s="245">
        <f t="shared" si="1"/>
        <v>128264</v>
      </c>
    </row>
    <row r="23" spans="1:13">
      <c r="A23" s="237">
        <f t="shared" si="2"/>
        <v>13</v>
      </c>
      <c r="B23" s="242">
        <v>565</v>
      </c>
      <c r="C23" s="243" t="s">
        <v>10</v>
      </c>
      <c r="D23" s="243"/>
      <c r="E23" s="243" t="s">
        <v>1383</v>
      </c>
      <c r="F23" s="244">
        <v>14228419.399600001</v>
      </c>
      <c r="G23" s="244">
        <v>0</v>
      </c>
      <c r="H23" s="245">
        <f t="shared" si="0"/>
        <v>14228419.399600001</v>
      </c>
      <c r="J23" s="256" t="s">
        <v>40</v>
      </c>
      <c r="K23" s="244">
        <v>17303860</v>
      </c>
      <c r="L23" s="244">
        <v>51</v>
      </c>
      <c r="M23" s="245">
        <f t="shared" si="1"/>
        <v>17303911</v>
      </c>
    </row>
    <row r="24" spans="1:13">
      <c r="A24" s="237">
        <f t="shared" si="2"/>
        <v>14</v>
      </c>
      <c r="B24" s="242">
        <v>566</v>
      </c>
      <c r="C24" s="243" t="s">
        <v>11</v>
      </c>
      <c r="D24" s="243"/>
      <c r="E24" s="243" t="s">
        <v>1383</v>
      </c>
      <c r="F24" s="244">
        <v>1390778.3728999998</v>
      </c>
      <c r="G24" s="244">
        <v>2647359.7628000006</v>
      </c>
      <c r="H24" s="245">
        <f t="shared" si="0"/>
        <v>4038138.1357000005</v>
      </c>
      <c r="J24" s="256" t="s">
        <v>41</v>
      </c>
      <c r="K24" s="244">
        <v>1717125</v>
      </c>
      <c r="L24" s="244">
        <v>2670981</v>
      </c>
      <c r="M24" s="245">
        <f t="shared" si="1"/>
        <v>4388106</v>
      </c>
    </row>
    <row r="25" spans="1:13">
      <c r="A25" s="237">
        <f t="shared" si="2"/>
        <v>15</v>
      </c>
      <c r="B25" s="242">
        <v>567</v>
      </c>
      <c r="C25" s="243" t="s">
        <v>12</v>
      </c>
      <c r="D25" s="243"/>
      <c r="E25" s="243" t="s">
        <v>1383</v>
      </c>
      <c r="F25" s="885">
        <v>2318090.1981000002</v>
      </c>
      <c r="G25" s="885">
        <v>0</v>
      </c>
      <c r="H25" s="248">
        <f t="shared" si="0"/>
        <v>2318090.1981000002</v>
      </c>
      <c r="J25" s="256" t="s">
        <v>42</v>
      </c>
      <c r="K25" s="247">
        <v>3393466.59</v>
      </c>
      <c r="L25" s="247">
        <v>1157.4100000000035</v>
      </c>
      <c r="M25" s="248">
        <f t="shared" si="1"/>
        <v>3394624</v>
      </c>
    </row>
    <row r="26" spans="1:13">
      <c r="A26" s="237">
        <f t="shared" si="2"/>
        <v>16</v>
      </c>
      <c r="B26" s="242"/>
      <c r="C26" s="243" t="s">
        <v>13</v>
      </c>
      <c r="D26" s="243"/>
      <c r="E26" s="243"/>
      <c r="F26" s="886">
        <f>SUM(F11:F25)</f>
        <v>25656932.171400003</v>
      </c>
      <c r="G26" s="886">
        <f>SUM(G11:G25)</f>
        <v>13515913.606799997</v>
      </c>
      <c r="H26" s="249">
        <f>SUM(H11:H25)</f>
        <v>39172845.778200001</v>
      </c>
      <c r="J26" s="257"/>
      <c r="K26" s="249">
        <f>SUM(K11:K25)</f>
        <v>30947132.59</v>
      </c>
      <c r="L26" s="249">
        <f>SUM(L11:L25)</f>
        <v>14349929.41</v>
      </c>
      <c r="M26" s="249">
        <f>SUM(M11:M25)</f>
        <v>45297062</v>
      </c>
    </row>
    <row r="27" spans="1:13">
      <c r="A27" s="237">
        <f t="shared" si="2"/>
        <v>17</v>
      </c>
      <c r="B27" s="242"/>
      <c r="C27" s="250"/>
      <c r="D27" s="250"/>
      <c r="E27" s="250"/>
      <c r="F27" s="251"/>
      <c r="G27" s="245"/>
      <c r="H27" s="245"/>
      <c r="J27" s="257"/>
      <c r="K27" s="251"/>
      <c r="L27" s="245"/>
      <c r="M27" s="245"/>
    </row>
    <row r="28" spans="1:13">
      <c r="A28" s="237">
        <f t="shared" si="2"/>
        <v>18</v>
      </c>
      <c r="B28" s="242"/>
      <c r="C28" s="243" t="s">
        <v>14</v>
      </c>
      <c r="D28" s="243"/>
      <c r="E28" s="243"/>
      <c r="F28" s="249"/>
      <c r="G28" s="245"/>
      <c r="H28" s="245"/>
      <c r="J28" s="257"/>
      <c r="K28" s="249"/>
      <c r="L28" s="245"/>
      <c r="M28" s="245"/>
    </row>
    <row r="29" spans="1:13">
      <c r="A29" s="237">
        <f t="shared" si="2"/>
        <v>19</v>
      </c>
      <c r="B29" s="242">
        <v>568</v>
      </c>
      <c r="C29" s="243" t="s">
        <v>1404</v>
      </c>
      <c r="D29" s="243"/>
      <c r="E29" s="243" t="s">
        <v>1383</v>
      </c>
      <c r="F29" s="244">
        <v>37.582100000000004</v>
      </c>
      <c r="G29" s="244">
        <v>85901.035300000003</v>
      </c>
      <c r="H29" s="245">
        <f t="shared" ref="H29:H38" si="3">SUM(F29:G29)</f>
        <v>85938.617400000003</v>
      </c>
      <c r="J29" s="256" t="s">
        <v>43</v>
      </c>
      <c r="K29" s="244">
        <v>22754</v>
      </c>
      <c r="L29" s="244">
        <v>208728</v>
      </c>
      <c r="M29" s="245">
        <f t="shared" ref="M29:M38" si="4">SUM(K29:L29)</f>
        <v>231482</v>
      </c>
    </row>
    <row r="30" spans="1:13">
      <c r="A30" s="237">
        <f t="shared" si="2"/>
        <v>20</v>
      </c>
      <c r="B30" s="242">
        <v>569</v>
      </c>
      <c r="C30" s="243" t="s">
        <v>15</v>
      </c>
      <c r="D30" s="243"/>
      <c r="E30" s="243" t="s">
        <v>1383</v>
      </c>
      <c r="F30" s="244">
        <v>0</v>
      </c>
      <c r="G30" s="244">
        <v>0</v>
      </c>
      <c r="H30" s="245">
        <f t="shared" si="3"/>
        <v>0</v>
      </c>
      <c r="J30" s="256" t="s">
        <v>44</v>
      </c>
      <c r="K30" s="244">
        <v>0</v>
      </c>
      <c r="L30" s="244">
        <v>0</v>
      </c>
      <c r="M30" s="245">
        <f t="shared" si="4"/>
        <v>0</v>
      </c>
    </row>
    <row r="31" spans="1:13">
      <c r="A31" s="237">
        <f t="shared" si="2"/>
        <v>21</v>
      </c>
      <c r="B31" s="246">
        <v>569.1</v>
      </c>
      <c r="C31" s="243" t="s">
        <v>16</v>
      </c>
      <c r="D31" s="243"/>
      <c r="E31" s="243" t="s">
        <v>1383</v>
      </c>
      <c r="F31" s="244">
        <v>0</v>
      </c>
      <c r="G31" s="244">
        <v>0</v>
      </c>
      <c r="H31" s="245">
        <f t="shared" si="3"/>
        <v>0</v>
      </c>
      <c r="J31" s="256" t="s">
        <v>45</v>
      </c>
      <c r="K31" s="244">
        <v>0</v>
      </c>
      <c r="L31" s="244">
        <v>0</v>
      </c>
      <c r="M31" s="245">
        <f t="shared" si="4"/>
        <v>0</v>
      </c>
    </row>
    <row r="32" spans="1:13">
      <c r="A32" s="237">
        <f t="shared" si="2"/>
        <v>22</v>
      </c>
      <c r="B32" s="246">
        <v>569.20000000000005</v>
      </c>
      <c r="C32" s="243" t="s">
        <v>17</v>
      </c>
      <c r="D32" s="243"/>
      <c r="E32" s="243" t="s">
        <v>1383</v>
      </c>
      <c r="F32" s="244">
        <v>0</v>
      </c>
      <c r="G32" s="244">
        <v>0</v>
      </c>
      <c r="H32" s="245">
        <f t="shared" si="3"/>
        <v>0</v>
      </c>
      <c r="J32" s="256" t="s">
        <v>46</v>
      </c>
      <c r="K32" s="244">
        <v>0</v>
      </c>
      <c r="L32" s="244">
        <v>0</v>
      </c>
      <c r="M32" s="245">
        <f t="shared" si="4"/>
        <v>0</v>
      </c>
    </row>
    <row r="33" spans="1:14">
      <c r="A33" s="237">
        <f t="shared" si="2"/>
        <v>23</v>
      </c>
      <c r="B33" s="246">
        <v>569.29999999999995</v>
      </c>
      <c r="C33" s="243" t="s">
        <v>18</v>
      </c>
      <c r="D33" s="243"/>
      <c r="E33" s="243" t="s">
        <v>1383</v>
      </c>
      <c r="F33" s="244">
        <v>0</v>
      </c>
      <c r="G33" s="244">
        <v>0</v>
      </c>
      <c r="H33" s="245">
        <f t="shared" si="3"/>
        <v>0</v>
      </c>
      <c r="J33" s="256" t="s">
        <v>47</v>
      </c>
      <c r="K33" s="244">
        <v>0</v>
      </c>
      <c r="L33" s="244">
        <v>0</v>
      </c>
      <c r="M33" s="245">
        <f t="shared" si="4"/>
        <v>0</v>
      </c>
    </row>
    <row r="34" spans="1:14">
      <c r="A34" s="237">
        <f t="shared" si="2"/>
        <v>24</v>
      </c>
      <c r="B34" s="246">
        <v>569.4</v>
      </c>
      <c r="C34" s="243" t="s">
        <v>19</v>
      </c>
      <c r="D34" s="243"/>
      <c r="E34" s="243" t="s">
        <v>1383</v>
      </c>
      <c r="F34" s="244">
        <v>0</v>
      </c>
      <c r="G34" s="244">
        <v>0</v>
      </c>
      <c r="H34" s="245">
        <f t="shared" si="3"/>
        <v>0</v>
      </c>
      <c r="J34" s="256" t="s">
        <v>48</v>
      </c>
      <c r="K34" s="244">
        <v>0</v>
      </c>
      <c r="L34" s="244">
        <v>0</v>
      </c>
      <c r="M34" s="245">
        <f t="shared" si="4"/>
        <v>0</v>
      </c>
    </row>
    <row r="35" spans="1:14">
      <c r="A35" s="237">
        <f t="shared" si="2"/>
        <v>25</v>
      </c>
      <c r="B35" s="242">
        <v>570</v>
      </c>
      <c r="C35" s="243" t="s">
        <v>20</v>
      </c>
      <c r="D35" s="243"/>
      <c r="E35" s="243" t="s">
        <v>1383</v>
      </c>
      <c r="F35" s="244">
        <v>1839833.8568</v>
      </c>
      <c r="G35" s="244">
        <v>3351625.713</v>
      </c>
      <c r="H35" s="245">
        <f t="shared" si="3"/>
        <v>5191459.5697999997</v>
      </c>
      <c r="J35" s="256" t="s">
        <v>49</v>
      </c>
      <c r="K35" s="244">
        <v>2182425</v>
      </c>
      <c r="L35" s="244">
        <v>2534786</v>
      </c>
      <c r="M35" s="245">
        <f t="shared" si="4"/>
        <v>4717211</v>
      </c>
    </row>
    <row r="36" spans="1:14">
      <c r="A36" s="237">
        <f t="shared" si="2"/>
        <v>26</v>
      </c>
      <c r="B36" s="242">
        <v>571</v>
      </c>
      <c r="C36" s="243" t="s">
        <v>992</v>
      </c>
      <c r="D36" s="243"/>
      <c r="E36" s="243" t="s">
        <v>1383</v>
      </c>
      <c r="F36" s="244">
        <v>8400544.7100000009</v>
      </c>
      <c r="G36" s="244">
        <v>173545.18920000002</v>
      </c>
      <c r="H36" s="245">
        <f t="shared" si="3"/>
        <v>8574089.8992000017</v>
      </c>
      <c r="J36" s="256" t="s">
        <v>50</v>
      </c>
      <c r="K36" s="244">
        <v>4100695</v>
      </c>
      <c r="L36" s="244">
        <v>345752</v>
      </c>
      <c r="M36" s="245">
        <f t="shared" si="4"/>
        <v>4446447</v>
      </c>
    </row>
    <row r="37" spans="1:14">
      <c r="A37" s="237">
        <f t="shared" si="2"/>
        <v>27</v>
      </c>
      <c r="B37" s="242">
        <v>572</v>
      </c>
      <c r="C37" s="243" t="s">
        <v>21</v>
      </c>
      <c r="D37" s="243"/>
      <c r="E37" s="243" t="s">
        <v>1383</v>
      </c>
      <c r="F37" s="244">
        <v>426021.9289</v>
      </c>
      <c r="G37" s="244">
        <v>31355.965099999998</v>
      </c>
      <c r="H37" s="245">
        <f t="shared" si="3"/>
        <v>457377.89399999997</v>
      </c>
      <c r="J37" s="256" t="s">
        <v>51</v>
      </c>
      <c r="K37" s="244">
        <v>27052</v>
      </c>
      <c r="L37" s="244">
        <v>42758</v>
      </c>
      <c r="M37" s="245">
        <f t="shared" si="4"/>
        <v>69810</v>
      </c>
    </row>
    <row r="38" spans="1:14">
      <c r="A38" s="237">
        <f t="shared" si="2"/>
        <v>28</v>
      </c>
      <c r="B38" s="242">
        <v>573</v>
      </c>
      <c r="C38" s="243" t="s">
        <v>22</v>
      </c>
      <c r="D38" s="243"/>
      <c r="E38" s="243" t="s">
        <v>1383</v>
      </c>
      <c r="F38" s="885">
        <v>-2822.8590999999997</v>
      </c>
      <c r="G38" s="885">
        <v>2847.0587</v>
      </c>
      <c r="H38" s="248">
        <f t="shared" si="3"/>
        <v>24.199600000000373</v>
      </c>
      <c r="J38" s="256" t="s">
        <v>52</v>
      </c>
      <c r="K38" s="247">
        <v>768</v>
      </c>
      <c r="L38" s="247">
        <v>0</v>
      </c>
      <c r="M38" s="248">
        <f t="shared" si="4"/>
        <v>768</v>
      </c>
    </row>
    <row r="39" spans="1:14">
      <c r="A39" s="237">
        <f t="shared" si="2"/>
        <v>29</v>
      </c>
      <c r="B39" s="242"/>
      <c r="C39" s="243" t="s">
        <v>23</v>
      </c>
      <c r="D39" s="243"/>
      <c r="E39" s="243"/>
      <c r="F39" s="886">
        <f>SUM(F29:F38)</f>
        <v>10663615.218700001</v>
      </c>
      <c r="G39" s="886">
        <f>SUM(G29:G38)</f>
        <v>3645274.9613000001</v>
      </c>
      <c r="H39" s="886">
        <f>SUM(H29:H38)</f>
        <v>14308890.180000002</v>
      </c>
      <c r="K39" s="249">
        <f>SUM(K29:K38)</f>
        <v>6333694</v>
      </c>
      <c r="L39" s="249">
        <f>SUM(L29:L38)</f>
        <v>3132024</v>
      </c>
      <c r="M39" s="249">
        <f>SUM(M29:M38)</f>
        <v>9465718</v>
      </c>
    </row>
    <row r="40" spans="1:14" ht="13.5" thickBot="1">
      <c r="A40" s="237">
        <f t="shared" si="2"/>
        <v>30</v>
      </c>
      <c r="B40" s="242"/>
      <c r="C40" s="250"/>
      <c r="D40" s="250"/>
      <c r="E40" s="250"/>
      <c r="F40" s="251"/>
      <c r="G40" s="245"/>
      <c r="H40" s="245"/>
      <c r="K40" s="251"/>
      <c r="L40" s="245"/>
      <c r="M40" s="245"/>
    </row>
    <row r="41" spans="1:14" ht="13.5" thickBot="1">
      <c r="A41" s="237">
        <f t="shared" si="2"/>
        <v>31</v>
      </c>
      <c r="B41" s="242"/>
      <c r="C41" s="243" t="s">
        <v>24</v>
      </c>
      <c r="D41" s="243"/>
      <c r="E41" s="243"/>
      <c r="F41" s="252">
        <f>F39+F26</f>
        <v>36320547.390100002</v>
      </c>
      <c r="G41" s="795">
        <f>G39+G26</f>
        <v>17161188.568099998</v>
      </c>
      <c r="H41" s="697">
        <f>H39+H26</f>
        <v>53481735.9582</v>
      </c>
      <c r="K41" s="252">
        <f>K39+K26</f>
        <v>37280826.590000004</v>
      </c>
      <c r="L41" s="697">
        <f>L39+L26</f>
        <v>17481953.41</v>
      </c>
      <c r="M41" s="697">
        <f>M39+M26</f>
        <v>54762780</v>
      </c>
    </row>
    <row r="42" spans="1:14" ht="13.5" thickTop="1">
      <c r="A42" s="237">
        <f t="shared" si="2"/>
        <v>32</v>
      </c>
      <c r="B42" s="237"/>
      <c r="C42" s="238"/>
      <c r="D42" s="238"/>
      <c r="E42" s="238"/>
      <c r="F42" s="245"/>
      <c r="G42" s="245"/>
      <c r="H42" s="245"/>
      <c r="M42" s="238"/>
    </row>
    <row r="43" spans="1:14" ht="13.5" thickBot="1">
      <c r="A43" s="237">
        <f t="shared" si="2"/>
        <v>33</v>
      </c>
      <c r="B43" s="242"/>
      <c r="C43" s="243"/>
      <c r="D43" s="243"/>
      <c r="E43" s="243"/>
      <c r="F43" s="253"/>
      <c r="G43" s="253"/>
      <c r="H43" s="253"/>
      <c r="I43" s="238"/>
      <c r="J43" s="238"/>
      <c r="K43" s="238"/>
      <c r="L43" s="238"/>
      <c r="M43" s="238"/>
    </row>
    <row r="44" spans="1:14" ht="26.25" thickBot="1">
      <c r="A44" s="237">
        <f t="shared" si="2"/>
        <v>34</v>
      </c>
      <c r="B44" s="1134">
        <v>565</v>
      </c>
      <c r="C44" t="s">
        <v>515</v>
      </c>
      <c r="D44"/>
      <c r="E44" s="243" t="s">
        <v>1383</v>
      </c>
      <c r="F44" s="244">
        <v>-2317922.73</v>
      </c>
      <c r="G44" s="244"/>
      <c r="H44" s="696">
        <f>SUM(F44:G44)</f>
        <v>-2317922.73</v>
      </c>
      <c r="J44" s="548" t="s">
        <v>1383</v>
      </c>
      <c r="K44" s="244">
        <v>-1737719.9</v>
      </c>
      <c r="L44" s="695"/>
      <c r="M44" s="696">
        <f>SUM(K44:L44)</f>
        <v>-1737719.9</v>
      </c>
      <c r="N44" s="94"/>
    </row>
    <row r="45" spans="1:14" ht="13.5" thickBot="1">
      <c r="A45" s="237">
        <f t="shared" si="2"/>
        <v>35</v>
      </c>
      <c r="M45" s="238"/>
    </row>
    <row r="46" spans="1:14" ht="13.5" thickBot="1">
      <c r="A46" s="237">
        <f t="shared" si="2"/>
        <v>36</v>
      </c>
      <c r="B46" s="450">
        <v>561</v>
      </c>
      <c r="C46" s="308" t="s">
        <v>497</v>
      </c>
      <c r="D46" s="308"/>
      <c r="E46" s="308" t="s">
        <v>496</v>
      </c>
      <c r="F46" s="729">
        <f>SUM(F12:F19)</f>
        <v>4394643.1482999995</v>
      </c>
      <c r="G46" s="729">
        <f>SUM(G12:G19)</f>
        <v>3725707.2203000002</v>
      </c>
      <c r="H46" s="830">
        <f>SUM(H12:H19)</f>
        <v>8120350.3685999988</v>
      </c>
      <c r="I46" s="308"/>
      <c r="J46" s="308"/>
      <c r="K46" s="729">
        <f>SUM(K12:K19)</f>
        <v>5068589</v>
      </c>
      <c r="L46" s="729">
        <f>SUM(L12:L19)</f>
        <v>3478015</v>
      </c>
      <c r="M46" s="830">
        <f>SUM(M12:M19)</f>
        <v>8546604</v>
      </c>
    </row>
    <row r="47" spans="1:14">
      <c r="B47" s="450"/>
      <c r="C47" s="308"/>
      <c r="D47" s="308"/>
      <c r="E47" s="308"/>
      <c r="F47" s="308"/>
      <c r="G47" s="308"/>
      <c r="H47" s="308"/>
      <c r="I47" s="308"/>
      <c r="J47" s="308"/>
      <c r="K47" s="308"/>
      <c r="L47" s="308"/>
      <c r="M47" s="308"/>
    </row>
    <row r="48" spans="1:14" ht="25.5" customHeight="1">
      <c r="B48" s="1254" t="s">
        <v>379</v>
      </c>
      <c r="C48" s="1254"/>
      <c r="D48" s="1254"/>
      <c r="E48" s="1254"/>
      <c r="F48" s="1254"/>
      <c r="G48" s="1254"/>
      <c r="H48" s="1254"/>
      <c r="I48" s="1254"/>
      <c r="J48" s="1254"/>
      <c r="K48" s="1254"/>
      <c r="L48" s="1254"/>
      <c r="M48" s="1254"/>
    </row>
    <row r="49" spans="2:13" ht="27" customHeight="1">
      <c r="B49" s="1254" t="s">
        <v>1218</v>
      </c>
      <c r="C49" s="1254"/>
      <c r="D49" s="1254"/>
      <c r="E49" s="1254"/>
      <c r="F49" s="1254"/>
      <c r="G49" s="1254"/>
      <c r="H49" s="1254"/>
      <c r="I49" s="1254"/>
      <c r="J49" s="1254"/>
      <c r="K49" s="1254"/>
      <c r="L49" s="1254"/>
      <c r="M49" s="1254"/>
    </row>
    <row r="50" spans="2:13" ht="27.75" customHeight="1">
      <c r="B50" s="1254" t="s">
        <v>995</v>
      </c>
      <c r="C50" s="1254"/>
      <c r="D50" s="1254"/>
      <c r="E50" s="1254"/>
      <c r="F50" s="1254"/>
      <c r="G50" s="1254"/>
      <c r="H50" s="1254"/>
      <c r="I50" s="1254"/>
      <c r="J50" s="1254"/>
      <c r="K50" s="1254"/>
      <c r="L50" s="1254"/>
      <c r="M50" s="1254"/>
    </row>
    <row r="54" spans="2:13">
      <c r="F54" s="310"/>
      <c r="G54" s="94"/>
      <c r="H54" s="94"/>
    </row>
    <row r="55" spans="2:13">
      <c r="B55" s="554"/>
    </row>
    <row r="56" spans="2:13">
      <c r="F56" s="94"/>
      <c r="G56" s="94"/>
    </row>
    <row r="58" spans="2:13">
      <c r="F58" s="94"/>
      <c r="G58" s="94"/>
      <c r="H58" s="94"/>
    </row>
    <row r="59" spans="2:13">
      <c r="H59" s="94"/>
    </row>
    <row r="62" spans="2:13">
      <c r="F62" s="310"/>
    </row>
    <row r="63" spans="2:13">
      <c r="F63" s="310"/>
    </row>
    <row r="64" spans="2:13">
      <c r="F64" s="310"/>
    </row>
    <row r="65" spans="6:6">
      <c r="F65" s="310"/>
    </row>
    <row r="66" spans="6:6">
      <c r="F66" s="310"/>
    </row>
    <row r="67" spans="6:6">
      <c r="F67" s="310"/>
    </row>
    <row r="68" spans="6:6">
      <c r="F68" s="310"/>
    </row>
    <row r="69" spans="6:6">
      <c r="F69" s="310"/>
    </row>
    <row r="70" spans="6:6">
      <c r="F70" s="310"/>
    </row>
    <row r="71" spans="6:6">
      <c r="F71" s="310"/>
    </row>
    <row r="72" spans="6:6">
      <c r="F72" s="310"/>
    </row>
    <row r="73" spans="6:6">
      <c r="F73" s="310"/>
    </row>
    <row r="74" spans="6:6">
      <c r="F74" s="310"/>
    </row>
    <row r="75" spans="6:6">
      <c r="F75" s="310"/>
    </row>
    <row r="76" spans="6:6">
      <c r="F76" s="310"/>
    </row>
    <row r="77" spans="6:6">
      <c r="F77" s="310"/>
    </row>
    <row r="78" spans="6:6">
      <c r="F78" s="310"/>
    </row>
    <row r="79" spans="6:6">
      <c r="F79" s="310"/>
    </row>
    <row r="80" spans="6:6">
      <c r="F80" s="310"/>
    </row>
  </sheetData>
  <mergeCells count="5">
    <mergeCell ref="J7:M7"/>
    <mergeCell ref="B50:M50"/>
    <mergeCell ref="E7:H7"/>
    <mergeCell ref="B49:M49"/>
    <mergeCell ref="B48:M48"/>
  </mergeCells>
  <phoneticPr fontId="2" type="noConversion"/>
  <printOptions horizontalCentered="1"/>
  <pageMargins left="0.75" right="0.75" top="1" bottom="1" header="0.5" footer="0.5"/>
  <pageSetup scale="67" orientation="landscape" r:id="rId1"/>
  <headerFooter alignWithMargins="0">
    <oddHeader>&amp;RPage &amp;P of &amp;N</oddHeader>
  </headerFooter>
  <ignoredErrors>
    <ignoredError sqref="B2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fitToPage="1"/>
  </sheetPr>
  <dimension ref="A1:I66"/>
  <sheetViews>
    <sheetView view="pageBreakPreview" zoomScale="60" zoomScaleNormal="100" workbookViewId="0">
      <selection activeCell="Z34" sqref="Z34"/>
    </sheetView>
  </sheetViews>
  <sheetFormatPr defaultRowHeight="12.75"/>
  <cols>
    <col min="1" max="1" width="5.28515625" customWidth="1"/>
    <col min="2" max="2" width="7" customWidth="1"/>
    <col min="3" max="3" width="49" customWidth="1"/>
    <col min="4" max="4" width="22.42578125" bestFit="1" customWidth="1"/>
    <col min="5" max="5" width="14.7109375" bestFit="1" customWidth="1"/>
    <col min="6" max="6" width="14.42578125" bestFit="1" customWidth="1"/>
    <col min="7" max="7" width="14.5703125" bestFit="1" customWidth="1"/>
    <col min="8" max="8" width="3.28515625" customWidth="1"/>
  </cols>
  <sheetData>
    <row r="1" spans="1:8">
      <c r="A1" s="99" t="str">
        <f>'Cover Page'!A5</f>
        <v>Public Service Company of Colorado</v>
      </c>
      <c r="B1" s="99"/>
      <c r="G1" s="133" t="str">
        <f>'Table of Contents'!A26</f>
        <v>Table 18</v>
      </c>
    </row>
    <row r="2" spans="1:8">
      <c r="A2" s="99" t="str">
        <f>'Cover Page'!A6</f>
        <v>Transmission Formula Rate Template</v>
      </c>
      <c r="B2" s="99"/>
      <c r="G2" s="133" t="str">
        <f ca="1">MID(CELL("filename",$A$1),FIND("]",CELL("filename",$A$1))+1,LEN(CELL("filename",$A$1))-FIND("]",CELL("filename",$A$1)))</f>
        <v>WP_C-2</v>
      </c>
    </row>
    <row r="3" spans="1:8">
      <c r="A3" s="99" t="str">
        <f>'Cover Page'!A7</f>
        <v>Twelve Months Ended December 31, 2017</v>
      </c>
      <c r="B3" s="99"/>
    </row>
    <row r="4" spans="1:8">
      <c r="A4" s="176" t="s">
        <v>53</v>
      </c>
      <c r="B4" s="99"/>
    </row>
    <row r="5" spans="1:8" ht="13.5" thickBot="1">
      <c r="A5" s="164"/>
      <c r="B5" s="164"/>
      <c r="C5" s="164"/>
      <c r="D5" s="164"/>
      <c r="E5" s="164"/>
      <c r="F5" s="164"/>
      <c r="G5" s="164"/>
      <c r="H5" s="164"/>
    </row>
    <row r="6" spans="1:8">
      <c r="A6" s="304" t="s">
        <v>983</v>
      </c>
      <c r="B6" s="305"/>
      <c r="C6" s="305"/>
      <c r="D6" s="305"/>
      <c r="E6" s="305"/>
      <c r="F6" s="305"/>
      <c r="G6" s="590"/>
      <c r="H6" s="164"/>
    </row>
    <row r="7" spans="1:8">
      <c r="A7" s="258"/>
      <c r="B7" s="164"/>
      <c r="C7" s="164"/>
      <c r="D7" s="164"/>
      <c r="E7" s="164"/>
      <c r="F7" s="164"/>
      <c r="G7" s="259"/>
      <c r="H7" s="164"/>
    </row>
    <row r="8" spans="1:8" ht="25.5">
      <c r="A8" s="600" t="s">
        <v>862</v>
      </c>
      <c r="B8" s="2" t="s">
        <v>892</v>
      </c>
      <c r="C8" s="2" t="s">
        <v>54</v>
      </c>
      <c r="D8" s="2" t="s">
        <v>864</v>
      </c>
      <c r="E8" s="2" t="s">
        <v>55</v>
      </c>
      <c r="F8" s="2" t="s">
        <v>67</v>
      </c>
      <c r="G8" s="601" t="s">
        <v>56</v>
      </c>
      <c r="H8" s="194"/>
    </row>
    <row r="9" spans="1:8">
      <c r="A9" s="258"/>
      <c r="B9" s="164"/>
      <c r="C9" s="164"/>
      <c r="D9" s="164"/>
      <c r="E9" s="311" t="s">
        <v>358</v>
      </c>
      <c r="F9" s="794" t="s">
        <v>357</v>
      </c>
      <c r="G9" s="840" t="s">
        <v>359</v>
      </c>
      <c r="H9" s="164"/>
    </row>
    <row r="10" spans="1:8">
      <c r="A10" s="258"/>
      <c r="B10" s="164"/>
      <c r="C10" s="164"/>
      <c r="D10" s="164"/>
      <c r="E10" s="164"/>
      <c r="F10" s="164"/>
      <c r="G10" s="259"/>
      <c r="H10" s="164"/>
    </row>
    <row r="11" spans="1:8">
      <c r="A11" s="260">
        <v>1</v>
      </c>
      <c r="B11" s="261">
        <v>920</v>
      </c>
      <c r="C11" s="262" t="s">
        <v>58</v>
      </c>
      <c r="D11" s="198" t="s">
        <v>1383</v>
      </c>
      <c r="E11" s="855">
        <v>43538721.450000003</v>
      </c>
      <c r="F11" s="217">
        <v>0</v>
      </c>
      <c r="G11" s="602">
        <f>SUM(E11:F11)</f>
        <v>43538721.450000003</v>
      </c>
      <c r="H11" s="179"/>
    </row>
    <row r="12" spans="1:8">
      <c r="A12" s="260">
        <f t="shared" ref="A12:A25" si="0">A11+1</f>
        <v>2</v>
      </c>
      <c r="B12" s="261">
        <v>921</v>
      </c>
      <c r="C12" s="262" t="s">
        <v>59</v>
      </c>
      <c r="D12" s="198" t="s">
        <v>1383</v>
      </c>
      <c r="E12" s="890">
        <v>28784733.359999999</v>
      </c>
      <c r="F12" s="267">
        <v>0</v>
      </c>
      <c r="G12" s="265">
        <f>SUM(E12:F12)</f>
        <v>28784733.359999999</v>
      </c>
      <c r="H12" s="267"/>
    </row>
    <row r="13" spans="1:8">
      <c r="A13" s="260">
        <f t="shared" si="0"/>
        <v>3</v>
      </c>
      <c r="B13" s="261">
        <v>922</v>
      </c>
      <c r="C13" s="262" t="s">
        <v>60</v>
      </c>
      <c r="D13" s="198" t="s">
        <v>1383</v>
      </c>
      <c r="E13" s="890">
        <v>-33897942.927299999</v>
      </c>
      <c r="F13" s="179">
        <v>0</v>
      </c>
      <c r="G13" s="265">
        <f t="shared" ref="G13:G24" si="1">SUM(E13:F13)</f>
        <v>-33897942.927299999</v>
      </c>
      <c r="H13" s="179"/>
    </row>
    <row r="14" spans="1:8">
      <c r="A14" s="260">
        <f t="shared" si="0"/>
        <v>4</v>
      </c>
      <c r="B14" s="261">
        <v>923</v>
      </c>
      <c r="C14" s="187" t="s">
        <v>68</v>
      </c>
      <c r="D14" s="198" t="s">
        <v>1383</v>
      </c>
      <c r="E14" s="890">
        <v>15698477.470000001</v>
      </c>
      <c r="F14" s="139">
        <v>0</v>
      </c>
      <c r="G14" s="265">
        <f t="shared" si="1"/>
        <v>15698477.470000001</v>
      </c>
      <c r="H14" s="179"/>
    </row>
    <row r="15" spans="1:8">
      <c r="A15" s="260">
        <f t="shared" si="0"/>
        <v>5</v>
      </c>
      <c r="B15" s="261">
        <v>924</v>
      </c>
      <c r="C15" s="164" t="s">
        <v>65</v>
      </c>
      <c r="D15" s="198" t="s">
        <v>1383</v>
      </c>
      <c r="E15" s="890">
        <v>4878452.6816999996</v>
      </c>
      <c r="F15" s="179">
        <v>0</v>
      </c>
      <c r="G15" s="265">
        <f t="shared" si="1"/>
        <v>4878452.6816999996</v>
      </c>
      <c r="H15" s="264"/>
    </row>
    <row r="16" spans="1:8">
      <c r="A16" s="260">
        <f t="shared" si="0"/>
        <v>6</v>
      </c>
      <c r="B16" s="261">
        <v>925</v>
      </c>
      <c r="C16" s="262" t="s">
        <v>61</v>
      </c>
      <c r="D16" s="198" t="s">
        <v>1383</v>
      </c>
      <c r="E16" s="890">
        <v>8655425.3002000004</v>
      </c>
      <c r="F16" s="267">
        <v>0</v>
      </c>
      <c r="G16" s="265">
        <f t="shared" si="1"/>
        <v>8655425.3002000004</v>
      </c>
      <c r="H16" s="267"/>
    </row>
    <row r="17" spans="1:8">
      <c r="A17" s="260">
        <f t="shared" si="0"/>
        <v>7</v>
      </c>
      <c r="B17" s="261">
        <v>926</v>
      </c>
      <c r="C17" s="262" t="s">
        <v>611</v>
      </c>
      <c r="D17" s="198" t="s">
        <v>1383</v>
      </c>
      <c r="E17" s="890">
        <v>60093218.359999999</v>
      </c>
      <c r="F17" s="267">
        <f>'WP_C-3'!E52</f>
        <v>0</v>
      </c>
      <c r="G17" s="265">
        <f t="shared" si="1"/>
        <v>60093218.359999999</v>
      </c>
      <c r="H17" s="267"/>
    </row>
    <row r="18" spans="1:8">
      <c r="A18" s="260">
        <f t="shared" si="0"/>
        <v>8</v>
      </c>
      <c r="B18" s="261">
        <v>927</v>
      </c>
      <c r="C18" s="262" t="s">
        <v>69</v>
      </c>
      <c r="D18" s="198" t="s">
        <v>1383</v>
      </c>
      <c r="E18" s="890">
        <v>0</v>
      </c>
      <c r="F18" s="179">
        <v>0</v>
      </c>
      <c r="G18" s="265">
        <f t="shared" si="1"/>
        <v>0</v>
      </c>
      <c r="H18" s="179"/>
    </row>
    <row r="19" spans="1:8">
      <c r="A19" s="260">
        <f t="shared" si="0"/>
        <v>9</v>
      </c>
      <c r="B19" s="261">
        <v>928</v>
      </c>
      <c r="C19" s="164" t="s">
        <v>613</v>
      </c>
      <c r="D19" s="198" t="s">
        <v>1383</v>
      </c>
      <c r="E19" s="890">
        <v>9570648.9000000004</v>
      </c>
      <c r="F19" s="179">
        <f>-E19</f>
        <v>-9570648.9000000004</v>
      </c>
      <c r="G19" s="265">
        <f t="shared" si="1"/>
        <v>0</v>
      </c>
      <c r="H19" s="179"/>
    </row>
    <row r="20" spans="1:8">
      <c r="A20" s="260">
        <f t="shared" si="0"/>
        <v>10</v>
      </c>
      <c r="B20" s="261">
        <v>929</v>
      </c>
      <c r="C20" s="262" t="s">
        <v>62</v>
      </c>
      <c r="D20" s="198" t="s">
        <v>1383</v>
      </c>
      <c r="E20" s="890">
        <v>-2312756.7012</v>
      </c>
      <c r="F20" s="179">
        <v>0</v>
      </c>
      <c r="G20" s="265">
        <f t="shared" si="1"/>
        <v>-2312756.7012</v>
      </c>
      <c r="H20" s="179"/>
    </row>
    <row r="21" spans="1:8">
      <c r="A21" s="260">
        <f t="shared" si="0"/>
        <v>11</v>
      </c>
      <c r="B21" s="268">
        <v>930.1</v>
      </c>
      <c r="C21" s="164" t="s">
        <v>614</v>
      </c>
      <c r="D21" s="198" t="s">
        <v>1383</v>
      </c>
      <c r="E21" s="890">
        <v>2312336.42</v>
      </c>
      <c r="F21" s="179">
        <f>-E21</f>
        <v>-2312336.42</v>
      </c>
      <c r="G21" s="265">
        <f t="shared" si="1"/>
        <v>0</v>
      </c>
      <c r="H21" s="179"/>
    </row>
    <row r="22" spans="1:8">
      <c r="A22" s="260">
        <f t="shared" si="0"/>
        <v>12</v>
      </c>
      <c r="B22" s="268">
        <v>930.2</v>
      </c>
      <c r="C22" s="262" t="s">
        <v>615</v>
      </c>
      <c r="D22" s="198" t="s">
        <v>1383</v>
      </c>
      <c r="E22" s="890">
        <v>7185218.7800000003</v>
      </c>
      <c r="F22" s="139">
        <f>-E32</f>
        <v>-1176359.1199999999</v>
      </c>
      <c r="G22" s="265">
        <f t="shared" si="1"/>
        <v>6008859.6600000001</v>
      </c>
      <c r="H22" s="179"/>
    </row>
    <row r="23" spans="1:8">
      <c r="A23" s="260">
        <f t="shared" si="0"/>
        <v>13</v>
      </c>
      <c r="B23" s="261">
        <v>931</v>
      </c>
      <c r="C23" s="187" t="s">
        <v>12</v>
      </c>
      <c r="D23" s="198" t="s">
        <v>1383</v>
      </c>
      <c r="E23" s="890">
        <v>24323319.949999999</v>
      </c>
      <c r="F23" s="267">
        <v>0</v>
      </c>
      <c r="G23" s="265">
        <f t="shared" si="1"/>
        <v>24323319.949999999</v>
      </c>
      <c r="H23" s="179"/>
    </row>
    <row r="24" spans="1:8" ht="13.5" thickBot="1">
      <c r="A24" s="260">
        <f t="shared" si="0"/>
        <v>14</v>
      </c>
      <c r="B24" s="261">
        <v>935</v>
      </c>
      <c r="C24" s="164" t="s">
        <v>63</v>
      </c>
      <c r="D24" s="198" t="s">
        <v>1383</v>
      </c>
      <c r="E24" s="887">
        <v>990862.1665000004</v>
      </c>
      <c r="F24" s="177">
        <v>0</v>
      </c>
      <c r="G24" s="265">
        <f t="shared" si="1"/>
        <v>990862.1665000004</v>
      </c>
      <c r="H24" s="179"/>
    </row>
    <row r="25" spans="1:8" ht="13.5" thickBot="1">
      <c r="A25" s="260">
        <f t="shared" si="0"/>
        <v>15</v>
      </c>
      <c r="B25" s="198"/>
      <c r="C25" s="205" t="s">
        <v>64</v>
      </c>
      <c r="D25" s="205"/>
      <c r="E25" s="854">
        <f>SUM(E11:E24)</f>
        <v>169820715.20989996</v>
      </c>
      <c r="F25" s="264">
        <f>SUM(F11:F24)</f>
        <v>-13059344.439999999</v>
      </c>
      <c r="G25" s="476">
        <f>SUM(G11:G24)</f>
        <v>156761370.76989999</v>
      </c>
      <c r="H25" s="179"/>
    </row>
    <row r="26" spans="1:8">
      <c r="A26" s="260"/>
      <c r="B26" s="198"/>
      <c r="C26" s="205"/>
      <c r="D26" s="205"/>
      <c r="E26" s="264"/>
      <c r="F26" s="264"/>
      <c r="G26" s="602"/>
      <c r="H26" s="179"/>
    </row>
    <row r="27" spans="1:8">
      <c r="A27" s="260"/>
      <c r="B27" s="198" t="s">
        <v>89</v>
      </c>
      <c r="C27" s="205"/>
      <c r="D27" s="205"/>
      <c r="E27" s="264"/>
      <c r="F27" s="264"/>
      <c r="G27" s="602"/>
      <c r="H27" s="179"/>
    </row>
    <row r="28" spans="1:8" ht="56.25" customHeight="1">
      <c r="A28" s="260"/>
      <c r="B28" s="1255" t="s">
        <v>1713</v>
      </c>
      <c r="C28" s="1255"/>
      <c r="D28" s="1255"/>
      <c r="E28" s="1255"/>
      <c r="F28" s="1255"/>
      <c r="G28" s="1256"/>
      <c r="H28" s="179"/>
    </row>
    <row r="29" spans="1:8">
      <c r="A29" s="260"/>
      <c r="B29" s="262" t="s">
        <v>401</v>
      </c>
      <c r="C29" s="205"/>
      <c r="D29" s="205"/>
      <c r="E29" s="264"/>
      <c r="F29" s="264"/>
      <c r="G29" s="602"/>
      <c r="H29" s="179"/>
    </row>
    <row r="30" spans="1:8">
      <c r="A30" s="260"/>
      <c r="B30" s="262" t="s">
        <v>616</v>
      </c>
      <c r="C30" s="205"/>
      <c r="D30" s="205"/>
      <c r="E30" s="264"/>
      <c r="F30" s="264"/>
      <c r="G30" s="602"/>
      <c r="H30" s="179"/>
    </row>
    <row r="31" spans="1:8">
      <c r="A31" s="260"/>
      <c r="B31" s="164" t="s">
        <v>920</v>
      </c>
      <c r="C31" s="164"/>
      <c r="D31" s="205"/>
      <c r="E31" s="264"/>
      <c r="F31" s="264"/>
      <c r="G31" s="602"/>
      <c r="H31" s="179"/>
    </row>
    <row r="32" spans="1:8">
      <c r="A32" s="260"/>
      <c r="B32" s="268"/>
      <c r="C32" s="726" t="s">
        <v>90</v>
      </c>
      <c r="D32" s="198" t="s">
        <v>1383</v>
      </c>
      <c r="E32" s="836">
        <v>1176359.1199999999</v>
      </c>
      <c r="F32" s="264"/>
      <c r="G32" s="602"/>
      <c r="H32" s="179"/>
    </row>
    <row r="33" spans="1:9" ht="13.5" thickBot="1">
      <c r="A33" s="603"/>
      <c r="B33" s="604"/>
      <c r="C33" s="605"/>
      <c r="D33" s="605"/>
      <c r="E33" s="606"/>
      <c r="F33" s="606"/>
      <c r="G33" s="607"/>
      <c r="H33" s="179"/>
    </row>
    <row r="34" spans="1:9">
      <c r="A34" s="198"/>
      <c r="B34" s="198"/>
      <c r="C34" s="205"/>
      <c r="D34" s="205"/>
      <c r="E34" s="264"/>
      <c r="F34" s="264"/>
      <c r="G34" s="264"/>
      <c r="H34" s="179"/>
    </row>
    <row r="35" spans="1:9">
      <c r="A35" s="198"/>
      <c r="B35" s="198"/>
      <c r="C35" s="205"/>
      <c r="D35" s="205"/>
      <c r="E35" s="264"/>
      <c r="F35" s="264"/>
      <c r="G35" s="264"/>
      <c r="H35" s="179"/>
    </row>
    <row r="36" spans="1:9" ht="13.5" thickBot="1">
      <c r="A36" s="164"/>
    </row>
    <row r="37" spans="1:9">
      <c r="A37" s="304" t="s">
        <v>1334</v>
      </c>
      <c r="B37" s="305"/>
      <c r="C37" s="305"/>
      <c r="D37" s="305"/>
      <c r="E37" s="305"/>
      <c r="F37" s="305"/>
      <c r="G37" s="590"/>
    </row>
    <row r="38" spans="1:9">
      <c r="A38" s="258"/>
      <c r="B38" s="164"/>
      <c r="C38" s="164"/>
      <c r="D38" s="164"/>
      <c r="G38" s="259"/>
    </row>
    <row r="39" spans="1:9" ht="25.5">
      <c r="A39" s="600" t="s">
        <v>862</v>
      </c>
      <c r="B39" s="2" t="s">
        <v>892</v>
      </c>
      <c r="C39" s="2" t="s">
        <v>54</v>
      </c>
      <c r="D39" s="2" t="s">
        <v>864</v>
      </c>
      <c r="E39" s="2" t="s">
        <v>55</v>
      </c>
      <c r="F39" s="2" t="s">
        <v>67</v>
      </c>
      <c r="G39" s="601" t="s">
        <v>56</v>
      </c>
    </row>
    <row r="40" spans="1:9">
      <c r="A40" s="258"/>
      <c r="B40" s="164"/>
      <c r="C40" s="164"/>
      <c r="D40" s="164"/>
      <c r="E40" s="311" t="s">
        <v>358</v>
      </c>
      <c r="F40" s="794" t="s">
        <v>357</v>
      </c>
      <c r="G40" s="840" t="s">
        <v>359</v>
      </c>
    </row>
    <row r="41" spans="1:9">
      <c r="A41" s="258"/>
      <c r="B41" s="164"/>
      <c r="C41" s="164"/>
      <c r="D41" s="164"/>
      <c r="E41" s="164"/>
      <c r="F41" s="164"/>
      <c r="G41" s="259"/>
    </row>
    <row r="42" spans="1:9">
      <c r="A42" s="260">
        <v>1</v>
      </c>
      <c r="B42" s="261">
        <v>920</v>
      </c>
      <c r="C42" s="262" t="s">
        <v>58</v>
      </c>
      <c r="D42" s="237" t="s">
        <v>520</v>
      </c>
      <c r="E42" s="263">
        <v>51956541</v>
      </c>
      <c r="F42" s="217">
        <v>0</v>
      </c>
      <c r="G42" s="602">
        <f>SUM(E42:F42)</f>
        <v>51956541</v>
      </c>
    </row>
    <row r="43" spans="1:9">
      <c r="A43" s="260">
        <f t="shared" ref="A43:A56" si="2">A42+1</f>
        <v>2</v>
      </c>
      <c r="B43" s="261">
        <v>921</v>
      </c>
      <c r="C43" s="262" t="s">
        <v>59</v>
      </c>
      <c r="D43" s="237" t="s">
        <v>521</v>
      </c>
      <c r="E43" s="266">
        <v>36172007</v>
      </c>
      <c r="F43" s="267">
        <v>0</v>
      </c>
      <c r="G43" s="265">
        <f>SUM(E43:F43)</f>
        <v>36172007</v>
      </c>
      <c r="I43" s="73"/>
    </row>
    <row r="44" spans="1:9">
      <c r="A44" s="260">
        <f t="shared" si="2"/>
        <v>3</v>
      </c>
      <c r="B44" s="261">
        <v>922</v>
      </c>
      <c r="C44" s="262" t="s">
        <v>60</v>
      </c>
      <c r="D44" s="237" t="s">
        <v>522</v>
      </c>
      <c r="E44" s="266">
        <v>-30830244</v>
      </c>
      <c r="F44" s="179">
        <v>0</v>
      </c>
      <c r="G44" s="265">
        <f t="shared" ref="G44:G55" si="3">SUM(E44:F44)</f>
        <v>-30830244</v>
      </c>
    </row>
    <row r="45" spans="1:9">
      <c r="A45" s="260">
        <f t="shared" si="2"/>
        <v>4</v>
      </c>
      <c r="B45" s="261">
        <v>923</v>
      </c>
      <c r="C45" s="187" t="s">
        <v>68</v>
      </c>
      <c r="D45" s="237" t="s">
        <v>523</v>
      </c>
      <c r="E45" s="266">
        <v>20125071</v>
      </c>
      <c r="F45" s="139">
        <v>0</v>
      </c>
      <c r="G45" s="265">
        <f t="shared" si="3"/>
        <v>20125071</v>
      </c>
    </row>
    <row r="46" spans="1:9">
      <c r="A46" s="260">
        <f t="shared" si="2"/>
        <v>5</v>
      </c>
      <c r="B46" s="261">
        <v>924</v>
      </c>
      <c r="C46" s="164" t="s">
        <v>65</v>
      </c>
      <c r="D46" s="237" t="s">
        <v>524</v>
      </c>
      <c r="E46" s="266">
        <v>1938336</v>
      </c>
      <c r="F46" s="179">
        <v>0</v>
      </c>
      <c r="G46" s="1140">
        <f>-'ATRR Act'!D96</f>
        <v>1938336</v>
      </c>
    </row>
    <row r="47" spans="1:9">
      <c r="A47" s="260">
        <f t="shared" si="2"/>
        <v>6</v>
      </c>
      <c r="B47" s="261">
        <v>925</v>
      </c>
      <c r="C47" s="262" t="s">
        <v>61</v>
      </c>
      <c r="D47" s="237" t="s">
        <v>525</v>
      </c>
      <c r="E47" s="266">
        <v>4008593</v>
      </c>
      <c r="F47" s="267">
        <v>0</v>
      </c>
      <c r="G47" s="265">
        <f t="shared" si="3"/>
        <v>4008593</v>
      </c>
    </row>
    <row r="48" spans="1:9">
      <c r="A48" s="260">
        <f t="shared" si="2"/>
        <v>7</v>
      </c>
      <c r="B48" s="261">
        <v>926</v>
      </c>
      <c r="C48" s="262" t="s">
        <v>611</v>
      </c>
      <c r="D48" s="237" t="s">
        <v>526</v>
      </c>
      <c r="E48" s="266">
        <v>51890753</v>
      </c>
      <c r="F48" s="1205">
        <v>1427243.5274605548</v>
      </c>
      <c r="G48" s="265">
        <f>SUM(E48:F48)</f>
        <v>53317996.527460553</v>
      </c>
    </row>
    <row r="49" spans="1:7">
      <c r="A49" s="260">
        <f t="shared" si="2"/>
        <v>8</v>
      </c>
      <c r="B49" s="261">
        <v>927</v>
      </c>
      <c r="C49" s="262" t="s">
        <v>69</v>
      </c>
      <c r="D49" s="237" t="s">
        <v>527</v>
      </c>
      <c r="E49" s="266">
        <v>0</v>
      </c>
      <c r="F49" s="179">
        <v>0</v>
      </c>
      <c r="G49" s="265">
        <f t="shared" si="3"/>
        <v>0</v>
      </c>
    </row>
    <row r="50" spans="1:7">
      <c r="A50" s="260">
        <f t="shared" si="2"/>
        <v>9</v>
      </c>
      <c r="B50" s="261">
        <v>928</v>
      </c>
      <c r="C50" s="164" t="s">
        <v>613</v>
      </c>
      <c r="D50" s="237" t="s">
        <v>528</v>
      </c>
      <c r="E50" s="266">
        <v>8756308</v>
      </c>
      <c r="F50" s="179">
        <f>-E50</f>
        <v>-8756308</v>
      </c>
      <c r="G50" s="265">
        <f t="shared" si="3"/>
        <v>0</v>
      </c>
    </row>
    <row r="51" spans="1:7">
      <c r="A51" s="260">
        <f t="shared" si="2"/>
        <v>10</v>
      </c>
      <c r="B51" s="261">
        <v>929</v>
      </c>
      <c r="C51" s="262" t="s">
        <v>62</v>
      </c>
      <c r="D51" s="237" t="s">
        <v>529</v>
      </c>
      <c r="E51" s="266">
        <v>-2166134</v>
      </c>
      <c r="F51" s="179">
        <v>0</v>
      </c>
      <c r="G51" s="265">
        <f t="shared" si="3"/>
        <v>-2166134</v>
      </c>
    </row>
    <row r="52" spans="1:7">
      <c r="A52" s="260">
        <f t="shared" si="2"/>
        <v>11</v>
      </c>
      <c r="B52" s="268">
        <v>930.1</v>
      </c>
      <c r="C52" s="164" t="s">
        <v>614</v>
      </c>
      <c r="D52" s="237" t="s">
        <v>530</v>
      </c>
      <c r="E52" s="266">
        <v>2505440</v>
      </c>
      <c r="F52" s="179">
        <f>-E52</f>
        <v>-2505440</v>
      </c>
      <c r="G52" s="265">
        <f t="shared" si="3"/>
        <v>0</v>
      </c>
    </row>
    <row r="53" spans="1:7">
      <c r="A53" s="260">
        <f t="shared" si="2"/>
        <v>12</v>
      </c>
      <c r="B53" s="268">
        <v>930.2</v>
      </c>
      <c r="C53" s="262" t="s">
        <v>615</v>
      </c>
      <c r="D53" s="237" t="s">
        <v>531</v>
      </c>
      <c r="E53" s="266">
        <v>3212078</v>
      </c>
      <c r="F53" s="139">
        <f>-E65</f>
        <v>-1251050</v>
      </c>
      <c r="G53" s="265">
        <f t="shared" si="3"/>
        <v>1961028</v>
      </c>
    </row>
    <row r="54" spans="1:7">
      <c r="A54" s="260">
        <f t="shared" si="2"/>
        <v>13</v>
      </c>
      <c r="B54" s="261">
        <v>931</v>
      </c>
      <c r="C54" s="187" t="s">
        <v>12</v>
      </c>
      <c r="D54" s="237" t="s">
        <v>532</v>
      </c>
      <c r="E54" s="266">
        <v>29065805</v>
      </c>
      <c r="F54" s="267">
        <v>0</v>
      </c>
      <c r="G54" s="265">
        <f t="shared" si="3"/>
        <v>29065805</v>
      </c>
    </row>
    <row r="55" spans="1:7" ht="13.5" thickBot="1">
      <c r="A55" s="260">
        <f t="shared" si="2"/>
        <v>14</v>
      </c>
      <c r="B55" s="261">
        <v>935</v>
      </c>
      <c r="C55" s="164" t="s">
        <v>63</v>
      </c>
      <c r="D55" s="237" t="s">
        <v>533</v>
      </c>
      <c r="E55" s="269">
        <v>594330</v>
      </c>
      <c r="F55" s="177">
        <v>0</v>
      </c>
      <c r="G55" s="265">
        <f t="shared" si="3"/>
        <v>594330</v>
      </c>
    </row>
    <row r="56" spans="1:7" ht="13.5" thickBot="1">
      <c r="A56" s="260">
        <f t="shared" si="2"/>
        <v>15</v>
      </c>
      <c r="B56" s="198"/>
      <c r="C56" s="205" t="s">
        <v>64</v>
      </c>
      <c r="D56" s="205"/>
      <c r="E56" s="264">
        <f>SUM(E42:E55)</f>
        <v>177228884</v>
      </c>
      <c r="F56" s="264">
        <f>SUM(F42:F55)</f>
        <v>-11085554.472539445</v>
      </c>
      <c r="G56" s="476">
        <f>SUM(G42:G55)</f>
        <v>166143329.52746055</v>
      </c>
    </row>
    <row r="57" spans="1:7">
      <c r="A57" s="260"/>
      <c r="B57" s="164"/>
      <c r="C57" s="164"/>
      <c r="D57" s="164"/>
      <c r="E57" s="164"/>
      <c r="F57" s="164"/>
      <c r="G57" s="259"/>
    </row>
    <row r="58" spans="1:7">
      <c r="A58" s="260"/>
      <c r="B58" s="198" t="s">
        <v>89</v>
      </c>
      <c r="C58" s="205"/>
      <c r="D58" s="164"/>
      <c r="E58" s="164"/>
      <c r="F58" s="164"/>
      <c r="G58" s="259"/>
    </row>
    <row r="59" spans="1:7" ht="52.5" customHeight="1">
      <c r="A59" s="260"/>
      <c r="B59" s="1255" t="s">
        <v>1713</v>
      </c>
      <c r="C59" s="1255"/>
      <c r="D59" s="1255"/>
      <c r="E59" s="1255"/>
      <c r="F59" s="1255"/>
      <c r="G59" s="1256"/>
    </row>
    <row r="60" spans="1:7">
      <c r="A60" s="260"/>
      <c r="B60" s="262" t="s">
        <v>401</v>
      </c>
      <c r="C60" s="205"/>
      <c r="D60" s="164"/>
      <c r="E60" s="164"/>
      <c r="F60" s="164"/>
      <c r="G60" s="259"/>
    </row>
    <row r="61" spans="1:7">
      <c r="A61" s="260"/>
      <c r="B61" s="262" t="s">
        <v>616</v>
      </c>
      <c r="C61" s="205"/>
      <c r="D61" s="164"/>
      <c r="E61" s="164"/>
      <c r="F61" s="164"/>
      <c r="G61" s="259"/>
    </row>
    <row r="62" spans="1:7">
      <c r="A62" s="260"/>
      <c r="B62" s="164" t="s">
        <v>920</v>
      </c>
      <c r="C62" s="164"/>
      <c r="D62" s="164"/>
      <c r="E62" s="164"/>
      <c r="F62" s="164"/>
      <c r="G62" s="259"/>
    </row>
    <row r="63" spans="1:7">
      <c r="A63" s="260"/>
      <c r="B63" s="164"/>
      <c r="C63" s="574" t="s">
        <v>1315</v>
      </c>
      <c r="D63" s="574" t="s">
        <v>1316</v>
      </c>
      <c r="E63" s="266">
        <v>44911</v>
      </c>
      <c r="F63" s="164"/>
      <c r="G63" s="259"/>
    </row>
    <row r="64" spans="1:7">
      <c r="A64" s="260"/>
      <c r="B64" s="164"/>
      <c r="C64" s="474" t="s">
        <v>1317</v>
      </c>
      <c r="D64" s="1041" t="s">
        <v>1594</v>
      </c>
      <c r="E64" s="269">
        <v>1206139</v>
      </c>
      <c r="F64" s="164"/>
      <c r="G64" s="259"/>
    </row>
    <row r="65" spans="1:7">
      <c r="A65" s="260"/>
      <c r="B65" s="268"/>
      <c r="C65" s="187" t="s">
        <v>90</v>
      </c>
      <c r="D65" s="792"/>
      <c r="E65" s="831">
        <f>SUM(E63:E64)</f>
        <v>1251050</v>
      </c>
      <c r="F65" s="164"/>
      <c r="G65" s="259"/>
    </row>
    <row r="66" spans="1:7" ht="13.5" thickBot="1">
      <c r="A66" s="271"/>
      <c r="B66" s="272"/>
      <c r="C66" s="272"/>
      <c r="D66" s="272"/>
      <c r="E66" s="272"/>
      <c r="F66" s="272"/>
      <c r="G66" s="273"/>
    </row>
  </sheetData>
  <mergeCells count="2">
    <mergeCell ref="B28:G28"/>
    <mergeCell ref="B59:G59"/>
  </mergeCells>
  <phoneticPr fontId="2" type="noConversion"/>
  <printOptions horizontalCentered="1"/>
  <pageMargins left="0.75" right="0.75" top="1" bottom="1" header="0.5" footer="0.5"/>
  <pageSetup scale="66" orientation="portrait" r:id="rId1"/>
  <headerFooter alignWithMargins="0">
    <oddHeader>&amp;RPage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pageSetUpPr fitToPage="1"/>
  </sheetPr>
  <dimension ref="A1:G62"/>
  <sheetViews>
    <sheetView view="pageBreakPreview" zoomScale="60" zoomScaleNormal="100" workbookViewId="0">
      <selection activeCell="Z34" sqref="Z34"/>
    </sheetView>
  </sheetViews>
  <sheetFormatPr defaultRowHeight="12.75"/>
  <cols>
    <col min="1" max="1" width="8.85546875" customWidth="1"/>
    <col min="2" max="2" width="53.42578125" customWidth="1"/>
    <col min="3" max="3" width="17.5703125" bestFit="1" customWidth="1"/>
    <col min="4" max="5" width="14" bestFit="1" customWidth="1"/>
  </cols>
  <sheetData>
    <row r="1" spans="1:7">
      <c r="A1" s="99" t="str">
        <f>'Cover Page'!A5</f>
        <v>Public Service Company of Colorado</v>
      </c>
      <c r="E1" s="133" t="str">
        <f>'Table of Contents'!A27</f>
        <v>Table 19</v>
      </c>
    </row>
    <row r="2" spans="1:7">
      <c r="A2" s="99" t="str">
        <f>'Cover Page'!A6</f>
        <v>Transmission Formula Rate Template</v>
      </c>
      <c r="E2" s="133" t="str">
        <f ca="1">MID(CELL("filename",B2),FIND("]",CELL("filename",B2))+1,LEN(CELL("filename",B2))-FIND("]",CELL("filename",B2)))</f>
        <v>WP_C-3</v>
      </c>
    </row>
    <row r="3" spans="1:7">
      <c r="A3" s="99" t="str">
        <f>'Cover Page'!A7</f>
        <v>Twelve Months Ended December 31, 2017</v>
      </c>
    </row>
    <row r="4" spans="1:7">
      <c r="A4" s="99" t="s">
        <v>603</v>
      </c>
    </row>
    <row r="5" spans="1:7">
      <c r="G5" s="100"/>
    </row>
    <row r="7" spans="1:7">
      <c r="A7" s="173"/>
      <c r="B7" s="173"/>
      <c r="C7" s="173"/>
      <c r="D7" s="173"/>
      <c r="E7" s="173" t="s">
        <v>604</v>
      </c>
    </row>
    <row r="8" spans="1:7">
      <c r="A8" s="2" t="s">
        <v>862</v>
      </c>
      <c r="B8" s="2" t="s">
        <v>912</v>
      </c>
      <c r="C8" s="2" t="s">
        <v>605</v>
      </c>
      <c r="D8" s="2" t="s">
        <v>606</v>
      </c>
      <c r="E8" s="2" t="s">
        <v>607</v>
      </c>
    </row>
    <row r="9" spans="1:7">
      <c r="C9" s="311" t="s">
        <v>358</v>
      </c>
      <c r="D9" s="794" t="s">
        <v>357</v>
      </c>
      <c r="E9" s="794" t="s">
        <v>359</v>
      </c>
    </row>
    <row r="10" spans="1:7">
      <c r="A10" s="106">
        <v>1</v>
      </c>
      <c r="B10" s="372" t="s">
        <v>1734</v>
      </c>
      <c r="G10" s="100"/>
    </row>
    <row r="11" spans="1:7">
      <c r="A11" s="106">
        <f t="shared" ref="A11:A53" si="0">A10+1</f>
        <v>2</v>
      </c>
    </row>
    <row r="12" spans="1:7">
      <c r="A12" s="106">
        <f t="shared" si="0"/>
        <v>3</v>
      </c>
      <c r="B12" s="463" t="s">
        <v>1717</v>
      </c>
      <c r="C12" s="463">
        <v>-9149000</v>
      </c>
      <c r="D12" s="463">
        <v>-6112273</v>
      </c>
      <c r="E12" s="463">
        <v>-4184534</v>
      </c>
    </row>
    <row r="13" spans="1:7">
      <c r="A13" s="106">
        <f t="shared" si="0"/>
        <v>4</v>
      </c>
      <c r="B13" s="463" t="s">
        <v>1735</v>
      </c>
      <c r="C13" s="482">
        <v>2818000</v>
      </c>
      <c r="D13" s="482">
        <v>960</v>
      </c>
      <c r="E13" s="482">
        <v>397</v>
      </c>
    </row>
    <row r="14" spans="1:7">
      <c r="A14" s="106">
        <f t="shared" si="0"/>
        <v>5</v>
      </c>
      <c r="B14" s="463" t="s">
        <v>1736</v>
      </c>
      <c r="C14" s="482">
        <v>757000</v>
      </c>
      <c r="D14" s="482">
        <v>213</v>
      </c>
      <c r="E14" s="482">
        <v>213</v>
      </c>
    </row>
    <row r="15" spans="1:7">
      <c r="A15" s="106">
        <f t="shared" si="0"/>
        <v>6</v>
      </c>
      <c r="B15" s="463" t="s">
        <v>1737</v>
      </c>
      <c r="C15" s="482">
        <v>-881000</v>
      </c>
      <c r="D15" s="482">
        <v>-14</v>
      </c>
      <c r="E15" s="482">
        <v>-14</v>
      </c>
    </row>
    <row r="16" spans="1:7">
      <c r="A16" s="106">
        <f t="shared" si="0"/>
        <v>7</v>
      </c>
      <c r="B16" s="463" t="s">
        <v>1718</v>
      </c>
      <c r="C16" s="464">
        <v>1545000</v>
      </c>
      <c r="D16" s="464">
        <v>390325</v>
      </c>
      <c r="E16" s="464">
        <v>298136</v>
      </c>
      <c r="G16" s="79"/>
    </row>
    <row r="17" spans="1:5">
      <c r="A17" s="106">
        <f t="shared" si="0"/>
        <v>8</v>
      </c>
      <c r="C17" s="134"/>
      <c r="D17" s="134"/>
    </row>
    <row r="18" spans="1:5" ht="13.5" thickBot="1">
      <c r="A18" s="106">
        <f t="shared" si="0"/>
        <v>9</v>
      </c>
      <c r="B18" s="105" t="s">
        <v>790</v>
      </c>
      <c r="C18" s="317">
        <f>SUM(C12:C16)</f>
        <v>-4910000</v>
      </c>
      <c r="D18" s="317">
        <f>SUM(D12:D16)</f>
        <v>-5720789</v>
      </c>
      <c r="E18" s="317">
        <f>SUM(E12:E16)</f>
        <v>-3885802</v>
      </c>
    </row>
    <row r="19" spans="1:5" ht="13.5" thickTop="1">
      <c r="A19" s="106">
        <f t="shared" si="0"/>
        <v>10</v>
      </c>
    </row>
    <row r="20" spans="1:5">
      <c r="A20" s="106">
        <f t="shared" si="0"/>
        <v>11</v>
      </c>
    </row>
    <row r="21" spans="1:5">
      <c r="A21" s="106">
        <f t="shared" si="0"/>
        <v>12</v>
      </c>
      <c r="B21" s="372" t="s">
        <v>1733</v>
      </c>
    </row>
    <row r="22" spans="1:5">
      <c r="A22" s="106">
        <f t="shared" si="0"/>
        <v>13</v>
      </c>
      <c r="E22" s="106"/>
    </row>
    <row r="23" spans="1:5">
      <c r="A23" s="106">
        <f t="shared" si="0"/>
        <v>14</v>
      </c>
      <c r="B23" s="463" t="s">
        <v>1717</v>
      </c>
      <c r="C23" s="463">
        <v>-9149000</v>
      </c>
      <c r="D23" s="463">
        <v>-6112273</v>
      </c>
      <c r="E23" s="463">
        <v>-4184534</v>
      </c>
    </row>
    <row r="24" spans="1:5">
      <c r="A24" s="106">
        <f t="shared" si="0"/>
        <v>15</v>
      </c>
      <c r="B24" s="463" t="s">
        <v>1735</v>
      </c>
      <c r="C24" s="482">
        <v>2818000</v>
      </c>
      <c r="D24" s="482">
        <v>960</v>
      </c>
      <c r="E24" s="482">
        <v>397</v>
      </c>
    </row>
    <row r="25" spans="1:5">
      <c r="A25" s="106">
        <f t="shared" si="0"/>
        <v>16</v>
      </c>
      <c r="B25" s="463" t="s">
        <v>1736</v>
      </c>
      <c r="C25" s="482">
        <v>757000</v>
      </c>
      <c r="D25" s="482">
        <v>213</v>
      </c>
      <c r="E25" s="482">
        <v>213</v>
      </c>
    </row>
    <row r="26" spans="1:5">
      <c r="A26" s="106">
        <f t="shared" si="0"/>
        <v>17</v>
      </c>
      <c r="B26" s="463" t="s">
        <v>1737</v>
      </c>
      <c r="C26" s="482">
        <v>-881000</v>
      </c>
      <c r="D26" s="482">
        <v>-14</v>
      </c>
      <c r="E26" s="482">
        <v>-14</v>
      </c>
    </row>
    <row r="27" spans="1:5">
      <c r="A27" s="106">
        <f t="shared" si="0"/>
        <v>18</v>
      </c>
      <c r="B27" s="463" t="s">
        <v>1718</v>
      </c>
      <c r="C27" s="464">
        <v>1545000</v>
      </c>
      <c r="D27" s="464">
        <v>390325</v>
      </c>
      <c r="E27" s="464">
        <v>298136</v>
      </c>
    </row>
    <row r="28" spans="1:5">
      <c r="A28" s="106">
        <f t="shared" si="0"/>
        <v>19</v>
      </c>
      <c r="C28" s="134"/>
      <c r="D28" s="134"/>
    </row>
    <row r="29" spans="1:5" ht="13.5" thickBot="1">
      <c r="A29" s="106">
        <f t="shared" si="0"/>
        <v>20</v>
      </c>
      <c r="B29" s="105" t="s">
        <v>790</v>
      </c>
      <c r="C29" s="317">
        <f>SUM(C23:C27)</f>
        <v>-4910000</v>
      </c>
      <c r="D29" s="317">
        <f>SUM(D23:D27)</f>
        <v>-5720789</v>
      </c>
      <c r="E29" s="317">
        <f>SUM(E23:E27)</f>
        <v>-3885802</v>
      </c>
    </row>
    <row r="30" spans="1:5" ht="13.5" thickTop="1">
      <c r="A30" s="106">
        <f t="shared" si="0"/>
        <v>21</v>
      </c>
      <c r="C30" s="179"/>
      <c r="D30" s="179"/>
      <c r="E30" s="179"/>
    </row>
    <row r="31" spans="1:5">
      <c r="A31" s="111">
        <f t="shared" si="0"/>
        <v>22</v>
      </c>
      <c r="B31" s="276" t="s">
        <v>1834</v>
      </c>
      <c r="C31" s="110"/>
      <c r="D31" s="110"/>
      <c r="E31" s="110"/>
    </row>
    <row r="32" spans="1:5">
      <c r="A32" s="111">
        <f t="shared" si="0"/>
        <v>23</v>
      </c>
      <c r="B32" s="110"/>
      <c r="C32" s="110"/>
      <c r="D32" s="110"/>
      <c r="E32" s="110"/>
    </row>
    <row r="33" spans="1:5">
      <c r="A33" s="111">
        <f t="shared" si="0"/>
        <v>24</v>
      </c>
      <c r="B33" s="463" t="s">
        <v>1717</v>
      </c>
      <c r="C33" s="463">
        <v>-6777000</v>
      </c>
      <c r="D33" s="463">
        <v>-4429161</v>
      </c>
      <c r="E33" s="463">
        <v>-2846961</v>
      </c>
    </row>
    <row r="34" spans="1:5">
      <c r="A34" s="111">
        <f t="shared" si="0"/>
        <v>25</v>
      </c>
      <c r="B34" s="463" t="s">
        <v>1735</v>
      </c>
      <c r="C34" s="482">
        <v>2335000</v>
      </c>
      <c r="D34" s="482">
        <v>0</v>
      </c>
      <c r="E34" s="482">
        <v>0</v>
      </c>
    </row>
    <row r="35" spans="1:5">
      <c r="A35" s="111">
        <f t="shared" si="0"/>
        <v>26</v>
      </c>
      <c r="B35" s="463" t="s">
        <v>1736</v>
      </c>
      <c r="C35" s="145">
        <v>673000</v>
      </c>
      <c r="D35" s="145">
        <v>0</v>
      </c>
      <c r="E35" s="145">
        <v>0</v>
      </c>
    </row>
    <row r="36" spans="1:5">
      <c r="A36" s="111">
        <f t="shared" si="0"/>
        <v>27</v>
      </c>
      <c r="B36" s="463" t="s">
        <v>1737</v>
      </c>
      <c r="C36" s="145">
        <v>-840000</v>
      </c>
      <c r="D36" s="145">
        <v>0</v>
      </c>
      <c r="E36" s="145">
        <v>0</v>
      </c>
    </row>
    <row r="37" spans="1:5">
      <c r="A37" s="111">
        <f t="shared" si="0"/>
        <v>28</v>
      </c>
      <c r="B37" s="463" t="s">
        <v>1718</v>
      </c>
      <c r="C37" s="138">
        <v>1491000</v>
      </c>
      <c r="D37" s="138">
        <v>384347</v>
      </c>
      <c r="E37" s="138">
        <v>290335</v>
      </c>
    </row>
    <row r="38" spans="1:5">
      <c r="A38" s="111">
        <f t="shared" si="0"/>
        <v>29</v>
      </c>
      <c r="B38" s="110"/>
      <c r="C38" s="144"/>
      <c r="D38" s="144"/>
      <c r="E38" s="110"/>
    </row>
    <row r="39" spans="1:5" ht="13.5" thickBot="1">
      <c r="A39" s="111">
        <f t="shared" si="0"/>
        <v>30</v>
      </c>
      <c r="B39" s="119" t="s">
        <v>790</v>
      </c>
      <c r="C39" s="796">
        <f>SUM(C33:C37)</f>
        <v>-3118000</v>
      </c>
      <c r="D39" s="796">
        <f>SUM(D33:D37)</f>
        <v>-4044814</v>
      </c>
      <c r="E39" s="796">
        <f>SUM(E33:E37)</f>
        <v>-2556626</v>
      </c>
    </row>
    <row r="40" spans="1:5" ht="13.5" thickTop="1">
      <c r="A40" s="111">
        <f t="shared" si="0"/>
        <v>31</v>
      </c>
      <c r="C40" s="139"/>
      <c r="D40" s="139"/>
      <c r="E40" s="139"/>
    </row>
    <row r="41" spans="1:5">
      <c r="A41" s="111">
        <f t="shared" si="0"/>
        <v>32</v>
      </c>
      <c r="B41" s="276" t="s">
        <v>1835</v>
      </c>
    </row>
    <row r="42" spans="1:5">
      <c r="A42" s="111">
        <f t="shared" si="0"/>
        <v>33</v>
      </c>
      <c r="E42" s="106"/>
    </row>
    <row r="43" spans="1:5">
      <c r="A43" s="111">
        <f t="shared" si="0"/>
        <v>34</v>
      </c>
      <c r="B43" s="463" t="s">
        <v>1717</v>
      </c>
      <c r="C43" s="463">
        <v>-6777000</v>
      </c>
      <c r="D43" s="463">
        <v>-4429161</v>
      </c>
      <c r="E43" s="463">
        <v>-2846961</v>
      </c>
    </row>
    <row r="44" spans="1:5">
      <c r="A44" s="111">
        <f t="shared" si="0"/>
        <v>35</v>
      </c>
      <c r="B44" s="463" t="s">
        <v>1735</v>
      </c>
      <c r="C44" s="482">
        <v>2335000</v>
      </c>
      <c r="D44" s="482">
        <v>0</v>
      </c>
      <c r="E44" s="482">
        <v>0</v>
      </c>
    </row>
    <row r="45" spans="1:5">
      <c r="A45" s="111">
        <f t="shared" si="0"/>
        <v>36</v>
      </c>
      <c r="B45" s="463" t="s">
        <v>1736</v>
      </c>
      <c r="C45" s="145">
        <v>673000</v>
      </c>
      <c r="D45" s="145">
        <v>0</v>
      </c>
      <c r="E45" s="145">
        <v>0</v>
      </c>
    </row>
    <row r="46" spans="1:5">
      <c r="A46" s="111">
        <f t="shared" si="0"/>
        <v>37</v>
      </c>
      <c r="B46" s="463" t="s">
        <v>1737</v>
      </c>
      <c r="C46" s="145">
        <v>-840000</v>
      </c>
      <c r="D46" s="145">
        <v>0</v>
      </c>
      <c r="E46" s="145">
        <v>0</v>
      </c>
    </row>
    <row r="47" spans="1:5">
      <c r="A47" s="111">
        <f t="shared" si="0"/>
        <v>38</v>
      </c>
      <c r="B47" s="463" t="s">
        <v>1718</v>
      </c>
      <c r="C47" s="138">
        <v>1491000</v>
      </c>
      <c r="D47" s="138">
        <v>384347</v>
      </c>
      <c r="E47" s="138">
        <v>290335</v>
      </c>
    </row>
    <row r="48" spans="1:5">
      <c r="A48" s="111">
        <f t="shared" si="0"/>
        <v>39</v>
      </c>
      <c r="C48" s="134"/>
      <c r="D48" s="134"/>
    </row>
    <row r="49" spans="1:6" ht="13.5" thickBot="1">
      <c r="A49" s="106">
        <f t="shared" si="0"/>
        <v>40</v>
      </c>
      <c r="B49" s="105" t="s">
        <v>790</v>
      </c>
      <c r="C49" s="317">
        <f>SUM(C43:C47)</f>
        <v>-3118000</v>
      </c>
      <c r="D49" s="317">
        <f>SUM(D43:D47)</f>
        <v>-4044814</v>
      </c>
      <c r="E49" s="317">
        <f>SUM(E43:E47)</f>
        <v>-2556626</v>
      </c>
    </row>
    <row r="50" spans="1:6" ht="13.5" thickTop="1">
      <c r="A50" s="106">
        <f t="shared" si="0"/>
        <v>41</v>
      </c>
      <c r="C50" s="179"/>
      <c r="D50" s="179"/>
      <c r="E50" s="179"/>
    </row>
    <row r="51" spans="1:6" ht="13.5" thickBot="1">
      <c r="A51" s="106">
        <f t="shared" si="0"/>
        <v>42</v>
      </c>
      <c r="B51" s="187" t="s">
        <v>67</v>
      </c>
      <c r="C51" s="179"/>
      <c r="D51" s="179"/>
      <c r="E51" s="179"/>
    </row>
    <row r="52" spans="1:6" ht="13.5" thickBot="1">
      <c r="A52" s="106">
        <f t="shared" si="0"/>
        <v>43</v>
      </c>
      <c r="B52" t="str">
        <f>"Estimated Amount Less Base Year Amount (Line "&amp;A29&amp;" minus "&amp;A18&amp;")"</f>
        <v>Estimated Amount Less Base Year Amount (Line 20 minus 9)</v>
      </c>
      <c r="C52" s="179">
        <f>C29-C18</f>
        <v>0</v>
      </c>
      <c r="D52" s="179">
        <f>D29-D18</f>
        <v>0</v>
      </c>
      <c r="E52" s="132">
        <f>E29-E18</f>
        <v>0</v>
      </c>
    </row>
    <row r="53" spans="1:6" ht="13.5" thickBot="1">
      <c r="A53" s="106">
        <f t="shared" si="0"/>
        <v>44</v>
      </c>
      <c r="B53" s="110" t="str">
        <f>"Actual Amount Less Base Year Amount (Line "&amp;A49&amp;" minus "&amp;A39&amp;")"</f>
        <v>Actual Amount Less Base Year Amount (Line 40 minus 30)</v>
      </c>
      <c r="C53" s="179">
        <f>IF(C49=0,0,C49-C39)</f>
        <v>0</v>
      </c>
      <c r="D53" s="179">
        <f>IF(D49=0,0,D49-D39)</f>
        <v>0</v>
      </c>
      <c r="E53" s="132">
        <f>IF(E49=0,0,E49-E39)</f>
        <v>0</v>
      </c>
      <c r="F53" s="135"/>
    </row>
    <row r="54" spans="1:6">
      <c r="A54" s="106"/>
      <c r="C54" s="179"/>
      <c r="D54" s="179"/>
      <c r="E54" s="179"/>
    </row>
    <row r="55" spans="1:6">
      <c r="B55" t="s">
        <v>89</v>
      </c>
    </row>
    <row r="56" spans="1:6">
      <c r="B56" t="s">
        <v>608</v>
      </c>
    </row>
    <row r="57" spans="1:6">
      <c r="B57" t="s">
        <v>609</v>
      </c>
    </row>
    <row r="58" spans="1:6">
      <c r="B58" t="s">
        <v>610</v>
      </c>
    </row>
    <row r="59" spans="1:6">
      <c r="B59" t="s">
        <v>391</v>
      </c>
    </row>
    <row r="62" spans="1:6">
      <c r="B62" t="s">
        <v>921</v>
      </c>
    </row>
  </sheetData>
  <phoneticPr fontId="2" type="noConversion"/>
  <pageMargins left="0.75" right="0.75" top="1" bottom="1" header="0.5" footer="0.5"/>
  <pageSetup scale="83" orientation="portrait" r:id="rId1"/>
  <headerFooter alignWithMargins="0">
    <oddHeader>&amp;RPage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G50"/>
  <sheetViews>
    <sheetView view="pageBreakPreview" zoomScale="60" zoomScaleNormal="110" workbookViewId="0">
      <selection activeCell="Z34" sqref="Z34"/>
    </sheetView>
  </sheetViews>
  <sheetFormatPr defaultRowHeight="12.75"/>
  <cols>
    <col min="2" max="2" width="40.140625" bestFit="1" customWidth="1"/>
    <col min="3" max="3" width="17.28515625" bestFit="1" customWidth="1"/>
    <col min="4" max="4" width="15.5703125" customWidth="1"/>
    <col min="5" max="5" width="14.140625" customWidth="1"/>
    <col min="6" max="6" width="12.85546875" bestFit="1" customWidth="1"/>
    <col min="7" max="7" width="3.7109375" customWidth="1"/>
  </cols>
  <sheetData>
    <row r="1" spans="1:6">
      <c r="A1" s="99" t="str">
        <f>'Cover Page'!A5</f>
        <v>Public Service Company of Colorado</v>
      </c>
      <c r="F1" s="133" t="str">
        <f>'Table of Contents'!A28</f>
        <v>Table 20</v>
      </c>
    </row>
    <row r="2" spans="1:6">
      <c r="A2" s="99" t="str">
        <f>'Cover Page'!A6</f>
        <v>Transmission Formula Rate Template</v>
      </c>
      <c r="F2" s="133" t="str">
        <f ca="1">MID(CELL("filename",D2),FIND("]",CELL("filename",D2))+1,LEN(CELL("filename",D2))-FIND("]",CELL("filename",D2)))</f>
        <v>WP_C-4</v>
      </c>
    </row>
    <row r="3" spans="1:6">
      <c r="A3" s="99" t="str">
        <f>'Cover Page'!A7</f>
        <v>Twelve Months Ended December 31, 2017</v>
      </c>
    </row>
    <row r="4" spans="1:6">
      <c r="A4" s="99" t="s">
        <v>216</v>
      </c>
    </row>
    <row r="6" spans="1:6" ht="13.5" thickBot="1"/>
    <row r="7" spans="1:6">
      <c r="A7" s="304" t="s">
        <v>983</v>
      </c>
      <c r="B7" s="305"/>
      <c r="C7" s="305"/>
      <c r="D7" s="305"/>
      <c r="E7" s="305"/>
      <c r="F7" s="590"/>
    </row>
    <row r="8" spans="1:6">
      <c r="A8" s="258"/>
      <c r="B8" s="164"/>
      <c r="C8" s="164"/>
      <c r="D8" s="164"/>
      <c r="E8" s="164"/>
      <c r="F8" s="259"/>
    </row>
    <row r="9" spans="1:6" ht="38.25">
      <c r="A9" s="239" t="s">
        <v>862</v>
      </c>
      <c r="B9" s="2" t="s">
        <v>912</v>
      </c>
      <c r="C9" s="2" t="s">
        <v>864</v>
      </c>
      <c r="D9" s="185" t="s">
        <v>649</v>
      </c>
      <c r="E9" s="185" t="s">
        <v>650</v>
      </c>
      <c r="F9" s="608" t="s">
        <v>790</v>
      </c>
    </row>
    <row r="10" spans="1:6">
      <c r="A10" s="258"/>
      <c r="B10" s="164"/>
      <c r="C10" s="164"/>
      <c r="D10" s="311" t="s">
        <v>358</v>
      </c>
      <c r="E10" s="794" t="s">
        <v>357</v>
      </c>
      <c r="F10" s="840" t="s">
        <v>359</v>
      </c>
    </row>
    <row r="11" spans="1:6">
      <c r="A11" s="260">
        <v>1</v>
      </c>
      <c r="B11" s="276" t="s">
        <v>1779</v>
      </c>
      <c r="C11" s="276" t="s">
        <v>1383</v>
      </c>
      <c r="D11" s="244">
        <v>0</v>
      </c>
      <c r="E11" s="463">
        <v>6705099.1200000001</v>
      </c>
      <c r="F11" s="844">
        <f>SUM(D11:E11)</f>
        <v>6705099.1200000001</v>
      </c>
    </row>
    <row r="12" spans="1:6">
      <c r="A12" s="260">
        <f>A11+1</f>
        <v>2</v>
      </c>
      <c r="B12" s="276" t="s">
        <v>1780</v>
      </c>
      <c r="C12" s="276" t="s">
        <v>1383</v>
      </c>
      <c r="D12" s="244">
        <v>0</v>
      </c>
      <c r="E12" s="463">
        <v>1082894.73</v>
      </c>
      <c r="F12" s="844"/>
    </row>
    <row r="13" spans="1:6">
      <c r="A13" s="260">
        <f t="shared" ref="A13:A27" si="0">A12+1</f>
        <v>3</v>
      </c>
      <c r="B13" s="276" t="s">
        <v>1781</v>
      </c>
      <c r="C13" s="276" t="s">
        <v>1383</v>
      </c>
      <c r="D13" s="244">
        <v>0</v>
      </c>
      <c r="E13" s="463">
        <v>259613.43</v>
      </c>
      <c r="F13" s="844"/>
    </row>
    <row r="14" spans="1:6">
      <c r="A14" s="260">
        <f t="shared" si="0"/>
        <v>4</v>
      </c>
      <c r="B14" s="276" t="s">
        <v>1782</v>
      </c>
      <c r="C14" s="276" t="s">
        <v>1383</v>
      </c>
      <c r="D14" s="244">
        <v>0</v>
      </c>
      <c r="E14" s="463">
        <v>171004.11000000002</v>
      </c>
      <c r="F14" s="844"/>
    </row>
    <row r="15" spans="1:6">
      <c r="A15" s="260">
        <f t="shared" si="0"/>
        <v>5</v>
      </c>
      <c r="B15" s="276" t="s">
        <v>1783</v>
      </c>
      <c r="C15" s="276" t="s">
        <v>1383</v>
      </c>
      <c r="D15" s="244">
        <v>0</v>
      </c>
      <c r="E15" s="463">
        <v>50438.39</v>
      </c>
      <c r="F15" s="844"/>
    </row>
    <row r="16" spans="1:6">
      <c r="A16" s="260">
        <f t="shared" si="0"/>
        <v>6</v>
      </c>
      <c r="B16" s="276" t="s">
        <v>1784</v>
      </c>
      <c r="C16" s="276" t="s">
        <v>1383</v>
      </c>
      <c r="D16" s="244">
        <v>0</v>
      </c>
      <c r="E16" s="463">
        <v>56868.05</v>
      </c>
      <c r="F16" s="844"/>
    </row>
    <row r="17" spans="1:7">
      <c r="A17" s="260">
        <f t="shared" si="0"/>
        <v>7</v>
      </c>
      <c r="B17" s="276" t="s">
        <v>1785</v>
      </c>
      <c r="C17" s="276" t="s">
        <v>1383</v>
      </c>
      <c r="D17" s="244">
        <v>0</v>
      </c>
      <c r="E17" s="463">
        <v>94444.09</v>
      </c>
      <c r="F17" s="844"/>
    </row>
    <row r="18" spans="1:7">
      <c r="A18" s="260">
        <f t="shared" si="0"/>
        <v>8</v>
      </c>
      <c r="B18" s="276" t="s">
        <v>1786</v>
      </c>
      <c r="C18" s="276" t="s">
        <v>1383</v>
      </c>
      <c r="D18" s="244">
        <v>0</v>
      </c>
      <c r="E18" s="463">
        <v>227729.75</v>
      </c>
      <c r="F18" s="844"/>
    </row>
    <row r="19" spans="1:7">
      <c r="A19" s="260">
        <f t="shared" si="0"/>
        <v>9</v>
      </c>
      <c r="B19" s="276" t="s">
        <v>1787</v>
      </c>
      <c r="C19" s="276" t="s">
        <v>1383</v>
      </c>
      <c r="D19" s="244">
        <v>0</v>
      </c>
      <c r="E19" s="463">
        <v>109505.21</v>
      </c>
      <c r="F19" s="844"/>
    </row>
    <row r="20" spans="1:7">
      <c r="A20" s="260">
        <f t="shared" si="0"/>
        <v>10</v>
      </c>
      <c r="B20" s="276" t="s">
        <v>1788</v>
      </c>
      <c r="C20" s="276" t="s">
        <v>1383</v>
      </c>
      <c r="D20" s="244">
        <v>-24027.9</v>
      </c>
      <c r="E20" s="463">
        <v>0</v>
      </c>
      <c r="F20" s="844"/>
    </row>
    <row r="21" spans="1:7">
      <c r="A21" s="260">
        <f t="shared" si="0"/>
        <v>11</v>
      </c>
      <c r="B21" s="276" t="s">
        <v>1789</v>
      </c>
      <c r="C21" s="276" t="s">
        <v>1383</v>
      </c>
      <c r="D21" s="244">
        <v>0</v>
      </c>
      <c r="E21" s="463">
        <v>13083.54</v>
      </c>
      <c r="F21" s="844"/>
    </row>
    <row r="22" spans="1:7">
      <c r="A22" s="260">
        <f t="shared" si="0"/>
        <v>12</v>
      </c>
      <c r="B22" s="276" t="s">
        <v>1790</v>
      </c>
      <c r="C22" s="276" t="s">
        <v>1383</v>
      </c>
      <c r="D22" s="244">
        <v>0</v>
      </c>
      <c r="E22" s="463">
        <v>44293.55</v>
      </c>
      <c r="F22" s="844"/>
    </row>
    <row r="23" spans="1:7">
      <c r="A23" s="260">
        <f t="shared" si="0"/>
        <v>13</v>
      </c>
      <c r="B23" s="276" t="s">
        <v>1791</v>
      </c>
      <c r="C23" s="276" t="s">
        <v>1383</v>
      </c>
      <c r="D23" s="463">
        <v>127882.16</v>
      </c>
      <c r="E23" s="463">
        <v>0</v>
      </c>
      <c r="F23" s="844">
        <f>SUM(D23:E23)</f>
        <v>127882.16</v>
      </c>
    </row>
    <row r="24" spans="1:7">
      <c r="A24" s="260">
        <f t="shared" si="0"/>
        <v>14</v>
      </c>
      <c r="B24" s="276" t="s">
        <v>1792</v>
      </c>
      <c r="C24" s="276" t="s">
        <v>1383</v>
      </c>
      <c r="D24" s="463">
        <v>-11742.26</v>
      </c>
      <c r="E24" s="463">
        <v>0</v>
      </c>
      <c r="F24" s="844"/>
    </row>
    <row r="25" spans="1:7">
      <c r="A25" s="260">
        <f t="shared" si="0"/>
        <v>15</v>
      </c>
      <c r="B25" s="276" t="s">
        <v>1793</v>
      </c>
      <c r="C25" s="276" t="s">
        <v>1383</v>
      </c>
      <c r="D25" s="463">
        <v>668812.91</v>
      </c>
      <c r="E25" s="463">
        <v>0</v>
      </c>
      <c r="F25" s="844">
        <f>SUM(D25:E25)</f>
        <v>668812.91</v>
      </c>
      <c r="G25" s="100"/>
    </row>
    <row r="26" spans="1:7" ht="13.5" thickBot="1">
      <c r="A26" s="260">
        <f t="shared" si="0"/>
        <v>16</v>
      </c>
      <c r="B26" s="276" t="s">
        <v>1794</v>
      </c>
      <c r="C26" s="276" t="s">
        <v>1383</v>
      </c>
      <c r="D26" s="482">
        <v>0</v>
      </c>
      <c r="E26" s="464">
        <v>-5248.97</v>
      </c>
      <c r="F26" s="1164">
        <f>SUM(D26:E26)</f>
        <v>-5248.97</v>
      </c>
      <c r="G26" s="106" t="s">
        <v>788</v>
      </c>
    </row>
    <row r="27" spans="1:7" ht="13.5" thickBot="1">
      <c r="A27" s="260">
        <f t="shared" si="0"/>
        <v>17</v>
      </c>
      <c r="B27" s="164" t="s">
        <v>790</v>
      </c>
      <c r="C27" s="164"/>
      <c r="D27" s="183">
        <f>SUM(D11:D26)</f>
        <v>760924.91</v>
      </c>
      <c r="E27" s="201">
        <f>SUM(E11:E26)</f>
        <v>8809725</v>
      </c>
      <c r="F27" s="609">
        <f>SUM(D27:E27)</f>
        <v>9570649.9100000001</v>
      </c>
      <c r="G27" s="310" t="s">
        <v>788</v>
      </c>
    </row>
    <row r="28" spans="1:7">
      <c r="A28" s="260"/>
      <c r="B28" s="164"/>
      <c r="C28" s="164"/>
      <c r="D28" s="164"/>
      <c r="E28" s="164"/>
      <c r="F28" s="259"/>
    </row>
    <row r="29" spans="1:7" ht="13.5" thickBot="1">
      <c r="A29" s="603"/>
      <c r="B29" s="436" t="s">
        <v>1219</v>
      </c>
      <c r="C29" s="436"/>
      <c r="D29" s="436"/>
      <c r="E29" s="436"/>
      <c r="F29" s="273"/>
    </row>
    <row r="30" spans="1:7">
      <c r="A30" s="198"/>
      <c r="B30" s="164"/>
      <c r="C30" s="164"/>
      <c r="D30" s="164"/>
      <c r="E30" s="164"/>
      <c r="F30" s="164"/>
    </row>
    <row r="31" spans="1:7">
      <c r="A31" s="198"/>
      <c r="B31" s="164"/>
      <c r="C31" s="164"/>
      <c r="D31" s="164"/>
      <c r="E31" s="164"/>
      <c r="F31" s="164"/>
    </row>
    <row r="32" spans="1:7" ht="13.5" thickBot="1">
      <c r="A32" s="106"/>
      <c r="D32" s="164"/>
      <c r="E32" s="164"/>
      <c r="F32" s="164"/>
    </row>
    <row r="33" spans="1:6">
      <c r="A33" s="304" t="s">
        <v>1064</v>
      </c>
      <c r="B33" s="305"/>
      <c r="C33" s="305"/>
      <c r="D33" s="305"/>
      <c r="E33" s="305"/>
      <c r="F33" s="590"/>
    </row>
    <row r="34" spans="1:6">
      <c r="A34" s="258"/>
      <c r="B34" s="164"/>
      <c r="C34" s="164"/>
      <c r="D34" s="164"/>
      <c r="E34" s="164"/>
      <c r="F34" s="259"/>
    </row>
    <row r="35" spans="1:6" ht="38.25">
      <c r="A35" s="239" t="s">
        <v>862</v>
      </c>
      <c r="B35" s="2" t="s">
        <v>912</v>
      </c>
      <c r="C35" s="2" t="s">
        <v>864</v>
      </c>
      <c r="D35" s="185" t="s">
        <v>649</v>
      </c>
      <c r="E35" s="185" t="s">
        <v>650</v>
      </c>
      <c r="F35" s="608" t="s">
        <v>790</v>
      </c>
    </row>
    <row r="36" spans="1:6">
      <c r="A36" s="258"/>
      <c r="B36" s="164"/>
      <c r="C36" s="164"/>
      <c r="D36" s="311" t="s">
        <v>358</v>
      </c>
      <c r="E36" s="794" t="s">
        <v>357</v>
      </c>
      <c r="F36" s="840" t="s">
        <v>359</v>
      </c>
    </row>
    <row r="37" spans="1:6">
      <c r="A37" s="260">
        <v>1</v>
      </c>
      <c r="B37" s="276" t="s">
        <v>1779</v>
      </c>
      <c r="C37" s="1201" t="s">
        <v>1866</v>
      </c>
      <c r="D37" s="463"/>
      <c r="E37" s="463">
        <v>7510972</v>
      </c>
      <c r="F37" s="609">
        <f>SUM(D37:E37)</f>
        <v>7510972</v>
      </c>
    </row>
    <row r="38" spans="1:6">
      <c r="A38" s="260">
        <f>A37+1</f>
        <v>2</v>
      </c>
      <c r="B38" s="276" t="s">
        <v>1859</v>
      </c>
      <c r="C38" s="1201" t="s">
        <v>1867</v>
      </c>
      <c r="D38" s="463"/>
      <c r="E38" s="463">
        <v>566667</v>
      </c>
      <c r="F38" s="609">
        <f t="shared" ref="F38:F46" si="1">SUM(D38:E38)</f>
        <v>566667</v>
      </c>
    </row>
    <row r="39" spans="1:6">
      <c r="A39" s="260">
        <f t="shared" ref="A39:A48" si="2">A38+1</f>
        <v>3</v>
      </c>
      <c r="B39" s="276" t="s">
        <v>1860</v>
      </c>
      <c r="C39" s="1201" t="s">
        <v>1868</v>
      </c>
      <c r="D39" s="463"/>
      <c r="E39" s="463">
        <v>370939</v>
      </c>
      <c r="F39" s="609">
        <f t="shared" si="1"/>
        <v>370939</v>
      </c>
    </row>
    <row r="40" spans="1:6">
      <c r="A40" s="260">
        <f t="shared" si="2"/>
        <v>4</v>
      </c>
      <c r="B40" s="276" t="s">
        <v>1861</v>
      </c>
      <c r="C40" s="1201" t="s">
        <v>1869</v>
      </c>
      <c r="D40" s="463"/>
      <c r="E40" s="463">
        <v>35953</v>
      </c>
      <c r="F40" s="609">
        <f t="shared" si="1"/>
        <v>35953</v>
      </c>
    </row>
    <row r="41" spans="1:6">
      <c r="A41" s="260">
        <f t="shared" si="2"/>
        <v>5</v>
      </c>
      <c r="B41" s="276" t="s">
        <v>1862</v>
      </c>
      <c r="C41" s="1201" t="s">
        <v>1870</v>
      </c>
      <c r="D41" s="463"/>
      <c r="E41" s="463">
        <v>31042</v>
      </c>
      <c r="F41" s="609">
        <f t="shared" si="1"/>
        <v>31042</v>
      </c>
    </row>
    <row r="42" spans="1:6">
      <c r="A42" s="260">
        <f t="shared" si="2"/>
        <v>6</v>
      </c>
      <c r="B42" s="276" t="s">
        <v>1863</v>
      </c>
      <c r="C42" s="1201" t="s">
        <v>1871</v>
      </c>
      <c r="D42" s="463"/>
      <c r="E42" s="463">
        <v>22049</v>
      </c>
      <c r="F42" s="609">
        <f t="shared" si="1"/>
        <v>22049</v>
      </c>
    </row>
    <row r="43" spans="1:6">
      <c r="A43" s="260">
        <f t="shared" si="2"/>
        <v>7</v>
      </c>
      <c r="B43" s="276" t="s">
        <v>1786</v>
      </c>
      <c r="C43" s="1201" t="s">
        <v>1872</v>
      </c>
      <c r="D43" s="463"/>
      <c r="E43" s="463">
        <v>37819</v>
      </c>
      <c r="F43" s="609">
        <f t="shared" si="1"/>
        <v>37819</v>
      </c>
    </row>
    <row r="44" spans="1:6">
      <c r="A44" s="260">
        <f t="shared" si="2"/>
        <v>8</v>
      </c>
      <c r="B44" s="276" t="s">
        <v>1794</v>
      </c>
      <c r="C44" s="1201" t="s">
        <v>1873</v>
      </c>
      <c r="D44" s="463"/>
      <c r="E44" s="463">
        <v>11200</v>
      </c>
      <c r="F44" s="609">
        <f t="shared" si="1"/>
        <v>11200</v>
      </c>
    </row>
    <row r="45" spans="1:6">
      <c r="A45" s="260">
        <f t="shared" si="2"/>
        <v>9</v>
      </c>
      <c r="B45" s="276" t="s">
        <v>1864</v>
      </c>
      <c r="C45" s="1201" t="s">
        <v>1874</v>
      </c>
      <c r="D45" s="463"/>
      <c r="E45" s="463">
        <v>156124</v>
      </c>
      <c r="F45" s="609">
        <f t="shared" si="1"/>
        <v>156124</v>
      </c>
    </row>
    <row r="46" spans="1:6">
      <c r="A46" s="260">
        <f t="shared" si="2"/>
        <v>10</v>
      </c>
      <c r="B46" s="276" t="s">
        <v>1865</v>
      </c>
      <c r="C46" s="1201" t="s">
        <v>1875</v>
      </c>
      <c r="D46" s="463"/>
      <c r="E46" s="463">
        <v>13543</v>
      </c>
      <c r="F46" s="609">
        <f t="shared" si="1"/>
        <v>13543</v>
      </c>
    </row>
    <row r="47" spans="1:6" ht="13.5" thickBot="1">
      <c r="A47" s="260">
        <f t="shared" si="2"/>
        <v>11</v>
      </c>
      <c r="B47" s="276"/>
      <c r="C47" s="276"/>
      <c r="D47" s="482"/>
      <c r="E47" s="464"/>
      <c r="F47" s="610">
        <f>SUM(D47:E47)</f>
        <v>0</v>
      </c>
    </row>
    <row r="48" spans="1:6" ht="13.5" thickBot="1">
      <c r="A48" s="260">
        <f t="shared" si="2"/>
        <v>12</v>
      </c>
      <c r="B48" s="164" t="s">
        <v>790</v>
      </c>
      <c r="C48" s="142" t="s">
        <v>1220</v>
      </c>
      <c r="D48" s="183">
        <f>SUM(D37:D46)</f>
        <v>0</v>
      </c>
      <c r="E48" s="201">
        <f t="shared" ref="E48" si="3">SUM(E37:E46)</f>
        <v>8756308</v>
      </c>
      <c r="F48" s="609">
        <f>SUM(D48:E48)</f>
        <v>8756308</v>
      </c>
    </row>
    <row r="49" spans="1:6">
      <c r="A49" s="260"/>
      <c r="B49" s="164"/>
      <c r="C49" s="164"/>
      <c r="D49" s="201"/>
      <c r="E49" s="201"/>
      <c r="F49" s="609"/>
    </row>
    <row r="50" spans="1:6" ht="13.5" thickBot="1">
      <c r="A50" s="603"/>
      <c r="B50" s="436" t="s">
        <v>1219</v>
      </c>
      <c r="C50" s="436"/>
      <c r="D50" s="436"/>
      <c r="E50" s="436"/>
      <c r="F50" s="273"/>
    </row>
  </sheetData>
  <phoneticPr fontId="2" type="noConversion"/>
  <pageMargins left="0.75" right="0.75" top="1" bottom="1" header="0.5" footer="0.5"/>
  <pageSetup scale="83" orientation="portrait" r:id="rId1"/>
  <headerFooter alignWithMargins="0">
    <oddHeader>&amp;RPage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42"/>
  <sheetViews>
    <sheetView view="pageBreakPreview" zoomScale="60" zoomScaleNormal="100" workbookViewId="0">
      <selection activeCell="Z34" sqref="Z34"/>
    </sheetView>
  </sheetViews>
  <sheetFormatPr defaultRowHeight="12.75"/>
  <cols>
    <col min="1" max="1" width="8" customWidth="1"/>
    <col min="2" max="2" width="35.7109375" bestFit="1" customWidth="1"/>
    <col min="3" max="3" width="16.42578125" style="106" bestFit="1" customWidth="1"/>
    <col min="4" max="4" width="14.7109375" bestFit="1" customWidth="1"/>
    <col min="5" max="5" width="4.5703125" customWidth="1"/>
    <col min="6" max="6" width="12.85546875" customWidth="1"/>
    <col min="7" max="7" width="16.140625" customWidth="1"/>
    <col min="8" max="8" width="3.85546875" customWidth="1"/>
  </cols>
  <sheetData>
    <row r="1" spans="1:7">
      <c r="A1" s="99" t="str">
        <f>'Cover Page'!A5</f>
        <v>Public Service Company of Colorado</v>
      </c>
      <c r="E1" s="133"/>
      <c r="G1" s="133" t="str">
        <f>'Table of Contents'!A29</f>
        <v>Table 21</v>
      </c>
    </row>
    <row r="2" spans="1:7">
      <c r="A2" s="99" t="str">
        <f>'Cover Page'!A6</f>
        <v>Transmission Formula Rate Template</v>
      </c>
      <c r="G2" s="133" t="str">
        <f ca="1">MID(CELL("filename",$A$1),FIND("]",CELL("filename",$A$1))+1,LEN(CELL("filename",$A$1))-FIND("]",CELL("filename",$A$1)))</f>
        <v>WP_D-1</v>
      </c>
    </row>
    <row r="3" spans="1:7">
      <c r="A3" s="99" t="str">
        <f>'Cover Page'!A7</f>
        <v>Twelve Months Ended December 31, 2017</v>
      </c>
    </row>
    <row r="4" spans="1:7">
      <c r="A4" s="99" t="s">
        <v>72</v>
      </c>
    </row>
    <row r="5" spans="1:7">
      <c r="A5" s="164"/>
      <c r="B5" s="164"/>
      <c r="C5" s="198"/>
      <c r="D5" s="164"/>
    </row>
    <row r="6" spans="1:7">
      <c r="A6" s="176"/>
      <c r="B6" s="164"/>
      <c r="C6" s="198"/>
      <c r="D6" s="164"/>
      <c r="E6" s="164"/>
    </row>
    <row r="7" spans="1:7">
      <c r="A7" s="164"/>
      <c r="B7" s="164"/>
      <c r="C7" s="198"/>
      <c r="D7" s="164"/>
      <c r="E7" s="164"/>
      <c r="F7" s="173" t="s">
        <v>376</v>
      </c>
    </row>
    <row r="8" spans="1:7">
      <c r="A8" s="2" t="s">
        <v>862</v>
      </c>
      <c r="B8" s="2" t="s">
        <v>912</v>
      </c>
      <c r="C8" s="2" t="s">
        <v>864</v>
      </c>
      <c r="D8" s="2" t="s">
        <v>80</v>
      </c>
      <c r="E8" s="194"/>
      <c r="F8" s="2" t="s">
        <v>864</v>
      </c>
      <c r="G8" s="274" t="s">
        <v>1064</v>
      </c>
    </row>
    <row r="9" spans="1:7">
      <c r="A9" s="194"/>
      <c r="B9" s="194"/>
      <c r="C9" s="194"/>
      <c r="D9" s="194"/>
      <c r="E9" s="164"/>
    </row>
    <row r="10" spans="1:7">
      <c r="A10" s="198">
        <v>1</v>
      </c>
      <c r="B10" s="200" t="s">
        <v>81</v>
      </c>
      <c r="C10" s="198"/>
      <c r="D10" s="164"/>
      <c r="E10" s="164"/>
      <c r="F10" s="75" t="s">
        <v>1586</v>
      </c>
      <c r="G10" s="1033">
        <v>13087232</v>
      </c>
    </row>
    <row r="11" spans="1:7">
      <c r="A11" s="198">
        <f t="shared" ref="A11:A23" si="0">A10+1</f>
        <v>2</v>
      </c>
      <c r="B11" s="200" t="s">
        <v>82</v>
      </c>
      <c r="C11" s="198"/>
      <c r="D11" s="164"/>
      <c r="E11" s="164"/>
      <c r="F11" s="75" t="s">
        <v>1586</v>
      </c>
      <c r="G11" s="463">
        <v>0</v>
      </c>
    </row>
    <row r="12" spans="1:7">
      <c r="A12" s="198">
        <f t="shared" si="0"/>
        <v>3</v>
      </c>
      <c r="B12" s="200" t="s">
        <v>83</v>
      </c>
      <c r="C12" s="198"/>
      <c r="D12" s="164"/>
      <c r="E12" s="164"/>
      <c r="F12" s="75" t="s">
        <v>1586</v>
      </c>
      <c r="G12" s="482">
        <v>200110</v>
      </c>
    </row>
    <row r="13" spans="1:7" ht="13.5" thickBot="1">
      <c r="A13" s="198">
        <f t="shared" si="0"/>
        <v>4</v>
      </c>
      <c r="B13" s="200" t="s">
        <v>73</v>
      </c>
      <c r="C13" s="198"/>
      <c r="D13" s="164"/>
      <c r="E13" s="164"/>
      <c r="F13" s="75" t="s">
        <v>1586</v>
      </c>
      <c r="G13" s="482">
        <v>23423</v>
      </c>
    </row>
    <row r="14" spans="1:7" ht="13.5" thickBot="1">
      <c r="A14" s="198">
        <f t="shared" si="0"/>
        <v>5</v>
      </c>
      <c r="B14" s="262" t="s">
        <v>74</v>
      </c>
      <c r="C14" s="198" t="s">
        <v>1383</v>
      </c>
      <c r="D14" s="856">
        <v>13060546.571717001</v>
      </c>
      <c r="E14" s="217"/>
      <c r="F14" s="73"/>
      <c r="G14" s="320">
        <f>SUM(G10:G13)</f>
        <v>13310765</v>
      </c>
    </row>
    <row r="15" spans="1:7">
      <c r="A15" s="198">
        <f t="shared" si="0"/>
        <v>6</v>
      </c>
      <c r="B15" s="164"/>
      <c r="C15" s="198"/>
      <c r="D15" s="164"/>
      <c r="E15" s="164"/>
      <c r="F15" s="73"/>
    </row>
    <row r="16" spans="1:7">
      <c r="A16" s="198">
        <f t="shared" si="0"/>
        <v>7</v>
      </c>
      <c r="B16" s="200" t="s">
        <v>75</v>
      </c>
      <c r="C16" s="198"/>
      <c r="D16" s="164"/>
      <c r="E16" s="164"/>
      <c r="F16" s="75" t="s">
        <v>1586</v>
      </c>
      <c r="G16" s="1033">
        <v>138694710</v>
      </c>
    </row>
    <row r="17" spans="1:8" ht="13.5" thickBot="1">
      <c r="A17" s="198">
        <f t="shared" si="0"/>
        <v>8</v>
      </c>
      <c r="B17" s="200" t="s">
        <v>76</v>
      </c>
      <c r="C17" s="198"/>
      <c r="D17" s="164"/>
      <c r="E17" s="164"/>
      <c r="F17" s="75" t="s">
        <v>1586</v>
      </c>
      <c r="G17" s="482">
        <v>18648</v>
      </c>
    </row>
    <row r="18" spans="1:8" ht="13.5" thickBot="1">
      <c r="A18" s="198">
        <f t="shared" si="0"/>
        <v>9</v>
      </c>
      <c r="B18" s="262" t="s">
        <v>77</v>
      </c>
      <c r="C18" s="198" t="s">
        <v>1383</v>
      </c>
      <c r="D18" s="856">
        <v>135560000</v>
      </c>
      <c r="E18" s="217"/>
      <c r="G18" s="320">
        <f>SUM(G16:G17)</f>
        <v>138713358</v>
      </c>
    </row>
    <row r="19" spans="1:8">
      <c r="A19" s="198">
        <f t="shared" si="0"/>
        <v>10</v>
      </c>
      <c r="B19" s="164"/>
      <c r="C19" s="198"/>
      <c r="D19" s="164"/>
      <c r="E19" s="164"/>
    </row>
    <row r="20" spans="1:8" ht="13.5" thickBot="1">
      <c r="A20" s="198">
        <f t="shared" si="0"/>
        <v>11</v>
      </c>
      <c r="B20" s="164" t="s">
        <v>78</v>
      </c>
      <c r="C20" s="198"/>
      <c r="D20" s="164"/>
      <c r="E20" s="164"/>
    </row>
    <row r="21" spans="1:8" ht="13.5" thickBot="1">
      <c r="A21" s="198">
        <f t="shared" si="0"/>
        <v>12</v>
      </c>
      <c r="B21" s="797"/>
      <c r="C21" s="198" t="s">
        <v>1383</v>
      </c>
      <c r="D21" s="698"/>
      <c r="E21" s="217"/>
      <c r="F21" s="106"/>
      <c r="G21" s="699"/>
    </row>
    <row r="22" spans="1:8">
      <c r="A22" s="198">
        <f t="shared" si="0"/>
        <v>13</v>
      </c>
      <c r="B22" s="164"/>
      <c r="C22" s="198"/>
      <c r="D22" s="164"/>
      <c r="E22" s="164"/>
    </row>
    <row r="23" spans="1:8" ht="26.25" thickBot="1">
      <c r="A23" s="198">
        <f t="shared" si="0"/>
        <v>14</v>
      </c>
      <c r="B23" s="164" t="s">
        <v>79</v>
      </c>
      <c r="C23" s="282" t="str">
        <f>"Line "&amp;A14&amp;" plus Line "&amp;A18&amp;" plus Line "&amp;A21</f>
        <v>Line 5 plus Line 9 plus Line 12</v>
      </c>
      <c r="D23" s="270">
        <f>D21+D18+D14</f>
        <v>148620546.57171699</v>
      </c>
      <c r="E23" s="264"/>
      <c r="F23" s="111" t="s">
        <v>383</v>
      </c>
      <c r="G23" s="270">
        <f>G21+G18+G14</f>
        <v>152024123</v>
      </c>
    </row>
    <row r="24" spans="1:8" ht="13.5" thickTop="1">
      <c r="A24" s="164"/>
      <c r="B24" s="164"/>
      <c r="C24" s="198"/>
      <c r="D24" s="164"/>
      <c r="E24" s="164"/>
    </row>
    <row r="25" spans="1:8">
      <c r="A25" s="164"/>
      <c r="C25" s="198"/>
      <c r="D25" s="164"/>
      <c r="E25" s="164"/>
      <c r="F25" s="164"/>
      <c r="G25" s="164"/>
    </row>
    <row r="26" spans="1:8" ht="26.25" customHeight="1">
      <c r="A26" s="164"/>
      <c r="B26" s="1257" t="s">
        <v>396</v>
      </c>
      <c r="C26" s="1257"/>
      <c r="D26" s="1257"/>
      <c r="E26" s="1257"/>
      <c r="F26" s="1257"/>
      <c r="G26" s="1257"/>
    </row>
    <row r="27" spans="1:8" ht="15.75">
      <c r="A27" s="280"/>
      <c r="B27" s="280"/>
      <c r="C27" s="280"/>
      <c r="D27" s="280"/>
      <c r="E27" s="280"/>
      <c r="F27" s="164"/>
      <c r="G27" s="164"/>
      <c r="H27" s="164"/>
    </row>
    <row r="28" spans="1:8">
      <c r="A28" s="164"/>
      <c r="B28" s="164"/>
      <c r="C28" s="198"/>
      <c r="D28" s="164"/>
      <c r="E28" s="164"/>
      <c r="F28" s="164"/>
      <c r="G28" s="164"/>
      <c r="H28" s="164"/>
    </row>
    <row r="29" spans="1:8">
      <c r="A29" s="164"/>
      <c r="B29" s="164"/>
      <c r="C29" s="198"/>
      <c r="D29" s="164"/>
      <c r="E29" s="164"/>
      <c r="F29" s="164"/>
      <c r="G29" s="164"/>
      <c r="H29" s="164"/>
    </row>
    <row r="30" spans="1:8">
      <c r="A30" s="164"/>
      <c r="B30" s="164"/>
      <c r="C30" s="198"/>
      <c r="D30" s="164"/>
      <c r="E30" s="164"/>
      <c r="F30" s="164"/>
      <c r="G30" s="164"/>
      <c r="H30" s="164"/>
    </row>
    <row r="31" spans="1:8">
      <c r="A31" s="164"/>
      <c r="B31" s="164"/>
      <c r="C31" s="198"/>
      <c r="D31" s="164"/>
      <c r="E31" s="164"/>
      <c r="F31" s="164"/>
      <c r="G31" s="164"/>
      <c r="H31" s="164"/>
    </row>
    <row r="32" spans="1:8">
      <c r="A32" s="164"/>
      <c r="B32" s="164"/>
      <c r="C32" s="198"/>
      <c r="D32" s="164"/>
      <c r="E32" s="164"/>
      <c r="F32" s="164"/>
      <c r="G32" s="164"/>
      <c r="H32" s="164"/>
    </row>
    <row r="42" ht="12" customHeight="1"/>
  </sheetData>
  <mergeCells count="1">
    <mergeCell ref="B26:G26"/>
  </mergeCells>
  <phoneticPr fontId="2" type="noConversion"/>
  <pageMargins left="0.75" right="0.75" top="1" bottom="1" header="0.5" footer="0.5"/>
  <pageSetup scale="84" orientation="portrait"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7"/>
  <sheetViews>
    <sheetView view="pageBreakPreview" zoomScale="60" zoomScaleNormal="100" workbookViewId="0">
      <selection activeCell="Z34" sqref="Z34"/>
    </sheetView>
  </sheetViews>
  <sheetFormatPr defaultRowHeight="12.75"/>
  <cols>
    <col min="1" max="1" width="12.5703125" customWidth="1"/>
    <col min="2" max="2" width="20.42578125" bestFit="1" customWidth="1"/>
    <col min="3" max="3" width="53.7109375" customWidth="1"/>
    <col min="4" max="4" width="19.5703125" customWidth="1"/>
  </cols>
  <sheetData>
    <row r="1" spans="1:4">
      <c r="A1" s="12" t="str">
        <f>'Cover Page'!A5</f>
        <v>Public Service Company of Colorado</v>
      </c>
      <c r="B1" s="12"/>
      <c r="C1" s="12"/>
      <c r="D1" s="133" t="s">
        <v>111</v>
      </c>
    </row>
    <row r="2" spans="1:4">
      <c r="A2" s="12" t="str">
        <f>'Cover Page'!A6</f>
        <v>Transmission Formula Rate Template</v>
      </c>
      <c r="B2" s="12"/>
      <c r="C2" s="12"/>
      <c r="D2" s="133" t="s">
        <v>112</v>
      </c>
    </row>
    <row r="3" spans="1:4">
      <c r="A3" s="12" t="str">
        <f>'Cover Page'!A7</f>
        <v>Twelve Months Ended December 31, 2017</v>
      </c>
      <c r="B3" s="12"/>
      <c r="C3" s="12"/>
    </row>
    <row r="4" spans="1:4">
      <c r="A4" s="12"/>
      <c r="B4" s="12"/>
      <c r="C4" s="12"/>
    </row>
    <row r="8" spans="1:4">
      <c r="A8" s="2" t="s">
        <v>133</v>
      </c>
      <c r="B8" s="2" t="s">
        <v>134</v>
      </c>
      <c r="C8" s="2" t="s">
        <v>912</v>
      </c>
      <c r="D8" s="212"/>
    </row>
    <row r="10" spans="1:4">
      <c r="A10" s="111" t="s">
        <v>135</v>
      </c>
      <c r="B10" s="448" t="str">
        <f ca="1">'Est. Rates'!H2</f>
        <v>Est. Rates</v>
      </c>
      <c r="C10" s="110" t="str">
        <f>'Est. Rates'!A4</f>
        <v>Summary of Estimated Rates</v>
      </c>
    </row>
    <row r="11" spans="1:4">
      <c r="A11" s="111" t="s">
        <v>136</v>
      </c>
      <c r="B11" s="448" t="str">
        <f ca="1">'Actual Rates'!J2</f>
        <v>Actual Rates</v>
      </c>
      <c r="C11" s="110" t="str">
        <f>'Actual Rates'!A4</f>
        <v>Actual Rates and True-up</v>
      </c>
    </row>
    <row r="12" spans="1:4">
      <c r="A12" s="111" t="s">
        <v>137</v>
      </c>
      <c r="B12" s="448" t="str">
        <f ca="1">'ATRR Est.'!G2</f>
        <v>ATRR Est.</v>
      </c>
      <c r="C12" s="110" t="str">
        <f>'ATRR Est.'!A4</f>
        <v>Annual Transmission Revenue Requirements- Estimated</v>
      </c>
    </row>
    <row r="13" spans="1:4">
      <c r="A13" s="111" t="s">
        <v>138</v>
      </c>
      <c r="B13" s="448" t="str">
        <f ca="1">'ATRR Act'!G2</f>
        <v>ATRR Act</v>
      </c>
      <c r="C13" s="110" t="str">
        <f>'ATRR Act'!A4</f>
        <v>Annual Transmission Revenue Requirements- Actual</v>
      </c>
    </row>
    <row r="14" spans="1:4">
      <c r="A14" s="111" t="s">
        <v>139</v>
      </c>
      <c r="B14" s="448" t="str">
        <f ca="1">'WP_A-2 (1)'!I2</f>
        <v>WP_A-2 (1)</v>
      </c>
      <c r="C14" s="110" t="str">
        <f>'WP_A-2 (1)'!A4</f>
        <v>Prior Period Corrections</v>
      </c>
    </row>
    <row r="15" spans="1:4">
      <c r="A15" s="111" t="s">
        <v>140</v>
      </c>
      <c r="B15" s="448" t="str">
        <f ca="1">'WP_B-1'!G2</f>
        <v>WP_B-1</v>
      </c>
      <c r="C15" s="110" t="str">
        <f>'WP_B-1'!A4</f>
        <v>Gross Plant, Accumulated Depreciation &amp; Amortization, and Depreciation Expense</v>
      </c>
    </row>
    <row r="16" spans="1:4">
      <c r="A16" s="111" t="s">
        <v>141</v>
      </c>
      <c r="B16" s="448" t="str">
        <f>'WP_B-2'!G2</f>
        <v>WP_B-2</v>
      </c>
      <c r="C16" s="110" t="str">
        <f>'WP_B-2'!A4</f>
        <v>Accumulated Deferred Income Taxes (Credits)</v>
      </c>
    </row>
    <row r="17" spans="1:3">
      <c r="A17" s="111" t="s">
        <v>142</v>
      </c>
      <c r="B17" s="448" t="s">
        <v>194</v>
      </c>
      <c r="C17" s="110" t="str">
        <f>'WP_B-3'!A4</f>
        <v>Accumulated Deferred Income Taxes (Debits)</v>
      </c>
    </row>
    <row r="18" spans="1:3">
      <c r="A18" s="111" t="s">
        <v>143</v>
      </c>
      <c r="B18" s="448" t="str">
        <f ca="1">'WP_B-4'!U2</f>
        <v>WP_B-4</v>
      </c>
      <c r="C18" s="110" t="str">
        <f>'WP_B-4'!A4</f>
        <v>Acquisition Adjustment</v>
      </c>
    </row>
    <row r="19" spans="1:3">
      <c r="A19" s="111" t="s">
        <v>144</v>
      </c>
      <c r="B19" s="448" t="str">
        <f ca="1">'WP_B-5'!R2</f>
        <v>WP_B-5</v>
      </c>
      <c r="C19" s="110" t="str">
        <f>'WP_B-5'!A4</f>
        <v>Prepayments- FERC Account 165</v>
      </c>
    </row>
    <row r="20" spans="1:3">
      <c r="A20" s="111" t="s">
        <v>145</v>
      </c>
      <c r="B20" s="448" t="str">
        <f ca="1">'WP_B-6'!E2</f>
        <v>WP_B-6</v>
      </c>
      <c r="C20" s="110" t="str">
        <f>'WP_B-6'!A4</f>
        <v>Materials and Supplies - FERC Account 154</v>
      </c>
    </row>
    <row r="21" spans="1:3">
      <c r="A21" s="111" t="s">
        <v>146</v>
      </c>
      <c r="B21" s="448" t="str">
        <f ca="1">'WP_B-7'!F2</f>
        <v>WP_B-7</v>
      </c>
      <c r="C21" s="110" t="str">
        <f>'WP_B-7'!A4</f>
        <v>Regulatory Liabilities- FERC Account 254</v>
      </c>
    </row>
    <row r="22" spans="1:3">
      <c r="A22" s="111" t="s">
        <v>147</v>
      </c>
      <c r="B22" s="110" t="str">
        <f ca="1">'WP_B-8'!L2</f>
        <v>WP_B-8</v>
      </c>
      <c r="C22" s="110" t="s">
        <v>517</v>
      </c>
    </row>
    <row r="23" spans="1:3">
      <c r="A23" s="111" t="s">
        <v>148</v>
      </c>
      <c r="B23" s="448" t="str">
        <f>'WP_B-Inputs Est.'!L2</f>
        <v>WP_B-Inputs Est.</v>
      </c>
      <c r="C23" s="110" t="str">
        <f>'WP_B-Inputs Est.'!A4</f>
        <v>Rate Base Data Inputs- Estimated</v>
      </c>
    </row>
    <row r="24" spans="1:3">
      <c r="A24" s="111" t="s">
        <v>149</v>
      </c>
      <c r="B24" s="448" t="str">
        <f>'WP_B-Inputs Act.'!L2</f>
        <v>WP_B-Inputs Act.</v>
      </c>
      <c r="C24" s="110" t="str">
        <f>'WP_B-Inputs Act.'!A4</f>
        <v>Rate Base Data Inputs- Actual</v>
      </c>
    </row>
    <row r="25" spans="1:3">
      <c r="A25" s="111" t="s">
        <v>150</v>
      </c>
      <c r="B25" s="448" t="str">
        <f ca="1">'WP_C-1'!M2</f>
        <v>WP_C-1</v>
      </c>
      <c r="C25" s="110" t="str">
        <f>'WP_C-1'!A4</f>
        <v>Transmission O&amp;M</v>
      </c>
    </row>
    <row r="26" spans="1:3">
      <c r="A26" s="111" t="s">
        <v>151</v>
      </c>
      <c r="B26" s="448" t="str">
        <f ca="1">'WP_C-2'!G2</f>
        <v>WP_C-2</v>
      </c>
      <c r="C26" s="110" t="str">
        <f>'WP_C-2'!A4</f>
        <v>Administrative and General Expenses</v>
      </c>
    </row>
    <row r="27" spans="1:3">
      <c r="A27" s="111" t="s">
        <v>152</v>
      </c>
      <c r="B27" s="448" t="str">
        <f ca="1">'WP_C-3'!E2</f>
        <v>WP_C-3</v>
      </c>
      <c r="C27" s="110" t="str">
        <f>'WP_C-3'!A4</f>
        <v>Post-Employment Benefits Other than Pensions (FAS 106)</v>
      </c>
    </row>
    <row r="28" spans="1:3">
      <c r="A28" s="111" t="s">
        <v>153</v>
      </c>
      <c r="B28" s="448" t="str">
        <f ca="1">'WP_C-4'!F2</f>
        <v>WP_C-4</v>
      </c>
      <c r="C28" s="110" t="str">
        <f>'WP_C-4'!A4</f>
        <v>Regulatory Commission Expense Detail (FERC Account 928)</v>
      </c>
    </row>
    <row r="29" spans="1:3">
      <c r="A29" s="111" t="s">
        <v>154</v>
      </c>
      <c r="B29" s="448" t="str">
        <f ca="1">'WP_D-1'!G2</f>
        <v>WP_D-1</v>
      </c>
      <c r="C29" s="110" t="str">
        <f>'WP_D-1'!A4</f>
        <v>Taxes Other Than Income Tax</v>
      </c>
    </row>
    <row r="30" spans="1:3">
      <c r="A30" s="111" t="s">
        <v>155</v>
      </c>
      <c r="B30" s="448" t="str">
        <f ca="1">'WP_E-1'!F2</f>
        <v>WP_E-1</v>
      </c>
      <c r="C30" s="110" t="str">
        <f>'WP_E-1'!A4</f>
        <v>Revenue Credits</v>
      </c>
    </row>
    <row r="31" spans="1:3">
      <c r="A31" s="111" t="s">
        <v>156</v>
      </c>
      <c r="B31" s="767" t="str">
        <f ca="1">'WP_F-1'!R2</f>
        <v>WP_F-1</v>
      </c>
      <c r="C31" s="110" t="str">
        <f>'WP_F-1'!A3</f>
        <v>Account 456.1- Revenues from Transmission of Electricity of Others</v>
      </c>
    </row>
    <row r="32" spans="1:3">
      <c r="A32" s="111" t="s">
        <v>157</v>
      </c>
      <c r="B32" s="448" t="str">
        <f ca="1">'WP_G-1'!Q2</f>
        <v>WP_G-1</v>
      </c>
      <c r="C32" s="110" t="str">
        <f>'WP_G-1'!A4</f>
        <v>Capital Structure Details</v>
      </c>
    </row>
    <row r="33" spans="1:4">
      <c r="A33" s="111" t="s">
        <v>158</v>
      </c>
      <c r="B33" s="448" t="str">
        <f ca="1">'WP_H-1 '!C2</f>
        <v xml:space="preserve">WP_H-1 </v>
      </c>
      <c r="C33" s="110" t="str">
        <f>'WP_H-1 '!A4</f>
        <v>Depreciation and Amortization Rates</v>
      </c>
    </row>
    <row r="34" spans="1:4">
      <c r="A34" s="111" t="s">
        <v>159</v>
      </c>
      <c r="B34" s="448" t="str">
        <f ca="1">'WP_I-1'!S2</f>
        <v>WP_I-1</v>
      </c>
      <c r="C34" s="110" t="str">
        <f>'WP_I-1'!A4</f>
        <v>Transmission System Peak Demand Summary</v>
      </c>
    </row>
    <row r="35" spans="1:4">
      <c r="A35" s="111" t="s">
        <v>160</v>
      </c>
      <c r="B35" s="767" t="str">
        <f ca="1">'Schedule 1'!D2</f>
        <v>Schedule 1</v>
      </c>
      <c r="C35" s="110" t="str">
        <f>'Schedule 1'!A4</f>
        <v>Scheduling System Control and Dispatch Service</v>
      </c>
    </row>
    <row r="36" spans="1:4">
      <c r="A36" s="111" t="s">
        <v>161</v>
      </c>
      <c r="B36" s="767" t="str">
        <f ca="1">'Schedule 2'!I2</f>
        <v>Schedule 2</v>
      </c>
      <c r="C36" s="110" t="str">
        <f>'Schedule 2'!A4</f>
        <v>Reactive Supply and Voltage Control From Generation Source Services</v>
      </c>
    </row>
    <row r="37" spans="1:4">
      <c r="A37" s="111" t="s">
        <v>162</v>
      </c>
      <c r="B37" s="448" t="str">
        <f ca="1">'Schedule 3 and 3A'!I2</f>
        <v>Schedule 3 and 3A</v>
      </c>
      <c r="C37" s="110" t="str">
        <f>'Schedule 3 and 3A'!A4</f>
        <v>Regulation and Frequency Response Service</v>
      </c>
    </row>
    <row r="38" spans="1:4">
      <c r="A38" s="111" t="s">
        <v>1221</v>
      </c>
      <c r="B38" s="448" t="str">
        <f ca="1">'Schedule 5'!Q2</f>
        <v>Schedule 5</v>
      </c>
      <c r="C38" s="110" t="str">
        <f>'Schedule 5'!A4</f>
        <v>Operating Reserve - Spinning Reserve Service</v>
      </c>
    </row>
    <row r="39" spans="1:4">
      <c r="A39" s="111" t="s">
        <v>215</v>
      </c>
      <c r="B39" s="448" t="str">
        <f ca="1">'Schedule 6'!Q2</f>
        <v>Schedule 6</v>
      </c>
      <c r="C39" s="110" t="str">
        <f>'Schedule 6'!A4</f>
        <v>Operating Reserve - Supplemental Reserve Service</v>
      </c>
    </row>
    <row r="40" spans="1:4">
      <c r="A40" s="111" t="s">
        <v>516</v>
      </c>
      <c r="B40" s="448" t="str">
        <f ca="1">WP_FCR!I2</f>
        <v>WP_FCR</v>
      </c>
      <c r="C40" s="110" t="str">
        <f>WP_FCR!A3</f>
        <v>Fixed Charge Rate Worksheet ("FCR")</v>
      </c>
    </row>
    <row r="41" spans="1:4">
      <c r="A41" s="111" t="s">
        <v>1051</v>
      </c>
      <c r="B41" s="448" t="str">
        <f ca="1">'WP_Cost per Unit'!L2</f>
        <v>WP_Cost per Unit</v>
      </c>
      <c r="C41" s="110" t="str">
        <f>'WP_Cost per Unit'!A3</f>
        <v>Cost Per Unit</v>
      </c>
    </row>
    <row r="42" spans="1:4">
      <c r="A42" s="111" t="s">
        <v>761</v>
      </c>
      <c r="B42" s="110" t="str">
        <f ca="1">'WP_Load Factor'!AB2</f>
        <v>WP_Load Factor</v>
      </c>
      <c r="C42" s="110" t="s">
        <v>1089</v>
      </c>
      <c r="D42" s="110"/>
    </row>
    <row r="43" spans="1:4">
      <c r="A43" s="111" t="s">
        <v>1491</v>
      </c>
      <c r="B43" t="str">
        <f ca="1">'Schedule 16'!I2</f>
        <v>Schedule 16</v>
      </c>
      <c r="C43" t="str">
        <f>'Schedule 16'!A4</f>
        <v>Flex Reserves</v>
      </c>
    </row>
    <row r="44" spans="1:4">
      <c r="A44" s="111" t="s">
        <v>1492</v>
      </c>
      <c r="B44" t="str">
        <f ca="1">'WP_Installed Cost'!I2</f>
        <v>WP_Installed Cost</v>
      </c>
      <c r="C44" t="str">
        <f>'WP_Installed Cost'!A3</f>
        <v>Installed Cost</v>
      </c>
    </row>
    <row r="45" spans="1:4">
      <c r="A45" s="111" t="s">
        <v>1493</v>
      </c>
      <c r="B45" t="str">
        <f ca="1">'WP_O&amp;M Cost'!M2</f>
        <v>WP_O&amp;M Cost</v>
      </c>
      <c r="C45" t="str">
        <f>'WP_O&amp;M Cost'!A3</f>
        <v>O&amp;M Costs</v>
      </c>
    </row>
    <row r="46" spans="1:4">
      <c r="A46" s="111" t="s">
        <v>1494</v>
      </c>
      <c r="B46" t="str">
        <f ca="1">'WP_Reactive Cost'!G2</f>
        <v>WP_Reactive Cost</v>
      </c>
      <c r="C46" t="str">
        <f>'WP_Reactive Cost'!A3</f>
        <v>Cost of Providing Reactive Supply</v>
      </c>
    </row>
    <row r="47" spans="1:4">
      <c r="A47" s="450" t="s">
        <v>1576</v>
      </c>
      <c r="B47" t="str">
        <f ca="1">'WP_ADIT Prorate'!Q2</f>
        <v>WP_ADIT Prorate</v>
      </c>
      <c r="C47" t="str">
        <f>'WP_ADIT Prorate'!A4</f>
        <v>Accumulated Deferred Income Taxes Proration Adjustments</v>
      </c>
    </row>
  </sheetData>
  <phoneticPr fontId="2" type="noConversion"/>
  <printOptions horizontalCentered="1"/>
  <pageMargins left="0.75" right="0.75" top="1" bottom="1" header="0.5" footer="0.5"/>
  <pageSetup scale="85" orientation="portrait" r:id="rId1"/>
  <headerFooter alignWithMargins="0">
    <oddHeader>&amp;RPage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enableFormatConditionsCalculation="0">
    <pageSetUpPr fitToPage="1"/>
  </sheetPr>
  <dimension ref="A1:F42"/>
  <sheetViews>
    <sheetView view="pageBreakPreview" zoomScale="60" zoomScaleNormal="100" workbookViewId="0">
      <selection activeCell="Z34" sqref="Z34"/>
    </sheetView>
  </sheetViews>
  <sheetFormatPr defaultRowHeight="12.75"/>
  <cols>
    <col min="2" max="2" width="9.85546875" customWidth="1"/>
    <col min="3" max="3" width="66.28515625" bestFit="1" customWidth="1"/>
    <col min="4" max="4" width="14.85546875" bestFit="1" customWidth="1"/>
    <col min="5" max="5" width="15.42578125" bestFit="1" customWidth="1"/>
    <col min="6" max="6" width="18.42578125" bestFit="1" customWidth="1"/>
    <col min="7" max="7" width="3.7109375" customWidth="1"/>
  </cols>
  <sheetData>
    <row r="1" spans="1:6">
      <c r="A1" s="99" t="str">
        <f>'Cover Page'!A5</f>
        <v>Public Service Company of Colorado</v>
      </c>
      <c r="F1" s="133" t="str">
        <f>'Table of Contents'!A30</f>
        <v>Table 22</v>
      </c>
    </row>
    <row r="2" spans="1:6">
      <c r="A2" s="99" t="str">
        <f>'Cover Page'!A6</f>
        <v>Transmission Formula Rate Template</v>
      </c>
      <c r="F2" s="133" t="str">
        <f ca="1">MID(CELL("filename",B2),FIND("]",CELL("filename",B2))+1,LEN(CELL("filename",B2))-FIND("]",CELL("filename",B2)))</f>
        <v>WP_E-1</v>
      </c>
    </row>
    <row r="3" spans="1:6">
      <c r="A3" s="99" t="str">
        <f>'Cover Page'!A7</f>
        <v>Twelve Months Ended December 31, 2017</v>
      </c>
    </row>
    <row r="4" spans="1:6">
      <c r="A4" s="99" t="s">
        <v>92</v>
      </c>
    </row>
    <row r="5" spans="1:6" ht="13.5" thickBot="1"/>
    <row r="6" spans="1:6">
      <c r="A6" s="565" t="s">
        <v>983</v>
      </c>
      <c r="B6" s="566"/>
      <c r="C6" s="566"/>
      <c r="D6" s="566"/>
      <c r="E6" s="566"/>
      <c r="F6" s="567"/>
    </row>
    <row r="7" spans="1:6">
      <c r="A7" s="568"/>
      <c r="B7" s="142"/>
      <c r="C7" s="142"/>
      <c r="D7" s="142"/>
      <c r="E7" s="142"/>
      <c r="F7" s="569"/>
    </row>
    <row r="8" spans="1:6">
      <c r="A8" s="570" t="s">
        <v>862</v>
      </c>
      <c r="B8" s="274" t="s">
        <v>892</v>
      </c>
      <c r="C8" s="274" t="s">
        <v>912</v>
      </c>
      <c r="D8" s="274" t="s">
        <v>790</v>
      </c>
      <c r="E8" s="274" t="s">
        <v>972</v>
      </c>
      <c r="F8" s="288" t="s">
        <v>56</v>
      </c>
    </row>
    <row r="9" spans="1:6">
      <c r="A9" s="568"/>
      <c r="B9" s="142"/>
      <c r="C9" s="142"/>
      <c r="D9" s="311" t="s">
        <v>358</v>
      </c>
      <c r="E9" s="794" t="s">
        <v>357</v>
      </c>
      <c r="F9" s="840" t="s">
        <v>359</v>
      </c>
    </row>
    <row r="10" spans="1:6">
      <c r="A10" s="571">
        <v>1</v>
      </c>
      <c r="B10" s="306" t="s">
        <v>97</v>
      </c>
      <c r="C10" s="139"/>
      <c r="D10" s="142"/>
      <c r="E10" s="139"/>
      <c r="F10" s="321"/>
    </row>
    <row r="11" spans="1:6">
      <c r="A11" s="571">
        <f t="shared" ref="A11:A18" si="0">A10+1</f>
        <v>2</v>
      </c>
      <c r="B11" s="116">
        <v>45400</v>
      </c>
      <c r="C11" s="139" t="s">
        <v>98</v>
      </c>
      <c r="D11" s="836">
        <v>2946787</v>
      </c>
      <c r="E11" s="217">
        <v>0</v>
      </c>
      <c r="F11" s="322">
        <f>SUM(D11:E11)</f>
        <v>2946787</v>
      </c>
    </row>
    <row r="12" spans="1:6" ht="13.5" thickBot="1">
      <c r="A12" s="571">
        <f>A11+1</f>
        <v>3</v>
      </c>
      <c r="B12" s="564">
        <v>45400</v>
      </c>
      <c r="C12" s="139" t="s">
        <v>502</v>
      </c>
      <c r="D12" s="850">
        <v>3099170.1839999999</v>
      </c>
      <c r="E12" s="186">
        <f>-D12</f>
        <v>-3099170.1839999999</v>
      </c>
      <c r="F12" s="321">
        <f>SUM(D12:E12)</f>
        <v>0</v>
      </c>
    </row>
    <row r="13" spans="1:6" ht="13.5" thickBot="1">
      <c r="A13" s="571">
        <f t="shared" si="0"/>
        <v>4</v>
      </c>
      <c r="B13" s="139" t="s">
        <v>105</v>
      </c>
      <c r="C13" s="139"/>
      <c r="D13" s="217">
        <f>SUM(D11:D12)</f>
        <v>6045957.1840000004</v>
      </c>
      <c r="E13" s="217">
        <f>SUM(E11:E12)</f>
        <v>-3099170.1839999999</v>
      </c>
      <c r="F13" s="221">
        <f>SUM(F11:F12)</f>
        <v>2946787</v>
      </c>
    </row>
    <row r="14" spans="1:6">
      <c r="A14" s="571">
        <f t="shared" si="0"/>
        <v>5</v>
      </c>
      <c r="B14" s="139"/>
      <c r="C14" s="139"/>
      <c r="D14" s="139"/>
      <c r="E14" s="139"/>
      <c r="F14" s="321"/>
    </row>
    <row r="15" spans="1:6">
      <c r="A15" s="571">
        <f t="shared" si="0"/>
        <v>6</v>
      </c>
      <c r="B15" s="187" t="s">
        <v>935</v>
      </c>
      <c r="C15" s="217"/>
      <c r="D15" s="217"/>
      <c r="E15" s="217"/>
      <c r="F15" s="322"/>
    </row>
    <row r="16" spans="1:6" ht="25.5">
      <c r="A16" s="571">
        <f t="shared" si="0"/>
        <v>7</v>
      </c>
      <c r="B16" s="626">
        <v>421.1</v>
      </c>
      <c r="C16" s="1022" t="s">
        <v>1714</v>
      </c>
      <c r="D16" s="217">
        <f>'WP_B-7'!E26</f>
        <v>0</v>
      </c>
      <c r="E16" s="217">
        <v>0</v>
      </c>
      <c r="F16" s="322">
        <f>SUM(D16:E16)</f>
        <v>0</v>
      </c>
    </row>
    <row r="17" spans="1:6" ht="13.5" thickBot="1">
      <c r="A17" s="571">
        <f t="shared" si="0"/>
        <v>8</v>
      </c>
      <c r="B17" s="116">
        <v>421.1</v>
      </c>
      <c r="C17" s="208" t="s">
        <v>93</v>
      </c>
      <c r="D17" s="138"/>
      <c r="E17" s="186">
        <f>-D17</f>
        <v>0</v>
      </c>
      <c r="F17" s="321">
        <f>SUM(D17:E17)</f>
        <v>0</v>
      </c>
    </row>
    <row r="18" spans="1:6" ht="13.5" thickBot="1">
      <c r="A18" s="571">
        <f t="shared" si="0"/>
        <v>9</v>
      </c>
      <c r="B18" s="574" t="s">
        <v>402</v>
      </c>
      <c r="C18" s="187"/>
      <c r="D18" s="217">
        <f>SUM(D16:D17)</f>
        <v>0</v>
      </c>
      <c r="E18" s="217">
        <f>SUM(E16:E17)</f>
        <v>0</v>
      </c>
      <c r="F18" s="221">
        <f>SUM(F16:F17)</f>
        <v>0</v>
      </c>
    </row>
    <row r="19" spans="1:6" ht="13.5" thickBot="1">
      <c r="A19" s="323"/>
      <c r="B19" s="324"/>
      <c r="C19" s="325"/>
      <c r="D19" s="325"/>
      <c r="E19" s="325"/>
      <c r="F19" s="326"/>
    </row>
    <row r="20" spans="1:6">
      <c r="A20" s="116"/>
      <c r="B20" s="178"/>
      <c r="C20" s="217"/>
      <c r="D20" s="217"/>
      <c r="E20" s="217"/>
      <c r="F20" s="217"/>
    </row>
    <row r="21" spans="1:6">
      <c r="A21" s="116"/>
      <c r="B21" s="178"/>
      <c r="C21" s="217"/>
      <c r="D21" s="217"/>
      <c r="E21" s="217"/>
      <c r="F21" s="217"/>
    </row>
    <row r="22" spans="1:6">
      <c r="A22" s="116"/>
      <c r="B22" s="178"/>
      <c r="C22" s="217"/>
      <c r="D22" s="217"/>
      <c r="E22" s="217"/>
      <c r="F22" s="217"/>
    </row>
    <row r="23" spans="1:6" ht="13.5" thickBot="1">
      <c r="A23" s="116"/>
      <c r="B23" s="142"/>
      <c r="C23" s="142"/>
      <c r="D23" s="142"/>
      <c r="E23" s="142"/>
      <c r="F23" s="142"/>
    </row>
    <row r="24" spans="1:6">
      <c r="A24" s="565" t="s">
        <v>1064</v>
      </c>
      <c r="B24" s="566"/>
      <c r="C24" s="566"/>
      <c r="D24" s="566"/>
      <c r="E24" s="566"/>
      <c r="F24" s="567"/>
    </row>
    <row r="25" spans="1:6">
      <c r="A25" s="568"/>
      <c r="B25" s="142"/>
      <c r="C25" s="142"/>
      <c r="D25" s="142"/>
      <c r="E25" s="142"/>
      <c r="F25" s="569"/>
    </row>
    <row r="26" spans="1:6">
      <c r="A26" s="570" t="s">
        <v>862</v>
      </c>
      <c r="B26" s="274" t="s">
        <v>892</v>
      </c>
      <c r="C26" s="274" t="s">
        <v>912</v>
      </c>
      <c r="D26" s="274" t="s">
        <v>790</v>
      </c>
      <c r="E26" s="274" t="s">
        <v>972</v>
      </c>
      <c r="F26" s="288" t="s">
        <v>56</v>
      </c>
    </row>
    <row r="27" spans="1:6">
      <c r="A27" s="568"/>
      <c r="B27" s="142"/>
      <c r="C27" s="142"/>
      <c r="D27" s="311" t="s">
        <v>358</v>
      </c>
      <c r="E27" s="794" t="s">
        <v>357</v>
      </c>
      <c r="F27" s="840" t="s">
        <v>359</v>
      </c>
    </row>
    <row r="28" spans="1:6">
      <c r="A28" s="571">
        <v>1</v>
      </c>
      <c r="B28" s="306" t="s">
        <v>97</v>
      </c>
      <c r="C28" s="139"/>
      <c r="D28" s="142"/>
      <c r="E28" s="139"/>
      <c r="F28" s="321"/>
    </row>
    <row r="29" spans="1:6">
      <c r="A29" s="571">
        <f>A28+1</f>
        <v>2</v>
      </c>
      <c r="B29" s="116">
        <v>45400</v>
      </c>
      <c r="C29" s="139" t="s">
        <v>98</v>
      </c>
      <c r="D29" s="1202">
        <v>3519198.94</v>
      </c>
      <c r="E29" s="217">
        <v>0</v>
      </c>
      <c r="F29" s="322">
        <f>SUM(D29:E29)</f>
        <v>3519198.94</v>
      </c>
    </row>
    <row r="30" spans="1:6" ht="13.5" thickBot="1">
      <c r="A30" s="571">
        <f>A29+1</f>
        <v>3</v>
      </c>
      <c r="B30" s="564">
        <v>45400</v>
      </c>
      <c r="C30" s="139" t="s">
        <v>502</v>
      </c>
      <c r="D30" s="1203">
        <v>2645463.85</v>
      </c>
      <c r="E30" s="186">
        <f>-D30</f>
        <v>-2645463.85</v>
      </c>
      <c r="F30" s="321">
        <f>SUM(D30:E30)</f>
        <v>0</v>
      </c>
    </row>
    <row r="31" spans="1:6" ht="13.5" thickBot="1">
      <c r="A31" s="571">
        <f t="shared" ref="A31:A41" si="1">A30+1</f>
        <v>4</v>
      </c>
      <c r="B31" s="139" t="s">
        <v>377</v>
      </c>
      <c r="C31" s="139"/>
      <c r="D31" s="217">
        <f>SUM(D29:D30)</f>
        <v>6164662.79</v>
      </c>
      <c r="E31" s="217">
        <f>SUM(E29:E30)</f>
        <v>-2645463.85</v>
      </c>
      <c r="F31" s="221">
        <f>SUM(F29:F30)</f>
        <v>3519198.94</v>
      </c>
    </row>
    <row r="32" spans="1:6">
      <c r="A32" s="571">
        <f t="shared" si="1"/>
        <v>5</v>
      </c>
      <c r="B32" s="139"/>
      <c r="C32" s="139"/>
      <c r="D32" s="139"/>
      <c r="E32" s="139"/>
      <c r="F32" s="321"/>
    </row>
    <row r="33" spans="1:6">
      <c r="A33" s="571">
        <f t="shared" si="1"/>
        <v>6</v>
      </c>
      <c r="B33" s="139" t="s">
        <v>1840</v>
      </c>
      <c r="C33" s="139"/>
      <c r="D33" s="139"/>
      <c r="E33" s="139"/>
      <c r="F33" s="321"/>
    </row>
    <row r="34" spans="1:6">
      <c r="A34" s="571">
        <f t="shared" si="1"/>
        <v>7</v>
      </c>
      <c r="B34" s="139">
        <v>456</v>
      </c>
      <c r="C34" s="139" t="s">
        <v>1841</v>
      </c>
      <c r="D34" s="1202">
        <v>571364.87999999989</v>
      </c>
      <c r="E34" s="217">
        <v>0</v>
      </c>
      <c r="F34" s="322">
        <f>SUM(D34:E34)</f>
        <v>571364.87999999989</v>
      </c>
    </row>
    <row r="35" spans="1:6" ht="13.5" thickBot="1">
      <c r="A35" s="571">
        <f t="shared" si="1"/>
        <v>8</v>
      </c>
      <c r="B35" s="139">
        <v>456</v>
      </c>
      <c r="C35" s="139" t="s">
        <v>1842</v>
      </c>
      <c r="D35" s="1203">
        <v>25762959.899999999</v>
      </c>
      <c r="E35" s="186">
        <f>-D35</f>
        <v>-25762959.899999999</v>
      </c>
      <c r="F35" s="321">
        <f>SUM(D35:E35)</f>
        <v>0</v>
      </c>
    </row>
    <row r="36" spans="1:6" ht="13.5" thickBot="1">
      <c r="A36" s="571">
        <f t="shared" si="1"/>
        <v>9</v>
      </c>
      <c r="B36" s="139" t="s">
        <v>1843</v>
      </c>
      <c r="C36" s="139"/>
      <c r="D36" s="217">
        <f>SUM(D34:D35)</f>
        <v>26334324.779999997</v>
      </c>
      <c r="E36" s="217">
        <f>SUM(E34:E35)</f>
        <v>-25762959.899999999</v>
      </c>
      <c r="F36" s="221">
        <f>SUM(F34:F35)</f>
        <v>571364.87999999989</v>
      </c>
    </row>
    <row r="37" spans="1:6">
      <c r="A37" s="571">
        <f t="shared" si="1"/>
        <v>10</v>
      </c>
      <c r="B37" s="139"/>
      <c r="C37" s="139"/>
      <c r="D37" s="139"/>
      <c r="E37" s="139"/>
      <c r="F37" s="321"/>
    </row>
    <row r="38" spans="1:6">
      <c r="A38" s="571">
        <f t="shared" si="1"/>
        <v>11</v>
      </c>
      <c r="B38" s="187" t="s">
        <v>935</v>
      </c>
      <c r="C38" s="217"/>
      <c r="D38" s="217"/>
      <c r="E38" s="217"/>
      <c r="F38" s="322"/>
    </row>
    <row r="39" spans="1:6" ht="25.5">
      <c r="A39" s="571">
        <f t="shared" si="1"/>
        <v>12</v>
      </c>
      <c r="B39" s="626">
        <v>421.1</v>
      </c>
      <c r="C39" s="1022" t="s">
        <v>1714</v>
      </c>
      <c r="D39" s="217">
        <f>-'WP_B-7'!E50</f>
        <v>0</v>
      </c>
      <c r="E39" s="217">
        <v>0</v>
      </c>
      <c r="F39" s="322">
        <f>SUM(D39:E39)</f>
        <v>0</v>
      </c>
    </row>
    <row r="40" spans="1:6" ht="13.5" thickBot="1">
      <c r="A40" s="571">
        <f t="shared" si="1"/>
        <v>13</v>
      </c>
      <c r="B40" s="116">
        <v>421.1</v>
      </c>
      <c r="C40" s="208" t="s">
        <v>93</v>
      </c>
      <c r="D40" s="138">
        <v>181</v>
      </c>
      <c r="E40" s="186">
        <f>-D40</f>
        <v>-181</v>
      </c>
      <c r="F40" s="321">
        <f>SUM(D40:E40)</f>
        <v>0</v>
      </c>
    </row>
    <row r="41" spans="1:6" ht="13.5" thickBot="1">
      <c r="A41" s="571">
        <f t="shared" si="1"/>
        <v>14</v>
      </c>
      <c r="B41" s="574" t="s">
        <v>380</v>
      </c>
      <c r="C41" s="187"/>
      <c r="D41" s="217">
        <f>SUM(D39:D40)</f>
        <v>181</v>
      </c>
      <c r="E41" s="217">
        <f>SUM(E39:E40)</f>
        <v>-181</v>
      </c>
      <c r="F41" s="221">
        <f>SUM(F39:F40)</f>
        <v>0</v>
      </c>
    </row>
    <row r="42" spans="1:6" ht="13.5" thickBot="1">
      <c r="A42" s="572"/>
      <c r="B42" s="436"/>
      <c r="C42" s="436"/>
      <c r="D42" s="436"/>
      <c r="E42" s="436"/>
      <c r="F42" s="573"/>
    </row>
  </sheetData>
  <phoneticPr fontId="2" type="noConversion"/>
  <printOptions horizontalCentered="1"/>
  <pageMargins left="0.75" right="0.75" top="1" bottom="1" header="0.5" footer="0.5"/>
  <pageSetup scale="68" orientation="portrait" r:id="rId1"/>
  <headerFooter alignWithMargins="0">
    <oddHeader>&amp;RPage &amp;P of &amp;N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T125"/>
  <sheetViews>
    <sheetView view="pageBreakPreview" topLeftCell="A67" zoomScale="60" zoomScaleNormal="70" workbookViewId="0">
      <selection activeCell="Z34" sqref="Z34"/>
    </sheetView>
  </sheetViews>
  <sheetFormatPr defaultRowHeight="12.75"/>
  <cols>
    <col min="1" max="1" width="10.7109375" style="73" customWidth="1"/>
    <col min="2" max="2" width="9.5703125" style="73" customWidth="1"/>
    <col min="3" max="3" width="46" style="73" customWidth="1"/>
    <col min="4" max="4" width="9.42578125" style="73" bestFit="1" customWidth="1"/>
    <col min="5" max="5" width="12.85546875" style="73" bestFit="1" customWidth="1"/>
    <col min="6" max="6" width="19.7109375" style="73" customWidth="1"/>
    <col min="7" max="7" width="15" style="73" bestFit="1" customWidth="1"/>
    <col min="8" max="9" width="14" style="73" bestFit="1" customWidth="1"/>
    <col min="10" max="10" width="18.85546875" style="73" bestFit="1" customWidth="1"/>
    <col min="11" max="11" width="20.42578125" style="73" bestFit="1" customWidth="1"/>
    <col min="12" max="12" width="20.42578125" style="73" customWidth="1"/>
    <col min="13" max="13" width="14" style="73" bestFit="1" customWidth="1"/>
    <col min="14" max="14" width="14.42578125" style="73" bestFit="1" customWidth="1"/>
    <col min="15" max="15" width="15.42578125" style="73" bestFit="1" customWidth="1"/>
    <col min="16" max="16" width="15.42578125" style="73" customWidth="1"/>
    <col min="17" max="17" width="14.42578125" style="73" customWidth="1"/>
    <col min="18" max="18" width="12.5703125" style="73" customWidth="1"/>
    <col min="19" max="38" width="12.7109375" style="73" customWidth="1"/>
    <col min="39" max="16384" width="9.140625" style="73"/>
  </cols>
  <sheetData>
    <row r="1" spans="1:20" ht="12.75" customHeight="1">
      <c r="A1" s="99" t="str">
        <f>'Cover Page'!A5</f>
        <v>Public Service Company of Colorado</v>
      </c>
      <c r="B1" s="99"/>
      <c r="C1" s="99"/>
      <c r="D1" s="99"/>
      <c r="E1" s="99"/>
      <c r="R1" s="133" t="str">
        <f>'Table of Contents'!A31</f>
        <v>Table 23</v>
      </c>
    </row>
    <row r="2" spans="1:20" ht="12.75" customHeight="1">
      <c r="A2" s="99" t="str">
        <f>'Cover Page'!A6</f>
        <v>Transmission Formula Rate Template</v>
      </c>
      <c r="B2" s="99"/>
      <c r="C2" s="99"/>
      <c r="D2" s="99"/>
      <c r="E2" s="99"/>
      <c r="R2" s="133" t="str">
        <f ca="1">MID(CELL("filename",$A$1),FIND("]",CELL("filename",$A$1))+1,LEN(CELL("filename",$A$1))-FIND("]",CELL("filename",$A$1)))</f>
        <v>WP_F-1</v>
      </c>
    </row>
    <row r="3" spans="1:20" ht="12.75" customHeight="1">
      <c r="A3" s="99" t="s">
        <v>198</v>
      </c>
      <c r="B3" s="99"/>
      <c r="C3" s="99"/>
      <c r="D3" s="99"/>
      <c r="E3" s="99"/>
    </row>
    <row r="4" spans="1:20" ht="12.75" customHeight="1">
      <c r="A4" s="99"/>
      <c r="B4" s="99"/>
      <c r="C4" s="99"/>
      <c r="D4" s="99"/>
      <c r="E4" s="99"/>
    </row>
    <row r="5" spans="1:20">
      <c r="F5" s="173"/>
      <c r="G5" s="173"/>
      <c r="H5" s="173" t="s">
        <v>695</v>
      </c>
      <c r="I5" s="173" t="s">
        <v>696</v>
      </c>
      <c r="K5" s="173" t="s">
        <v>700</v>
      </c>
      <c r="L5" s="173" t="s">
        <v>700</v>
      </c>
      <c r="M5" s="173"/>
      <c r="N5" s="173" t="s">
        <v>697</v>
      </c>
      <c r="O5" s="173"/>
      <c r="P5" s="173"/>
      <c r="Q5" s="173"/>
      <c r="R5" s="173"/>
    </row>
    <row r="6" spans="1:20">
      <c r="A6" s="1006" t="s">
        <v>753</v>
      </c>
      <c r="F6" s="173"/>
      <c r="G6" s="173"/>
      <c r="H6" s="173" t="s">
        <v>698</v>
      </c>
      <c r="I6" s="173" t="s">
        <v>699</v>
      </c>
      <c r="J6" s="173" t="s">
        <v>700</v>
      </c>
      <c r="K6" s="173" t="s">
        <v>706</v>
      </c>
      <c r="L6" s="173" t="s">
        <v>706</v>
      </c>
      <c r="M6" s="173" t="s">
        <v>697</v>
      </c>
      <c r="N6" s="173" t="s">
        <v>701</v>
      </c>
      <c r="O6" s="173" t="s">
        <v>702</v>
      </c>
      <c r="P6" s="173"/>
      <c r="Q6" s="173" t="s">
        <v>892</v>
      </c>
      <c r="R6" s="173"/>
    </row>
    <row r="7" spans="1:20">
      <c r="F7" s="173" t="s">
        <v>754</v>
      </c>
      <c r="G7" s="173" t="s">
        <v>703</v>
      </c>
      <c r="H7" s="173" t="s">
        <v>704</v>
      </c>
      <c r="I7" s="173" t="s">
        <v>705</v>
      </c>
      <c r="J7" s="173" t="s">
        <v>706</v>
      </c>
      <c r="K7" s="789" t="s">
        <v>711</v>
      </c>
      <c r="L7" s="789" t="s">
        <v>711</v>
      </c>
      <c r="M7" s="173" t="s">
        <v>57</v>
      </c>
      <c r="N7" s="173" t="s">
        <v>707</v>
      </c>
      <c r="O7" s="173" t="s">
        <v>707</v>
      </c>
      <c r="P7" s="443" t="s">
        <v>1656</v>
      </c>
      <c r="Q7" s="173" t="s">
        <v>708</v>
      </c>
      <c r="R7" s="173"/>
    </row>
    <row r="8" spans="1:20">
      <c r="D8" s="308"/>
      <c r="E8" s="308"/>
      <c r="F8" s="789" t="s">
        <v>789</v>
      </c>
      <c r="G8" s="789" t="s">
        <v>789</v>
      </c>
      <c r="H8" s="789" t="s">
        <v>709</v>
      </c>
      <c r="I8" s="789" t="s">
        <v>710</v>
      </c>
      <c r="J8" s="789" t="s">
        <v>711</v>
      </c>
      <c r="K8" s="980" t="s">
        <v>1653</v>
      </c>
      <c r="L8" s="980" t="s">
        <v>1654</v>
      </c>
      <c r="M8" s="789" t="s">
        <v>712</v>
      </c>
      <c r="N8" s="789" t="s">
        <v>713</v>
      </c>
      <c r="O8" s="789" t="s">
        <v>713</v>
      </c>
      <c r="P8" s="980" t="s">
        <v>713</v>
      </c>
      <c r="Q8" s="789" t="s">
        <v>714</v>
      </c>
      <c r="R8" s="789" t="s">
        <v>715</v>
      </c>
    </row>
    <row r="9" spans="1:20">
      <c r="A9" s="173" t="s">
        <v>86</v>
      </c>
      <c r="B9" s="173"/>
      <c r="C9" s="173"/>
      <c r="D9" s="789" t="s">
        <v>993</v>
      </c>
      <c r="E9" s="789"/>
      <c r="F9" s="789" t="s">
        <v>716</v>
      </c>
      <c r="G9" s="789" t="s">
        <v>717</v>
      </c>
      <c r="H9" s="789" t="s">
        <v>718</v>
      </c>
      <c r="I9" s="789" t="s">
        <v>719</v>
      </c>
      <c r="J9" s="980" t="s">
        <v>1653</v>
      </c>
      <c r="K9" s="980" t="s">
        <v>1447</v>
      </c>
      <c r="L9" s="980" t="s">
        <v>1446</v>
      </c>
      <c r="M9" s="789" t="s">
        <v>720</v>
      </c>
      <c r="N9" s="789" t="s">
        <v>721</v>
      </c>
      <c r="O9" s="789" t="s">
        <v>722</v>
      </c>
      <c r="P9" s="980" t="s">
        <v>1655</v>
      </c>
      <c r="Q9" s="789" t="s">
        <v>723</v>
      </c>
      <c r="R9" s="789" t="s">
        <v>86</v>
      </c>
      <c r="T9" s="555"/>
    </row>
    <row r="10" spans="1:20">
      <c r="A10" s="2" t="s">
        <v>87</v>
      </c>
      <c r="B10" s="2" t="s">
        <v>724</v>
      </c>
      <c r="C10" s="2" t="s">
        <v>912</v>
      </c>
      <c r="D10" s="798" t="s">
        <v>994</v>
      </c>
      <c r="E10" s="798" t="s">
        <v>1087</v>
      </c>
      <c r="F10" s="274"/>
      <c r="G10" s="274"/>
      <c r="H10" s="274"/>
      <c r="I10" s="274"/>
      <c r="J10" s="274"/>
      <c r="K10" s="274"/>
      <c r="L10" s="274"/>
      <c r="M10" s="274"/>
      <c r="N10" s="274"/>
      <c r="O10" s="274"/>
      <c r="P10" s="274"/>
      <c r="Q10" s="274"/>
      <c r="R10" s="274" t="s">
        <v>725</v>
      </c>
    </row>
    <row r="11" spans="1:20">
      <c r="D11" s="308"/>
      <c r="E11" s="450" t="s">
        <v>1642</v>
      </c>
      <c r="F11" s="450" t="s">
        <v>1643</v>
      </c>
      <c r="G11" s="450" t="s">
        <v>1644</v>
      </c>
      <c r="H11" s="450" t="s">
        <v>1645</v>
      </c>
      <c r="I11" s="450" t="s">
        <v>1646</v>
      </c>
      <c r="J11" s="450" t="s">
        <v>1647</v>
      </c>
      <c r="K11" s="450" t="s">
        <v>1648</v>
      </c>
      <c r="L11" s="450" t="s">
        <v>1649</v>
      </c>
      <c r="M11" s="450" t="s">
        <v>1650</v>
      </c>
      <c r="N11" s="450" t="s">
        <v>1651</v>
      </c>
      <c r="O11" s="450" t="s">
        <v>1652</v>
      </c>
      <c r="P11" s="450" t="s">
        <v>1657</v>
      </c>
      <c r="Q11" s="450" t="s">
        <v>1658</v>
      </c>
      <c r="R11" s="450" t="s">
        <v>1659</v>
      </c>
      <c r="S11" s="450"/>
    </row>
    <row r="13" spans="1:20">
      <c r="A13" s="75">
        <v>1</v>
      </c>
      <c r="B13" s="372" t="s">
        <v>508</v>
      </c>
      <c r="C13" s="372" t="s">
        <v>1738</v>
      </c>
      <c r="D13" s="799" t="s">
        <v>1739</v>
      </c>
      <c r="E13" s="1138"/>
      <c r="F13" s="536">
        <v>2098503.8308000001</v>
      </c>
      <c r="G13" s="373"/>
      <c r="H13" s="536">
        <v>17453.54</v>
      </c>
      <c r="I13" s="536">
        <v>120359.2</v>
      </c>
      <c r="J13" s="536">
        <v>23234.040000000005</v>
      </c>
      <c r="K13" s="536"/>
      <c r="L13" s="536"/>
      <c r="M13" s="536"/>
      <c r="N13" s="536">
        <v>5750.52</v>
      </c>
      <c r="O13" s="536">
        <v>1747.84</v>
      </c>
      <c r="P13" s="536"/>
      <c r="Q13" s="536"/>
      <c r="R13" s="536">
        <v>2267048.9708000002</v>
      </c>
    </row>
    <row r="14" spans="1:20">
      <c r="A14" s="75">
        <f t="shared" ref="A14:A60" si="0">A13+1</f>
        <v>2</v>
      </c>
      <c r="B14" s="372" t="s">
        <v>508</v>
      </c>
      <c r="C14" s="372" t="s">
        <v>1740</v>
      </c>
      <c r="D14" s="799" t="s">
        <v>1741</v>
      </c>
      <c r="E14" s="1138"/>
      <c r="F14" s="536">
        <v>242408.44000000003</v>
      </c>
      <c r="G14" s="373"/>
      <c r="H14" s="536">
        <v>3808.0000000000014</v>
      </c>
      <c r="I14" s="536">
        <v>15775.999999999998</v>
      </c>
      <c r="J14" s="536">
        <v>6673.1537689618044</v>
      </c>
      <c r="K14" s="536"/>
      <c r="L14" s="536"/>
      <c r="M14" s="536"/>
      <c r="N14" s="536">
        <v>21177.24</v>
      </c>
      <c r="O14" s="536">
        <v>5493.0399999999981</v>
      </c>
      <c r="P14" s="536"/>
      <c r="Q14" s="536"/>
      <c r="R14" s="536">
        <v>295335.87376896181</v>
      </c>
      <c r="T14" s="98"/>
    </row>
    <row r="15" spans="1:20">
      <c r="A15" s="75">
        <f t="shared" si="0"/>
        <v>3</v>
      </c>
      <c r="B15" s="372"/>
      <c r="C15" s="372"/>
      <c r="D15" s="799"/>
      <c r="E15" s="1138"/>
      <c r="F15" s="536"/>
      <c r="G15" s="373"/>
      <c r="H15" s="536"/>
      <c r="I15" s="536"/>
      <c r="J15" s="536"/>
      <c r="K15" s="536"/>
      <c r="L15" s="536"/>
      <c r="M15" s="536"/>
      <c r="N15" s="536"/>
      <c r="O15" s="536"/>
      <c r="P15" s="536"/>
      <c r="Q15" s="536"/>
      <c r="R15" s="536">
        <v>0</v>
      </c>
      <c r="T15" s="98"/>
    </row>
    <row r="16" spans="1:20">
      <c r="A16" s="75">
        <f t="shared" si="0"/>
        <v>4</v>
      </c>
      <c r="B16" s="372" t="s">
        <v>868</v>
      </c>
      <c r="C16" s="372" t="s">
        <v>1742</v>
      </c>
      <c r="D16" s="799" t="s">
        <v>1743</v>
      </c>
      <c r="E16" s="1138">
        <v>188000</v>
      </c>
      <c r="F16" s="536">
        <v>8042256.4799999995</v>
      </c>
      <c r="G16" s="536"/>
      <c r="H16" s="536">
        <v>126336</v>
      </c>
      <c r="I16" s="536">
        <v>523392</v>
      </c>
      <c r="J16" s="536">
        <v>0</v>
      </c>
      <c r="K16" s="536"/>
      <c r="L16" s="536"/>
      <c r="M16" s="536"/>
      <c r="N16" s="536"/>
      <c r="O16" s="536"/>
      <c r="P16" s="536"/>
      <c r="Q16" s="536"/>
      <c r="R16" s="536">
        <v>8691984.4800000004</v>
      </c>
    </row>
    <row r="17" spans="1:18">
      <c r="A17" s="75">
        <f t="shared" si="0"/>
        <v>5</v>
      </c>
      <c r="B17" s="372" t="s">
        <v>868</v>
      </c>
      <c r="C17" s="372" t="s">
        <v>1744</v>
      </c>
      <c r="D17" s="799" t="s">
        <v>1743</v>
      </c>
      <c r="E17" s="1138">
        <v>30000</v>
      </c>
      <c r="F17" s="536">
        <v>1283338.7999999998</v>
      </c>
      <c r="G17" s="536"/>
      <c r="H17" s="536">
        <v>20160</v>
      </c>
      <c r="I17" s="536">
        <v>0</v>
      </c>
      <c r="J17" s="536">
        <v>0</v>
      </c>
      <c r="K17" s="536"/>
      <c r="L17" s="536"/>
      <c r="M17" s="536"/>
      <c r="N17" s="536">
        <v>0</v>
      </c>
      <c r="O17" s="536">
        <v>0</v>
      </c>
      <c r="P17" s="536"/>
      <c r="Q17" s="536"/>
      <c r="R17" s="536">
        <v>1303498.7999999998</v>
      </c>
    </row>
    <row r="18" spans="1:18">
      <c r="A18" s="75">
        <f t="shared" si="0"/>
        <v>6</v>
      </c>
      <c r="B18" s="372"/>
      <c r="C18" s="372"/>
      <c r="D18" s="372"/>
      <c r="E18" s="1138"/>
      <c r="F18" s="536"/>
      <c r="G18" s="536"/>
      <c r="H18" s="536"/>
      <c r="I18" s="536"/>
      <c r="J18" s="536"/>
      <c r="K18" s="536"/>
      <c r="L18" s="536"/>
      <c r="M18" s="536"/>
      <c r="N18" s="536"/>
      <c r="O18" s="536"/>
      <c r="P18" s="536"/>
      <c r="Q18" s="536"/>
      <c r="R18" s="536">
        <v>0</v>
      </c>
    </row>
    <row r="19" spans="1:18">
      <c r="A19" s="75">
        <f t="shared" si="0"/>
        <v>7</v>
      </c>
      <c r="B19" s="372" t="s">
        <v>868</v>
      </c>
      <c r="C19" s="372" t="s">
        <v>1745</v>
      </c>
      <c r="D19" s="799" t="s">
        <v>1746</v>
      </c>
      <c r="E19" s="1138">
        <v>35000</v>
      </c>
      <c r="F19" s="536"/>
      <c r="G19" s="536">
        <v>1497228.5999999999</v>
      </c>
      <c r="H19" s="536"/>
      <c r="I19" s="536"/>
      <c r="J19" s="536"/>
      <c r="K19" s="536"/>
      <c r="L19" s="536"/>
      <c r="M19" s="536"/>
      <c r="N19" s="536"/>
      <c r="O19" s="536"/>
      <c r="P19" s="536"/>
      <c r="Q19" s="536"/>
      <c r="R19" s="536">
        <v>1497228.5999999999</v>
      </c>
    </row>
    <row r="20" spans="1:18">
      <c r="A20" s="75">
        <f t="shared" si="0"/>
        <v>8</v>
      </c>
      <c r="B20" s="372" t="s">
        <v>726</v>
      </c>
      <c r="C20" s="372" t="s">
        <v>1745</v>
      </c>
      <c r="D20" s="799" t="s">
        <v>1747</v>
      </c>
      <c r="E20" s="1138"/>
      <c r="F20" s="536"/>
      <c r="G20" s="536"/>
      <c r="H20" s="536">
        <v>23520</v>
      </c>
      <c r="I20" s="536">
        <v>97440</v>
      </c>
      <c r="J20" s="536"/>
      <c r="K20" s="536"/>
      <c r="L20" s="536"/>
      <c r="M20" s="536"/>
      <c r="N20" s="536"/>
      <c r="O20" s="536"/>
      <c r="P20" s="536"/>
      <c r="Q20" s="536"/>
      <c r="R20" s="536">
        <v>120960</v>
      </c>
    </row>
    <row r="21" spans="1:18">
      <c r="A21" s="75">
        <f t="shared" si="0"/>
        <v>9</v>
      </c>
      <c r="B21" s="372"/>
      <c r="C21" s="372"/>
      <c r="D21" s="799"/>
      <c r="E21" s="1138"/>
      <c r="F21" s="536"/>
      <c r="G21" s="536"/>
      <c r="H21" s="536"/>
      <c r="I21" s="536"/>
      <c r="J21" s="536"/>
      <c r="K21" s="536"/>
      <c r="L21" s="536"/>
      <c r="M21" s="536"/>
      <c r="N21" s="536"/>
      <c r="O21" s="536"/>
      <c r="P21" s="536"/>
      <c r="Q21" s="536"/>
      <c r="R21" s="536">
        <v>0</v>
      </c>
    </row>
    <row r="22" spans="1:18">
      <c r="A22" s="75">
        <f t="shared" si="0"/>
        <v>10</v>
      </c>
      <c r="B22" s="372" t="s">
        <v>868</v>
      </c>
      <c r="C22" s="372" t="s">
        <v>1748</v>
      </c>
      <c r="D22" s="799" t="s">
        <v>1746</v>
      </c>
      <c r="E22" s="1138">
        <v>30224</v>
      </c>
      <c r="F22" s="536"/>
      <c r="G22" s="536">
        <v>1292901.508435962</v>
      </c>
      <c r="H22" s="536"/>
      <c r="I22" s="536"/>
      <c r="J22" s="536"/>
      <c r="K22" s="536"/>
      <c r="L22" s="536"/>
      <c r="M22" s="536"/>
      <c r="N22" s="536"/>
      <c r="O22" s="536"/>
      <c r="P22" s="536"/>
      <c r="Q22" s="536"/>
      <c r="R22" s="536">
        <v>1292901.508435962</v>
      </c>
    </row>
    <row r="23" spans="1:18">
      <c r="A23" s="75">
        <f t="shared" si="0"/>
        <v>11</v>
      </c>
      <c r="B23" s="372" t="s">
        <v>726</v>
      </c>
      <c r="C23" s="372" t="s">
        <v>1748</v>
      </c>
      <c r="D23" s="799" t="s">
        <v>1747</v>
      </c>
      <c r="E23" s="1138"/>
      <c r="F23" s="536"/>
      <c r="G23" s="536"/>
      <c r="H23" s="536">
        <v>20310.220816255998</v>
      </c>
      <c r="I23" s="536">
        <v>84142.343381631988</v>
      </c>
      <c r="J23" s="536">
        <v>35591.72</v>
      </c>
      <c r="K23" s="536"/>
      <c r="L23" s="536">
        <v>1511</v>
      </c>
      <c r="M23" s="536"/>
      <c r="N23" s="536"/>
      <c r="O23" s="536"/>
      <c r="P23" s="536"/>
      <c r="Q23" s="536"/>
      <c r="R23" s="536">
        <v>141555.28419788799</v>
      </c>
    </row>
    <row r="24" spans="1:18">
      <c r="A24" s="75">
        <f t="shared" si="0"/>
        <v>12</v>
      </c>
      <c r="B24" s="372" t="s">
        <v>868</v>
      </c>
      <c r="C24" s="372" t="s">
        <v>1749</v>
      </c>
      <c r="D24" s="799" t="s">
        <v>1746</v>
      </c>
      <c r="E24" s="1138">
        <v>237301</v>
      </c>
      <c r="F24" s="536"/>
      <c r="G24" s="536">
        <v>10151246.229775982</v>
      </c>
      <c r="H24" s="536"/>
      <c r="I24" s="536"/>
      <c r="J24" s="536"/>
      <c r="K24" s="536"/>
      <c r="L24" s="536"/>
      <c r="M24" s="536"/>
      <c r="N24" s="536"/>
      <c r="O24" s="536"/>
      <c r="P24" s="536"/>
      <c r="Q24" s="536"/>
      <c r="R24" s="536">
        <v>10151246.229775982</v>
      </c>
    </row>
    <row r="25" spans="1:18">
      <c r="A25" s="75">
        <f t="shared" si="0"/>
        <v>13</v>
      </c>
      <c r="B25" s="372" t="s">
        <v>726</v>
      </c>
      <c r="C25" s="372" t="s">
        <v>1749</v>
      </c>
      <c r="D25" s="799" t="s">
        <v>1747</v>
      </c>
      <c r="E25" s="1138"/>
      <c r="F25" s="536"/>
      <c r="G25" s="536"/>
      <c r="H25" s="536">
        <v>159466.17057965035</v>
      </c>
      <c r="I25" s="536">
        <v>660645.56382998032</v>
      </c>
      <c r="J25" s="536">
        <v>279449.12999999995</v>
      </c>
      <c r="K25" s="536">
        <v>72335</v>
      </c>
      <c r="L25" s="536">
        <v>105620</v>
      </c>
      <c r="M25" s="536"/>
      <c r="N25" s="536"/>
      <c r="O25" s="536"/>
      <c r="P25" s="536">
        <v>108604</v>
      </c>
      <c r="Q25" s="536"/>
      <c r="R25" s="536">
        <v>1386119.8644096307</v>
      </c>
    </row>
    <row r="26" spans="1:18">
      <c r="A26" s="75">
        <f t="shared" si="0"/>
        <v>14</v>
      </c>
      <c r="B26" s="372" t="s">
        <v>868</v>
      </c>
      <c r="C26" s="372" t="s">
        <v>1750</v>
      </c>
      <c r="D26" s="799" t="s">
        <v>1746</v>
      </c>
      <c r="E26" s="1138">
        <v>376377</v>
      </c>
      <c r="F26" s="536"/>
      <c r="G26" s="536">
        <v>16100626.882807497</v>
      </c>
      <c r="H26" s="536"/>
      <c r="I26" s="536"/>
      <c r="J26" s="536"/>
      <c r="K26" s="536"/>
      <c r="L26" s="536"/>
      <c r="M26" s="536"/>
      <c r="N26" s="536"/>
      <c r="O26" s="536"/>
      <c r="P26" s="536"/>
      <c r="Q26" s="536"/>
      <c r="R26" s="536">
        <v>16100626.882807497</v>
      </c>
    </row>
    <row r="27" spans="1:18">
      <c r="A27" s="75">
        <f t="shared" si="0"/>
        <v>15</v>
      </c>
      <c r="B27" s="372" t="s">
        <v>726</v>
      </c>
      <c r="C27" s="372" t="s">
        <v>1750</v>
      </c>
      <c r="D27" s="372" t="s">
        <v>1747</v>
      </c>
      <c r="E27" s="1138"/>
      <c r="F27" s="536"/>
      <c r="G27" s="536"/>
      <c r="H27" s="536">
        <v>252925.13399999999</v>
      </c>
      <c r="I27" s="536">
        <v>1047832.6979999999</v>
      </c>
      <c r="J27" s="536">
        <v>443226.97000000003</v>
      </c>
      <c r="K27" s="536">
        <v>24366</v>
      </c>
      <c r="L27" s="536">
        <v>52671</v>
      </c>
      <c r="M27" s="536"/>
      <c r="N27" s="536">
        <v>1406579.9</v>
      </c>
      <c r="O27" s="536">
        <v>364844.51</v>
      </c>
      <c r="P27" s="536"/>
      <c r="Q27" s="536"/>
      <c r="R27" s="536">
        <v>3592446.2119999994</v>
      </c>
    </row>
    <row r="28" spans="1:18">
      <c r="A28" s="75">
        <f t="shared" si="0"/>
        <v>16</v>
      </c>
      <c r="B28" s="372" t="s">
        <v>868</v>
      </c>
      <c r="C28" s="372" t="s">
        <v>1751</v>
      </c>
      <c r="D28" s="799" t="s">
        <v>1746</v>
      </c>
      <c r="E28" s="1138">
        <v>120632</v>
      </c>
      <c r="F28" s="536"/>
      <c r="G28" s="536">
        <v>5454849.3758842945</v>
      </c>
      <c r="H28" s="536"/>
      <c r="I28" s="536"/>
      <c r="J28" s="536"/>
      <c r="K28" s="536"/>
      <c r="L28" s="536"/>
      <c r="M28" s="536"/>
      <c r="N28" s="536"/>
      <c r="O28" s="536"/>
      <c r="P28" s="536"/>
      <c r="Q28" s="536"/>
      <c r="R28" s="536">
        <v>5454849.3758842945</v>
      </c>
    </row>
    <row r="29" spans="1:18">
      <c r="A29" s="75">
        <f t="shared" si="0"/>
        <v>17</v>
      </c>
      <c r="B29" s="372" t="s">
        <v>726</v>
      </c>
      <c r="C29" s="372" t="s">
        <v>1751</v>
      </c>
      <c r="D29" s="372" t="s">
        <v>1747</v>
      </c>
      <c r="E29" s="1138"/>
      <c r="F29" s="536"/>
      <c r="G29" s="536"/>
      <c r="H29" s="536">
        <v>81064.48000000001</v>
      </c>
      <c r="I29" s="536">
        <v>335838.56</v>
      </c>
      <c r="J29" s="536">
        <v>142057.72</v>
      </c>
      <c r="K29" s="536"/>
      <c r="L29" s="536">
        <v>208</v>
      </c>
      <c r="M29" s="536"/>
      <c r="N29" s="536">
        <v>450819.85</v>
      </c>
      <c r="O29" s="536">
        <v>116935.48999999999</v>
      </c>
      <c r="P29" s="536"/>
      <c r="Q29" s="536"/>
      <c r="R29" s="536">
        <v>1126924.1000000001</v>
      </c>
    </row>
    <row r="30" spans="1:18">
      <c r="A30" s="75">
        <f t="shared" si="0"/>
        <v>18</v>
      </c>
      <c r="B30" s="372" t="s">
        <v>868</v>
      </c>
      <c r="C30" s="372" t="s">
        <v>1752</v>
      </c>
      <c r="D30" s="799" t="s">
        <v>1746</v>
      </c>
      <c r="E30" s="1138">
        <v>36367</v>
      </c>
      <c r="F30" s="536"/>
      <c r="G30" s="536">
        <v>1555716.76581</v>
      </c>
      <c r="H30" s="536"/>
      <c r="I30" s="536"/>
      <c r="J30" s="536"/>
      <c r="K30" s="536"/>
      <c r="L30" s="536"/>
      <c r="M30" s="536"/>
      <c r="N30" s="536"/>
      <c r="O30" s="536"/>
      <c r="P30" s="536"/>
      <c r="Q30" s="536"/>
      <c r="R30" s="536">
        <v>1555716.76581</v>
      </c>
    </row>
    <row r="31" spans="1:18">
      <c r="A31" s="75">
        <f t="shared" si="0"/>
        <v>19</v>
      </c>
      <c r="B31" s="372" t="s">
        <v>726</v>
      </c>
      <c r="C31" s="372" t="s">
        <v>1752</v>
      </c>
      <c r="D31" s="799" t="s">
        <v>1747</v>
      </c>
      <c r="E31" s="1138"/>
      <c r="F31" s="536"/>
      <c r="G31" s="536"/>
      <c r="H31" s="536">
        <v>24438.792000000001</v>
      </c>
      <c r="I31" s="536"/>
      <c r="J31" s="536">
        <v>42826.61</v>
      </c>
      <c r="K31" s="536"/>
      <c r="L31" s="536"/>
      <c r="M31" s="536"/>
      <c r="N31" s="536"/>
      <c r="O31" s="536"/>
      <c r="P31" s="536"/>
      <c r="Q31" s="536"/>
      <c r="R31" s="536">
        <v>67265.402000000002</v>
      </c>
    </row>
    <row r="32" spans="1:18">
      <c r="A32" s="75">
        <f t="shared" si="0"/>
        <v>20</v>
      </c>
      <c r="B32" s="372"/>
      <c r="C32" s="372"/>
      <c r="D32" s="799"/>
      <c r="E32" s="1138"/>
      <c r="F32" s="536"/>
      <c r="G32" s="536"/>
      <c r="H32" s="536"/>
      <c r="I32" s="536"/>
      <c r="J32" s="536"/>
      <c r="K32" s="536"/>
      <c r="L32" s="536"/>
      <c r="M32" s="536"/>
      <c r="N32" s="536"/>
      <c r="O32" s="536"/>
      <c r="P32" s="536"/>
      <c r="Q32" s="536"/>
      <c r="R32" s="536">
        <v>0</v>
      </c>
    </row>
    <row r="33" spans="1:20">
      <c r="A33" s="75">
        <f t="shared" si="0"/>
        <v>21</v>
      </c>
      <c r="B33" s="372" t="s">
        <v>868</v>
      </c>
      <c r="C33" s="372" t="s">
        <v>1753</v>
      </c>
      <c r="D33" s="799" t="s">
        <v>1743</v>
      </c>
      <c r="E33" s="1138">
        <v>35510</v>
      </c>
      <c r="F33" s="536"/>
      <c r="G33" s="536">
        <v>1066800.5373941991</v>
      </c>
      <c r="H33" s="536"/>
      <c r="I33" s="536"/>
      <c r="J33" s="536"/>
      <c r="K33" s="536"/>
      <c r="L33" s="536"/>
      <c r="M33" s="536"/>
      <c r="N33" s="536"/>
      <c r="O33" s="536"/>
      <c r="P33" s="536"/>
      <c r="Q33" s="536"/>
      <c r="R33" s="536">
        <v>1066800.5373941991</v>
      </c>
    </row>
    <row r="34" spans="1:20">
      <c r="A34" s="75">
        <f t="shared" si="0"/>
        <v>22</v>
      </c>
      <c r="B34" s="372" t="s">
        <v>508</v>
      </c>
      <c r="C34" s="372" t="s">
        <v>1754</v>
      </c>
      <c r="D34" s="799" t="s">
        <v>1747</v>
      </c>
      <c r="E34" s="1138"/>
      <c r="F34" s="536"/>
      <c r="G34" s="536">
        <v>224400</v>
      </c>
      <c r="H34" s="536"/>
      <c r="I34" s="536"/>
      <c r="J34" s="536"/>
      <c r="K34" s="536"/>
      <c r="L34" s="536"/>
      <c r="M34" s="536"/>
      <c r="N34" s="536"/>
      <c r="O34" s="536"/>
      <c r="P34" s="536"/>
      <c r="Q34" s="536"/>
      <c r="R34" s="536">
        <v>224400</v>
      </c>
    </row>
    <row r="35" spans="1:20">
      <c r="A35" s="75">
        <f t="shared" si="0"/>
        <v>23</v>
      </c>
      <c r="B35" s="372"/>
      <c r="C35" s="372"/>
      <c r="D35" s="372"/>
      <c r="E35" s="1138"/>
      <c r="F35" s="536"/>
      <c r="G35" s="536"/>
      <c r="H35" s="536"/>
      <c r="I35" s="536"/>
      <c r="J35" s="536"/>
      <c r="K35" s="536"/>
      <c r="L35" s="536"/>
      <c r="M35" s="536"/>
      <c r="N35" s="536"/>
      <c r="O35" s="536"/>
      <c r="P35" s="536"/>
      <c r="Q35" s="536"/>
      <c r="R35" s="536">
        <v>0</v>
      </c>
    </row>
    <row r="36" spans="1:20">
      <c r="A36" s="75">
        <f t="shared" si="0"/>
        <v>24</v>
      </c>
      <c r="B36" s="372" t="s">
        <v>508</v>
      </c>
      <c r="C36" s="372" t="s">
        <v>1755</v>
      </c>
      <c r="D36" s="799" t="s">
        <v>1747</v>
      </c>
      <c r="E36" s="1138"/>
      <c r="F36" s="536"/>
      <c r="G36" s="536"/>
      <c r="H36" s="536">
        <v>351409.32959999994</v>
      </c>
      <c r="I36" s="536"/>
      <c r="J36" s="536">
        <v>615811.04</v>
      </c>
      <c r="K36" s="536">
        <v>148992</v>
      </c>
      <c r="L36" s="536">
        <v>185182</v>
      </c>
      <c r="M36" s="536"/>
      <c r="N36" s="536">
        <v>797535.14</v>
      </c>
      <c r="O36" s="536">
        <v>285339.98</v>
      </c>
      <c r="P36" s="536">
        <v>1062555</v>
      </c>
      <c r="Q36" s="536"/>
      <c r="R36" s="536">
        <v>3446824.4896</v>
      </c>
    </row>
    <row r="37" spans="1:20">
      <c r="A37" s="75">
        <f t="shared" si="0"/>
        <v>25</v>
      </c>
      <c r="B37" s="372" t="s">
        <v>508</v>
      </c>
      <c r="C37" s="372" t="s">
        <v>1756</v>
      </c>
      <c r="D37" s="799" t="s">
        <v>1747</v>
      </c>
      <c r="E37" s="1138"/>
      <c r="F37" s="536"/>
      <c r="G37" s="536"/>
      <c r="H37" s="536">
        <v>91574.085686267557</v>
      </c>
      <c r="I37" s="536">
        <v>379378.35498596553</v>
      </c>
      <c r="J37" s="536">
        <v>160474.78000000003</v>
      </c>
      <c r="K37" s="536">
        <v>39975</v>
      </c>
      <c r="L37" s="536"/>
      <c r="M37" s="536"/>
      <c r="N37" s="536"/>
      <c r="O37" s="536"/>
      <c r="P37" s="536"/>
      <c r="Q37" s="536"/>
      <c r="R37" s="536">
        <v>671402.22067223315</v>
      </c>
    </row>
    <row r="38" spans="1:20">
      <c r="A38" s="75">
        <f t="shared" si="0"/>
        <v>26</v>
      </c>
      <c r="B38" s="372" t="s">
        <v>508</v>
      </c>
      <c r="C38" s="372" t="s">
        <v>1757</v>
      </c>
      <c r="D38" s="799" t="s">
        <v>1747</v>
      </c>
      <c r="E38" s="1138"/>
      <c r="F38" s="536"/>
      <c r="G38" s="536"/>
      <c r="H38" s="536">
        <v>26771.248000000003</v>
      </c>
      <c r="I38" s="536"/>
      <c r="J38" s="536">
        <v>46914.029999999992</v>
      </c>
      <c r="K38" s="536">
        <v>7020</v>
      </c>
      <c r="L38" s="536">
        <v>1913</v>
      </c>
      <c r="M38" s="536"/>
      <c r="N38" s="536">
        <v>148881.60000000001</v>
      </c>
      <c r="O38" s="536"/>
      <c r="P38" s="536">
        <v>52200</v>
      </c>
      <c r="Q38" s="536"/>
      <c r="R38" s="536">
        <v>283699.87800000003</v>
      </c>
    </row>
    <row r="39" spans="1:20">
      <c r="A39" s="75">
        <f t="shared" si="0"/>
        <v>27</v>
      </c>
      <c r="B39" s="372" t="s">
        <v>508</v>
      </c>
      <c r="C39" s="372" t="s">
        <v>1758</v>
      </c>
      <c r="D39" s="799" t="s">
        <v>1747</v>
      </c>
      <c r="E39" s="1138"/>
      <c r="F39" s="536"/>
      <c r="G39" s="536"/>
      <c r="H39" s="536">
        <v>202160</v>
      </c>
      <c r="I39" s="536"/>
      <c r="J39" s="536">
        <v>354265.97</v>
      </c>
      <c r="K39" s="536">
        <v>169493</v>
      </c>
      <c r="L39" s="536">
        <v>114907</v>
      </c>
      <c r="M39" s="536"/>
      <c r="N39" s="536"/>
      <c r="O39" s="536"/>
      <c r="P39" s="536">
        <v>1208764</v>
      </c>
      <c r="Q39" s="536"/>
      <c r="R39" s="536">
        <v>2049589.97</v>
      </c>
    </row>
    <row r="40" spans="1:20">
      <c r="A40" s="75">
        <f t="shared" si="0"/>
        <v>28</v>
      </c>
      <c r="B40" s="372"/>
      <c r="C40" s="372"/>
      <c r="D40" s="372"/>
      <c r="E40" s="1138"/>
      <c r="F40" s="536"/>
      <c r="G40" s="536"/>
      <c r="H40" s="536"/>
      <c r="I40" s="536"/>
      <c r="J40" s="536"/>
      <c r="K40" s="536"/>
      <c r="L40" s="536"/>
      <c r="M40" s="536"/>
      <c r="N40" s="536"/>
      <c r="O40" s="536"/>
      <c r="P40" s="536"/>
      <c r="Q40" s="536"/>
      <c r="R40" s="536">
        <v>0</v>
      </c>
    </row>
    <row r="41" spans="1:20">
      <c r="A41" s="75">
        <f t="shared" si="0"/>
        <v>29</v>
      </c>
      <c r="B41" s="372" t="s">
        <v>726</v>
      </c>
      <c r="C41" s="372"/>
      <c r="D41" s="372"/>
      <c r="E41" s="1138"/>
      <c r="F41" s="536"/>
      <c r="G41" s="536"/>
      <c r="H41" s="536"/>
      <c r="I41" s="536"/>
      <c r="J41" s="536"/>
      <c r="K41" s="536"/>
      <c r="L41" s="536"/>
      <c r="M41" s="536"/>
      <c r="N41" s="536"/>
      <c r="O41" s="536"/>
      <c r="P41" s="536"/>
      <c r="Q41" s="536">
        <v>445604.94792005391</v>
      </c>
      <c r="R41" s="536">
        <v>445604.94792005391</v>
      </c>
    </row>
    <row r="42" spans="1:20">
      <c r="A42" s="75">
        <f t="shared" si="0"/>
        <v>30</v>
      </c>
      <c r="B42" s="372"/>
      <c r="C42" s="372"/>
      <c r="D42" s="372"/>
      <c r="E42" s="372"/>
      <c r="F42" s="536"/>
      <c r="G42" s="536"/>
      <c r="H42" s="536"/>
      <c r="I42" s="536"/>
      <c r="J42" s="536"/>
      <c r="K42" s="536"/>
      <c r="L42" s="536"/>
      <c r="M42" s="536"/>
      <c r="N42" s="536"/>
      <c r="O42" s="536"/>
      <c r="P42" s="536"/>
      <c r="Q42" s="536"/>
      <c r="R42" s="536"/>
      <c r="T42" s="98"/>
    </row>
    <row r="43" spans="1:20">
      <c r="A43" s="75">
        <f t="shared" si="0"/>
        <v>31</v>
      </c>
      <c r="B43" s="372"/>
      <c r="C43" s="372"/>
      <c r="D43" s="372"/>
      <c r="E43" s="244"/>
      <c r="F43" s="536"/>
      <c r="G43" s="536"/>
      <c r="H43" s="536"/>
      <c r="I43" s="536"/>
      <c r="J43" s="536"/>
      <c r="K43" s="536"/>
      <c r="L43" s="536"/>
      <c r="M43" s="536"/>
      <c r="N43" s="536"/>
      <c r="O43" s="536"/>
      <c r="P43" s="536"/>
      <c r="Q43" s="536"/>
      <c r="R43" s="536"/>
    </row>
    <row r="44" spans="1:20">
      <c r="A44" s="75">
        <f t="shared" si="0"/>
        <v>32</v>
      </c>
      <c r="B44" s="372"/>
      <c r="C44" s="372"/>
      <c r="D44" s="799"/>
      <c r="E44" s="244"/>
      <c r="F44" s="536"/>
      <c r="G44" s="536"/>
      <c r="H44" s="536"/>
      <c r="I44" s="536"/>
      <c r="J44" s="536"/>
      <c r="K44" s="536"/>
      <c r="L44" s="536"/>
      <c r="M44" s="536"/>
      <c r="N44" s="536"/>
      <c r="O44" s="536"/>
      <c r="P44" s="536"/>
      <c r="Q44" s="536"/>
      <c r="R44" s="536"/>
    </row>
    <row r="45" spans="1:20">
      <c r="A45" s="75">
        <f t="shared" si="0"/>
        <v>33</v>
      </c>
      <c r="B45" s="372"/>
      <c r="C45" s="372"/>
      <c r="D45" s="799"/>
      <c r="E45" s="244"/>
      <c r="F45" s="536"/>
      <c r="G45" s="536"/>
      <c r="H45" s="536"/>
      <c r="I45" s="536"/>
      <c r="J45" s="536"/>
      <c r="K45" s="536"/>
      <c r="L45" s="536"/>
      <c r="M45" s="536"/>
      <c r="N45" s="536"/>
      <c r="O45" s="536"/>
      <c r="P45" s="536"/>
      <c r="Q45" s="536"/>
      <c r="R45" s="536"/>
    </row>
    <row r="46" spans="1:20">
      <c r="A46" s="75">
        <f t="shared" si="0"/>
        <v>34</v>
      </c>
      <c r="B46" s="372"/>
      <c r="C46" s="372"/>
      <c r="D46" s="799"/>
      <c r="E46" s="244"/>
      <c r="F46" s="536"/>
      <c r="G46" s="536"/>
      <c r="H46" s="536"/>
      <c r="I46" s="536"/>
      <c r="J46" s="536"/>
      <c r="K46" s="536"/>
      <c r="L46" s="536"/>
      <c r="M46" s="536"/>
      <c r="N46" s="536"/>
      <c r="O46" s="536"/>
      <c r="P46" s="536"/>
      <c r="Q46" s="536"/>
      <c r="R46" s="536"/>
    </row>
    <row r="47" spans="1:20">
      <c r="A47" s="75">
        <f t="shared" si="0"/>
        <v>35</v>
      </c>
      <c r="B47" s="372"/>
      <c r="C47" s="372"/>
      <c r="D47" s="799"/>
      <c r="E47" s="244"/>
      <c r="F47" s="536"/>
      <c r="G47" s="536"/>
      <c r="H47" s="536"/>
      <c r="I47" s="536"/>
      <c r="J47" s="536"/>
      <c r="K47" s="536"/>
      <c r="L47" s="536"/>
      <c r="M47" s="536"/>
      <c r="N47" s="536"/>
      <c r="O47" s="536"/>
      <c r="P47" s="536"/>
      <c r="Q47" s="536"/>
      <c r="R47" s="536"/>
    </row>
    <row r="48" spans="1:20">
      <c r="A48" s="75">
        <f t="shared" si="0"/>
        <v>36</v>
      </c>
      <c r="B48" s="372"/>
      <c r="C48" s="372"/>
      <c r="D48" s="372"/>
      <c r="E48" s="244"/>
      <c r="F48" s="536"/>
      <c r="G48" s="536"/>
      <c r="H48" s="536"/>
      <c r="I48" s="536"/>
      <c r="J48" s="536"/>
      <c r="K48" s="536"/>
      <c r="L48" s="536"/>
      <c r="M48" s="536"/>
      <c r="N48" s="536"/>
      <c r="O48" s="536"/>
      <c r="P48" s="536"/>
      <c r="Q48" s="536"/>
      <c r="R48" s="536"/>
    </row>
    <row r="49" spans="1:19">
      <c r="A49" s="75">
        <f t="shared" si="0"/>
        <v>37</v>
      </c>
      <c r="B49" s="372"/>
      <c r="C49" s="372"/>
      <c r="D49" s="372"/>
      <c r="E49" s="244"/>
      <c r="F49" s="536"/>
      <c r="G49" s="536"/>
      <c r="H49" s="536"/>
      <c r="I49" s="536"/>
      <c r="J49" s="536"/>
      <c r="K49" s="536"/>
      <c r="L49" s="536"/>
      <c r="M49" s="536"/>
      <c r="N49" s="536"/>
      <c r="O49" s="536"/>
      <c r="P49" s="536"/>
      <c r="Q49" s="536"/>
      <c r="R49" s="536"/>
    </row>
    <row r="50" spans="1:19">
      <c r="A50" s="75">
        <f t="shared" si="0"/>
        <v>38</v>
      </c>
      <c r="B50" s="372"/>
      <c r="C50" s="372"/>
      <c r="D50" s="372"/>
      <c r="E50" s="372"/>
      <c r="F50" s="536"/>
      <c r="G50" s="536"/>
      <c r="H50" s="536"/>
      <c r="I50" s="536"/>
      <c r="J50" s="536"/>
      <c r="K50" s="536"/>
      <c r="L50" s="536"/>
      <c r="M50" s="536"/>
      <c r="N50" s="536"/>
      <c r="O50" s="536"/>
      <c r="P50" s="536"/>
      <c r="Q50" s="536"/>
      <c r="R50" s="536"/>
    </row>
    <row r="51" spans="1:19">
      <c r="A51" s="75">
        <f t="shared" si="0"/>
        <v>39</v>
      </c>
      <c r="B51" s="308"/>
      <c r="C51" s="308" t="s">
        <v>790</v>
      </c>
      <c r="D51" s="308"/>
      <c r="E51" s="537">
        <f>SUM(E13:E50)</f>
        <v>1089411</v>
      </c>
      <c r="F51" s="537">
        <f t="shared" ref="F51:Q51" si="1">SUM(F13:F50)</f>
        <v>11666507.550799999</v>
      </c>
      <c r="G51" s="537">
        <f t="shared" si="1"/>
        <v>37343769.900107928</v>
      </c>
      <c r="H51" s="537">
        <f t="shared" si="1"/>
        <v>1401397.0006821738</v>
      </c>
      <c r="I51" s="537">
        <f t="shared" si="1"/>
        <v>3264804.7201975775</v>
      </c>
      <c r="J51" s="537">
        <f t="shared" si="1"/>
        <v>2150525.163768962</v>
      </c>
      <c r="K51" s="537"/>
      <c r="L51" s="537"/>
      <c r="M51" s="537"/>
      <c r="N51" s="537">
        <f t="shared" si="1"/>
        <v>2830744.25</v>
      </c>
      <c r="O51" s="537">
        <f t="shared" si="1"/>
        <v>774360.86</v>
      </c>
      <c r="P51" s="537">
        <f t="shared" si="1"/>
        <v>2432123</v>
      </c>
      <c r="Q51" s="537">
        <f t="shared" si="1"/>
        <v>445604.94792005391</v>
      </c>
      <c r="R51" s="537">
        <f>SUM(F51:Q51)</f>
        <v>62309837.393476702</v>
      </c>
      <c r="S51" s="370"/>
    </row>
    <row r="52" spans="1:19">
      <c r="A52" s="75">
        <f t="shared" si="0"/>
        <v>40</v>
      </c>
      <c r="B52" s="308"/>
      <c r="C52" s="308"/>
      <c r="D52" s="308"/>
      <c r="E52" s="165">
        <f>-E33</f>
        <v>-35510</v>
      </c>
      <c r="F52" s="537"/>
      <c r="G52" s="537"/>
      <c r="H52" s="537"/>
      <c r="I52" s="537"/>
      <c r="J52" s="537"/>
      <c r="K52" s="537"/>
      <c r="L52" s="537"/>
      <c r="M52" s="537"/>
      <c r="N52" s="537"/>
      <c r="O52" s="537"/>
      <c r="P52" s="537"/>
      <c r="Q52" s="537"/>
      <c r="R52" s="537"/>
      <c r="S52" s="370"/>
    </row>
    <row r="53" spans="1:19" ht="13.5" thickBot="1">
      <c r="A53" s="75">
        <f t="shared" si="0"/>
        <v>41</v>
      </c>
      <c r="B53" s="371" t="s">
        <v>752</v>
      </c>
      <c r="C53" s="308"/>
      <c r="D53" s="308"/>
      <c r="E53" s="729">
        <f>SUM(E51:E52)</f>
        <v>1053901</v>
      </c>
      <c r="F53" s="537"/>
      <c r="G53" s="537"/>
      <c r="H53" s="537"/>
      <c r="I53" s="537"/>
      <c r="J53" s="537"/>
      <c r="K53" s="537"/>
      <c r="L53" s="537"/>
      <c r="M53" s="537"/>
      <c r="N53" s="537"/>
      <c r="O53" s="537"/>
      <c r="P53" s="537"/>
      <c r="Q53" s="537"/>
      <c r="R53" s="537"/>
    </row>
    <row r="54" spans="1:19" s="99" customFormat="1" ht="15" customHeight="1" thickBot="1">
      <c r="A54" s="75">
        <f t="shared" si="0"/>
        <v>42</v>
      </c>
      <c r="B54" s="308" t="s">
        <v>508</v>
      </c>
      <c r="C54" s="308"/>
      <c r="D54" s="308"/>
      <c r="E54" s="308"/>
      <c r="F54" s="538">
        <f t="shared" ref="F54:Q54" si="2">SUMIF($B$13:$B$50,$B$54,F13:F50)</f>
        <v>2340912.2708000001</v>
      </c>
      <c r="G54" s="538">
        <f t="shared" si="2"/>
        <v>224400</v>
      </c>
      <c r="H54" s="538">
        <f t="shared" si="2"/>
        <v>693176.20328626747</v>
      </c>
      <c r="I54" s="537">
        <f t="shared" si="2"/>
        <v>515513.55498596549</v>
      </c>
      <c r="J54" s="537">
        <f t="shared" si="2"/>
        <v>1207373.0137689619</v>
      </c>
      <c r="K54" s="537">
        <f>SUMIF($B$13:$B$50,$B$54,K13:K50)</f>
        <v>365480</v>
      </c>
      <c r="L54" s="537">
        <f>SUMIF($B$13:$B$50,$B$54,L13:L50)</f>
        <v>302002</v>
      </c>
      <c r="M54" s="537">
        <f>SUMIF($B$13:$B$50,$B$54,M13:M50)</f>
        <v>0</v>
      </c>
      <c r="N54" s="537">
        <f t="shared" si="2"/>
        <v>973344.5</v>
      </c>
      <c r="O54" s="537">
        <f t="shared" si="2"/>
        <v>292580.86</v>
      </c>
      <c r="P54" s="537">
        <f t="shared" si="2"/>
        <v>2323519</v>
      </c>
      <c r="Q54" s="537">
        <f t="shared" si="2"/>
        <v>0</v>
      </c>
      <c r="R54" s="539">
        <f>SUM(F54:Q54)</f>
        <v>9238301.4028411955</v>
      </c>
    </row>
    <row r="55" spans="1:19">
      <c r="A55" s="75">
        <f t="shared" si="0"/>
        <v>43</v>
      </c>
      <c r="B55" s="308" t="s">
        <v>868</v>
      </c>
      <c r="C55" s="308"/>
      <c r="D55" s="308"/>
      <c r="E55" s="308"/>
      <c r="F55" s="537">
        <f t="shared" ref="F55:Q55" si="3">SUMIF($B$13:$B$50,$B$55,F13:F50)</f>
        <v>9325595.2799999993</v>
      </c>
      <c r="G55" s="537">
        <f t="shared" si="3"/>
        <v>37119369.900107928</v>
      </c>
      <c r="H55" s="537">
        <f t="shared" si="3"/>
        <v>146496</v>
      </c>
      <c r="I55" s="537">
        <f t="shared" si="3"/>
        <v>523392</v>
      </c>
      <c r="J55" s="537">
        <f t="shared" si="3"/>
        <v>0</v>
      </c>
      <c r="K55" s="537">
        <f t="shared" ref="K55:P55" si="4">SUMIF($B$13:$B$50,$B$55,K13:K50)</f>
        <v>0</v>
      </c>
      <c r="L55" s="537">
        <f t="shared" si="4"/>
        <v>0</v>
      </c>
      <c r="M55" s="537">
        <f t="shared" si="4"/>
        <v>0</v>
      </c>
      <c r="N55" s="537">
        <f t="shared" si="4"/>
        <v>0</v>
      </c>
      <c r="O55" s="537">
        <f t="shared" si="4"/>
        <v>0</v>
      </c>
      <c r="P55" s="537">
        <f t="shared" si="4"/>
        <v>0</v>
      </c>
      <c r="Q55" s="537">
        <f t="shared" si="3"/>
        <v>0</v>
      </c>
      <c r="R55" s="539">
        <f>SUM(F55:Q55)</f>
        <v>47114853.180107929</v>
      </c>
    </row>
    <row r="56" spans="1:19">
      <c r="A56" s="75">
        <f t="shared" si="0"/>
        <v>44</v>
      </c>
      <c r="B56" s="308" t="s">
        <v>726</v>
      </c>
      <c r="C56" s="308"/>
      <c r="D56" s="308"/>
      <c r="E56" s="308"/>
      <c r="F56" s="537">
        <f t="shared" ref="F56:Q56" si="5">SUMIF($B$13:$B$50,$B$56,F13:F50)</f>
        <v>0</v>
      </c>
      <c r="G56" s="537">
        <f t="shared" si="5"/>
        <v>0</v>
      </c>
      <c r="H56" s="537">
        <f t="shared" si="5"/>
        <v>561724.79739590629</v>
      </c>
      <c r="I56" s="537">
        <f t="shared" si="5"/>
        <v>2225899.1652116124</v>
      </c>
      <c r="J56" s="537">
        <f t="shared" si="5"/>
        <v>943152.15</v>
      </c>
      <c r="K56" s="537">
        <f t="shared" ref="K56:P56" si="6">SUMIF($B$13:$B$50,$B$56,K13:K50)</f>
        <v>96701</v>
      </c>
      <c r="L56" s="537">
        <f t="shared" si="6"/>
        <v>160010</v>
      </c>
      <c r="M56" s="537">
        <f t="shared" si="6"/>
        <v>0</v>
      </c>
      <c r="N56" s="537">
        <f t="shared" si="6"/>
        <v>1857399.75</v>
      </c>
      <c r="O56" s="537">
        <f t="shared" si="6"/>
        <v>481780</v>
      </c>
      <c r="P56" s="537">
        <f t="shared" si="6"/>
        <v>108604</v>
      </c>
      <c r="Q56" s="537">
        <f t="shared" si="5"/>
        <v>445604.94792005391</v>
      </c>
      <c r="R56" s="539">
        <f>SUM(F56:Q56)</f>
        <v>6880875.8105275724</v>
      </c>
    </row>
    <row r="57" spans="1:19">
      <c r="A57" s="75">
        <f t="shared" si="0"/>
        <v>45</v>
      </c>
      <c r="B57" s="308" t="s">
        <v>84</v>
      </c>
      <c r="C57" s="308"/>
      <c r="D57" s="308"/>
      <c r="E57" s="308"/>
      <c r="F57" s="540">
        <f t="shared" ref="F57:Q57" si="7">SUMIF($B$13:$B$50,$B$57,F13:F50)</f>
        <v>0</v>
      </c>
      <c r="G57" s="540">
        <f t="shared" si="7"/>
        <v>0</v>
      </c>
      <c r="H57" s="540">
        <f t="shared" si="7"/>
        <v>0</v>
      </c>
      <c r="I57" s="540">
        <f t="shared" si="7"/>
        <v>0</v>
      </c>
      <c r="J57" s="540">
        <f t="shared" si="7"/>
        <v>0</v>
      </c>
      <c r="K57" s="540">
        <f t="shared" ref="K57:P57" si="8">SUMIF($B$13:$B$50,$B$57,K13:K50)</f>
        <v>0</v>
      </c>
      <c r="L57" s="540">
        <f t="shared" si="8"/>
        <v>0</v>
      </c>
      <c r="M57" s="540">
        <f t="shared" si="8"/>
        <v>0</v>
      </c>
      <c r="N57" s="540">
        <f t="shared" si="8"/>
        <v>0</v>
      </c>
      <c r="O57" s="540">
        <f t="shared" si="8"/>
        <v>0</v>
      </c>
      <c r="P57" s="540">
        <f t="shared" si="8"/>
        <v>0</v>
      </c>
      <c r="Q57" s="540">
        <f t="shared" si="7"/>
        <v>0</v>
      </c>
      <c r="R57" s="540">
        <f>SUM(F57:Q57)</f>
        <v>0</v>
      </c>
    </row>
    <row r="58" spans="1:19">
      <c r="A58" s="75">
        <f t="shared" si="0"/>
        <v>46</v>
      </c>
      <c r="B58" s="308" t="s">
        <v>790</v>
      </c>
      <c r="C58" s="308"/>
      <c r="D58" s="308"/>
      <c r="E58" s="308"/>
      <c r="F58" s="539">
        <f t="shared" ref="F58:Q58" si="9">SUM(F54:F57)</f>
        <v>11666507.550799999</v>
      </c>
      <c r="G58" s="537">
        <f t="shared" si="9"/>
        <v>37343769.900107928</v>
      </c>
      <c r="H58" s="537">
        <f t="shared" si="9"/>
        <v>1401397.0006821738</v>
      </c>
      <c r="I58" s="537">
        <f t="shared" si="9"/>
        <v>3264804.720197578</v>
      </c>
      <c r="J58" s="537">
        <f t="shared" si="9"/>
        <v>2150525.163768962</v>
      </c>
      <c r="K58" s="537">
        <f t="shared" ref="K58:P58" si="10">SUM(K54:K57)</f>
        <v>462181</v>
      </c>
      <c r="L58" s="537">
        <f t="shared" si="10"/>
        <v>462012</v>
      </c>
      <c r="M58" s="537">
        <f t="shared" si="10"/>
        <v>0</v>
      </c>
      <c r="N58" s="537">
        <f t="shared" si="10"/>
        <v>2830744.25</v>
      </c>
      <c r="O58" s="537">
        <f t="shared" si="10"/>
        <v>774360.86</v>
      </c>
      <c r="P58" s="537">
        <f t="shared" si="10"/>
        <v>2432123</v>
      </c>
      <c r="Q58" s="537">
        <f t="shared" si="9"/>
        <v>445604.94792005391</v>
      </c>
      <c r="R58" s="537">
        <f>SUM(R54:R57)</f>
        <v>63234030.393476695</v>
      </c>
    </row>
    <row r="59" spans="1:19">
      <c r="A59" s="75">
        <f t="shared" si="0"/>
        <v>47</v>
      </c>
      <c r="F59" s="541"/>
      <c r="G59" s="541"/>
      <c r="H59" s="541"/>
      <c r="I59" s="541"/>
      <c r="J59" s="541"/>
      <c r="K59" s="541"/>
      <c r="L59" s="541"/>
      <c r="M59" s="541"/>
      <c r="N59" s="541"/>
      <c r="O59" s="541"/>
      <c r="P59" s="541"/>
      <c r="Q59" s="541"/>
      <c r="R59" s="541"/>
    </row>
    <row r="60" spans="1:19">
      <c r="A60" s="75">
        <f t="shared" si="0"/>
        <v>48</v>
      </c>
      <c r="B60" s="73" t="s">
        <v>736</v>
      </c>
    </row>
    <row r="61" spans="1:19">
      <c r="A61" s="75">
        <f>A60+1</f>
        <v>49</v>
      </c>
      <c r="B61" s="73" t="s">
        <v>726</v>
      </c>
      <c r="C61" s="73" t="s">
        <v>1223</v>
      </c>
    </row>
    <row r="62" spans="1:19">
      <c r="A62" s="75">
        <f>A61+1</f>
        <v>50</v>
      </c>
      <c r="B62" s="73" t="s">
        <v>868</v>
      </c>
      <c r="C62" s="73" t="s">
        <v>737</v>
      </c>
    </row>
    <row r="63" spans="1:19">
      <c r="A63" s="75">
        <f>A62+1</f>
        <v>51</v>
      </c>
      <c r="B63" s="73" t="s">
        <v>508</v>
      </c>
      <c r="C63" s="73" t="s">
        <v>403</v>
      </c>
    </row>
    <row r="64" spans="1:19">
      <c r="A64" s="75"/>
    </row>
    <row r="65" spans="1:20">
      <c r="F65" s="173"/>
      <c r="G65" s="173"/>
      <c r="H65" s="173" t="s">
        <v>695</v>
      </c>
      <c r="I65" s="173" t="s">
        <v>696</v>
      </c>
      <c r="K65" s="173" t="s">
        <v>700</v>
      </c>
      <c r="L65" s="173" t="s">
        <v>700</v>
      </c>
      <c r="M65" s="173"/>
      <c r="N65" s="173" t="s">
        <v>697</v>
      </c>
      <c r="O65" s="173"/>
      <c r="P65" s="173"/>
      <c r="Q65" s="173"/>
      <c r="R65" s="173"/>
    </row>
    <row r="66" spans="1:20">
      <c r="A66" s="99" t="s">
        <v>1334</v>
      </c>
      <c r="F66" s="173"/>
      <c r="G66" s="173"/>
      <c r="H66" s="173" t="s">
        <v>698</v>
      </c>
      <c r="I66" s="173" t="s">
        <v>699</v>
      </c>
      <c r="J66" s="173" t="s">
        <v>700</v>
      </c>
      <c r="K66" s="173" t="s">
        <v>706</v>
      </c>
      <c r="L66" s="173" t="s">
        <v>706</v>
      </c>
      <c r="M66" s="173" t="s">
        <v>697</v>
      </c>
      <c r="N66" s="173" t="s">
        <v>701</v>
      </c>
      <c r="O66" s="173" t="s">
        <v>702</v>
      </c>
      <c r="P66" s="173"/>
      <c r="Q66" s="173" t="s">
        <v>892</v>
      </c>
      <c r="R66" s="173"/>
    </row>
    <row r="67" spans="1:20">
      <c r="F67" s="173" t="s">
        <v>754</v>
      </c>
      <c r="G67" s="173" t="s">
        <v>703</v>
      </c>
      <c r="H67" s="173" t="s">
        <v>704</v>
      </c>
      <c r="I67" s="173" t="s">
        <v>705</v>
      </c>
      <c r="J67" s="173" t="s">
        <v>706</v>
      </c>
      <c r="K67" s="789" t="s">
        <v>711</v>
      </c>
      <c r="L67" s="789" t="s">
        <v>711</v>
      </c>
      <c r="M67" s="173" t="s">
        <v>57</v>
      </c>
      <c r="N67" s="173" t="s">
        <v>707</v>
      </c>
      <c r="O67" s="173" t="s">
        <v>707</v>
      </c>
      <c r="P67" s="443" t="s">
        <v>1656</v>
      </c>
      <c r="Q67" s="173" t="s">
        <v>708</v>
      </c>
      <c r="R67" s="173"/>
      <c r="T67" s="555"/>
    </row>
    <row r="68" spans="1:20">
      <c r="D68" s="308"/>
      <c r="E68" s="308"/>
      <c r="F68" s="789" t="s">
        <v>789</v>
      </c>
      <c r="G68" s="789" t="s">
        <v>789</v>
      </c>
      <c r="H68" s="789" t="s">
        <v>709</v>
      </c>
      <c r="I68" s="789" t="s">
        <v>710</v>
      </c>
      <c r="J68" s="789" t="s">
        <v>711</v>
      </c>
      <c r="K68" s="980" t="s">
        <v>1653</v>
      </c>
      <c r="L68" s="980" t="s">
        <v>1654</v>
      </c>
      <c r="M68" s="789" t="s">
        <v>712</v>
      </c>
      <c r="N68" s="789" t="s">
        <v>713</v>
      </c>
      <c r="O68" s="789" t="s">
        <v>713</v>
      </c>
      <c r="P68" s="980" t="s">
        <v>713</v>
      </c>
      <c r="Q68" s="789" t="s">
        <v>714</v>
      </c>
      <c r="R68" s="789" t="s">
        <v>715</v>
      </c>
    </row>
    <row r="69" spans="1:20">
      <c r="A69" s="173" t="s">
        <v>86</v>
      </c>
      <c r="B69" s="173"/>
      <c r="C69" s="173"/>
      <c r="D69" s="789" t="s">
        <v>993</v>
      </c>
      <c r="E69" s="789"/>
      <c r="F69" s="789" t="s">
        <v>716</v>
      </c>
      <c r="G69" s="789" t="s">
        <v>717</v>
      </c>
      <c r="H69" s="789" t="s">
        <v>718</v>
      </c>
      <c r="I69" s="789" t="s">
        <v>719</v>
      </c>
      <c r="J69" s="980" t="s">
        <v>1653</v>
      </c>
      <c r="K69" s="980" t="s">
        <v>1447</v>
      </c>
      <c r="L69" s="980" t="s">
        <v>1446</v>
      </c>
      <c r="M69" s="789" t="s">
        <v>720</v>
      </c>
      <c r="N69" s="789" t="s">
        <v>721</v>
      </c>
      <c r="O69" s="789" t="s">
        <v>722</v>
      </c>
      <c r="P69" s="980" t="s">
        <v>1655</v>
      </c>
      <c r="Q69" s="789" t="s">
        <v>723</v>
      </c>
      <c r="R69" s="789" t="s">
        <v>86</v>
      </c>
    </row>
    <row r="70" spans="1:20">
      <c r="A70" s="2" t="s">
        <v>87</v>
      </c>
      <c r="B70" s="2" t="s">
        <v>724</v>
      </c>
      <c r="C70" s="2" t="s">
        <v>912</v>
      </c>
      <c r="D70" s="798" t="s">
        <v>994</v>
      </c>
      <c r="E70" s="798" t="s">
        <v>1087</v>
      </c>
      <c r="F70" s="274"/>
      <c r="G70" s="274"/>
      <c r="H70" s="274"/>
      <c r="I70" s="274"/>
      <c r="J70" s="274"/>
      <c r="K70" s="274"/>
      <c r="L70" s="274"/>
      <c r="M70" s="274"/>
      <c r="N70" s="274"/>
      <c r="O70" s="274"/>
      <c r="P70" s="274"/>
      <c r="Q70" s="274"/>
      <c r="R70" s="274" t="s">
        <v>725</v>
      </c>
    </row>
    <row r="71" spans="1:20">
      <c r="D71" s="308"/>
      <c r="E71" s="450" t="s">
        <v>1642</v>
      </c>
      <c r="F71" s="450" t="s">
        <v>1643</v>
      </c>
      <c r="G71" s="450" t="s">
        <v>1644</v>
      </c>
      <c r="H71" s="450" t="s">
        <v>1645</v>
      </c>
      <c r="I71" s="450" t="s">
        <v>1646</v>
      </c>
      <c r="J71" s="450" t="s">
        <v>1647</v>
      </c>
      <c r="K71" s="450" t="s">
        <v>1648</v>
      </c>
      <c r="L71" s="450" t="s">
        <v>1649</v>
      </c>
      <c r="M71" s="450" t="s">
        <v>1650</v>
      </c>
      <c r="N71" s="450" t="s">
        <v>1651</v>
      </c>
      <c r="O71" s="450" t="s">
        <v>1652</v>
      </c>
      <c r="P71" s="450" t="s">
        <v>1657</v>
      </c>
      <c r="Q71" s="450" t="s">
        <v>1658</v>
      </c>
      <c r="R71" s="450" t="s">
        <v>1659</v>
      </c>
    </row>
    <row r="73" spans="1:20">
      <c r="A73" s="75">
        <v>1</v>
      </c>
      <c r="B73" s="1201" t="s">
        <v>508</v>
      </c>
      <c r="C73" s="1201" t="s">
        <v>1738</v>
      </c>
      <c r="D73" s="1201" t="s">
        <v>1739</v>
      </c>
      <c r="E73" s="839"/>
      <c r="F73" s="1204">
        <v>1717731</v>
      </c>
      <c r="G73" s="1204"/>
      <c r="H73" s="1204">
        <v>17626</v>
      </c>
      <c r="I73" s="1204">
        <v>57545</v>
      </c>
      <c r="J73" s="1204">
        <v>8719</v>
      </c>
      <c r="K73" s="1204">
        <v>0</v>
      </c>
      <c r="L73" s="1204">
        <v>0</v>
      </c>
      <c r="M73" s="1204"/>
      <c r="N73" s="1204">
        <v>13817</v>
      </c>
      <c r="O73" s="1204">
        <v>3492</v>
      </c>
      <c r="P73" s="1204">
        <v>0</v>
      </c>
      <c r="Q73" s="1204"/>
      <c r="R73" s="1204">
        <f>SUM(F73:Q73)</f>
        <v>1818930</v>
      </c>
    </row>
    <row r="74" spans="1:20">
      <c r="A74" s="75">
        <f t="shared" ref="A74:A120" si="11">A73+1</f>
        <v>2</v>
      </c>
      <c r="B74" s="1201" t="s">
        <v>508</v>
      </c>
      <c r="C74" s="1201" t="s">
        <v>1740</v>
      </c>
      <c r="D74" s="1201" t="s">
        <v>1741</v>
      </c>
      <c r="E74" s="839"/>
      <c r="F74" s="1204">
        <v>720381</v>
      </c>
      <c r="G74" s="1204"/>
      <c r="H74" s="1204">
        <v>10890</v>
      </c>
      <c r="I74" s="1204">
        <v>54640</v>
      </c>
      <c r="J74" s="1204">
        <v>10135</v>
      </c>
      <c r="K74" s="1204">
        <v>0</v>
      </c>
      <c r="L74" s="1204">
        <v>0</v>
      </c>
      <c r="M74" s="1204"/>
      <c r="N74" s="1204">
        <v>30595</v>
      </c>
      <c r="O74" s="1204">
        <v>7731</v>
      </c>
      <c r="P74" s="1204">
        <v>0</v>
      </c>
      <c r="Q74" s="1204"/>
      <c r="R74" s="1204">
        <f t="shared" ref="R74:R101" si="12">SUM(F74:Q74)</f>
        <v>834372</v>
      </c>
    </row>
    <row r="75" spans="1:20">
      <c r="A75" s="75">
        <f t="shared" si="11"/>
        <v>3</v>
      </c>
      <c r="B75" s="1201"/>
      <c r="C75" s="1201"/>
      <c r="D75" s="1201"/>
      <c r="E75" s="839"/>
      <c r="F75" s="1204"/>
      <c r="G75" s="1204"/>
      <c r="H75" s="1204"/>
      <c r="I75" s="1204"/>
      <c r="J75" s="1204"/>
      <c r="K75" s="1204"/>
      <c r="L75" s="1204"/>
      <c r="M75" s="1204"/>
      <c r="N75" s="1204"/>
      <c r="O75" s="1204"/>
      <c r="P75" s="1204"/>
      <c r="Q75" s="1204"/>
      <c r="R75" s="1204">
        <f t="shared" si="12"/>
        <v>0</v>
      </c>
    </row>
    <row r="76" spans="1:20">
      <c r="A76" s="75">
        <f t="shared" si="11"/>
        <v>4</v>
      </c>
      <c r="B76" s="1201" t="s">
        <v>868</v>
      </c>
      <c r="C76" s="1201" t="s">
        <v>1742</v>
      </c>
      <c r="D76" s="1201" t="s">
        <v>1743</v>
      </c>
      <c r="E76" s="839">
        <v>188000</v>
      </c>
      <c r="F76" s="1204">
        <v>7612188</v>
      </c>
      <c r="G76" s="1204"/>
      <c r="H76" s="1204">
        <v>115093</v>
      </c>
      <c r="I76" s="1204">
        <v>570768</v>
      </c>
      <c r="J76" s="1204">
        <v>0</v>
      </c>
      <c r="K76" s="1204"/>
      <c r="L76" s="1204"/>
      <c r="M76" s="1204"/>
      <c r="N76" s="1204"/>
      <c r="O76" s="1204"/>
      <c r="P76" s="1204"/>
      <c r="Q76" s="1204"/>
      <c r="R76" s="1204">
        <f t="shared" si="12"/>
        <v>8298049</v>
      </c>
    </row>
    <row r="77" spans="1:20">
      <c r="A77" s="75">
        <f t="shared" si="11"/>
        <v>5</v>
      </c>
      <c r="B77" s="1201" t="s">
        <v>868</v>
      </c>
      <c r="C77" s="1201" t="s">
        <v>1744</v>
      </c>
      <c r="D77" s="1201" t="s">
        <v>1743</v>
      </c>
      <c r="E77" s="839">
        <v>30000</v>
      </c>
      <c r="F77" s="1204">
        <v>1214661</v>
      </c>
      <c r="G77" s="1204"/>
      <c r="H77" s="1204">
        <v>18366</v>
      </c>
      <c r="I77" s="1204">
        <v>0</v>
      </c>
      <c r="J77" s="1204">
        <v>0</v>
      </c>
      <c r="K77" s="1204">
        <v>0</v>
      </c>
      <c r="L77" s="1204">
        <v>0</v>
      </c>
      <c r="M77" s="1204"/>
      <c r="N77" s="1204">
        <v>0</v>
      </c>
      <c r="O77" s="1204">
        <v>0</v>
      </c>
      <c r="P77" s="1204">
        <v>0</v>
      </c>
      <c r="Q77" s="1204"/>
      <c r="R77" s="1204">
        <f t="shared" si="12"/>
        <v>1233027</v>
      </c>
    </row>
    <row r="78" spans="1:20">
      <c r="A78" s="75">
        <f t="shared" si="11"/>
        <v>6</v>
      </c>
      <c r="B78" s="1201"/>
      <c r="C78" s="1201"/>
      <c r="D78" s="1201"/>
      <c r="E78" s="839"/>
      <c r="F78" s="1204"/>
      <c r="G78" s="1204"/>
      <c r="H78" s="1204"/>
      <c r="I78" s="1204"/>
      <c r="J78" s="1204"/>
      <c r="K78" s="1204"/>
      <c r="L78" s="1204"/>
      <c r="M78" s="1204"/>
      <c r="N78" s="1204"/>
      <c r="O78" s="1204"/>
      <c r="P78" s="1204"/>
      <c r="Q78" s="1204"/>
      <c r="R78" s="1204">
        <f t="shared" si="12"/>
        <v>0</v>
      </c>
    </row>
    <row r="79" spans="1:20">
      <c r="A79" s="75">
        <f t="shared" si="11"/>
        <v>7</v>
      </c>
      <c r="B79" s="1201" t="s">
        <v>868</v>
      </c>
      <c r="C79" s="1201" t="s">
        <v>1745</v>
      </c>
      <c r="D79" s="1201" t="s">
        <v>1746</v>
      </c>
      <c r="E79" s="839">
        <v>35000</v>
      </c>
      <c r="F79" s="1204"/>
      <c r="G79" s="1204">
        <v>1314896</v>
      </c>
      <c r="H79" s="1204"/>
      <c r="I79" s="1204"/>
      <c r="J79" s="1204"/>
      <c r="K79" s="1204"/>
      <c r="L79" s="1204"/>
      <c r="M79" s="1204"/>
      <c r="N79" s="1204"/>
      <c r="O79" s="1204"/>
      <c r="P79" s="1204"/>
      <c r="Q79" s="1204"/>
      <c r="R79" s="1204">
        <f t="shared" si="12"/>
        <v>1314896</v>
      </c>
    </row>
    <row r="80" spans="1:20">
      <c r="A80" s="75">
        <f t="shared" si="11"/>
        <v>8</v>
      </c>
      <c r="B80" s="1201" t="s">
        <v>726</v>
      </c>
      <c r="C80" s="1201" t="s">
        <v>1745</v>
      </c>
      <c r="D80" s="1201" t="s">
        <v>1747</v>
      </c>
      <c r="E80" s="839"/>
      <c r="F80" s="1204"/>
      <c r="G80" s="1204"/>
      <c r="H80" s="1204">
        <v>15331</v>
      </c>
      <c r="I80" s="1204">
        <v>106260</v>
      </c>
      <c r="J80" s="1204"/>
      <c r="K80" s="1204"/>
      <c r="L80" s="1204"/>
      <c r="M80" s="1204"/>
      <c r="N80" s="1204"/>
      <c r="O80" s="1204"/>
      <c r="P80" s="1204"/>
      <c r="Q80" s="1204"/>
      <c r="R80" s="1204">
        <f t="shared" si="12"/>
        <v>121591</v>
      </c>
    </row>
    <row r="81" spans="1:18">
      <c r="A81" s="75">
        <f t="shared" si="11"/>
        <v>9</v>
      </c>
      <c r="B81" s="1201"/>
      <c r="C81" s="1201"/>
      <c r="D81" s="1201"/>
      <c r="E81" s="839"/>
      <c r="F81" s="1204"/>
      <c r="G81" s="1204"/>
      <c r="H81" s="1204"/>
      <c r="I81" s="1204"/>
      <c r="J81" s="1204"/>
      <c r="K81" s="1204"/>
      <c r="L81" s="1204"/>
      <c r="M81" s="1204"/>
      <c r="N81" s="1204"/>
      <c r="O81" s="1204"/>
      <c r="P81" s="1204"/>
      <c r="Q81" s="1204"/>
      <c r="R81" s="1204">
        <f t="shared" si="12"/>
        <v>0</v>
      </c>
    </row>
    <row r="82" spans="1:18">
      <c r="A82" s="75">
        <f t="shared" si="11"/>
        <v>10</v>
      </c>
      <c r="B82" s="1201" t="s">
        <v>868</v>
      </c>
      <c r="C82" s="1201" t="s">
        <v>1748</v>
      </c>
      <c r="D82" s="1201" t="s">
        <v>1746</v>
      </c>
      <c r="E82" s="839">
        <v>29297</v>
      </c>
      <c r="F82" s="1204"/>
      <c r="G82" s="1204">
        <v>1187342</v>
      </c>
      <c r="H82" s="1204"/>
      <c r="I82" s="1204"/>
      <c r="J82" s="1204"/>
      <c r="K82" s="1204"/>
      <c r="L82" s="1204"/>
      <c r="M82" s="1204"/>
      <c r="N82" s="1204"/>
      <c r="O82" s="1204"/>
      <c r="P82" s="1204"/>
      <c r="Q82" s="1204"/>
      <c r="R82" s="1204">
        <f t="shared" si="12"/>
        <v>1187342</v>
      </c>
    </row>
    <row r="83" spans="1:18">
      <c r="A83" s="75">
        <f t="shared" si="11"/>
        <v>11</v>
      </c>
      <c r="B83" s="1201" t="s">
        <v>726</v>
      </c>
      <c r="C83" s="1201" t="s">
        <v>1748</v>
      </c>
      <c r="D83" s="1201" t="s">
        <v>1747</v>
      </c>
      <c r="E83" s="839"/>
      <c r="F83" s="1204"/>
      <c r="G83" s="1204"/>
      <c r="H83" s="1204">
        <v>17935</v>
      </c>
      <c r="I83" s="1204">
        <v>88945</v>
      </c>
      <c r="J83" s="1204">
        <v>33455</v>
      </c>
      <c r="K83" s="1204">
        <v>0</v>
      </c>
      <c r="L83" s="1204">
        <v>1176</v>
      </c>
      <c r="M83" s="1204"/>
      <c r="N83" s="1204"/>
      <c r="O83" s="1204"/>
      <c r="P83" s="1204">
        <v>0</v>
      </c>
      <c r="Q83" s="1204"/>
      <c r="R83" s="1204">
        <f t="shared" si="12"/>
        <v>141511</v>
      </c>
    </row>
    <row r="84" spans="1:18">
      <c r="A84" s="75">
        <f t="shared" si="11"/>
        <v>12</v>
      </c>
      <c r="B84" s="1201" t="s">
        <v>868</v>
      </c>
      <c r="C84" s="1201" t="s">
        <v>1749</v>
      </c>
      <c r="D84" s="1201" t="s">
        <v>1746</v>
      </c>
      <c r="E84" s="839">
        <v>270791</v>
      </c>
      <c r="F84" s="1204"/>
      <c r="G84" s="1204">
        <v>10928349</v>
      </c>
      <c r="H84" s="1204"/>
      <c r="I84" s="1204"/>
      <c r="J84" s="1204"/>
      <c r="K84" s="1204"/>
      <c r="L84" s="1204"/>
      <c r="M84" s="1204"/>
      <c r="N84" s="1204"/>
      <c r="O84" s="1204"/>
      <c r="P84" s="1204"/>
      <c r="Q84" s="1204"/>
      <c r="R84" s="1204">
        <f t="shared" si="12"/>
        <v>10928349</v>
      </c>
    </row>
    <row r="85" spans="1:18">
      <c r="A85" s="75">
        <f t="shared" si="11"/>
        <v>13</v>
      </c>
      <c r="B85" s="1201" t="s">
        <v>726</v>
      </c>
      <c r="C85" s="1201" t="s">
        <v>1749</v>
      </c>
      <c r="D85" s="1201" t="s">
        <v>1747</v>
      </c>
      <c r="E85" s="839"/>
      <c r="F85" s="1204"/>
      <c r="G85" s="1204"/>
      <c r="H85" s="1204">
        <v>165067</v>
      </c>
      <c r="I85" s="1204">
        <v>214015</v>
      </c>
      <c r="J85" s="1204">
        <v>307813</v>
      </c>
      <c r="K85" s="1204">
        <v>94924</v>
      </c>
      <c r="L85" s="1204">
        <v>82219</v>
      </c>
      <c r="M85" s="1204"/>
      <c r="N85" s="1204"/>
      <c r="O85" s="1204"/>
      <c r="P85" s="1204">
        <v>85372</v>
      </c>
      <c r="Q85" s="1204"/>
      <c r="R85" s="1204">
        <f t="shared" si="12"/>
        <v>949410</v>
      </c>
    </row>
    <row r="86" spans="1:18">
      <c r="A86" s="75">
        <f t="shared" si="11"/>
        <v>14</v>
      </c>
      <c r="B86" s="1201" t="s">
        <v>868</v>
      </c>
      <c r="C86" s="1201" t="s">
        <v>1750</v>
      </c>
      <c r="D86" s="1201" t="s">
        <v>1746</v>
      </c>
      <c r="E86" s="839">
        <v>394337</v>
      </c>
      <c r="F86" s="1204"/>
      <c r="G86" s="1204">
        <v>15981787</v>
      </c>
      <c r="H86" s="1204"/>
      <c r="I86" s="1204"/>
      <c r="J86" s="1204"/>
      <c r="K86" s="1204"/>
      <c r="L86" s="1204"/>
      <c r="M86" s="1204"/>
      <c r="N86" s="1204"/>
      <c r="O86" s="1204"/>
      <c r="P86" s="1204"/>
      <c r="Q86" s="1204"/>
      <c r="R86" s="1204">
        <f t="shared" si="12"/>
        <v>15981787</v>
      </c>
    </row>
    <row r="87" spans="1:18">
      <c r="A87" s="75">
        <f t="shared" si="11"/>
        <v>15</v>
      </c>
      <c r="B87" s="1201" t="s">
        <v>726</v>
      </c>
      <c r="C87" s="1201" t="s">
        <v>1750</v>
      </c>
      <c r="D87" s="1201" t="s">
        <v>1747</v>
      </c>
      <c r="E87" s="839"/>
      <c r="F87" s="1204"/>
      <c r="G87" s="1204"/>
      <c r="H87" s="1204">
        <v>241342</v>
      </c>
      <c r="I87" s="1204">
        <v>1197202</v>
      </c>
      <c r="J87" s="1204">
        <v>450318</v>
      </c>
      <c r="K87" s="1204">
        <v>23824</v>
      </c>
      <c r="L87" s="1204">
        <v>41002</v>
      </c>
      <c r="M87" s="1204"/>
      <c r="N87" s="1204">
        <v>1530390</v>
      </c>
      <c r="O87" s="1204">
        <v>386697</v>
      </c>
      <c r="P87" s="1204">
        <v>0</v>
      </c>
      <c r="Q87" s="1204"/>
      <c r="R87" s="1204">
        <f t="shared" si="12"/>
        <v>3870775</v>
      </c>
    </row>
    <row r="88" spans="1:18">
      <c r="A88" s="75">
        <f t="shared" si="11"/>
        <v>16</v>
      </c>
      <c r="B88" s="1201" t="s">
        <v>868</v>
      </c>
      <c r="C88" s="1201" t="s">
        <v>1751</v>
      </c>
      <c r="D88" s="1201" t="s">
        <v>1746</v>
      </c>
      <c r="E88" s="839">
        <v>117903</v>
      </c>
      <c r="F88" s="1204"/>
      <c r="G88" s="1204">
        <v>5052603</v>
      </c>
      <c r="H88" s="1204"/>
      <c r="I88" s="1204"/>
      <c r="J88" s="1204"/>
      <c r="K88" s="1204"/>
      <c r="L88" s="1204"/>
      <c r="M88" s="1204"/>
      <c r="N88" s="1204"/>
      <c r="O88" s="1204"/>
      <c r="P88" s="1204"/>
      <c r="Q88" s="1204"/>
      <c r="R88" s="1204">
        <f t="shared" si="12"/>
        <v>5052603</v>
      </c>
    </row>
    <row r="89" spans="1:18">
      <c r="A89" s="75">
        <f t="shared" si="11"/>
        <v>17</v>
      </c>
      <c r="B89" s="1201" t="s">
        <v>726</v>
      </c>
      <c r="C89" s="1201" t="s">
        <v>1751</v>
      </c>
      <c r="D89" s="1201" t="s">
        <v>1747</v>
      </c>
      <c r="E89" s="839"/>
      <c r="F89" s="1204"/>
      <c r="G89" s="1204"/>
      <c r="H89" s="1204">
        <v>103630</v>
      </c>
      <c r="I89" s="1204">
        <v>363823</v>
      </c>
      <c r="J89" s="1204">
        <v>134637</v>
      </c>
      <c r="K89" s="1204">
        <v>0</v>
      </c>
      <c r="L89" s="1204">
        <v>162</v>
      </c>
      <c r="M89" s="1204"/>
      <c r="N89" s="1204">
        <v>457608</v>
      </c>
      <c r="O89" s="1204">
        <v>115628</v>
      </c>
      <c r="P89" s="1204">
        <v>0</v>
      </c>
      <c r="Q89" s="1204"/>
      <c r="R89" s="1204">
        <f t="shared" si="12"/>
        <v>1175488</v>
      </c>
    </row>
    <row r="90" spans="1:18">
      <c r="A90" s="75">
        <f t="shared" si="11"/>
        <v>18</v>
      </c>
      <c r="B90" s="1201" t="s">
        <v>868</v>
      </c>
      <c r="C90" s="1201" t="s">
        <v>1752</v>
      </c>
      <c r="D90" s="1201" t="s">
        <v>1746</v>
      </c>
      <c r="E90" s="839">
        <v>38753</v>
      </c>
      <c r="F90" s="1204"/>
      <c r="G90" s="1204">
        <v>1570598</v>
      </c>
      <c r="H90" s="1204"/>
      <c r="I90" s="1204"/>
      <c r="J90" s="1204"/>
      <c r="K90" s="1204"/>
      <c r="L90" s="1204"/>
      <c r="M90" s="1204"/>
      <c r="N90" s="1204"/>
      <c r="O90" s="1204"/>
      <c r="P90" s="1204"/>
      <c r="Q90" s="1204"/>
      <c r="R90" s="1204">
        <f t="shared" si="12"/>
        <v>1570598</v>
      </c>
    </row>
    <row r="91" spans="1:18">
      <c r="A91" s="75">
        <f t="shared" si="11"/>
        <v>19</v>
      </c>
      <c r="B91" s="1201" t="s">
        <v>726</v>
      </c>
      <c r="C91" s="1201" t="s">
        <v>1752</v>
      </c>
      <c r="D91" s="1201" t="s">
        <v>1747</v>
      </c>
      <c r="E91" s="839"/>
      <c r="F91" s="1204"/>
      <c r="G91" s="1204"/>
      <c r="H91" s="1204">
        <v>23724</v>
      </c>
      <c r="I91" s="1204"/>
      <c r="J91" s="1204">
        <v>44306</v>
      </c>
      <c r="K91" s="1204">
        <v>0</v>
      </c>
      <c r="L91" s="1204">
        <v>0</v>
      </c>
      <c r="M91" s="1204"/>
      <c r="N91" s="1204"/>
      <c r="O91" s="1204"/>
      <c r="P91" s="1204">
        <v>0</v>
      </c>
      <c r="Q91" s="1204"/>
      <c r="R91" s="1204">
        <f t="shared" si="12"/>
        <v>68030</v>
      </c>
    </row>
    <row r="92" spans="1:18">
      <c r="A92" s="75">
        <f t="shared" si="11"/>
        <v>20</v>
      </c>
      <c r="B92" s="1201"/>
      <c r="C92" s="1201"/>
      <c r="D92" s="1201"/>
      <c r="E92" s="839"/>
      <c r="F92" s="1204"/>
      <c r="G92" s="1204"/>
      <c r="H92" s="1204"/>
      <c r="I92" s="1204"/>
      <c r="J92" s="1204"/>
      <c r="K92" s="1204"/>
      <c r="L92" s="1204"/>
      <c r="M92" s="1204"/>
      <c r="N92" s="1204"/>
      <c r="O92" s="1204"/>
      <c r="P92" s="1204"/>
      <c r="Q92" s="1204"/>
      <c r="R92" s="1204">
        <f t="shared" si="12"/>
        <v>0</v>
      </c>
    </row>
    <row r="93" spans="1:18">
      <c r="A93" s="75">
        <f t="shared" si="11"/>
        <v>21</v>
      </c>
      <c r="B93" s="1201" t="s">
        <v>868</v>
      </c>
      <c r="C93" s="1201" t="s">
        <v>1753</v>
      </c>
      <c r="D93" s="1201" t="s">
        <v>1743</v>
      </c>
      <c r="E93" s="839">
        <v>35510</v>
      </c>
      <c r="F93" s="1204"/>
      <c r="G93" s="1204">
        <v>1066801</v>
      </c>
      <c r="H93" s="1204"/>
      <c r="I93" s="1204"/>
      <c r="J93" s="1204"/>
      <c r="K93" s="1204"/>
      <c r="L93" s="1204"/>
      <c r="M93" s="1204"/>
      <c r="N93" s="1204"/>
      <c r="O93" s="1204"/>
      <c r="P93" s="1204"/>
      <c r="Q93" s="1204"/>
      <c r="R93" s="1204">
        <f t="shared" si="12"/>
        <v>1066801</v>
      </c>
    </row>
    <row r="94" spans="1:18">
      <c r="A94" s="75">
        <f t="shared" si="11"/>
        <v>22</v>
      </c>
      <c r="B94" s="1201" t="s">
        <v>508</v>
      </c>
      <c r="C94" s="1201" t="s">
        <v>1754</v>
      </c>
      <c r="D94" s="1201" t="s">
        <v>1747</v>
      </c>
      <c r="E94" s="839"/>
      <c r="F94" s="1204"/>
      <c r="G94" s="1204">
        <v>224400</v>
      </c>
      <c r="H94" s="1204"/>
      <c r="I94" s="1204"/>
      <c r="J94" s="1204"/>
      <c r="K94" s="1204"/>
      <c r="L94" s="1204"/>
      <c r="M94" s="1204"/>
      <c r="N94" s="1204"/>
      <c r="O94" s="1204"/>
      <c r="P94" s="1204"/>
      <c r="Q94" s="1204"/>
      <c r="R94" s="1204">
        <f t="shared" si="12"/>
        <v>224400</v>
      </c>
    </row>
    <row r="95" spans="1:18">
      <c r="A95" s="75">
        <f t="shared" si="11"/>
        <v>23</v>
      </c>
      <c r="B95" s="1201"/>
      <c r="C95" s="1201"/>
      <c r="D95" s="1201"/>
      <c r="E95" s="839"/>
      <c r="F95" s="1204"/>
      <c r="G95" s="1204"/>
      <c r="H95" s="1204"/>
      <c r="I95" s="1204"/>
      <c r="J95" s="1204"/>
      <c r="K95" s="1204"/>
      <c r="L95" s="1204"/>
      <c r="M95" s="1204"/>
      <c r="N95" s="1204"/>
      <c r="O95" s="1204"/>
      <c r="P95" s="1204"/>
      <c r="Q95" s="1204"/>
      <c r="R95" s="1204">
        <f t="shared" si="12"/>
        <v>0</v>
      </c>
    </row>
    <row r="96" spans="1:18">
      <c r="A96" s="75">
        <f t="shared" si="11"/>
        <v>24</v>
      </c>
      <c r="B96" s="1201" t="s">
        <v>508</v>
      </c>
      <c r="C96" s="1201" t="s">
        <v>1755</v>
      </c>
      <c r="D96" s="1201" t="s">
        <v>1747</v>
      </c>
      <c r="E96" s="839"/>
      <c r="F96" s="1204"/>
      <c r="G96" s="1204"/>
      <c r="H96" s="1204">
        <v>312731</v>
      </c>
      <c r="I96" s="1204"/>
      <c r="J96" s="1204">
        <v>583338</v>
      </c>
      <c r="K96" s="1204">
        <v>201519</v>
      </c>
      <c r="L96" s="1204">
        <v>144153</v>
      </c>
      <c r="M96" s="1204"/>
      <c r="N96" s="1204">
        <v>495872</v>
      </c>
      <c r="O96" s="1204">
        <v>276814</v>
      </c>
      <c r="P96" s="1204">
        <v>835262</v>
      </c>
      <c r="Q96" s="1204"/>
      <c r="R96" s="1204">
        <f t="shared" si="12"/>
        <v>2849689</v>
      </c>
    </row>
    <row r="97" spans="1:18">
      <c r="A97" s="75">
        <f t="shared" si="11"/>
        <v>25</v>
      </c>
      <c r="B97" s="1201" t="s">
        <v>508</v>
      </c>
      <c r="C97" s="1201" t="s">
        <v>1756</v>
      </c>
      <c r="D97" s="1201" t="s">
        <v>1747</v>
      </c>
      <c r="E97" s="839"/>
      <c r="F97" s="1204"/>
      <c r="G97" s="1204"/>
      <c r="H97" s="1204">
        <v>77724</v>
      </c>
      <c r="I97" s="1204">
        <v>57954</v>
      </c>
      <c r="J97" s="1204">
        <v>145037</v>
      </c>
      <c r="K97" s="1204">
        <v>5616</v>
      </c>
      <c r="L97" s="1204">
        <v>0</v>
      </c>
      <c r="M97" s="1204"/>
      <c r="N97" s="1204"/>
      <c r="O97" s="1204"/>
      <c r="P97" s="1204">
        <v>0</v>
      </c>
      <c r="Q97" s="1204"/>
      <c r="R97" s="1204">
        <f t="shared" si="12"/>
        <v>286331</v>
      </c>
    </row>
    <row r="98" spans="1:18">
      <c r="A98" s="75">
        <f t="shared" si="11"/>
        <v>26</v>
      </c>
      <c r="B98" s="1201" t="s">
        <v>508</v>
      </c>
      <c r="C98" s="1201" t="s">
        <v>1757</v>
      </c>
      <c r="D98" s="1201" t="s">
        <v>1747</v>
      </c>
      <c r="E98" s="839"/>
      <c r="F98" s="1204"/>
      <c r="G98" s="1204"/>
      <c r="H98" s="1204">
        <v>25835</v>
      </c>
      <c r="I98" s="1204"/>
      <c r="J98" s="1204">
        <v>48221</v>
      </c>
      <c r="K98" s="1204">
        <v>7020</v>
      </c>
      <c r="L98" s="1204">
        <v>1489</v>
      </c>
      <c r="M98" s="1204"/>
      <c r="N98" s="1204">
        <v>163786</v>
      </c>
      <c r="O98" s="1204"/>
      <c r="P98" s="1204">
        <v>52200</v>
      </c>
      <c r="Q98" s="1204"/>
      <c r="R98" s="1204">
        <f t="shared" si="12"/>
        <v>298551</v>
      </c>
    </row>
    <row r="99" spans="1:18">
      <c r="A99" s="75">
        <f t="shared" si="11"/>
        <v>27</v>
      </c>
      <c r="B99" s="1201" t="s">
        <v>508</v>
      </c>
      <c r="C99" s="1201" t="s">
        <v>1758</v>
      </c>
      <c r="D99" s="1201" t="s">
        <v>1747</v>
      </c>
      <c r="E99" s="839"/>
      <c r="F99" s="1204"/>
      <c r="G99" s="1204"/>
      <c r="H99" s="1204">
        <v>185904</v>
      </c>
      <c r="I99" s="1204"/>
      <c r="J99" s="1204">
        <v>346767</v>
      </c>
      <c r="K99" s="1204">
        <v>165727</v>
      </c>
      <c r="L99" s="1204">
        <v>98080</v>
      </c>
      <c r="M99" s="1204"/>
      <c r="N99" s="1204"/>
      <c r="O99" s="1204"/>
      <c r="P99" s="1204">
        <v>950195</v>
      </c>
      <c r="Q99" s="1204"/>
      <c r="R99" s="1204">
        <f t="shared" si="12"/>
        <v>1746673</v>
      </c>
    </row>
    <row r="100" spans="1:18">
      <c r="A100" s="75">
        <f t="shared" si="11"/>
        <v>28</v>
      </c>
      <c r="B100" s="1201"/>
      <c r="C100" s="1201"/>
      <c r="D100" s="1201"/>
      <c r="E100" s="839"/>
      <c r="F100" s="1204"/>
      <c r="G100" s="1204"/>
      <c r="H100" s="1204"/>
      <c r="I100" s="1204"/>
      <c r="J100" s="1204"/>
      <c r="K100" s="1204"/>
      <c r="L100" s="1204"/>
      <c r="M100" s="1204"/>
      <c r="N100" s="1204"/>
      <c r="O100" s="1204"/>
      <c r="P100" s="1204"/>
      <c r="Q100" s="1204"/>
      <c r="R100" s="1204">
        <f t="shared" si="12"/>
        <v>0</v>
      </c>
    </row>
    <row r="101" spans="1:18">
      <c r="A101" s="75">
        <f t="shared" si="11"/>
        <v>29</v>
      </c>
      <c r="B101" s="1201" t="s">
        <v>726</v>
      </c>
      <c r="C101" s="1201"/>
      <c r="D101" s="1201"/>
      <c r="E101" s="839"/>
      <c r="F101" s="1204"/>
      <c r="G101" s="1204"/>
      <c r="H101" s="1204"/>
      <c r="I101" s="1204"/>
      <c r="J101" s="1204"/>
      <c r="K101" s="1204"/>
      <c r="L101" s="1204"/>
      <c r="M101" s="1204"/>
      <c r="N101" s="1204"/>
      <c r="O101" s="1204"/>
      <c r="P101" s="1204"/>
      <c r="Q101" s="1204">
        <v>413145</v>
      </c>
      <c r="R101" s="1204">
        <f t="shared" si="12"/>
        <v>413145</v>
      </c>
    </row>
    <row r="102" spans="1:18">
      <c r="A102" s="75">
        <f t="shared" si="11"/>
        <v>30</v>
      </c>
      <c r="B102" s="1201"/>
      <c r="C102" s="1201"/>
      <c r="D102" s="1201"/>
      <c r="E102" s="1201"/>
      <c r="F102" s="1204"/>
      <c r="G102" s="1204"/>
      <c r="H102" s="1204"/>
      <c r="I102" s="1204"/>
      <c r="J102" s="1204"/>
      <c r="K102" s="1204"/>
      <c r="L102" s="1204"/>
      <c r="M102" s="1204"/>
      <c r="N102" s="1204"/>
      <c r="O102" s="1204"/>
      <c r="P102" s="1204"/>
      <c r="Q102" s="1204"/>
      <c r="R102" s="1204"/>
    </row>
    <row r="103" spans="1:18">
      <c r="A103" s="75">
        <f t="shared" si="11"/>
        <v>31</v>
      </c>
      <c r="B103" s="1201"/>
      <c r="C103" s="1201"/>
      <c r="D103" s="1201"/>
      <c r="E103" s="1201"/>
      <c r="F103" s="1204"/>
      <c r="G103" s="1204"/>
      <c r="H103" s="1204"/>
      <c r="I103" s="1204"/>
      <c r="J103" s="1204"/>
      <c r="K103" s="1204"/>
      <c r="L103" s="1204"/>
      <c r="M103" s="1204"/>
      <c r="N103" s="1204"/>
      <c r="O103" s="1204"/>
      <c r="P103" s="1204"/>
      <c r="Q103" s="1204"/>
      <c r="R103" s="1204"/>
    </row>
    <row r="104" spans="1:18">
      <c r="A104" s="75">
        <f t="shared" si="11"/>
        <v>32</v>
      </c>
      <c r="B104" s="1201"/>
      <c r="C104" s="1201"/>
      <c r="D104" s="1201"/>
      <c r="E104" s="1201"/>
      <c r="F104" s="1204"/>
      <c r="G104" s="1204"/>
      <c r="H104" s="1204"/>
      <c r="I104" s="1204"/>
      <c r="J104" s="1204"/>
      <c r="K104" s="1204"/>
      <c r="L104" s="1204"/>
      <c r="M104" s="1204"/>
      <c r="N104" s="1204"/>
      <c r="O104" s="1204"/>
      <c r="P104" s="1204"/>
      <c r="Q104" s="1204"/>
      <c r="R104" s="1204"/>
    </row>
    <row r="105" spans="1:18">
      <c r="A105" s="75">
        <f t="shared" si="11"/>
        <v>33</v>
      </c>
      <c r="B105" s="1201"/>
      <c r="C105" s="1201"/>
      <c r="D105" s="1201"/>
      <c r="E105" s="1201"/>
      <c r="F105" s="1204"/>
      <c r="G105" s="1204"/>
      <c r="H105" s="1204"/>
      <c r="I105" s="1204"/>
      <c r="J105" s="1204"/>
      <c r="K105" s="1204"/>
      <c r="L105" s="1204"/>
      <c r="M105" s="1204"/>
      <c r="N105" s="1204"/>
      <c r="O105" s="1204"/>
      <c r="P105" s="1204"/>
      <c r="Q105" s="1204"/>
      <c r="R105" s="1204"/>
    </row>
    <row r="106" spans="1:18">
      <c r="A106" s="75">
        <f t="shared" si="11"/>
        <v>34</v>
      </c>
      <c r="B106" s="1201"/>
      <c r="C106" s="1201"/>
      <c r="D106" s="1201"/>
      <c r="E106" s="1201"/>
      <c r="F106" s="1204"/>
      <c r="G106" s="1204"/>
      <c r="H106" s="1204"/>
      <c r="I106" s="1204"/>
      <c r="J106" s="1204"/>
      <c r="K106" s="1204"/>
      <c r="L106" s="1204"/>
      <c r="M106" s="1204"/>
      <c r="N106" s="1204"/>
      <c r="O106" s="1204"/>
      <c r="P106" s="1204"/>
      <c r="Q106" s="1204"/>
      <c r="R106" s="1204"/>
    </row>
    <row r="107" spans="1:18">
      <c r="A107" s="75">
        <f t="shared" si="11"/>
        <v>35</v>
      </c>
      <c r="B107" s="1201"/>
      <c r="C107" s="1201"/>
      <c r="D107" s="1201"/>
      <c r="E107" s="839"/>
      <c r="F107" s="611"/>
      <c r="G107" s="611"/>
      <c r="H107" s="611"/>
      <c r="I107" s="611"/>
      <c r="J107" s="611"/>
      <c r="K107" s="611"/>
      <c r="L107" s="611"/>
      <c r="M107" s="611"/>
      <c r="N107" s="611"/>
      <c r="O107" s="611"/>
      <c r="P107" s="611"/>
      <c r="Q107" s="611"/>
      <c r="R107" s="1204"/>
    </row>
    <row r="108" spans="1:18">
      <c r="A108" s="75">
        <f t="shared" si="11"/>
        <v>36</v>
      </c>
      <c r="B108" s="1201"/>
      <c r="C108" s="1201"/>
      <c r="D108" s="1201"/>
      <c r="E108" s="1201"/>
      <c r="F108" s="611"/>
      <c r="G108" s="611"/>
      <c r="H108" s="611"/>
      <c r="I108" s="611"/>
      <c r="J108" s="611"/>
      <c r="K108" s="611"/>
      <c r="L108" s="611"/>
      <c r="M108" s="611"/>
      <c r="N108" s="611"/>
      <c r="O108" s="611"/>
      <c r="P108" s="611"/>
      <c r="Q108" s="611"/>
      <c r="R108" s="1204"/>
    </row>
    <row r="109" spans="1:18">
      <c r="A109" s="75">
        <f t="shared" si="11"/>
        <v>37</v>
      </c>
      <c r="B109" s="1201"/>
      <c r="C109" s="1201"/>
      <c r="D109" s="1201"/>
      <c r="E109" s="1201"/>
      <c r="F109" s="611"/>
      <c r="G109" s="611"/>
      <c r="H109" s="611"/>
      <c r="I109" s="611"/>
      <c r="J109" s="611"/>
      <c r="K109" s="611"/>
      <c r="L109" s="611"/>
      <c r="M109" s="611"/>
      <c r="N109" s="611"/>
      <c r="O109" s="611"/>
      <c r="P109" s="611"/>
      <c r="Q109" s="611"/>
      <c r="R109" s="1204"/>
    </row>
    <row r="110" spans="1:18">
      <c r="A110" s="75">
        <f t="shared" si="11"/>
        <v>38</v>
      </c>
      <c r="B110" s="1201"/>
      <c r="C110" s="1201"/>
      <c r="D110" s="1201"/>
      <c r="E110" s="1201"/>
      <c r="F110" s="611"/>
      <c r="G110" s="611"/>
      <c r="H110" s="611"/>
      <c r="I110" s="611"/>
      <c r="J110" s="611"/>
      <c r="K110" s="611"/>
      <c r="L110" s="611"/>
      <c r="M110" s="611"/>
      <c r="N110" s="611"/>
      <c r="O110" s="611"/>
      <c r="P110" s="611"/>
      <c r="Q110" s="611"/>
      <c r="R110" s="611"/>
    </row>
    <row r="111" spans="1:18">
      <c r="A111" s="75">
        <f t="shared" si="11"/>
        <v>39</v>
      </c>
      <c r="B111" s="308"/>
      <c r="C111" s="308" t="s">
        <v>790</v>
      </c>
      <c r="D111" s="308"/>
      <c r="E111" s="537">
        <f t="shared" ref="E111:Q111" si="13">SUM(E73:E110)</f>
        <v>1139591</v>
      </c>
      <c r="F111" s="537">
        <f t="shared" si="13"/>
        <v>11264961</v>
      </c>
      <c r="G111" s="537">
        <f t="shared" si="13"/>
        <v>37326776</v>
      </c>
      <c r="H111" s="537">
        <f t="shared" si="13"/>
        <v>1331198</v>
      </c>
      <c r="I111" s="537">
        <f t="shared" si="13"/>
        <v>2711152</v>
      </c>
      <c r="J111" s="537">
        <f t="shared" si="13"/>
        <v>2112746</v>
      </c>
      <c r="K111" s="537">
        <f t="shared" si="13"/>
        <v>498630</v>
      </c>
      <c r="L111" s="537">
        <f t="shared" si="13"/>
        <v>368281</v>
      </c>
      <c r="M111" s="537">
        <f t="shared" si="13"/>
        <v>0</v>
      </c>
      <c r="N111" s="537">
        <f t="shared" si="13"/>
        <v>2692068</v>
      </c>
      <c r="O111" s="537">
        <f>SUM(O73:O110)</f>
        <v>790362</v>
      </c>
      <c r="P111" s="537">
        <f>SUM(P73:P110)</f>
        <v>1923029</v>
      </c>
      <c r="Q111" s="537">
        <f t="shared" si="13"/>
        <v>413145</v>
      </c>
      <c r="R111" s="537">
        <f>SUM(F111:Q111)</f>
        <v>61432348</v>
      </c>
    </row>
    <row r="112" spans="1:18">
      <c r="A112" s="75">
        <f t="shared" si="11"/>
        <v>40</v>
      </c>
      <c r="B112" s="308"/>
      <c r="C112" s="308"/>
      <c r="D112" s="308"/>
      <c r="E112" s="1191">
        <f>-E93</f>
        <v>-35510</v>
      </c>
      <c r="F112" s="369"/>
      <c r="G112" s="369"/>
      <c r="H112" s="369"/>
      <c r="I112" s="369"/>
      <c r="J112" s="308"/>
      <c r="K112" s="308"/>
      <c r="L112" s="308"/>
      <c r="M112" s="369"/>
      <c r="N112" s="369"/>
      <c r="O112" s="369"/>
      <c r="P112" s="369"/>
      <c r="Q112" s="369"/>
      <c r="R112" s="369"/>
    </row>
    <row r="113" spans="1:18" ht="13.5" thickBot="1">
      <c r="A113" s="75">
        <f t="shared" si="11"/>
        <v>41</v>
      </c>
      <c r="B113" s="174" t="s">
        <v>752</v>
      </c>
      <c r="C113" s="308"/>
      <c r="D113" s="308"/>
      <c r="E113" s="1191">
        <f>SUM(E111:E112)</f>
        <v>1104081</v>
      </c>
      <c r="F113" s="369"/>
      <c r="G113" s="369"/>
      <c r="H113" s="369"/>
      <c r="I113" s="369"/>
      <c r="J113" s="308"/>
      <c r="K113" s="308"/>
      <c r="L113" s="308"/>
      <c r="M113" s="369"/>
      <c r="N113" s="369"/>
      <c r="O113" s="369"/>
      <c r="P113" s="369"/>
      <c r="Q113" s="369"/>
      <c r="R113" s="369"/>
    </row>
    <row r="114" spans="1:18" ht="13.5" thickBot="1">
      <c r="A114" s="75">
        <f t="shared" si="11"/>
        <v>42</v>
      </c>
      <c r="B114" s="308" t="s">
        <v>508</v>
      </c>
      <c r="C114" s="308"/>
      <c r="D114" s="308"/>
      <c r="E114" s="308"/>
      <c r="F114" s="538">
        <f t="shared" ref="F114:Q114" si="14">SUMIF($B$73:$B$110,$B$114,F73:F110)</f>
        <v>2438112</v>
      </c>
      <c r="G114" s="538">
        <f t="shared" si="14"/>
        <v>224400</v>
      </c>
      <c r="H114" s="538">
        <f t="shared" si="14"/>
        <v>630710</v>
      </c>
      <c r="I114" s="539">
        <f t="shared" si="14"/>
        <v>170139</v>
      </c>
      <c r="J114" s="539">
        <f t="shared" si="14"/>
        <v>1142217</v>
      </c>
      <c r="K114" s="539">
        <f>SUMIF($B$73:$B$110,$B$114,K73:K110)</f>
        <v>379882</v>
      </c>
      <c r="L114" s="539">
        <f>SUMIF($B$73:$B$110,$B$114,L73:L110)</f>
        <v>243722</v>
      </c>
      <c r="M114" s="539">
        <f t="shared" si="14"/>
        <v>0</v>
      </c>
      <c r="N114" s="539">
        <f t="shared" si="14"/>
        <v>704070</v>
      </c>
      <c r="O114" s="539">
        <f t="shared" si="14"/>
        <v>288037</v>
      </c>
      <c r="P114" s="539">
        <f>SUMIF($B$73:$B$110,$B$114,P73:P110)</f>
        <v>1837657</v>
      </c>
      <c r="Q114" s="539">
        <f t="shared" si="14"/>
        <v>0</v>
      </c>
      <c r="R114" s="539">
        <f>SUMIF($B$73:$B$110,$B$114,R73:R110)</f>
        <v>8058946</v>
      </c>
    </row>
    <row r="115" spans="1:18">
      <c r="A115" s="75">
        <f t="shared" si="11"/>
        <v>43</v>
      </c>
      <c r="B115" s="308" t="s">
        <v>868</v>
      </c>
      <c r="C115" s="308"/>
      <c r="D115" s="308"/>
      <c r="E115" s="308"/>
      <c r="F115" s="537">
        <f>SUMIF($B$73:$B$110,$B$115,F73:F110)</f>
        <v>8826849</v>
      </c>
      <c r="G115" s="537">
        <f t="shared" ref="G115:Q115" si="15">SUMIF($B$73:$B$110,$B$115,G73:G110)</f>
        <v>37102376</v>
      </c>
      <c r="H115" s="537">
        <f t="shared" si="15"/>
        <v>133459</v>
      </c>
      <c r="I115" s="537">
        <f t="shared" si="15"/>
        <v>570768</v>
      </c>
      <c r="J115" s="537">
        <f t="shared" si="15"/>
        <v>0</v>
      </c>
      <c r="K115" s="537">
        <f>SUMIF($B$73:$B$110,$B$115,K73:K110)</f>
        <v>0</v>
      </c>
      <c r="L115" s="537">
        <f>SUMIF($B$73:$B$110,$B$115,L73:L110)</f>
        <v>0</v>
      </c>
      <c r="M115" s="537">
        <f t="shared" si="15"/>
        <v>0</v>
      </c>
      <c r="N115" s="537">
        <f t="shared" si="15"/>
        <v>0</v>
      </c>
      <c r="O115" s="537">
        <f t="shared" si="15"/>
        <v>0</v>
      </c>
      <c r="P115" s="537">
        <f>SUMIF($B$73:$B$110,$B$115,P73:P110)</f>
        <v>0</v>
      </c>
      <c r="Q115" s="537">
        <f t="shared" si="15"/>
        <v>0</v>
      </c>
      <c r="R115" s="539">
        <f>SUM(F115:Q115)</f>
        <v>46633452</v>
      </c>
    </row>
    <row r="116" spans="1:18">
      <c r="A116" s="75">
        <f t="shared" si="11"/>
        <v>44</v>
      </c>
      <c r="B116" s="308" t="s">
        <v>726</v>
      </c>
      <c r="C116" s="308"/>
      <c r="D116" s="308"/>
      <c r="E116" s="308"/>
      <c r="F116" s="537">
        <f>SUMIF($B$73:$B$110,$B$116,F73:F110)</f>
        <v>0</v>
      </c>
      <c r="G116" s="537">
        <f t="shared" ref="G116:Q116" si="16">SUMIF($B$73:$B$110,$B$116,G73:G110)</f>
        <v>0</v>
      </c>
      <c r="H116" s="537">
        <f t="shared" si="16"/>
        <v>567029</v>
      </c>
      <c r="I116" s="537">
        <f t="shared" si="16"/>
        <v>1970245</v>
      </c>
      <c r="J116" s="537">
        <f t="shared" si="16"/>
        <v>970529</v>
      </c>
      <c r="K116" s="537">
        <f>SUMIF($B$73:$B$110,$B$116,K73:K110)</f>
        <v>118748</v>
      </c>
      <c r="L116" s="537">
        <f>SUMIF($B$73:$B$110,$B$116,L73:L110)</f>
        <v>124559</v>
      </c>
      <c r="M116" s="537">
        <f t="shared" si="16"/>
        <v>0</v>
      </c>
      <c r="N116" s="537">
        <f t="shared" si="16"/>
        <v>1987998</v>
      </c>
      <c r="O116" s="537">
        <f t="shared" si="16"/>
        <v>502325</v>
      </c>
      <c r="P116" s="537">
        <f>SUMIF($B$73:$B$110,$B$116,P73:P110)</f>
        <v>85372</v>
      </c>
      <c r="Q116" s="537">
        <f t="shared" si="16"/>
        <v>413145</v>
      </c>
      <c r="R116" s="539">
        <f>SUM(F116:Q116)</f>
        <v>6739950</v>
      </c>
    </row>
    <row r="117" spans="1:18">
      <c r="A117" s="75">
        <f t="shared" si="11"/>
        <v>45</v>
      </c>
      <c r="B117" s="308" t="s">
        <v>84</v>
      </c>
      <c r="C117" s="308"/>
      <c r="D117" s="308"/>
      <c r="E117" s="308"/>
      <c r="F117" s="540">
        <f>SUMIF($B$73:$B$110,$B$117,F73:F110)</f>
        <v>0</v>
      </c>
      <c r="G117" s="540">
        <f t="shared" ref="G117:Q117" si="17">SUMIF($B$73:$B$110,$B$117,G73:G110)</f>
        <v>0</v>
      </c>
      <c r="H117" s="540">
        <f t="shared" si="17"/>
        <v>0</v>
      </c>
      <c r="I117" s="540">
        <f t="shared" si="17"/>
        <v>0</v>
      </c>
      <c r="J117" s="540">
        <f t="shared" si="17"/>
        <v>0</v>
      </c>
      <c r="K117" s="540">
        <f>SUMIF($B$73:$B$110,$B$117,K73:K110)</f>
        <v>0</v>
      </c>
      <c r="L117" s="540">
        <f>SUMIF($B$73:$B$110,$B$117,L73:L110)</f>
        <v>0</v>
      </c>
      <c r="M117" s="540">
        <f t="shared" si="17"/>
        <v>0</v>
      </c>
      <c r="N117" s="540">
        <f t="shared" si="17"/>
        <v>0</v>
      </c>
      <c r="O117" s="540">
        <f t="shared" si="17"/>
        <v>0</v>
      </c>
      <c r="P117" s="540">
        <f>SUMIF($B$73:$B$110,$B$117,P73:P110)</f>
        <v>0</v>
      </c>
      <c r="Q117" s="540">
        <f t="shared" si="17"/>
        <v>0</v>
      </c>
      <c r="R117" s="540">
        <f>SUM(F117:Q117)</f>
        <v>0</v>
      </c>
    </row>
    <row r="118" spans="1:18">
      <c r="A118" s="75">
        <f t="shared" si="11"/>
        <v>46</v>
      </c>
      <c r="B118" s="308" t="s">
        <v>1715</v>
      </c>
      <c r="C118" s="308"/>
      <c r="D118" s="308"/>
      <c r="E118" s="308"/>
      <c r="F118" s="537">
        <f t="shared" ref="F118:Q118" si="18">SUM(F114:F117)</f>
        <v>11264961</v>
      </c>
      <c r="G118" s="537">
        <f t="shared" si="18"/>
        <v>37326776</v>
      </c>
      <c r="H118" s="537">
        <f t="shared" si="18"/>
        <v>1331198</v>
      </c>
      <c r="I118" s="537">
        <f t="shared" si="18"/>
        <v>2711152</v>
      </c>
      <c r="J118" s="537">
        <f t="shared" si="18"/>
        <v>2112746</v>
      </c>
      <c r="K118" s="537">
        <f>SUM(K114:K117)</f>
        <v>498630</v>
      </c>
      <c r="L118" s="537">
        <f>SUM(L114:L117)</f>
        <v>368281</v>
      </c>
      <c r="M118" s="537">
        <f t="shared" si="18"/>
        <v>0</v>
      </c>
      <c r="N118" s="537">
        <f t="shared" si="18"/>
        <v>2692068</v>
      </c>
      <c r="O118" s="537">
        <f t="shared" si="18"/>
        <v>790362</v>
      </c>
      <c r="P118" s="537">
        <f>SUM(P114:P117)</f>
        <v>1923029</v>
      </c>
      <c r="Q118" s="537">
        <f t="shared" si="18"/>
        <v>413145</v>
      </c>
      <c r="R118" s="537">
        <f>SUM(R114:R117)</f>
        <v>61432348</v>
      </c>
    </row>
    <row r="119" spans="1:18">
      <c r="A119" s="75">
        <f t="shared" si="11"/>
        <v>47</v>
      </c>
      <c r="F119" s="368"/>
      <c r="G119" s="368"/>
      <c r="H119" s="368"/>
      <c r="I119" s="368"/>
      <c r="J119" s="368"/>
      <c r="K119" s="368"/>
      <c r="L119" s="368"/>
      <c r="M119" s="368"/>
      <c r="N119" s="368"/>
      <c r="O119" s="368"/>
      <c r="P119" s="368"/>
      <c r="Q119" s="368"/>
      <c r="R119" s="368"/>
    </row>
    <row r="120" spans="1:18">
      <c r="A120" s="75">
        <f t="shared" si="11"/>
        <v>48</v>
      </c>
      <c r="B120" s="73" t="s">
        <v>736</v>
      </c>
    </row>
    <row r="121" spans="1:18">
      <c r="A121" s="75">
        <f>A120+1</f>
        <v>49</v>
      </c>
      <c r="B121" s="73" t="s">
        <v>726</v>
      </c>
      <c r="C121" s="73" t="s">
        <v>1223</v>
      </c>
    </row>
    <row r="122" spans="1:18">
      <c r="A122" s="75">
        <f>A121+1</f>
        <v>50</v>
      </c>
      <c r="B122" s="73" t="s">
        <v>868</v>
      </c>
      <c r="C122" s="73" t="s">
        <v>737</v>
      </c>
    </row>
    <row r="123" spans="1:18">
      <c r="A123" s="75">
        <f>A122+1</f>
        <v>51</v>
      </c>
      <c r="B123" s="73" t="s">
        <v>508</v>
      </c>
      <c r="C123" s="73" t="s">
        <v>403</v>
      </c>
    </row>
    <row r="124" spans="1:18">
      <c r="A124" s="75"/>
    </row>
    <row r="125" spans="1:18">
      <c r="B125" s="73" t="s">
        <v>1660</v>
      </c>
    </row>
  </sheetData>
  <phoneticPr fontId="0" type="noConversion"/>
  <pageMargins left="0.75" right="0.5" top="0.75" bottom="0.75" header="0.5" footer="0.5"/>
  <pageSetup scale="42" firstPageNumber="7" fitToHeight="2" orientation="landscape" r:id="rId1"/>
  <headerFooter alignWithMargins="0">
    <oddHeader>&amp;RPage &amp;P of &amp;N</oddHeader>
  </headerFooter>
  <rowBreaks count="1" manualBreakCount="1">
    <brk id="63" max="17"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S91"/>
  <sheetViews>
    <sheetView view="pageBreakPreview" topLeftCell="A43" zoomScale="60" zoomScaleNormal="90" workbookViewId="0">
      <selection activeCell="Z34" sqref="Z34"/>
    </sheetView>
  </sheetViews>
  <sheetFormatPr defaultRowHeight="12.75"/>
  <cols>
    <col min="2" max="2" width="36" customWidth="1"/>
    <col min="3" max="3" width="16.7109375" customWidth="1"/>
    <col min="4" max="4" width="16.5703125" bestFit="1" customWidth="1"/>
    <col min="5" max="9" width="16.140625" bestFit="1" customWidth="1"/>
    <col min="10" max="11" width="16.28515625" bestFit="1" customWidth="1"/>
    <col min="12" max="12" width="16.5703125" bestFit="1" customWidth="1"/>
    <col min="13" max="14" width="16.28515625" bestFit="1" customWidth="1"/>
    <col min="15" max="15" width="17" bestFit="1" customWidth="1"/>
    <col min="16" max="16" width="16.5703125" bestFit="1" customWidth="1"/>
    <col min="17" max="17" width="18" bestFit="1" customWidth="1"/>
    <col min="18" max="18" width="14" customWidth="1"/>
    <col min="19" max="19" width="11.7109375" bestFit="1" customWidth="1"/>
  </cols>
  <sheetData>
    <row r="1" spans="1:19">
      <c r="A1" s="99" t="str">
        <f>'Cover Page'!A5</f>
        <v>Public Service Company of Colorado</v>
      </c>
      <c r="Q1" s="133" t="str">
        <f>'Table of Contents'!A32</f>
        <v>Table 24</v>
      </c>
      <c r="R1" s="133"/>
    </row>
    <row r="2" spans="1:19">
      <c r="A2" s="99" t="str">
        <f>'Cover Page'!A6</f>
        <v>Transmission Formula Rate Template</v>
      </c>
      <c r="Q2" s="133" t="str">
        <f ca="1">MID(CELL("filename",$A$1),FIND("]",CELL("filename",$A$1))+1,LEN(CELL("filename",$A$1))-FIND("]",CELL("filename",$A$1)))</f>
        <v>WP_G-1</v>
      </c>
    </row>
    <row r="3" spans="1:19">
      <c r="A3" s="99" t="str">
        <f>'Cover Page'!A7</f>
        <v>Twelve Months Ended December 31, 2017</v>
      </c>
    </row>
    <row r="4" spans="1:19">
      <c r="A4" s="99" t="s">
        <v>519</v>
      </c>
    </row>
    <row r="5" spans="1:19">
      <c r="A5" s="99"/>
    </row>
    <row r="6" spans="1:19" ht="13.5" thickBot="1"/>
    <row r="7" spans="1:19">
      <c r="A7" s="236" t="s">
        <v>983</v>
      </c>
      <c r="B7" s="279"/>
      <c r="C7" s="279"/>
      <c r="D7" s="279"/>
      <c r="E7" s="279"/>
      <c r="F7" s="279"/>
      <c r="G7" s="279"/>
      <c r="H7" s="279"/>
      <c r="I7" s="279"/>
      <c r="J7" s="279"/>
      <c r="K7" s="279"/>
      <c r="L7" s="279"/>
      <c r="M7" s="279"/>
      <c r="N7" s="279"/>
      <c r="O7" s="279"/>
      <c r="P7" s="279"/>
      <c r="Q7" s="286"/>
      <c r="R7" s="198"/>
    </row>
    <row r="8" spans="1:19">
      <c r="A8" s="260"/>
      <c r="B8" s="198"/>
      <c r="C8" s="281" t="s">
        <v>1302</v>
      </c>
      <c r="D8" s="198"/>
      <c r="E8" s="198"/>
      <c r="F8" s="198"/>
      <c r="G8" s="198"/>
      <c r="H8" s="198"/>
      <c r="I8" s="198"/>
      <c r="J8" s="198"/>
      <c r="K8" s="198"/>
      <c r="L8" s="198"/>
      <c r="M8" s="198"/>
      <c r="N8" s="198"/>
      <c r="O8" s="198"/>
      <c r="P8" s="198"/>
      <c r="Q8" s="287"/>
      <c r="R8" s="198"/>
    </row>
    <row r="9" spans="1:19">
      <c r="A9" s="239" t="s">
        <v>862</v>
      </c>
      <c r="B9" s="2" t="s">
        <v>912</v>
      </c>
      <c r="C9" s="274" t="s">
        <v>864</v>
      </c>
      <c r="D9" s="274" t="s">
        <v>909</v>
      </c>
      <c r="E9" s="274" t="s">
        <v>950</v>
      </c>
      <c r="F9" s="274" t="s">
        <v>899</v>
      </c>
      <c r="G9" s="274" t="s">
        <v>900</v>
      </c>
      <c r="H9" s="274" t="s">
        <v>901</v>
      </c>
      <c r="I9" s="274" t="s">
        <v>902</v>
      </c>
      <c r="J9" s="274" t="s">
        <v>903</v>
      </c>
      <c r="K9" s="274" t="s">
        <v>904</v>
      </c>
      <c r="L9" s="274" t="s">
        <v>905</v>
      </c>
      <c r="M9" s="274" t="s">
        <v>906</v>
      </c>
      <c r="N9" s="274" t="s">
        <v>907</v>
      </c>
      <c r="O9" s="274" t="s">
        <v>908</v>
      </c>
      <c r="P9" s="274" t="s">
        <v>909</v>
      </c>
      <c r="Q9" s="288" t="s">
        <v>653</v>
      </c>
      <c r="R9" s="281"/>
      <c r="S9" s="164"/>
    </row>
    <row r="10" spans="1:19">
      <c r="A10" s="258"/>
      <c r="B10" s="164"/>
      <c r="C10" s="164"/>
      <c r="D10" s="116" t="s">
        <v>358</v>
      </c>
      <c r="E10" s="116" t="s">
        <v>357</v>
      </c>
      <c r="F10" s="116" t="s">
        <v>359</v>
      </c>
      <c r="G10" s="116" t="s">
        <v>360</v>
      </c>
      <c r="H10" s="116" t="s">
        <v>361</v>
      </c>
      <c r="I10" s="116" t="s">
        <v>362</v>
      </c>
      <c r="J10" s="116" t="s">
        <v>363</v>
      </c>
      <c r="K10" s="116" t="s">
        <v>364</v>
      </c>
      <c r="L10" s="116" t="s">
        <v>365</v>
      </c>
      <c r="M10" s="116" t="s">
        <v>366</v>
      </c>
      <c r="N10" s="116" t="s">
        <v>367</v>
      </c>
      <c r="O10" s="116" t="s">
        <v>368</v>
      </c>
      <c r="P10" s="116" t="s">
        <v>369</v>
      </c>
      <c r="Q10" s="791" t="s">
        <v>370</v>
      </c>
      <c r="R10" s="164"/>
      <c r="S10" s="164"/>
    </row>
    <row r="11" spans="1:19">
      <c r="A11" s="260">
        <v>1</v>
      </c>
      <c r="B11" s="142" t="s">
        <v>654</v>
      </c>
      <c r="C11" s="164"/>
      <c r="D11" s="164"/>
      <c r="E11" s="164"/>
      <c r="F11" s="164"/>
      <c r="G11" s="164"/>
      <c r="H11" s="164"/>
      <c r="I11" s="164"/>
      <c r="J11" s="164"/>
      <c r="K11" s="164"/>
      <c r="L11" s="164"/>
      <c r="M11" s="164"/>
      <c r="N11" s="164"/>
      <c r="O11" s="164"/>
      <c r="P11" s="164"/>
      <c r="Q11" s="259"/>
      <c r="R11" s="493"/>
      <c r="S11" s="164"/>
    </row>
    <row r="12" spans="1:19">
      <c r="A12" s="260">
        <f t="shared" ref="A12:A42" si="0">A11+1</f>
        <v>2</v>
      </c>
      <c r="B12" s="178" t="s">
        <v>655</v>
      </c>
      <c r="C12" s="116" t="s">
        <v>656</v>
      </c>
      <c r="D12" s="873">
        <v>4100000000</v>
      </c>
      <c r="E12" s="873">
        <v>4100000000</v>
      </c>
      <c r="F12" s="873">
        <v>4100000000</v>
      </c>
      <c r="G12" s="873">
        <v>4100000000</v>
      </c>
      <c r="H12" s="873">
        <v>4100000000</v>
      </c>
      <c r="I12" s="873">
        <v>4100000000</v>
      </c>
      <c r="J12" s="873">
        <v>4100000000</v>
      </c>
      <c r="K12" s="873">
        <v>4100000000</v>
      </c>
      <c r="L12" s="873">
        <v>4500000000</v>
      </c>
      <c r="M12" s="873">
        <v>4500000000</v>
      </c>
      <c r="N12" s="873">
        <v>4500000000</v>
      </c>
      <c r="O12" s="873">
        <v>4500000000</v>
      </c>
      <c r="P12" s="873">
        <v>4500000000</v>
      </c>
      <c r="Q12" s="265">
        <f>AVERAGE(D12:P12)</f>
        <v>4253846153.8461537</v>
      </c>
      <c r="R12" s="179"/>
      <c r="S12" s="164"/>
    </row>
    <row r="13" spans="1:19">
      <c r="A13" s="260">
        <f t="shared" si="0"/>
        <v>3</v>
      </c>
      <c r="B13" s="178" t="s">
        <v>1027</v>
      </c>
      <c r="C13" s="116" t="s">
        <v>1029</v>
      </c>
      <c r="D13" s="873">
        <v>0</v>
      </c>
      <c r="E13" s="873"/>
      <c r="F13" s="873"/>
      <c r="G13" s="873"/>
      <c r="H13" s="873"/>
      <c r="I13" s="873"/>
      <c r="J13" s="873"/>
      <c r="K13" s="873"/>
      <c r="L13" s="873"/>
      <c r="M13" s="873"/>
      <c r="N13" s="873"/>
      <c r="O13" s="873"/>
      <c r="P13" s="873"/>
      <c r="Q13" s="700">
        <f>AVERAGE(D13:P13)</f>
        <v>0</v>
      </c>
      <c r="R13" s="179"/>
      <c r="S13" s="164"/>
    </row>
    <row r="14" spans="1:19">
      <c r="A14" s="260">
        <f t="shared" si="0"/>
        <v>4</v>
      </c>
      <c r="B14" s="178" t="s">
        <v>657</v>
      </c>
      <c r="C14" s="116" t="s">
        <v>658</v>
      </c>
      <c r="D14" s="874">
        <v>0</v>
      </c>
      <c r="E14" s="874"/>
      <c r="F14" s="874"/>
      <c r="G14" s="874"/>
      <c r="H14" s="874"/>
      <c r="I14" s="874"/>
      <c r="J14" s="874"/>
      <c r="K14" s="874"/>
      <c r="L14" s="874"/>
      <c r="M14" s="874"/>
      <c r="N14" s="874"/>
      <c r="O14" s="874"/>
      <c r="P14" s="874"/>
      <c r="Q14" s="700">
        <f>AVERAGE(D14:P14)</f>
        <v>0</v>
      </c>
      <c r="R14" s="179"/>
      <c r="S14" s="164"/>
    </row>
    <row r="15" spans="1:19" ht="13.5" thickBot="1">
      <c r="A15" s="260">
        <f t="shared" si="0"/>
        <v>5</v>
      </c>
      <c r="B15" s="800" t="s">
        <v>1028</v>
      </c>
      <c r="C15" s="116" t="s">
        <v>1030</v>
      </c>
      <c r="D15" s="138">
        <v>0</v>
      </c>
      <c r="E15" s="138"/>
      <c r="F15" s="138"/>
      <c r="G15" s="138"/>
      <c r="H15" s="138"/>
      <c r="I15" s="138"/>
      <c r="J15" s="138"/>
      <c r="K15" s="138"/>
      <c r="L15" s="138"/>
      <c r="M15" s="138"/>
      <c r="N15" s="138"/>
      <c r="O15" s="138"/>
      <c r="P15" s="138"/>
      <c r="Q15" s="700">
        <f>AVERAGE(D15:P15)</f>
        <v>0</v>
      </c>
      <c r="R15" s="179"/>
      <c r="S15" s="164"/>
    </row>
    <row r="16" spans="1:19" ht="13.5" thickBot="1">
      <c r="A16" s="260">
        <f t="shared" si="0"/>
        <v>6</v>
      </c>
      <c r="B16" s="187" t="s">
        <v>659</v>
      </c>
      <c r="C16" s="792" t="str">
        <f>"Sum Lines "&amp;A11&amp;" - "&amp;A15</f>
        <v>Sum Lines 1 - 5</v>
      </c>
      <c r="D16" s="179">
        <f>SUM(D12:D15)</f>
        <v>4100000000</v>
      </c>
      <c r="E16" s="179">
        <f>SUM(E12:E15)</f>
        <v>4100000000</v>
      </c>
      <c r="F16" s="179">
        <f t="shared" ref="F16:P16" si="1">SUM(F12:F15)</f>
        <v>4100000000</v>
      </c>
      <c r="G16" s="179">
        <f t="shared" si="1"/>
        <v>4100000000</v>
      </c>
      <c r="H16" s="179">
        <f t="shared" si="1"/>
        <v>4100000000</v>
      </c>
      <c r="I16" s="179">
        <f t="shared" si="1"/>
        <v>4100000000</v>
      </c>
      <c r="J16" s="179">
        <f t="shared" si="1"/>
        <v>4100000000</v>
      </c>
      <c r="K16" s="179">
        <f t="shared" si="1"/>
        <v>4100000000</v>
      </c>
      <c r="L16" s="179">
        <f t="shared" si="1"/>
        <v>4500000000</v>
      </c>
      <c r="M16" s="179">
        <f t="shared" si="1"/>
        <v>4500000000</v>
      </c>
      <c r="N16" s="179">
        <f t="shared" si="1"/>
        <v>4500000000</v>
      </c>
      <c r="O16" s="179">
        <f t="shared" si="1"/>
        <v>4500000000</v>
      </c>
      <c r="P16" s="179">
        <f t="shared" si="1"/>
        <v>4500000000</v>
      </c>
      <c r="Q16" s="132">
        <f>SUM(Q12:Q15)</f>
        <v>4253846153.8461537</v>
      </c>
      <c r="R16" s="179"/>
      <c r="S16" s="289"/>
    </row>
    <row r="17" spans="1:19" ht="13.5" thickBot="1">
      <c r="A17" s="260">
        <f t="shared" si="0"/>
        <v>7</v>
      </c>
      <c r="B17" s="142"/>
      <c r="C17" s="142"/>
      <c r="D17" s="164"/>
      <c r="E17" s="164"/>
      <c r="F17" s="164"/>
      <c r="G17" s="164"/>
      <c r="H17" s="164"/>
      <c r="I17" s="164"/>
      <c r="J17" s="164"/>
      <c r="K17" s="164"/>
      <c r="L17" s="164"/>
      <c r="M17" s="164"/>
      <c r="N17" s="164"/>
      <c r="O17" s="164"/>
      <c r="P17" s="164"/>
      <c r="Q17" s="259"/>
      <c r="R17" s="164"/>
      <c r="S17" s="289"/>
    </row>
    <row r="18" spans="1:19" ht="13.5" thickBot="1">
      <c r="A18" s="260">
        <f t="shared" si="0"/>
        <v>8</v>
      </c>
      <c r="B18" s="187" t="s">
        <v>223</v>
      </c>
      <c r="C18" s="116" t="s">
        <v>661</v>
      </c>
      <c r="D18" s="276">
        <v>0</v>
      </c>
      <c r="E18" s="276"/>
      <c r="F18" s="276"/>
      <c r="G18" s="276"/>
      <c r="H18" s="276"/>
      <c r="I18" s="276"/>
      <c r="J18" s="276"/>
      <c r="K18" s="276"/>
      <c r="L18" s="276"/>
      <c r="M18" s="276"/>
      <c r="N18" s="276"/>
      <c r="O18" s="276"/>
      <c r="P18" s="701"/>
      <c r="Q18" s="132">
        <f>AVERAGE(D18:P18)</f>
        <v>0</v>
      </c>
      <c r="R18" s="179"/>
      <c r="S18" s="289"/>
    </row>
    <row r="19" spans="1:19">
      <c r="A19" s="260">
        <f t="shared" si="0"/>
        <v>9</v>
      </c>
      <c r="B19" s="142"/>
      <c r="C19" s="468"/>
      <c r="D19" s="164" t="s">
        <v>1572</v>
      </c>
      <c r="E19" s="164"/>
      <c r="F19" s="164"/>
      <c r="G19" s="164"/>
      <c r="H19" s="164"/>
      <c r="I19" s="164"/>
      <c r="J19" s="164"/>
      <c r="K19" s="164"/>
      <c r="L19" s="164"/>
      <c r="M19" s="164"/>
      <c r="N19" s="164"/>
      <c r="O19" s="164"/>
      <c r="P19" s="164"/>
      <c r="Q19" s="259"/>
      <c r="R19" s="164"/>
      <c r="S19" s="289"/>
    </row>
    <row r="20" spans="1:19">
      <c r="A20" s="260">
        <f t="shared" si="0"/>
        <v>10</v>
      </c>
      <c r="B20" s="142" t="s">
        <v>662</v>
      </c>
      <c r="C20" s="116" t="s">
        <v>663</v>
      </c>
      <c r="D20" s="974">
        <v>5272635209.64958</v>
      </c>
      <c r="E20" s="875">
        <v>5321614209.64958</v>
      </c>
      <c r="F20" s="875">
        <v>5358741209.64958</v>
      </c>
      <c r="G20" s="875">
        <v>5307820209.64958</v>
      </c>
      <c r="H20" s="875">
        <v>5334466209.64958</v>
      </c>
      <c r="I20" s="875">
        <v>5420695209.64958</v>
      </c>
      <c r="J20" s="875">
        <v>5385752258.3563604</v>
      </c>
      <c r="K20" s="875">
        <v>5495244258.3563604</v>
      </c>
      <c r="L20" s="875">
        <v>5556140258.3563604</v>
      </c>
      <c r="M20" s="875">
        <v>5593222258.3563604</v>
      </c>
      <c r="N20" s="875">
        <v>5621189258.3563604</v>
      </c>
      <c r="O20" s="875">
        <v>5659933258.3563604</v>
      </c>
      <c r="P20" s="875">
        <v>5783182065.9260902</v>
      </c>
      <c r="Q20" s="265">
        <f>AVERAGE(D20:P20)</f>
        <v>5470048913.3816729</v>
      </c>
      <c r="R20" s="179"/>
      <c r="S20" s="289"/>
    </row>
    <row r="21" spans="1:19">
      <c r="A21" s="260">
        <f t="shared" si="0"/>
        <v>11</v>
      </c>
      <c r="B21" s="178" t="s">
        <v>664</v>
      </c>
      <c r="C21" s="116" t="s">
        <v>661</v>
      </c>
      <c r="D21" s="974">
        <v>0</v>
      </c>
      <c r="E21" s="876">
        <v>0</v>
      </c>
      <c r="F21" s="876">
        <v>0</v>
      </c>
      <c r="G21" s="876">
        <v>0</v>
      </c>
      <c r="H21" s="876">
        <v>0</v>
      </c>
      <c r="I21" s="876">
        <v>0</v>
      </c>
      <c r="J21" s="876">
        <v>0</v>
      </c>
      <c r="K21" s="876">
        <v>0</v>
      </c>
      <c r="L21" s="876">
        <v>0</v>
      </c>
      <c r="M21" s="876">
        <v>0</v>
      </c>
      <c r="N21" s="876">
        <v>0</v>
      </c>
      <c r="O21" s="876">
        <v>0</v>
      </c>
      <c r="P21" s="876">
        <v>0</v>
      </c>
      <c r="Q21" s="265">
        <f>AVERAGE(D21:P21)</f>
        <v>0</v>
      </c>
      <c r="R21" s="179"/>
      <c r="S21" s="289"/>
    </row>
    <row r="22" spans="1:19" ht="25.5">
      <c r="A22" s="260">
        <f t="shared" si="0"/>
        <v>12</v>
      </c>
      <c r="B22" s="801" t="s">
        <v>665</v>
      </c>
      <c r="C22" s="116" t="s">
        <v>666</v>
      </c>
      <c r="D22" s="974">
        <v>-23385694</v>
      </c>
      <c r="E22" s="875">
        <v>-23385694</v>
      </c>
      <c r="F22" s="875">
        <v>-23385694</v>
      </c>
      <c r="G22" s="875">
        <v>-23385694</v>
      </c>
      <c r="H22" s="875">
        <v>-23385694</v>
      </c>
      <c r="I22" s="875">
        <v>-23385694</v>
      </c>
      <c r="J22" s="875">
        <v>-23385694</v>
      </c>
      <c r="K22" s="875">
        <v>-23385694</v>
      </c>
      <c r="L22" s="875">
        <v>-23385694</v>
      </c>
      <c r="M22" s="875">
        <v>-23385694</v>
      </c>
      <c r="N22" s="875">
        <v>-23385694</v>
      </c>
      <c r="O22" s="875">
        <v>-23385694</v>
      </c>
      <c r="P22" s="875">
        <v>-23385694</v>
      </c>
      <c r="Q22" s="265">
        <f>AVERAGE(D22:P22)</f>
        <v>-23385694</v>
      </c>
      <c r="R22" s="179"/>
      <c r="S22" s="289"/>
    </row>
    <row r="23" spans="1:19" ht="26.25" thickBot="1">
      <c r="A23" s="576">
        <f t="shared" si="0"/>
        <v>13</v>
      </c>
      <c r="B23" s="801" t="s">
        <v>165</v>
      </c>
      <c r="C23" s="116" t="s">
        <v>190</v>
      </c>
      <c r="D23" s="1037">
        <v>-4889833</v>
      </c>
      <c r="E23" s="877">
        <v>-4712570</v>
      </c>
      <c r="F23" s="877">
        <v>-4535018</v>
      </c>
      <c r="G23" s="877">
        <v>-4357587</v>
      </c>
      <c r="H23" s="877">
        <v>-4179160</v>
      </c>
      <c r="I23" s="877">
        <v>-4000835</v>
      </c>
      <c r="J23" s="877">
        <v>-3822532</v>
      </c>
      <c r="K23" s="877">
        <v>-3643091</v>
      </c>
      <c r="L23" s="877">
        <v>-3463264</v>
      </c>
      <c r="M23" s="877">
        <v>-3283650</v>
      </c>
      <c r="N23" s="877">
        <v>-3102853</v>
      </c>
      <c r="O23" s="877">
        <v>-2921611</v>
      </c>
      <c r="P23" s="877">
        <v>-2740786</v>
      </c>
      <c r="Q23" s="321">
        <f>AVERAGE(D23:P23)</f>
        <v>-3819445.3846153845</v>
      </c>
      <c r="R23" s="488"/>
      <c r="S23" s="289"/>
    </row>
    <row r="24" spans="1:19" ht="13.5" thickBot="1">
      <c r="A24" s="260">
        <f t="shared" si="0"/>
        <v>14</v>
      </c>
      <c r="B24" s="142" t="str">
        <f>"Adjusted Common Equity"</f>
        <v>Adjusted Common Equity</v>
      </c>
      <c r="C24" s="792" t="str">
        <f>"Ln "&amp; A20&amp;" - "&amp;A21&amp;" - "&amp;A22&amp;" - "&amp;A23</f>
        <v>Ln 10 - 11 - 12 - 13</v>
      </c>
      <c r="D24" s="117">
        <f>D20-D21-D22-D23</f>
        <v>5300910736.64958</v>
      </c>
      <c r="E24" s="117">
        <f t="shared" ref="E24:Q24" si="2">E20-E21-E22-E23</f>
        <v>5349712473.64958</v>
      </c>
      <c r="F24" s="117">
        <f t="shared" si="2"/>
        <v>5386661921.64958</v>
      </c>
      <c r="G24" s="117">
        <f t="shared" si="2"/>
        <v>5335563490.64958</v>
      </c>
      <c r="H24" s="117">
        <f t="shared" si="2"/>
        <v>5362031063.64958</v>
      </c>
      <c r="I24" s="117">
        <f t="shared" si="2"/>
        <v>5448081738.64958</v>
      </c>
      <c r="J24" s="117">
        <f t="shared" si="2"/>
        <v>5412960484.3563604</v>
      </c>
      <c r="K24" s="117">
        <f t="shared" si="2"/>
        <v>5522273043.3563604</v>
      </c>
      <c r="L24" s="117">
        <f t="shared" si="2"/>
        <v>5582989216.3563604</v>
      </c>
      <c r="M24" s="117">
        <f t="shared" si="2"/>
        <v>5619891602.3563604</v>
      </c>
      <c r="N24" s="117">
        <f t="shared" si="2"/>
        <v>5647677805.3563604</v>
      </c>
      <c r="O24" s="117">
        <f t="shared" si="2"/>
        <v>5686240563.3563604</v>
      </c>
      <c r="P24" s="117">
        <f t="shared" si="2"/>
        <v>5809308545.9260902</v>
      </c>
      <c r="Q24" s="702">
        <f t="shared" si="2"/>
        <v>5497254052.7662878</v>
      </c>
      <c r="R24" s="117"/>
      <c r="S24" s="184"/>
    </row>
    <row r="25" spans="1:19">
      <c r="A25" s="260">
        <f t="shared" si="0"/>
        <v>15</v>
      </c>
      <c r="B25" s="142"/>
      <c r="C25" s="468"/>
      <c r="D25" s="117"/>
      <c r="E25" s="117"/>
      <c r="F25" s="117"/>
      <c r="G25" s="117"/>
      <c r="H25" s="117"/>
      <c r="I25" s="117"/>
      <c r="J25" s="117"/>
      <c r="K25" s="117"/>
      <c r="L25" s="117"/>
      <c r="M25" s="117"/>
      <c r="N25" s="117"/>
      <c r="O25" s="117"/>
      <c r="P25" s="117"/>
      <c r="Q25" s="293"/>
      <c r="R25" s="117"/>
      <c r="S25" s="164"/>
    </row>
    <row r="26" spans="1:19">
      <c r="A26" s="260">
        <f t="shared" si="0"/>
        <v>16</v>
      </c>
      <c r="B26" s="142" t="str">
        <f>"Total (Line "&amp;A16&amp;" plus Line "&amp;A18&amp;" plus Line "&amp;A24&amp;")"</f>
        <v>Total (Line 6 plus Line 8 plus Line 14)</v>
      </c>
      <c r="C26" s="142"/>
      <c r="D26" s="117">
        <f>D16+D18+D24</f>
        <v>9400910736.64958</v>
      </c>
      <c r="E26" s="117">
        <f t="shared" ref="E26:Q26" si="3">E16+E18+E24</f>
        <v>9449712473.64958</v>
      </c>
      <c r="F26" s="117">
        <f t="shared" si="3"/>
        <v>9486661921.64958</v>
      </c>
      <c r="G26" s="117">
        <f t="shared" si="3"/>
        <v>9435563490.64958</v>
      </c>
      <c r="H26" s="117">
        <f t="shared" si="3"/>
        <v>9462031063.64958</v>
      </c>
      <c r="I26" s="117">
        <f t="shared" si="3"/>
        <v>9548081738.64958</v>
      </c>
      <c r="J26" s="117">
        <f t="shared" si="3"/>
        <v>9512960484.3563614</v>
      </c>
      <c r="K26" s="117">
        <f t="shared" si="3"/>
        <v>9622273043.3563614</v>
      </c>
      <c r="L26" s="117">
        <f t="shared" si="3"/>
        <v>10082989216.356361</v>
      </c>
      <c r="M26" s="117">
        <f t="shared" si="3"/>
        <v>10119891602.356361</v>
      </c>
      <c r="N26" s="117">
        <f t="shared" si="3"/>
        <v>10147677805.356361</v>
      </c>
      <c r="O26" s="117">
        <f t="shared" si="3"/>
        <v>10186240563.356361</v>
      </c>
      <c r="P26" s="117">
        <f t="shared" si="3"/>
        <v>10309308545.92609</v>
      </c>
      <c r="Q26" s="293">
        <f t="shared" si="3"/>
        <v>9751100206.612442</v>
      </c>
      <c r="R26" s="117"/>
      <c r="S26" s="164"/>
    </row>
    <row r="27" spans="1:19">
      <c r="A27" s="260">
        <f t="shared" si="0"/>
        <v>17</v>
      </c>
      <c r="B27" s="142"/>
      <c r="C27" s="468"/>
      <c r="D27" s="290"/>
      <c r="E27" s="164"/>
      <c r="F27" s="164"/>
      <c r="G27" s="164"/>
      <c r="H27" s="164"/>
      <c r="I27" s="164"/>
      <c r="J27" s="164"/>
      <c r="K27" s="164"/>
      <c r="L27" s="164"/>
      <c r="M27" s="164"/>
      <c r="N27" s="164"/>
      <c r="O27" s="164"/>
      <c r="P27" s="164"/>
      <c r="Q27" s="259"/>
      <c r="R27" s="164"/>
      <c r="S27" s="164"/>
    </row>
    <row r="28" spans="1:19">
      <c r="A28" s="260">
        <f t="shared" si="0"/>
        <v>18</v>
      </c>
      <c r="B28" s="309" t="s">
        <v>668</v>
      </c>
      <c r="C28" s="468"/>
      <c r="D28" s="290"/>
      <c r="E28" s="176"/>
      <c r="F28" s="176"/>
      <c r="G28" s="176"/>
      <c r="H28" s="176"/>
      <c r="I28" s="176"/>
      <c r="J28" s="176"/>
      <c r="K28" s="176"/>
      <c r="L28" s="176"/>
      <c r="M28" s="176"/>
      <c r="N28" s="176"/>
      <c r="O28" s="176"/>
      <c r="P28" s="176"/>
      <c r="Q28" s="294"/>
      <c r="R28" s="176"/>
      <c r="S28" s="164"/>
    </row>
    <row r="29" spans="1:19">
      <c r="A29" s="260">
        <f t="shared" si="0"/>
        <v>19</v>
      </c>
      <c r="B29" s="801" t="s">
        <v>1031</v>
      </c>
      <c r="C29" s="792" t="s">
        <v>670</v>
      </c>
      <c r="D29" s="296"/>
      <c r="E29" s="164"/>
      <c r="F29" s="290"/>
      <c r="G29" s="290"/>
      <c r="H29" s="290"/>
      <c r="I29" s="290"/>
      <c r="J29" s="290"/>
      <c r="K29" s="290"/>
      <c r="L29" s="290"/>
      <c r="M29" s="290"/>
      <c r="N29" s="290"/>
      <c r="O29" s="290"/>
      <c r="P29" s="878">
        <v>185446446.67000002</v>
      </c>
      <c r="Q29" s="259"/>
    </row>
    <row r="30" spans="1:19" ht="25.5">
      <c r="A30" s="260">
        <f t="shared" si="0"/>
        <v>20</v>
      </c>
      <c r="B30" s="801" t="s">
        <v>1032</v>
      </c>
      <c r="C30" s="116" t="s">
        <v>672</v>
      </c>
      <c r="D30" s="198"/>
      <c r="E30" s="164"/>
      <c r="F30" s="290"/>
      <c r="G30" s="290"/>
      <c r="H30" s="290"/>
      <c r="I30" s="290"/>
      <c r="J30" s="290"/>
      <c r="K30" s="290"/>
      <c r="L30" s="290"/>
      <c r="M30" s="290"/>
      <c r="N30" s="290"/>
      <c r="O30" s="290"/>
      <c r="P30" s="695">
        <v>3483144.6399999997</v>
      </c>
      <c r="Q30" s="259"/>
      <c r="R30" s="164"/>
    </row>
    <row r="31" spans="1:19" ht="25.5">
      <c r="A31" s="260">
        <f t="shared" si="0"/>
        <v>21</v>
      </c>
      <c r="B31" s="801" t="s">
        <v>1033</v>
      </c>
      <c r="C31" s="116" t="s">
        <v>674</v>
      </c>
      <c r="D31" s="198"/>
      <c r="E31" s="164"/>
      <c r="F31" s="290"/>
      <c r="G31" s="290"/>
      <c r="H31" s="290"/>
      <c r="I31" s="290"/>
      <c r="J31" s="290"/>
      <c r="K31" s="290"/>
      <c r="L31" s="290"/>
      <c r="M31" s="290"/>
      <c r="N31" s="290"/>
      <c r="O31" s="290"/>
      <c r="P31" s="878">
        <v>1203258.69</v>
      </c>
      <c r="Q31" s="259"/>
      <c r="R31" s="164"/>
    </row>
    <row r="32" spans="1:19" ht="25.5">
      <c r="A32" s="260">
        <f t="shared" si="0"/>
        <v>22</v>
      </c>
      <c r="B32" s="505" t="s">
        <v>1034</v>
      </c>
      <c r="C32" s="792" t="s">
        <v>164</v>
      </c>
      <c r="D32" s="296"/>
      <c r="E32" s="164"/>
      <c r="F32" s="290"/>
      <c r="G32" s="290"/>
      <c r="H32" s="290"/>
      <c r="I32" s="290"/>
      <c r="J32" s="290"/>
      <c r="K32" s="290"/>
      <c r="L32" s="290"/>
      <c r="M32" s="290"/>
      <c r="N32" s="290"/>
      <c r="O32" s="290"/>
      <c r="P32" s="878"/>
      <c r="Q32" s="259"/>
    </row>
    <row r="33" spans="1:18" ht="25.5">
      <c r="A33" s="260">
        <f t="shared" si="0"/>
        <v>23</v>
      </c>
      <c r="B33" s="802" t="s">
        <v>1035</v>
      </c>
      <c r="C33" s="187" t="s">
        <v>1037</v>
      </c>
      <c r="D33" s="198"/>
      <c r="E33" s="164"/>
      <c r="F33" s="290"/>
      <c r="G33" s="290"/>
      <c r="H33" s="290"/>
      <c r="I33" s="290"/>
      <c r="J33" s="290"/>
      <c r="K33" s="290"/>
      <c r="L33" s="290"/>
      <c r="M33" s="290"/>
      <c r="N33" s="290"/>
      <c r="O33" s="290"/>
      <c r="P33" s="827"/>
      <c r="Q33" s="259"/>
      <c r="R33" s="164"/>
    </row>
    <row r="34" spans="1:18" ht="25.5">
      <c r="A34" s="260">
        <f t="shared" si="0"/>
        <v>24</v>
      </c>
      <c r="B34" s="802" t="s">
        <v>1036</v>
      </c>
      <c r="C34" s="187" t="s">
        <v>1038</v>
      </c>
      <c r="D34" s="198"/>
      <c r="E34" s="164"/>
      <c r="F34" s="290"/>
      <c r="G34" s="290"/>
      <c r="H34" s="290"/>
      <c r="I34" s="290"/>
      <c r="J34" s="290"/>
      <c r="K34" s="290"/>
      <c r="L34" s="290"/>
      <c r="M34" s="290"/>
      <c r="N34" s="290"/>
      <c r="O34" s="290"/>
      <c r="P34" s="828"/>
      <c r="Q34" s="259"/>
      <c r="R34" s="164"/>
    </row>
    <row r="35" spans="1:18">
      <c r="A35" s="260">
        <f>A34+1</f>
        <v>25</v>
      </c>
      <c r="B35" s="801" t="s">
        <v>677</v>
      </c>
      <c r="C35" s="792" t="str">
        <f>"Sum Lines "&amp;A29&amp;" - "&amp;A34</f>
        <v>Sum Lines 19 - 24</v>
      </c>
      <c r="D35" s="290"/>
      <c r="E35" s="164"/>
      <c r="F35" s="290"/>
      <c r="G35" s="290"/>
      <c r="H35" s="290"/>
      <c r="I35" s="290"/>
      <c r="J35" s="290"/>
      <c r="K35" s="290"/>
      <c r="L35" s="290"/>
      <c r="M35" s="290"/>
      <c r="N35" s="290"/>
      <c r="O35" s="290"/>
      <c r="P35" s="297">
        <f>SUM(P29:P34)</f>
        <v>190132850</v>
      </c>
      <c r="Q35" s="259"/>
      <c r="R35" s="164"/>
    </row>
    <row r="36" spans="1:18" ht="13.5" thickBot="1">
      <c r="A36" s="260">
        <f t="shared" si="0"/>
        <v>26</v>
      </c>
      <c r="B36" s="803"/>
      <c r="C36" s="468"/>
      <c r="D36" s="290"/>
      <c r="E36" s="290"/>
      <c r="F36" s="290"/>
      <c r="G36" s="290"/>
      <c r="H36" s="290"/>
      <c r="I36" s="290"/>
      <c r="J36" s="290"/>
      <c r="K36" s="290"/>
      <c r="L36" s="290"/>
      <c r="M36" s="290"/>
      <c r="N36" s="290"/>
      <c r="O36" s="290"/>
      <c r="P36" s="290"/>
      <c r="Q36" s="259"/>
      <c r="R36" s="164"/>
    </row>
    <row r="37" spans="1:18" ht="13.5" thickBot="1">
      <c r="A37" s="260">
        <f t="shared" si="0"/>
        <v>27</v>
      </c>
      <c r="B37" s="803" t="str">
        <f>"Average Cost of Debt (Line "&amp;A35&amp;" / Line "&amp;A16&amp;")"</f>
        <v>Average Cost of Debt (Line 25 / Line 6)</v>
      </c>
      <c r="C37" s="142"/>
      <c r="D37" s="164"/>
      <c r="E37" s="164"/>
      <c r="F37" s="164"/>
      <c r="G37" s="164"/>
      <c r="H37" s="164"/>
      <c r="I37" s="164"/>
      <c r="J37" s="164"/>
      <c r="K37" s="164"/>
      <c r="L37" s="164"/>
      <c r="M37" s="164"/>
      <c r="N37" s="164"/>
      <c r="O37" s="164"/>
      <c r="P37" s="703">
        <f>IF(P35=0,0,P35/Q16)</f>
        <v>4.4696691681735984E-2</v>
      </c>
      <c r="Q37" s="259"/>
      <c r="R37" s="164"/>
    </row>
    <row r="38" spans="1:18">
      <c r="A38" s="260">
        <f t="shared" si="0"/>
        <v>28</v>
      </c>
      <c r="B38" s="803"/>
      <c r="C38" s="142"/>
      <c r="D38" s="164"/>
      <c r="E38" s="164"/>
      <c r="F38" s="164"/>
      <c r="G38" s="164"/>
      <c r="H38" s="164"/>
      <c r="I38" s="164"/>
      <c r="J38" s="164"/>
      <c r="K38" s="164"/>
      <c r="L38" s="164"/>
      <c r="M38" s="164"/>
      <c r="N38" s="164"/>
      <c r="O38" s="164"/>
      <c r="P38" s="289"/>
      <c r="Q38" s="259"/>
      <c r="R38" s="164"/>
    </row>
    <row r="39" spans="1:18">
      <c r="A39" s="260">
        <f t="shared" si="0"/>
        <v>29</v>
      </c>
      <c r="B39" s="309" t="s">
        <v>678</v>
      </c>
      <c r="C39" s="142"/>
      <c r="D39" s="164"/>
      <c r="E39" s="164"/>
      <c r="F39" s="164"/>
      <c r="G39" s="164"/>
      <c r="H39" s="164"/>
      <c r="I39" s="164"/>
      <c r="J39" s="164"/>
      <c r="K39" s="164"/>
      <c r="L39" s="164"/>
      <c r="M39" s="164"/>
      <c r="N39" s="164"/>
      <c r="O39" s="164"/>
      <c r="P39" s="289"/>
      <c r="Q39" s="259"/>
      <c r="R39" s="164"/>
    </row>
    <row r="40" spans="1:18">
      <c r="A40" s="260">
        <f t="shared" si="0"/>
        <v>30</v>
      </c>
      <c r="B40" s="295" t="s">
        <v>679</v>
      </c>
      <c r="C40" s="116" t="s">
        <v>680</v>
      </c>
      <c r="D40" s="164"/>
      <c r="E40" s="164"/>
      <c r="F40" s="164"/>
      <c r="G40" s="164"/>
      <c r="H40" s="164"/>
      <c r="I40" s="164"/>
      <c r="J40" s="164"/>
      <c r="K40" s="164"/>
      <c r="L40" s="164"/>
      <c r="M40" s="164"/>
      <c r="N40" s="164"/>
      <c r="O40" s="164"/>
      <c r="P40" s="879">
        <v>0</v>
      </c>
      <c r="Q40" s="259"/>
      <c r="R40" s="164"/>
    </row>
    <row r="41" spans="1:18">
      <c r="A41" s="260">
        <f t="shared" si="0"/>
        <v>31</v>
      </c>
      <c r="B41" s="295"/>
      <c r="C41" s="142"/>
      <c r="D41" s="164"/>
      <c r="E41" s="164"/>
      <c r="F41" s="164"/>
      <c r="G41" s="164"/>
      <c r="H41" s="164"/>
      <c r="I41" s="164"/>
      <c r="J41" s="164"/>
      <c r="K41" s="164"/>
      <c r="L41" s="164"/>
      <c r="M41" s="164"/>
      <c r="N41" s="164"/>
      <c r="O41" s="164"/>
      <c r="P41" s="289"/>
      <c r="Q41" s="259"/>
      <c r="R41" s="164"/>
    </row>
    <row r="42" spans="1:18">
      <c r="A42" s="260">
        <f t="shared" si="0"/>
        <v>32</v>
      </c>
      <c r="B42" s="295" t="str">
        <f>"Average Cost of Preferred Stock (Line "&amp;A40&amp;" / Line "&amp;A18&amp;")"</f>
        <v>Average Cost of Preferred Stock (Line 30 / Line 8)</v>
      </c>
      <c r="C42" s="142"/>
      <c r="D42" s="164"/>
      <c r="E42" s="164"/>
      <c r="F42" s="164"/>
      <c r="G42" s="164"/>
      <c r="H42" s="164"/>
      <c r="I42" s="164"/>
      <c r="J42" s="164"/>
      <c r="K42" s="164"/>
      <c r="L42" s="164"/>
      <c r="M42" s="164"/>
      <c r="N42" s="164"/>
      <c r="O42" s="164"/>
      <c r="P42" s="289">
        <f>IF(P40=0,0,ROUND(P40/Q18,4))</f>
        <v>0</v>
      </c>
      <c r="Q42" s="259"/>
      <c r="R42" s="164"/>
    </row>
    <row r="43" spans="1:18">
      <c r="A43" s="260"/>
      <c r="B43" s="295"/>
      <c r="C43" s="164"/>
      <c r="D43" s="164"/>
      <c r="E43" s="164"/>
      <c r="F43" s="164"/>
      <c r="G43" s="164"/>
      <c r="H43" s="164"/>
      <c r="I43" s="164"/>
      <c r="J43" s="164"/>
      <c r="K43" s="164"/>
      <c r="L43" s="164"/>
      <c r="M43" s="164"/>
      <c r="N43" s="164"/>
      <c r="O43" s="164"/>
      <c r="P43" s="289"/>
      <c r="Q43" s="259"/>
      <c r="R43" s="164"/>
    </row>
    <row r="44" spans="1:18">
      <c r="A44" s="260"/>
      <c r="B44" s="1234" t="s">
        <v>118</v>
      </c>
      <c r="C44" s="1234"/>
      <c r="D44" s="1234"/>
      <c r="E44" s="1234"/>
      <c r="F44" s="1234"/>
      <c r="G44" s="1234"/>
      <c r="H44" s="164"/>
      <c r="I44" s="164"/>
      <c r="J44" s="164"/>
      <c r="K44" s="164"/>
      <c r="L44" s="164"/>
      <c r="M44" s="164"/>
      <c r="N44" s="164"/>
      <c r="O44" s="164"/>
      <c r="P44" s="289"/>
      <c r="Q44" s="259"/>
      <c r="R44" s="164"/>
    </row>
    <row r="45" spans="1:18">
      <c r="A45" s="260"/>
      <c r="B45" s="474" t="s">
        <v>1222</v>
      </c>
      <c r="C45" s="164"/>
      <c r="D45" s="164"/>
      <c r="E45" s="164"/>
      <c r="F45" s="164"/>
      <c r="G45" s="164"/>
      <c r="H45" s="164"/>
      <c r="I45" s="164"/>
      <c r="J45" s="164"/>
      <c r="K45" s="164"/>
      <c r="L45" s="164"/>
      <c r="M45" s="164"/>
      <c r="N45" s="164"/>
      <c r="O45" s="164"/>
      <c r="P45" s="289"/>
      <c r="Q45" s="259"/>
      <c r="R45" s="164"/>
    </row>
    <row r="46" spans="1:18" ht="13.5" thickBot="1">
      <c r="A46" s="271"/>
      <c r="B46" s="272"/>
      <c r="C46" s="272"/>
      <c r="D46" s="272"/>
      <c r="E46" s="272"/>
      <c r="F46" s="272"/>
      <c r="G46" s="272"/>
      <c r="H46" s="272"/>
      <c r="I46" s="272"/>
      <c r="J46" s="272"/>
      <c r="K46" s="272"/>
      <c r="L46" s="272"/>
      <c r="M46" s="272"/>
      <c r="N46" s="272"/>
      <c r="O46" s="272"/>
      <c r="P46" s="272"/>
      <c r="Q46" s="273"/>
      <c r="R46" s="164"/>
    </row>
    <row r="51" spans="1:18" ht="13.5" thickBot="1"/>
    <row r="52" spans="1:18">
      <c r="A52" s="236" t="s">
        <v>1064</v>
      </c>
      <c r="B52" s="279"/>
      <c r="C52" s="279"/>
      <c r="D52" s="279"/>
      <c r="E52" s="279"/>
      <c r="F52" s="279"/>
      <c r="G52" s="279"/>
      <c r="H52" s="279"/>
      <c r="I52" s="279"/>
      <c r="J52" s="279"/>
      <c r="K52" s="279"/>
      <c r="L52" s="279"/>
      <c r="M52" s="279"/>
      <c r="N52" s="279"/>
      <c r="O52" s="279"/>
      <c r="P52" s="279"/>
      <c r="Q52" s="286"/>
      <c r="R52" s="198"/>
    </row>
    <row r="53" spans="1:18">
      <c r="A53" s="260"/>
      <c r="B53" s="198"/>
      <c r="C53" s="281" t="s">
        <v>1302</v>
      </c>
      <c r="D53" s="198"/>
      <c r="E53" s="198"/>
      <c r="F53" s="198"/>
      <c r="G53" s="198"/>
      <c r="H53" s="198"/>
      <c r="I53" s="198"/>
      <c r="J53" s="198"/>
      <c r="K53" s="198"/>
      <c r="L53" s="198"/>
      <c r="M53" s="198"/>
      <c r="N53" s="198"/>
      <c r="O53" s="198"/>
      <c r="P53" s="198"/>
      <c r="Q53" s="287"/>
      <c r="R53" s="198"/>
    </row>
    <row r="54" spans="1:18">
      <c r="A54" s="239" t="s">
        <v>862</v>
      </c>
      <c r="B54" s="2" t="s">
        <v>912</v>
      </c>
      <c r="C54" s="274" t="s">
        <v>864</v>
      </c>
      <c r="D54" s="274" t="s">
        <v>909</v>
      </c>
      <c r="E54" s="274" t="s">
        <v>950</v>
      </c>
      <c r="F54" s="274" t="s">
        <v>899</v>
      </c>
      <c r="G54" s="274" t="s">
        <v>900</v>
      </c>
      <c r="H54" s="274" t="s">
        <v>901</v>
      </c>
      <c r="I54" s="274" t="s">
        <v>902</v>
      </c>
      <c r="J54" s="274" t="s">
        <v>903</v>
      </c>
      <c r="K54" s="274" t="s">
        <v>904</v>
      </c>
      <c r="L54" s="274" t="s">
        <v>905</v>
      </c>
      <c r="M54" s="274" t="s">
        <v>906</v>
      </c>
      <c r="N54" s="274" t="s">
        <v>907</v>
      </c>
      <c r="O54" s="274" t="s">
        <v>908</v>
      </c>
      <c r="P54" s="274" t="s">
        <v>909</v>
      </c>
      <c r="Q54" s="288" t="s">
        <v>653</v>
      </c>
      <c r="R54" s="281"/>
    </row>
    <row r="55" spans="1:18">
      <c r="A55" s="258"/>
      <c r="B55" s="164"/>
      <c r="C55" s="164"/>
      <c r="D55" s="116" t="s">
        <v>358</v>
      </c>
      <c r="E55" s="116" t="s">
        <v>357</v>
      </c>
      <c r="F55" s="116" t="s">
        <v>359</v>
      </c>
      <c r="G55" s="116" t="s">
        <v>360</v>
      </c>
      <c r="H55" s="116" t="s">
        <v>361</v>
      </c>
      <c r="I55" s="116" t="s">
        <v>362</v>
      </c>
      <c r="J55" s="116" t="s">
        <v>363</v>
      </c>
      <c r="K55" s="116" t="s">
        <v>364</v>
      </c>
      <c r="L55" s="116" t="s">
        <v>365</v>
      </c>
      <c r="M55" s="116" t="s">
        <v>366</v>
      </c>
      <c r="N55" s="116" t="s">
        <v>367</v>
      </c>
      <c r="O55" s="116" t="s">
        <v>368</v>
      </c>
      <c r="P55" s="116" t="s">
        <v>369</v>
      </c>
      <c r="Q55" s="791" t="s">
        <v>370</v>
      </c>
      <c r="R55" s="164"/>
    </row>
    <row r="56" spans="1:18">
      <c r="A56" s="260">
        <v>1</v>
      </c>
      <c r="B56" s="142" t="s">
        <v>654</v>
      </c>
      <c r="C56" s="164"/>
      <c r="D56" s="164"/>
      <c r="E56" s="164"/>
      <c r="F56" s="164"/>
      <c r="G56" s="164"/>
      <c r="H56" s="164"/>
      <c r="I56" s="164"/>
      <c r="J56" s="164"/>
      <c r="K56" s="164"/>
      <c r="L56" s="164"/>
      <c r="M56" s="164"/>
      <c r="N56" s="164"/>
      <c r="O56" s="164"/>
      <c r="P56" s="164"/>
      <c r="Q56" s="259"/>
      <c r="R56" s="164"/>
    </row>
    <row r="57" spans="1:18">
      <c r="A57" s="260">
        <f t="shared" ref="A57:A87" si="4">A56+1</f>
        <v>2</v>
      </c>
      <c r="B57" s="178" t="s">
        <v>655</v>
      </c>
      <c r="C57" s="116" t="s">
        <v>656</v>
      </c>
      <c r="D57" s="137">
        <v>4100000000</v>
      </c>
      <c r="E57" s="137">
        <v>4100000000</v>
      </c>
      <c r="F57" s="137">
        <v>4100000000</v>
      </c>
      <c r="G57" s="137">
        <v>4100000000</v>
      </c>
      <c r="H57" s="137">
        <v>4100000000</v>
      </c>
      <c r="I57" s="137">
        <v>4100000000</v>
      </c>
      <c r="J57" s="137">
        <v>4500000000</v>
      </c>
      <c r="K57" s="137">
        <v>4500000000</v>
      </c>
      <c r="L57" s="137">
        <v>4500000000</v>
      </c>
      <c r="M57" s="137">
        <v>4500000000</v>
      </c>
      <c r="N57" s="137">
        <v>4500000000</v>
      </c>
      <c r="O57" s="137">
        <v>4500000000</v>
      </c>
      <c r="P57" s="137">
        <v>4500000000</v>
      </c>
      <c r="Q57" s="265">
        <f>IF(P57=0,0,AVERAGE(D57:P57))</f>
        <v>4315384615.3846149</v>
      </c>
      <c r="R57" s="179"/>
    </row>
    <row r="58" spans="1:18">
      <c r="A58" s="260">
        <f t="shared" si="4"/>
        <v>3</v>
      </c>
      <c r="B58" s="178" t="s">
        <v>1027</v>
      </c>
      <c r="C58" s="116" t="s">
        <v>1029</v>
      </c>
      <c r="D58" s="137"/>
      <c r="E58" s="137"/>
      <c r="F58" s="137"/>
      <c r="G58" s="137"/>
      <c r="H58" s="137"/>
      <c r="I58" s="137"/>
      <c r="J58" s="137"/>
      <c r="K58" s="137"/>
      <c r="L58" s="137"/>
      <c r="M58" s="137"/>
      <c r="N58" s="137"/>
      <c r="O58" s="137"/>
      <c r="P58" s="137"/>
      <c r="Q58" s="265"/>
      <c r="R58" s="179"/>
    </row>
    <row r="59" spans="1:18">
      <c r="A59" s="260">
        <f t="shared" si="4"/>
        <v>4</v>
      </c>
      <c r="B59" s="178" t="s">
        <v>657</v>
      </c>
      <c r="C59" s="116" t="s">
        <v>658</v>
      </c>
      <c r="D59" s="137"/>
      <c r="E59" s="137"/>
      <c r="F59" s="137"/>
      <c r="G59" s="137"/>
      <c r="H59" s="137"/>
      <c r="I59" s="137"/>
      <c r="J59" s="137"/>
      <c r="K59" s="137"/>
      <c r="L59" s="137"/>
      <c r="M59" s="137"/>
      <c r="N59" s="137"/>
      <c r="O59" s="137"/>
      <c r="P59" s="137"/>
      <c r="Q59" s="265">
        <f>IF(P59=0,0,AVERAGE(D59:P59))</f>
        <v>0</v>
      </c>
      <c r="R59" s="179"/>
    </row>
    <row r="60" spans="1:18" ht="13.5" thickBot="1">
      <c r="A60" s="260">
        <f t="shared" si="4"/>
        <v>5</v>
      </c>
      <c r="B60" s="800" t="s">
        <v>1028</v>
      </c>
      <c r="C60" s="116" t="s">
        <v>1030</v>
      </c>
      <c r="D60" s="138">
        <v>0</v>
      </c>
      <c r="E60" s="138"/>
      <c r="F60" s="138"/>
      <c r="G60" s="138"/>
      <c r="H60" s="138"/>
      <c r="I60" s="138"/>
      <c r="J60" s="138"/>
      <c r="K60" s="138"/>
      <c r="L60" s="138"/>
      <c r="M60" s="138"/>
      <c r="N60" s="138"/>
      <c r="O60" s="138"/>
      <c r="P60" s="138"/>
      <c r="Q60" s="265"/>
      <c r="R60" s="179"/>
    </row>
    <row r="61" spans="1:18" ht="13.5" thickBot="1">
      <c r="A61" s="260">
        <f t="shared" si="4"/>
        <v>6</v>
      </c>
      <c r="B61" s="187" t="s">
        <v>659</v>
      </c>
      <c r="C61" s="792" t="str">
        <f>"Sum Lines "&amp;A56&amp;" - "&amp;A60</f>
        <v>Sum Lines 1 - 5</v>
      </c>
      <c r="D61" s="179">
        <f>SUM(D57:D60)</f>
        <v>4100000000</v>
      </c>
      <c r="E61" s="179">
        <f t="shared" ref="E61:Q61" si="5">SUM(E57:E59)</f>
        <v>4100000000</v>
      </c>
      <c r="F61" s="179">
        <f t="shared" si="5"/>
        <v>4100000000</v>
      </c>
      <c r="G61" s="179">
        <f t="shared" si="5"/>
        <v>4100000000</v>
      </c>
      <c r="H61" s="179">
        <f t="shared" si="5"/>
        <v>4100000000</v>
      </c>
      <c r="I61" s="179">
        <f t="shared" si="5"/>
        <v>4100000000</v>
      </c>
      <c r="J61" s="179">
        <f t="shared" si="5"/>
        <v>4500000000</v>
      </c>
      <c r="K61" s="179">
        <f t="shared" si="5"/>
        <v>4500000000</v>
      </c>
      <c r="L61" s="179">
        <f t="shared" si="5"/>
        <v>4500000000</v>
      </c>
      <c r="M61" s="179">
        <f t="shared" si="5"/>
        <v>4500000000</v>
      </c>
      <c r="N61" s="179">
        <f t="shared" si="5"/>
        <v>4500000000</v>
      </c>
      <c r="O61" s="179">
        <f t="shared" si="5"/>
        <v>4500000000</v>
      </c>
      <c r="P61" s="179">
        <f t="shared" si="5"/>
        <v>4500000000</v>
      </c>
      <c r="Q61" s="132">
        <f t="shared" si="5"/>
        <v>4315384615.3846149</v>
      </c>
      <c r="R61" s="179"/>
    </row>
    <row r="62" spans="1:18" ht="13.5" thickBot="1">
      <c r="A62" s="260">
        <f t="shared" si="4"/>
        <v>7</v>
      </c>
      <c r="B62" s="142"/>
      <c r="C62" s="142"/>
      <c r="D62" s="164"/>
      <c r="E62" s="164"/>
      <c r="F62" s="164"/>
      <c r="G62" s="164"/>
      <c r="H62" s="164"/>
      <c r="I62" s="164"/>
      <c r="J62" s="164"/>
      <c r="K62" s="164"/>
      <c r="L62" s="164"/>
      <c r="M62" s="164"/>
      <c r="N62" s="164"/>
      <c r="O62" s="164"/>
      <c r="P62" s="164"/>
      <c r="Q62" s="259"/>
      <c r="R62" s="164"/>
    </row>
    <row r="63" spans="1:18" ht="13.5" thickBot="1">
      <c r="A63" s="260">
        <f t="shared" si="4"/>
        <v>8</v>
      </c>
      <c r="B63" s="187" t="s">
        <v>223</v>
      </c>
      <c r="C63" s="116" t="s">
        <v>661</v>
      </c>
      <c r="D63" s="276"/>
      <c r="E63" s="276"/>
      <c r="F63" s="276"/>
      <c r="G63" s="276"/>
      <c r="H63" s="276"/>
      <c r="I63" s="276"/>
      <c r="J63" s="276"/>
      <c r="K63" s="276"/>
      <c r="L63" s="276"/>
      <c r="M63" s="276"/>
      <c r="N63" s="276"/>
      <c r="O63" s="276"/>
      <c r="P63" s="701"/>
      <c r="Q63" s="132">
        <f>IF(P63=0,0,AVERAGE(D63:P63))</f>
        <v>0</v>
      </c>
      <c r="R63" s="179"/>
    </row>
    <row r="64" spans="1:18">
      <c r="A64" s="260">
        <f t="shared" si="4"/>
        <v>9</v>
      </c>
      <c r="B64" s="142"/>
      <c r="C64" s="468"/>
      <c r="D64" s="290"/>
      <c r="E64" s="290"/>
      <c r="F64" s="290"/>
      <c r="G64" s="290"/>
      <c r="H64" s="290"/>
      <c r="I64" s="290"/>
      <c r="J64" s="290"/>
      <c r="K64" s="290"/>
      <c r="L64" s="290"/>
      <c r="M64" s="290"/>
      <c r="N64" s="290"/>
      <c r="O64" s="290"/>
      <c r="P64" s="290"/>
      <c r="Q64" s="298"/>
      <c r="R64" s="290"/>
    </row>
    <row r="65" spans="1:18">
      <c r="A65" s="260">
        <f t="shared" si="4"/>
        <v>10</v>
      </c>
      <c r="B65" s="142" t="s">
        <v>662</v>
      </c>
      <c r="C65" s="116" t="s">
        <v>663</v>
      </c>
      <c r="D65" s="137">
        <v>5269455076</v>
      </c>
      <c r="E65" s="291">
        <v>5319219857</v>
      </c>
      <c r="F65" s="291">
        <v>5424221431.8699999</v>
      </c>
      <c r="G65" s="291">
        <v>5419145335.1199999</v>
      </c>
      <c r="H65" s="291">
        <v>5457247023</v>
      </c>
      <c r="I65" s="291">
        <v>5481507031</v>
      </c>
      <c r="J65" s="291">
        <v>5456609302</v>
      </c>
      <c r="K65" s="291">
        <v>5574952292</v>
      </c>
      <c r="L65" s="291">
        <v>5660951462</v>
      </c>
      <c r="M65" s="291">
        <v>5626852204</v>
      </c>
      <c r="N65" s="291">
        <v>5646254078</v>
      </c>
      <c r="O65" s="291">
        <v>5740688080</v>
      </c>
      <c r="P65" s="291">
        <v>5828323189</v>
      </c>
      <c r="Q65" s="265">
        <f>IF(P65=0,0,AVERAGE(D65:P65))</f>
        <v>5531186643.1530762</v>
      </c>
      <c r="R65" s="179"/>
    </row>
    <row r="66" spans="1:18">
      <c r="A66" s="260">
        <f t="shared" si="4"/>
        <v>11</v>
      </c>
      <c r="B66" s="178" t="s">
        <v>664</v>
      </c>
      <c r="C66" s="116" t="s">
        <v>661</v>
      </c>
      <c r="D66" s="137">
        <v>0</v>
      </c>
      <c r="E66" s="291">
        <v>0</v>
      </c>
      <c r="F66" s="291">
        <v>0</v>
      </c>
      <c r="G66" s="291">
        <v>0</v>
      </c>
      <c r="H66" s="291">
        <v>0</v>
      </c>
      <c r="I66" s="291">
        <v>0</v>
      </c>
      <c r="J66" s="291">
        <v>0</v>
      </c>
      <c r="K66" s="291">
        <v>0</v>
      </c>
      <c r="L66" s="291">
        <v>0</v>
      </c>
      <c r="M66" s="291">
        <v>0</v>
      </c>
      <c r="N66" s="291">
        <v>0</v>
      </c>
      <c r="O66" s="291">
        <v>0</v>
      </c>
      <c r="P66" s="291">
        <v>0</v>
      </c>
      <c r="Q66" s="265">
        <f>IF(P66=0,0,AVERAGE(D66:P66))</f>
        <v>0</v>
      </c>
      <c r="R66" s="179"/>
    </row>
    <row r="67" spans="1:18">
      <c r="A67" s="260">
        <f t="shared" si="4"/>
        <v>12</v>
      </c>
      <c r="B67" s="178" t="s">
        <v>665</v>
      </c>
      <c r="C67" s="116" t="s">
        <v>666</v>
      </c>
      <c r="D67" s="137">
        <v>-23000287.350000001</v>
      </c>
      <c r="E67" s="291">
        <v>-22862511</v>
      </c>
      <c r="F67" s="291">
        <v>-22737995.25</v>
      </c>
      <c r="G67" s="291">
        <v>-22752271</v>
      </c>
      <c r="H67" s="291">
        <v>-22618915</v>
      </c>
      <c r="I67" s="291">
        <v>-22481139</v>
      </c>
      <c r="J67" s="291">
        <v>-22501515</v>
      </c>
      <c r="K67" s="291">
        <v>-22363739</v>
      </c>
      <c r="L67" s="291">
        <v>-22221354</v>
      </c>
      <c r="M67" s="291">
        <v>-22243461</v>
      </c>
      <c r="N67" s="291">
        <v>-22105685</v>
      </c>
      <c r="O67" s="291">
        <v>-21972329</v>
      </c>
      <c r="P67" s="291">
        <v>-26731863</v>
      </c>
      <c r="Q67" s="265">
        <f>IF(P67=0,0,AVERAGE(D67:P67))</f>
        <v>-22814851.123076923</v>
      </c>
      <c r="R67" s="179"/>
    </row>
    <row r="68" spans="1:18" ht="26.25" thickBot="1">
      <c r="A68" s="576">
        <f t="shared" si="4"/>
        <v>13</v>
      </c>
      <c r="B68" s="505" t="s">
        <v>165</v>
      </c>
      <c r="C68" s="116" t="s">
        <v>190</v>
      </c>
      <c r="D68" s="138">
        <v>-5062028</v>
      </c>
      <c r="E68" s="292">
        <v>-4883627</v>
      </c>
      <c r="F68" s="292">
        <v>-5708944</v>
      </c>
      <c r="G68" s="292">
        <v>-5512234</v>
      </c>
      <c r="H68" s="292">
        <v>-5336605</v>
      </c>
      <c r="I68" s="292">
        <v>-5173152</v>
      </c>
      <c r="J68" s="292">
        <v>-5051707</v>
      </c>
      <c r="K68" s="292">
        <v>-4874588</v>
      </c>
      <c r="L68" s="292">
        <v>-5697468</v>
      </c>
      <c r="M68" s="292">
        <v>-5536468</v>
      </c>
      <c r="N68" s="292">
        <v>-5360664</v>
      </c>
      <c r="O68" s="292">
        <v>-5183427</v>
      </c>
      <c r="P68" s="292">
        <v>-4798395</v>
      </c>
      <c r="Q68" s="700">
        <f>IF(P68=0,0,AVERAGE(D68:P68))</f>
        <v>-5244562.076923077</v>
      </c>
      <c r="R68" s="179"/>
    </row>
    <row r="69" spans="1:18" ht="13.5" thickBot="1">
      <c r="A69" s="260">
        <f t="shared" si="4"/>
        <v>14</v>
      </c>
      <c r="B69" s="142" t="s">
        <v>667</v>
      </c>
      <c r="C69" s="792" t="str">
        <f>"Ln "&amp; A65&amp;" - "&amp;A66&amp;" - "&amp;A67&amp;" - "&amp;A68</f>
        <v>Ln 10 - 11 - 12 - 13</v>
      </c>
      <c r="D69" s="299">
        <f>D65-D66-D67-D68</f>
        <v>5297517391.3500004</v>
      </c>
      <c r="E69" s="299">
        <f t="shared" ref="E69:Q69" si="6">E65-E66-E67-E68</f>
        <v>5346965995</v>
      </c>
      <c r="F69" s="299">
        <f t="shared" si="6"/>
        <v>5452668371.1199999</v>
      </c>
      <c r="G69" s="299">
        <f t="shared" si="6"/>
        <v>5447409840.1199999</v>
      </c>
      <c r="H69" s="299">
        <f t="shared" si="6"/>
        <v>5485202543</v>
      </c>
      <c r="I69" s="299">
        <f t="shared" si="6"/>
        <v>5509161322</v>
      </c>
      <c r="J69" s="299">
        <f t="shared" si="6"/>
        <v>5484162524</v>
      </c>
      <c r="K69" s="299">
        <f t="shared" si="6"/>
        <v>5602190619</v>
      </c>
      <c r="L69" s="299">
        <f t="shared" si="6"/>
        <v>5688870284</v>
      </c>
      <c r="M69" s="299">
        <f t="shared" si="6"/>
        <v>5654632133</v>
      </c>
      <c r="N69" s="299">
        <f t="shared" si="6"/>
        <v>5673720427</v>
      </c>
      <c r="O69" s="299">
        <f t="shared" si="6"/>
        <v>5767843836</v>
      </c>
      <c r="P69" s="299">
        <f t="shared" si="6"/>
        <v>5859853447</v>
      </c>
      <c r="Q69" s="132">
        <f t="shared" si="6"/>
        <v>5559246056.3530769</v>
      </c>
      <c r="R69" s="179"/>
    </row>
    <row r="70" spans="1:18">
      <c r="A70" s="260">
        <f t="shared" si="4"/>
        <v>15</v>
      </c>
      <c r="B70" s="142"/>
      <c r="C70" s="468"/>
      <c r="D70" s="299"/>
      <c r="E70" s="299"/>
      <c r="F70" s="299"/>
      <c r="G70" s="299"/>
      <c r="H70" s="299"/>
      <c r="I70" s="299"/>
      <c r="J70" s="299"/>
      <c r="K70" s="299"/>
      <c r="L70" s="299"/>
      <c r="M70" s="299"/>
      <c r="N70" s="299"/>
      <c r="O70" s="299"/>
      <c r="P70" s="299"/>
      <c r="Q70" s="265"/>
      <c r="R70" s="179"/>
    </row>
    <row r="71" spans="1:18">
      <c r="A71" s="260">
        <f t="shared" si="4"/>
        <v>16</v>
      </c>
      <c r="B71" s="142" t="str">
        <f>"Total (Line "&amp;A61&amp;" plus Line "&amp;A63&amp;" plus Line "&amp;A69&amp;")"</f>
        <v>Total (Line 6 plus Line 8 plus Line 14)</v>
      </c>
      <c r="C71" s="142"/>
      <c r="D71" s="530">
        <f>D61+D63+D69</f>
        <v>9397517391.3500004</v>
      </c>
      <c r="E71" s="530">
        <f t="shared" ref="E71:Q71" si="7">E61+E63+E69</f>
        <v>9446965995</v>
      </c>
      <c r="F71" s="530">
        <f t="shared" si="7"/>
        <v>9552668371.1199989</v>
      </c>
      <c r="G71" s="530">
        <f t="shared" si="7"/>
        <v>9547409840.1199989</v>
      </c>
      <c r="H71" s="530">
        <f t="shared" si="7"/>
        <v>9585202543</v>
      </c>
      <c r="I71" s="530">
        <f t="shared" si="7"/>
        <v>9609161322</v>
      </c>
      <c r="J71" s="530">
        <f t="shared" si="7"/>
        <v>9984162524</v>
      </c>
      <c r="K71" s="530">
        <f t="shared" si="7"/>
        <v>10102190619</v>
      </c>
      <c r="L71" s="530">
        <f t="shared" si="7"/>
        <v>10188870284</v>
      </c>
      <c r="M71" s="530">
        <f t="shared" si="7"/>
        <v>10154632133</v>
      </c>
      <c r="N71" s="530">
        <f t="shared" si="7"/>
        <v>10173720427</v>
      </c>
      <c r="O71" s="530">
        <f t="shared" si="7"/>
        <v>10267843836</v>
      </c>
      <c r="P71" s="530">
        <f t="shared" si="7"/>
        <v>10359853447</v>
      </c>
      <c r="Q71" s="844">
        <f t="shared" si="7"/>
        <v>9874630671.7376919</v>
      </c>
      <c r="R71" s="117"/>
    </row>
    <row r="72" spans="1:18">
      <c r="A72" s="260">
        <f t="shared" si="4"/>
        <v>17</v>
      </c>
      <c r="B72" s="142"/>
      <c r="C72" s="468"/>
      <c r="D72" s="290"/>
      <c r="E72" s="290"/>
      <c r="F72" s="290"/>
      <c r="G72" s="290"/>
      <c r="H72" s="290"/>
      <c r="I72" s="290"/>
      <c r="J72" s="290"/>
      <c r="K72" s="290"/>
      <c r="L72" s="290"/>
      <c r="M72" s="290"/>
      <c r="N72" s="290"/>
      <c r="O72" s="290"/>
      <c r="P72" s="290"/>
      <c r="Q72" s="298"/>
      <c r="R72" s="290"/>
    </row>
    <row r="73" spans="1:18">
      <c r="A73" s="260">
        <f t="shared" si="4"/>
        <v>18</v>
      </c>
      <c r="B73" s="238" t="s">
        <v>668</v>
      </c>
      <c r="C73" s="290"/>
      <c r="D73" s="290"/>
      <c r="E73" s="290"/>
      <c r="F73" s="290"/>
      <c r="G73" s="290"/>
      <c r="H73" s="290"/>
      <c r="I73" s="290"/>
      <c r="J73" s="290"/>
      <c r="K73" s="290"/>
      <c r="L73" s="290"/>
      <c r="M73" s="290"/>
      <c r="N73" s="290"/>
      <c r="O73" s="290"/>
      <c r="P73" s="290"/>
      <c r="Q73" s="298"/>
      <c r="R73" s="290"/>
    </row>
    <row r="74" spans="1:18">
      <c r="A74" s="260">
        <f t="shared" si="4"/>
        <v>19</v>
      </c>
      <c r="B74" s="295" t="s">
        <v>1031</v>
      </c>
      <c r="C74" s="296" t="s">
        <v>670</v>
      </c>
      <c r="D74" s="296"/>
      <c r="E74" s="290"/>
      <c r="F74" s="290"/>
      <c r="G74" s="290"/>
      <c r="H74" s="290"/>
      <c r="I74" s="290"/>
      <c r="J74" s="290"/>
      <c r="K74" s="290"/>
      <c r="L74" s="290"/>
      <c r="M74" s="290"/>
      <c r="N74" s="290"/>
      <c r="O74" s="290"/>
      <c r="P74" s="611">
        <v>183569927</v>
      </c>
      <c r="Q74" s="259"/>
      <c r="R74" s="164"/>
    </row>
    <row r="75" spans="1:18" ht="25.5">
      <c r="A75" s="576">
        <f t="shared" si="4"/>
        <v>20</v>
      </c>
      <c r="B75" s="505" t="s">
        <v>1032</v>
      </c>
      <c r="C75" s="198" t="s">
        <v>672</v>
      </c>
      <c r="D75" s="296"/>
      <c r="E75" s="290"/>
      <c r="F75" s="290"/>
      <c r="G75" s="290"/>
      <c r="H75" s="290"/>
      <c r="I75" s="290"/>
      <c r="J75" s="290"/>
      <c r="K75" s="290"/>
      <c r="L75" s="290"/>
      <c r="M75" s="290"/>
      <c r="N75" s="290"/>
      <c r="O75" s="290"/>
      <c r="P75" s="611">
        <v>3547334.5700000003</v>
      </c>
      <c r="Q75" s="259"/>
      <c r="R75" s="164"/>
    </row>
    <row r="76" spans="1:18" ht="25.5">
      <c r="A76" s="260">
        <f t="shared" si="4"/>
        <v>21</v>
      </c>
      <c r="B76" s="505" t="s">
        <v>1033</v>
      </c>
      <c r="C76" s="198" t="s">
        <v>674</v>
      </c>
      <c r="D76" s="198"/>
      <c r="E76" s="164"/>
      <c r="F76" s="164"/>
      <c r="G76" s="164"/>
      <c r="H76" s="164"/>
      <c r="I76" s="164"/>
      <c r="J76" s="164"/>
      <c r="K76" s="164"/>
      <c r="L76" s="164"/>
      <c r="M76" s="164"/>
      <c r="N76" s="164"/>
      <c r="O76" s="164"/>
      <c r="P76" s="611">
        <v>1203258.69</v>
      </c>
      <c r="Q76" s="259"/>
      <c r="R76" s="164"/>
    </row>
    <row r="77" spans="1:18" ht="25.5">
      <c r="A77" s="260">
        <f t="shared" si="4"/>
        <v>22</v>
      </c>
      <c r="B77" s="505" t="s">
        <v>1034</v>
      </c>
      <c r="C77" s="296" t="s">
        <v>164</v>
      </c>
      <c r="D77" s="198"/>
      <c r="E77" s="164"/>
      <c r="F77" s="164"/>
      <c r="G77" s="164"/>
      <c r="H77" s="164"/>
      <c r="I77" s="164"/>
      <c r="J77" s="164"/>
      <c r="K77" s="164"/>
      <c r="L77" s="164"/>
      <c r="M77" s="164"/>
      <c r="N77" s="164"/>
      <c r="O77" s="164"/>
      <c r="P77" s="611">
        <v>0</v>
      </c>
      <c r="Q77" s="259"/>
      <c r="R77" s="164"/>
    </row>
    <row r="78" spans="1:18" ht="25.5">
      <c r="A78" s="260">
        <f t="shared" si="4"/>
        <v>23</v>
      </c>
      <c r="B78" s="505" t="s">
        <v>1035</v>
      </c>
      <c r="C78" s="262" t="s">
        <v>1037</v>
      </c>
      <c r="D78" s="198"/>
      <c r="E78" s="164"/>
      <c r="F78" s="164"/>
      <c r="G78" s="164"/>
      <c r="H78" s="164"/>
      <c r="I78" s="164"/>
      <c r="J78" s="164"/>
      <c r="K78" s="164"/>
      <c r="L78" s="164"/>
      <c r="M78" s="164"/>
      <c r="N78" s="164"/>
      <c r="O78" s="164"/>
      <c r="P78" s="611">
        <v>0</v>
      </c>
      <c r="Q78" s="259"/>
      <c r="R78" s="164"/>
    </row>
    <row r="79" spans="1:18" ht="25.5">
      <c r="A79" s="260">
        <f t="shared" si="4"/>
        <v>24</v>
      </c>
      <c r="B79" s="505" t="s">
        <v>1036</v>
      </c>
      <c r="C79" s="262" t="s">
        <v>1038</v>
      </c>
      <c r="D79" s="198"/>
      <c r="E79" s="164"/>
      <c r="F79" s="164"/>
      <c r="G79" s="164"/>
      <c r="H79" s="164"/>
      <c r="I79" s="164"/>
      <c r="J79" s="164"/>
      <c r="K79" s="164"/>
      <c r="L79" s="164"/>
      <c r="M79" s="164"/>
      <c r="N79" s="164"/>
      <c r="O79" s="164"/>
      <c r="P79" s="612">
        <v>0</v>
      </c>
      <c r="Q79" s="259"/>
      <c r="R79" s="164"/>
    </row>
    <row r="80" spans="1:18">
      <c r="A80" s="260">
        <f t="shared" si="4"/>
        <v>25</v>
      </c>
      <c r="B80" s="295" t="s">
        <v>677</v>
      </c>
      <c r="C80" s="792" t="str">
        <f>"Sum Lines "&amp;A74&amp;" - "&amp;A79</f>
        <v>Sum Lines 19 - 24</v>
      </c>
      <c r="D80" s="164"/>
      <c r="E80" s="164"/>
      <c r="F80" s="164"/>
      <c r="G80" s="164"/>
      <c r="H80" s="164"/>
      <c r="I80" s="164"/>
      <c r="J80" s="164"/>
      <c r="K80" s="164"/>
      <c r="L80" s="164"/>
      <c r="M80" s="164"/>
      <c r="N80" s="164"/>
      <c r="O80" s="164"/>
      <c r="P80" s="179">
        <f>SUM(P74:P79)</f>
        <v>188320520.25999999</v>
      </c>
      <c r="Q80" s="259"/>
      <c r="R80" s="164"/>
    </row>
    <row r="81" spans="1:18" ht="13.5" thickBot="1">
      <c r="A81" s="260">
        <f t="shared" si="4"/>
        <v>26</v>
      </c>
      <c r="B81" s="295"/>
      <c r="C81" s="164"/>
      <c r="D81" s="164"/>
      <c r="E81" s="164"/>
      <c r="F81" s="164"/>
      <c r="G81" s="164"/>
      <c r="H81" s="164"/>
      <c r="I81" s="164"/>
      <c r="J81" s="164"/>
      <c r="K81" s="164"/>
      <c r="L81" s="164"/>
      <c r="M81" s="164"/>
      <c r="N81" s="164"/>
      <c r="O81" s="164"/>
      <c r="P81" s="164"/>
      <c r="Q81" s="259"/>
      <c r="R81" s="164"/>
    </row>
    <row r="82" spans="1:18" ht="13.5" thickBot="1">
      <c r="A82" s="260">
        <f t="shared" si="4"/>
        <v>27</v>
      </c>
      <c r="B82" s="295" t="str">
        <f>"Average Cost of Debt (Line "&amp;A80&amp;" / Line "&amp;A61&amp;")"</f>
        <v>Average Cost of Debt (Line 25 / Line 6)</v>
      </c>
      <c r="C82" s="164"/>
      <c r="D82" s="164"/>
      <c r="E82" s="164"/>
      <c r="F82" s="164"/>
      <c r="G82" s="164"/>
      <c r="H82" s="164"/>
      <c r="I82" s="164"/>
      <c r="J82" s="164"/>
      <c r="K82" s="164"/>
      <c r="L82" s="164"/>
      <c r="M82" s="164"/>
      <c r="N82" s="164"/>
      <c r="O82" s="164"/>
      <c r="P82" s="703">
        <f>IF(P80=0,0,P80/Q61)</f>
        <v>4.36393362456328E-2</v>
      </c>
      <c r="Q82" s="259"/>
      <c r="R82" s="164"/>
    </row>
    <row r="83" spans="1:18">
      <c r="A83" s="260">
        <f t="shared" si="4"/>
        <v>28</v>
      </c>
      <c r="B83" s="295"/>
      <c r="C83" s="164"/>
      <c r="D83" s="164"/>
      <c r="E83" s="164"/>
      <c r="F83" s="164"/>
      <c r="G83" s="164"/>
      <c r="H83" s="164"/>
      <c r="I83" s="164"/>
      <c r="J83" s="164"/>
      <c r="K83" s="164"/>
      <c r="L83" s="164"/>
      <c r="M83" s="164"/>
      <c r="N83" s="164"/>
      <c r="O83" s="164"/>
      <c r="P83" s="289"/>
      <c r="Q83" s="259"/>
      <c r="R83" s="164"/>
    </row>
    <row r="84" spans="1:18">
      <c r="A84" s="260">
        <f t="shared" si="4"/>
        <v>29</v>
      </c>
      <c r="B84" s="238" t="s">
        <v>678</v>
      </c>
      <c r="C84" s="142"/>
      <c r="D84" s="164"/>
      <c r="E84" s="164"/>
      <c r="F84" s="164"/>
      <c r="G84" s="164"/>
      <c r="H84" s="164"/>
      <c r="I84" s="164"/>
      <c r="J84" s="164"/>
      <c r="K84" s="164"/>
      <c r="L84" s="164"/>
      <c r="M84" s="164"/>
      <c r="N84" s="164"/>
      <c r="O84" s="164"/>
      <c r="P84" s="289"/>
      <c r="Q84" s="259"/>
      <c r="R84" s="164"/>
    </row>
    <row r="85" spans="1:18">
      <c r="A85" s="260">
        <f t="shared" si="4"/>
        <v>30</v>
      </c>
      <c r="B85" s="295" t="s">
        <v>679</v>
      </c>
      <c r="C85" s="116" t="s">
        <v>680</v>
      </c>
      <c r="D85" s="164"/>
      <c r="E85" s="164"/>
      <c r="F85" s="164"/>
      <c r="G85" s="164"/>
      <c r="H85" s="164"/>
      <c r="I85" s="164"/>
      <c r="J85" s="164"/>
      <c r="K85" s="164"/>
      <c r="L85" s="164"/>
      <c r="M85" s="164"/>
      <c r="N85" s="164"/>
      <c r="O85" s="164"/>
      <c r="P85" s="1169">
        <v>0</v>
      </c>
      <c r="Q85" s="259"/>
      <c r="R85" s="164"/>
    </row>
    <row r="86" spans="1:18">
      <c r="A86" s="260">
        <f t="shared" si="4"/>
        <v>31</v>
      </c>
      <c r="B86" s="295"/>
      <c r="C86" s="142"/>
      <c r="D86" s="164"/>
      <c r="E86" s="164"/>
      <c r="F86" s="164"/>
      <c r="G86" s="164"/>
      <c r="H86" s="164"/>
      <c r="I86" s="164"/>
      <c r="J86" s="164"/>
      <c r="K86" s="164"/>
      <c r="L86" s="164"/>
      <c r="M86" s="164"/>
      <c r="N86" s="164"/>
      <c r="O86" s="164"/>
      <c r="P86" s="289"/>
      <c r="Q86" s="259"/>
      <c r="R86" s="164"/>
    </row>
    <row r="87" spans="1:18">
      <c r="A87" s="260">
        <f t="shared" si="4"/>
        <v>32</v>
      </c>
      <c r="B87" s="295" t="str">
        <f>"Average Cost of Preferred Stock (Line "&amp;A85&amp;" / Line "&amp;A63&amp;")"</f>
        <v>Average Cost of Preferred Stock (Line 30 / Line 8)</v>
      </c>
      <c r="C87" s="142"/>
      <c r="D87" s="164"/>
      <c r="E87" s="164"/>
      <c r="F87" s="164"/>
      <c r="G87" s="164"/>
      <c r="H87" s="164"/>
      <c r="I87" s="164"/>
      <c r="J87" s="164"/>
      <c r="K87" s="164"/>
      <c r="L87" s="164"/>
      <c r="M87" s="164"/>
      <c r="N87" s="164"/>
      <c r="O87" s="164"/>
      <c r="P87" s="289">
        <f>IF(P85=0,0,ROUND(P85/Q63,4))</f>
        <v>0</v>
      </c>
      <c r="Q87" s="259"/>
      <c r="R87" s="164"/>
    </row>
    <row r="88" spans="1:18">
      <c r="A88" s="260"/>
      <c r="B88" s="295"/>
      <c r="C88" s="142"/>
      <c r="D88" s="164"/>
      <c r="E88" s="164"/>
      <c r="F88" s="164"/>
      <c r="G88" s="164"/>
      <c r="H88" s="164"/>
      <c r="I88" s="164"/>
      <c r="J88" s="164"/>
      <c r="K88" s="164"/>
      <c r="L88" s="164"/>
      <c r="M88" s="164"/>
      <c r="N88" s="164"/>
      <c r="O88" s="164"/>
      <c r="P88" s="289"/>
      <c r="Q88" s="259"/>
      <c r="R88" s="164"/>
    </row>
    <row r="89" spans="1:18">
      <c r="A89" s="260"/>
      <c r="B89" s="1234" t="s">
        <v>118</v>
      </c>
      <c r="C89" s="1234"/>
      <c r="D89" s="1234"/>
      <c r="E89" s="1234"/>
      <c r="F89" s="1234"/>
      <c r="G89" s="1234"/>
      <c r="H89" s="164"/>
      <c r="I89" s="164"/>
      <c r="J89" s="164"/>
      <c r="K89" s="164"/>
      <c r="L89" s="164"/>
      <c r="M89" s="164"/>
      <c r="N89" s="164"/>
      <c r="O89" s="164"/>
      <c r="P89" s="289"/>
      <c r="Q89" s="259"/>
      <c r="R89" s="164"/>
    </row>
    <row r="90" spans="1:18">
      <c r="A90" s="258"/>
      <c r="B90" s="474" t="s">
        <v>1222</v>
      </c>
      <c r="C90" s="164"/>
      <c r="D90" s="164"/>
      <c r="E90" s="164"/>
      <c r="F90" s="164"/>
      <c r="G90" s="164"/>
      <c r="H90" s="164"/>
      <c r="I90" s="164"/>
      <c r="J90" s="164"/>
      <c r="K90" s="164"/>
      <c r="L90" s="164"/>
      <c r="M90" s="164"/>
      <c r="N90" s="164"/>
      <c r="O90" s="164"/>
      <c r="P90" s="164"/>
      <c r="Q90" s="259"/>
      <c r="R90" s="164"/>
    </row>
    <row r="91" spans="1:18" ht="13.5" thickBot="1">
      <c r="A91" s="271"/>
      <c r="B91" s="475"/>
      <c r="C91" s="272"/>
      <c r="D91" s="272"/>
      <c r="E91" s="272"/>
      <c r="F91" s="272"/>
      <c r="G91" s="272"/>
      <c r="H91" s="272"/>
      <c r="I91" s="272"/>
      <c r="J91" s="272"/>
      <c r="K91" s="272"/>
      <c r="L91" s="272"/>
      <c r="M91" s="272"/>
      <c r="N91" s="272"/>
      <c r="O91" s="272"/>
      <c r="P91" s="272"/>
      <c r="Q91" s="273"/>
      <c r="R91" s="164"/>
    </row>
  </sheetData>
  <mergeCells count="2">
    <mergeCell ref="B44:G44"/>
    <mergeCell ref="B89:G89"/>
  </mergeCells>
  <phoneticPr fontId="2" type="noConversion"/>
  <printOptions horizontalCentered="1"/>
  <pageMargins left="0.25" right="0.25" top="0.75" bottom="0.75" header="0.5" footer="0.5"/>
  <pageSetup scale="46" fitToHeight="2" orientation="landscape" r:id="rId1"/>
  <headerFooter alignWithMargins="0">
    <oddHeader>&amp;RPage &amp;P of &amp;N</oddHeader>
  </headerFooter>
  <rowBreaks count="1" manualBreakCount="1">
    <brk id="49" max="1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D460"/>
  <sheetViews>
    <sheetView view="pageBreakPreview" topLeftCell="A451" zoomScale="60" zoomScaleNormal="100" workbookViewId="0">
      <selection activeCell="Z34" sqref="Z34"/>
    </sheetView>
  </sheetViews>
  <sheetFormatPr defaultRowHeight="12.75"/>
  <cols>
    <col min="1" max="1" width="14.28515625" style="486" customWidth="1"/>
    <col min="2" max="2" width="51.5703125" style="484" customWidth="1"/>
    <col min="3" max="3" width="18.7109375" style="484" bestFit="1" customWidth="1"/>
    <col min="4" max="16384" width="9.140625" style="484"/>
  </cols>
  <sheetData>
    <row r="1" spans="1:3">
      <c r="A1" s="880" t="s">
        <v>774</v>
      </c>
      <c r="C1" s="1044" t="s">
        <v>158</v>
      </c>
    </row>
    <row r="2" spans="1:3">
      <c r="A2" s="880" t="s">
        <v>378</v>
      </c>
      <c r="C2" s="1044" t="str">
        <f ca="1">MID(CELL("filename",A1),FIND("]",CELL("filename",A1))+1,LEN(CELL("filename",A1))-FIND("]",CELL("filename",A1)))</f>
        <v xml:space="preserve">WP_H-1 </v>
      </c>
    </row>
    <row r="3" spans="1:3">
      <c r="A3" s="99" t="str">
        <f>'Cover Page'!A7</f>
        <v>Twelve Months Ended December 31, 2017</v>
      </c>
    </row>
    <row r="4" spans="1:3">
      <c r="A4" s="899" t="s">
        <v>1595</v>
      </c>
    </row>
    <row r="5" spans="1:3">
      <c r="A5" s="880" t="s">
        <v>1596</v>
      </c>
      <c r="B5" s="489"/>
      <c r="C5" s="1045" t="s">
        <v>1597</v>
      </c>
    </row>
    <row r="6" spans="1:3">
      <c r="B6" s="489"/>
      <c r="C6" s="1045" t="s">
        <v>621</v>
      </c>
    </row>
    <row r="7" spans="1:3">
      <c r="B7" s="489"/>
      <c r="C7" s="1045" t="s">
        <v>898</v>
      </c>
    </row>
    <row r="8" spans="1:3">
      <c r="A8" s="1043" t="s">
        <v>1598</v>
      </c>
      <c r="B8" s="1046" t="s">
        <v>424</v>
      </c>
      <c r="C8" s="1043" t="s">
        <v>1599</v>
      </c>
    </row>
    <row r="9" spans="1:3">
      <c r="C9" s="486"/>
    </row>
    <row r="10" spans="1:3">
      <c r="A10" s="880" t="s">
        <v>926</v>
      </c>
      <c r="C10" s="486"/>
    </row>
    <row r="11" spans="1:3">
      <c r="C11" s="486"/>
    </row>
    <row r="12" spans="1:3" ht="78.75" customHeight="1">
      <c r="A12" s="1258" t="s">
        <v>1600</v>
      </c>
      <c r="B12" s="1258"/>
      <c r="C12" s="486" t="s">
        <v>1601</v>
      </c>
    </row>
    <row r="13" spans="1:3">
      <c r="C13" s="486"/>
    </row>
    <row r="14" spans="1:3" ht="60" customHeight="1">
      <c r="A14" s="1258" t="s">
        <v>1602</v>
      </c>
      <c r="B14" s="1258"/>
      <c r="C14" s="486" t="s">
        <v>1601</v>
      </c>
    </row>
    <row r="15" spans="1:3">
      <c r="C15" s="486"/>
    </row>
    <row r="16" spans="1:3">
      <c r="A16" s="880" t="s">
        <v>1603</v>
      </c>
      <c r="C16" s="486"/>
    </row>
    <row r="17" spans="1:3">
      <c r="C17" s="486"/>
    </row>
    <row r="18" spans="1:3" ht="39.75" customHeight="1">
      <c r="A18" s="1258" t="s">
        <v>1604</v>
      </c>
      <c r="B18" s="1258"/>
      <c r="C18" s="486" t="s">
        <v>1605</v>
      </c>
    </row>
    <row r="19" spans="1:3">
      <c r="C19" s="486"/>
    </row>
    <row r="20" spans="1:3">
      <c r="A20" s="880" t="s">
        <v>1606</v>
      </c>
      <c r="C20" s="486"/>
    </row>
    <row r="21" spans="1:3">
      <c r="A21" s="486">
        <v>114</v>
      </c>
      <c r="B21" s="484" t="s">
        <v>1378</v>
      </c>
      <c r="C21" s="486"/>
    </row>
    <row r="22" spans="1:3" ht="25.5">
      <c r="B22" s="1047" t="s">
        <v>1607</v>
      </c>
      <c r="C22" s="502">
        <v>1.8180000000000001</v>
      </c>
    </row>
    <row r="23" spans="1:3">
      <c r="C23" s="502"/>
    </row>
    <row r="24" spans="1:3">
      <c r="A24" s="880" t="s">
        <v>976</v>
      </c>
      <c r="B24" s="486"/>
      <c r="C24" s="503"/>
    </row>
    <row r="25" spans="1:3" ht="14.25">
      <c r="A25" s="486">
        <v>302</v>
      </c>
      <c r="B25" s="484" t="s">
        <v>1198</v>
      </c>
      <c r="C25" s="502" t="s">
        <v>213</v>
      </c>
    </row>
    <row r="26" spans="1:3">
      <c r="A26" s="881" t="s">
        <v>1406</v>
      </c>
      <c r="B26" s="484" t="s">
        <v>1407</v>
      </c>
      <c r="C26" s="502">
        <v>33.33</v>
      </c>
    </row>
    <row r="27" spans="1:3">
      <c r="A27" s="881" t="s">
        <v>1406</v>
      </c>
      <c r="B27" s="484" t="s">
        <v>384</v>
      </c>
      <c r="C27" s="502">
        <v>20</v>
      </c>
    </row>
    <row r="28" spans="1:3">
      <c r="A28" s="881" t="s">
        <v>1406</v>
      </c>
      <c r="B28" s="484" t="s">
        <v>385</v>
      </c>
      <c r="C28" s="502">
        <v>10</v>
      </c>
    </row>
    <row r="29" spans="1:3">
      <c r="A29" s="881" t="s">
        <v>1406</v>
      </c>
      <c r="B29" s="484" t="s">
        <v>1408</v>
      </c>
      <c r="C29" s="502">
        <v>6.67</v>
      </c>
    </row>
    <row r="30" spans="1:3">
      <c r="C30" s="502"/>
    </row>
    <row r="31" spans="1:3">
      <c r="A31" s="882" t="s">
        <v>941</v>
      </c>
      <c r="B31" s="487"/>
      <c r="C31" s="503"/>
    </row>
    <row r="32" spans="1:3">
      <c r="A32" s="486">
        <v>302</v>
      </c>
      <c r="B32" s="487" t="s">
        <v>1198</v>
      </c>
      <c r="C32" s="502">
        <v>3.3330000000000002</v>
      </c>
    </row>
    <row r="33" spans="1:3" ht="14.25">
      <c r="A33" s="486" t="s">
        <v>1106</v>
      </c>
      <c r="B33" s="487" t="s">
        <v>1107</v>
      </c>
      <c r="C33" s="502" t="s">
        <v>1319</v>
      </c>
    </row>
    <row r="34" spans="1:3">
      <c r="A34" s="486">
        <v>310.2</v>
      </c>
      <c r="B34" s="487" t="s">
        <v>1108</v>
      </c>
      <c r="C34" s="502">
        <v>2</v>
      </c>
    </row>
    <row r="35" spans="1:3">
      <c r="A35" s="486">
        <v>310.3</v>
      </c>
      <c r="B35" s="487" t="s">
        <v>1109</v>
      </c>
      <c r="C35" s="502">
        <v>2</v>
      </c>
    </row>
    <row r="36" spans="1:3">
      <c r="A36" s="486">
        <v>311</v>
      </c>
      <c r="B36" s="487" t="s">
        <v>1202</v>
      </c>
      <c r="C36" s="502"/>
    </row>
    <row r="37" spans="1:3">
      <c r="B37" s="804" t="s">
        <v>1608</v>
      </c>
      <c r="C37" s="502">
        <v>14.943577883947121</v>
      </c>
    </row>
    <row r="38" spans="1:3">
      <c r="B38" s="804" t="s">
        <v>1110</v>
      </c>
      <c r="C38" s="502">
        <v>3.4589754920136988</v>
      </c>
    </row>
    <row r="39" spans="1:3">
      <c r="B39" s="804" t="s">
        <v>1111</v>
      </c>
      <c r="C39" s="502">
        <v>8.7211861949033356</v>
      </c>
    </row>
    <row r="40" spans="1:3">
      <c r="B40" s="804" t="s">
        <v>1112</v>
      </c>
      <c r="C40" s="502">
        <v>1.833</v>
      </c>
    </row>
    <row r="41" spans="1:3">
      <c r="B41" s="804" t="s">
        <v>1113</v>
      </c>
      <c r="C41" s="502">
        <v>1.536</v>
      </c>
    </row>
    <row r="42" spans="1:3">
      <c r="B42" s="804" t="s">
        <v>478</v>
      </c>
      <c r="C42" s="502">
        <v>2.0059999999999998</v>
      </c>
    </row>
    <row r="43" spans="1:3">
      <c r="B43" s="804" t="s">
        <v>1114</v>
      </c>
      <c r="C43" s="502">
        <v>1.6779999999999999</v>
      </c>
    </row>
    <row r="44" spans="1:3">
      <c r="B44" s="804" t="s">
        <v>1115</v>
      </c>
      <c r="C44" s="502">
        <v>1.548</v>
      </c>
    </row>
    <row r="45" spans="1:3">
      <c r="B45" s="804" t="s">
        <v>1116</v>
      </c>
      <c r="C45" s="502">
        <v>1.5249999999999999</v>
      </c>
    </row>
    <row r="46" spans="1:3">
      <c r="B46" s="804" t="s">
        <v>1117</v>
      </c>
      <c r="C46" s="502">
        <v>1.5760000000000001</v>
      </c>
    </row>
    <row r="47" spans="1:3">
      <c r="B47" s="804" t="s">
        <v>1118</v>
      </c>
      <c r="C47" s="502">
        <v>1.8720000000000001</v>
      </c>
    </row>
    <row r="48" spans="1:3">
      <c r="B48" s="804" t="s">
        <v>1119</v>
      </c>
      <c r="C48" s="502">
        <v>1.526</v>
      </c>
    </row>
    <row r="49" spans="1:4">
      <c r="B49" s="804" t="s">
        <v>1120</v>
      </c>
      <c r="C49" s="502">
        <v>2.5059999999999998</v>
      </c>
    </row>
    <row r="50" spans="1:4">
      <c r="B50" s="804" t="s">
        <v>1121</v>
      </c>
      <c r="C50" s="502">
        <v>1.5740000000000001</v>
      </c>
    </row>
    <row r="51" spans="1:4">
      <c r="B51" s="804" t="s">
        <v>1122</v>
      </c>
      <c r="C51" s="502">
        <v>2.859</v>
      </c>
    </row>
    <row r="52" spans="1:4">
      <c r="B52" s="804" t="s">
        <v>635</v>
      </c>
      <c r="C52" s="502">
        <v>7.6496360608446885</v>
      </c>
    </row>
    <row r="53" spans="1:4">
      <c r="B53" s="804" t="s">
        <v>1123</v>
      </c>
      <c r="C53" s="502">
        <v>7.1635669604301278</v>
      </c>
    </row>
    <row r="54" spans="1:4">
      <c r="B54" s="804" t="s">
        <v>1609</v>
      </c>
      <c r="C54" s="502">
        <v>3.99344205841509</v>
      </c>
    </row>
    <row r="55" spans="1:4">
      <c r="B55" s="804" t="s">
        <v>1610</v>
      </c>
      <c r="C55" s="502">
        <v>2.74</v>
      </c>
    </row>
    <row r="56" spans="1:4">
      <c r="A56" s="486">
        <v>312</v>
      </c>
      <c r="B56" s="487" t="s">
        <v>1124</v>
      </c>
      <c r="C56" s="502"/>
    </row>
    <row r="57" spans="1:4">
      <c r="A57"/>
      <c r="B57" s="804" t="s">
        <v>1608</v>
      </c>
      <c r="C57" s="502">
        <v>12.752283738993214</v>
      </c>
      <c r="D57" s="1048"/>
    </row>
    <row r="58" spans="1:4">
      <c r="A58"/>
      <c r="B58" s="804" t="s">
        <v>1611</v>
      </c>
      <c r="C58" s="502">
        <v>12.152381354020319</v>
      </c>
    </row>
    <row r="59" spans="1:4">
      <c r="A59"/>
      <c r="B59" s="804" t="s">
        <v>1110</v>
      </c>
      <c r="C59" s="502">
        <v>3.7460619617752418</v>
      </c>
    </row>
    <row r="60" spans="1:4">
      <c r="A60"/>
      <c r="B60" s="804" t="s">
        <v>1125</v>
      </c>
      <c r="C60" s="502">
        <v>7.2005988513808488</v>
      </c>
    </row>
    <row r="61" spans="1:4">
      <c r="A61"/>
      <c r="B61" s="804" t="s">
        <v>1111</v>
      </c>
      <c r="C61" s="502">
        <v>8.9692189083813272</v>
      </c>
    </row>
    <row r="62" spans="1:4">
      <c r="A62"/>
      <c r="B62" s="804" t="s">
        <v>1126</v>
      </c>
      <c r="C62" s="502">
        <v>8.6874903040639406</v>
      </c>
    </row>
    <row r="63" spans="1:4">
      <c r="A63"/>
      <c r="B63" s="804" t="s">
        <v>1112</v>
      </c>
      <c r="C63" s="502">
        <v>2.173</v>
      </c>
    </row>
    <row r="64" spans="1:4">
      <c r="A64"/>
      <c r="B64" s="804" t="s">
        <v>1113</v>
      </c>
      <c r="C64" s="502">
        <v>2.012</v>
      </c>
    </row>
    <row r="65" spans="1:3">
      <c r="A65"/>
      <c r="B65" s="804" t="s">
        <v>478</v>
      </c>
      <c r="C65" s="502">
        <v>2.0059999999999998</v>
      </c>
    </row>
    <row r="66" spans="1:3">
      <c r="A66"/>
      <c r="B66" s="804" t="s">
        <v>1114</v>
      </c>
      <c r="C66" s="502">
        <v>1.821</v>
      </c>
    </row>
    <row r="67" spans="1:3">
      <c r="A67"/>
      <c r="B67" s="804" t="s">
        <v>1115</v>
      </c>
      <c r="C67" s="502">
        <v>1.663</v>
      </c>
    </row>
    <row r="68" spans="1:3">
      <c r="A68"/>
      <c r="B68" s="804" t="s">
        <v>1116</v>
      </c>
      <c r="C68" s="502">
        <v>1.653</v>
      </c>
    </row>
    <row r="69" spans="1:3">
      <c r="A69"/>
      <c r="B69" s="804" t="s">
        <v>1117</v>
      </c>
      <c r="C69" s="502">
        <v>2.411</v>
      </c>
    </row>
    <row r="70" spans="1:3">
      <c r="A70"/>
      <c r="B70" s="804" t="s">
        <v>1118</v>
      </c>
      <c r="C70" s="502">
        <v>3.2970000000000002</v>
      </c>
    </row>
    <row r="71" spans="1:3">
      <c r="A71"/>
      <c r="B71" s="804" t="s">
        <v>1119</v>
      </c>
      <c r="C71" s="502">
        <v>1.9670000000000001</v>
      </c>
    </row>
    <row r="72" spans="1:3">
      <c r="A72"/>
      <c r="B72" s="804" t="s">
        <v>1120</v>
      </c>
      <c r="C72" s="502">
        <v>2.8490000000000002</v>
      </c>
    </row>
    <row r="73" spans="1:3">
      <c r="A73"/>
      <c r="B73" s="804" t="s">
        <v>1121</v>
      </c>
      <c r="C73" s="502">
        <v>1.78</v>
      </c>
    </row>
    <row r="74" spans="1:3">
      <c r="A74"/>
      <c r="B74" s="804" t="s">
        <v>1122</v>
      </c>
      <c r="C74" s="502">
        <v>3.0539999999999998</v>
      </c>
    </row>
    <row r="75" spans="1:3">
      <c r="A75"/>
      <c r="B75" s="804" t="s">
        <v>635</v>
      </c>
      <c r="C75" s="502">
        <v>8.4136395147352534</v>
      </c>
    </row>
    <row r="76" spans="1:3">
      <c r="A76"/>
      <c r="B76" s="804" t="s">
        <v>1127</v>
      </c>
      <c r="C76" s="502">
        <v>8.0654151927457498</v>
      </c>
    </row>
    <row r="77" spans="1:3">
      <c r="A77"/>
      <c r="B77" s="804" t="s">
        <v>1123</v>
      </c>
      <c r="C77" s="502">
        <v>9.092368218399189</v>
      </c>
    </row>
    <row r="78" spans="1:3">
      <c r="A78"/>
      <c r="B78" s="804" t="s">
        <v>1609</v>
      </c>
      <c r="C78" s="502">
        <v>9.2864775765882133</v>
      </c>
    </row>
    <row r="79" spans="1:3">
      <c r="B79" s="804" t="s">
        <v>1610</v>
      </c>
      <c r="C79" s="502">
        <v>3.4249999999999998</v>
      </c>
    </row>
    <row r="80" spans="1:3">
      <c r="A80" s="486">
        <v>312.2</v>
      </c>
      <c r="B80" s="487" t="s">
        <v>1128</v>
      </c>
      <c r="C80" s="502">
        <v>3.1667000000000001</v>
      </c>
    </row>
    <row r="81" spans="1:3">
      <c r="A81" s="486">
        <v>314</v>
      </c>
      <c r="B81" s="487" t="s">
        <v>1129</v>
      </c>
      <c r="C81" s="502"/>
    </row>
    <row r="82" spans="1:3">
      <c r="B82" s="804" t="s">
        <v>1409</v>
      </c>
      <c r="C82" s="502">
        <v>2.3079999999999998</v>
      </c>
    </row>
    <row r="83" spans="1:3">
      <c r="B83" s="804" t="s">
        <v>1608</v>
      </c>
      <c r="C83" s="502">
        <v>9.9746086262019329</v>
      </c>
    </row>
    <row r="84" spans="1:3">
      <c r="B84" s="804" t="s">
        <v>1110</v>
      </c>
      <c r="C84" s="502">
        <v>3.3180271083723762</v>
      </c>
    </row>
    <row r="85" spans="1:3">
      <c r="B85" s="804" t="s">
        <v>1111</v>
      </c>
      <c r="C85" s="502">
        <v>3.5917349166022592</v>
      </c>
    </row>
    <row r="86" spans="1:3">
      <c r="B86" s="804" t="s">
        <v>1112</v>
      </c>
      <c r="C86" s="502">
        <v>1.9019999999999999</v>
      </c>
    </row>
    <row r="87" spans="1:3">
      <c r="B87" s="804" t="s">
        <v>1113</v>
      </c>
      <c r="C87" s="502">
        <v>1.827</v>
      </c>
    </row>
    <row r="88" spans="1:3">
      <c r="B88" s="804" t="s">
        <v>1114</v>
      </c>
      <c r="C88" s="502">
        <v>2.5659999999999998</v>
      </c>
    </row>
    <row r="89" spans="1:3">
      <c r="B89" s="804" t="s">
        <v>478</v>
      </c>
      <c r="C89" s="502">
        <v>2.0059999999999998</v>
      </c>
    </row>
    <row r="90" spans="1:3">
      <c r="B90" s="804" t="s">
        <v>1115</v>
      </c>
      <c r="C90" s="502">
        <v>2.8159999999999998</v>
      </c>
    </row>
    <row r="91" spans="1:3">
      <c r="B91" s="804" t="s">
        <v>1116</v>
      </c>
      <c r="C91" s="502">
        <v>1.615</v>
      </c>
    </row>
    <row r="92" spans="1:3">
      <c r="B92" s="804" t="s">
        <v>1117</v>
      </c>
      <c r="C92" s="502">
        <v>1.659</v>
      </c>
    </row>
    <row r="93" spans="1:3">
      <c r="B93" s="804" t="s">
        <v>1118</v>
      </c>
      <c r="C93" s="502">
        <v>2.3039999999999998</v>
      </c>
    </row>
    <row r="94" spans="1:3">
      <c r="B94" s="804" t="s">
        <v>1119</v>
      </c>
      <c r="C94" s="502">
        <v>1.6850000000000001</v>
      </c>
    </row>
    <row r="95" spans="1:3">
      <c r="B95" s="804" t="s">
        <v>1120</v>
      </c>
      <c r="C95" s="502">
        <v>3.036</v>
      </c>
    </row>
    <row r="96" spans="1:3">
      <c r="B96" s="804" t="s">
        <v>1121</v>
      </c>
      <c r="C96" s="502">
        <v>1.7030000000000001</v>
      </c>
    </row>
    <row r="97" spans="1:3">
      <c r="B97" s="804" t="s">
        <v>1122</v>
      </c>
      <c r="C97" s="502">
        <v>2.4169999999999998</v>
      </c>
    </row>
    <row r="98" spans="1:3">
      <c r="B98" s="804" t="s">
        <v>635</v>
      </c>
      <c r="C98" s="502">
        <v>9.2237415583539324</v>
      </c>
    </row>
    <row r="99" spans="1:3">
      <c r="B99" s="804" t="s">
        <v>1123</v>
      </c>
      <c r="C99" s="502">
        <v>9.9288736463895031</v>
      </c>
    </row>
    <row r="100" spans="1:3">
      <c r="B100" s="804" t="s">
        <v>1609</v>
      </c>
      <c r="C100" s="502">
        <v>9.0299254232711874</v>
      </c>
    </row>
    <row r="101" spans="1:3">
      <c r="B101" s="804" t="s">
        <v>1610</v>
      </c>
      <c r="C101" s="502">
        <v>2.0920000000000001</v>
      </c>
    </row>
    <row r="102" spans="1:3">
      <c r="A102" s="486">
        <v>315</v>
      </c>
      <c r="B102" s="487" t="s">
        <v>1130</v>
      </c>
      <c r="C102" s="502"/>
    </row>
    <row r="103" spans="1:3">
      <c r="B103" s="804" t="s">
        <v>1409</v>
      </c>
      <c r="C103" s="502">
        <v>3.32</v>
      </c>
    </row>
    <row r="104" spans="1:3">
      <c r="A104"/>
      <c r="B104" s="804" t="s">
        <v>1608</v>
      </c>
      <c r="C104" s="502">
        <v>13.932319402617086</v>
      </c>
    </row>
    <row r="105" spans="1:3">
      <c r="A105"/>
      <c r="B105" s="804" t="s">
        <v>1110</v>
      </c>
      <c r="C105" s="502">
        <v>3.3531437241061175</v>
      </c>
    </row>
    <row r="106" spans="1:3">
      <c r="A106"/>
      <c r="B106" s="804" t="s">
        <v>1111</v>
      </c>
      <c r="C106" s="502">
        <v>8.0546008361054824</v>
      </c>
    </row>
    <row r="107" spans="1:3">
      <c r="A107"/>
      <c r="B107" s="804" t="s">
        <v>1112</v>
      </c>
      <c r="C107" s="502">
        <v>1.7070000000000001</v>
      </c>
    </row>
    <row r="108" spans="1:3">
      <c r="A108"/>
      <c r="B108" s="804" t="s">
        <v>1113</v>
      </c>
      <c r="C108" s="502">
        <v>1.8080000000000001</v>
      </c>
    </row>
    <row r="109" spans="1:3">
      <c r="A109"/>
      <c r="B109" s="804" t="s">
        <v>1114</v>
      </c>
      <c r="C109" s="502">
        <v>2.0059999999999998</v>
      </c>
    </row>
    <row r="110" spans="1:3">
      <c r="A110"/>
      <c r="B110" s="804" t="s">
        <v>478</v>
      </c>
      <c r="C110" s="502">
        <v>1.847</v>
      </c>
    </row>
    <row r="111" spans="1:3">
      <c r="A111"/>
      <c r="B111" s="804" t="s">
        <v>1115</v>
      </c>
      <c r="C111" s="502">
        <v>1.615</v>
      </c>
    </row>
    <row r="112" spans="1:3">
      <c r="B112" s="804" t="s">
        <v>1116</v>
      </c>
      <c r="C112" s="502">
        <v>1.5840000000000001</v>
      </c>
    </row>
    <row r="113" spans="1:3">
      <c r="B113" s="804" t="s">
        <v>1117</v>
      </c>
      <c r="C113" s="502">
        <v>1.6279999999999999</v>
      </c>
    </row>
    <row r="114" spans="1:3">
      <c r="B114" s="804" t="s">
        <v>1118</v>
      </c>
      <c r="C114" s="502">
        <v>2.1659999999999999</v>
      </c>
    </row>
    <row r="115" spans="1:3">
      <c r="B115" s="804" t="s">
        <v>1119</v>
      </c>
      <c r="C115" s="502">
        <v>1.5620000000000001</v>
      </c>
    </row>
    <row r="116" spans="1:3">
      <c r="B116" s="804" t="s">
        <v>1120</v>
      </c>
      <c r="C116" s="502">
        <v>2.77</v>
      </c>
    </row>
    <row r="117" spans="1:3">
      <c r="B117" s="804" t="s">
        <v>1121</v>
      </c>
      <c r="C117" s="502">
        <v>1.65</v>
      </c>
    </row>
    <row r="118" spans="1:3">
      <c r="B118" s="804" t="s">
        <v>1122</v>
      </c>
      <c r="C118" s="502">
        <v>2.2879999999999998</v>
      </c>
    </row>
    <row r="119" spans="1:3">
      <c r="B119" s="804" t="s">
        <v>635</v>
      </c>
      <c r="C119" s="502">
        <v>7.9288501546156738</v>
      </c>
    </row>
    <row r="120" spans="1:3">
      <c r="B120" s="804" t="s">
        <v>1123</v>
      </c>
      <c r="C120" s="502">
        <v>7.9267656214951732</v>
      </c>
    </row>
    <row r="121" spans="1:3">
      <c r="B121" s="804" t="s">
        <v>1609</v>
      </c>
      <c r="C121" s="502">
        <v>0.34760000000000002</v>
      </c>
    </row>
    <row r="122" spans="1:3">
      <c r="B122" s="804" t="s">
        <v>1610</v>
      </c>
      <c r="C122" s="502">
        <v>2.5590000000000002</v>
      </c>
    </row>
    <row r="123" spans="1:3">
      <c r="A123" s="486">
        <v>315.2</v>
      </c>
      <c r="B123" s="487" t="s">
        <v>1131</v>
      </c>
      <c r="C123" s="502"/>
    </row>
    <row r="124" spans="1:3">
      <c r="B124" s="804" t="s">
        <v>1608</v>
      </c>
      <c r="C124" s="502">
        <v>2.728404897083236</v>
      </c>
    </row>
    <row r="125" spans="1:3">
      <c r="B125" s="804" t="s">
        <v>1110</v>
      </c>
      <c r="C125" s="502">
        <v>6.0369355354665828</v>
      </c>
    </row>
    <row r="126" spans="1:3">
      <c r="B126" s="804" t="s">
        <v>1111</v>
      </c>
      <c r="C126" s="502">
        <v>5.3109576937544141</v>
      </c>
    </row>
    <row r="127" spans="1:3">
      <c r="B127" s="804" t="s">
        <v>1112</v>
      </c>
      <c r="C127" s="502">
        <v>4.0199999999999996</v>
      </c>
    </row>
    <row r="128" spans="1:3">
      <c r="B128" s="804" t="s">
        <v>1114</v>
      </c>
      <c r="C128" s="502">
        <v>3.7759999999999998</v>
      </c>
    </row>
    <row r="129" spans="1:3">
      <c r="B129" s="804" t="s">
        <v>1117</v>
      </c>
      <c r="C129" s="502">
        <v>3.02</v>
      </c>
    </row>
    <row r="130" spans="1:3">
      <c r="B130" s="804" t="s">
        <v>1118</v>
      </c>
      <c r="C130" s="502">
        <v>4.0880000000000001</v>
      </c>
    </row>
    <row r="131" spans="1:3">
      <c r="B131" s="804" t="s">
        <v>1119</v>
      </c>
      <c r="C131" s="502">
        <v>3.8340000000000001</v>
      </c>
    </row>
    <row r="132" spans="1:3">
      <c r="B132" s="804" t="s">
        <v>1121</v>
      </c>
      <c r="C132" s="502">
        <v>3.0870000000000002</v>
      </c>
    </row>
    <row r="133" spans="1:3">
      <c r="B133" s="804" t="s">
        <v>1122</v>
      </c>
      <c r="C133" s="502">
        <v>2.7759999999999998</v>
      </c>
    </row>
    <row r="134" spans="1:3">
      <c r="B134" s="804" t="s">
        <v>1123</v>
      </c>
      <c r="C134" s="502">
        <v>0.25600000000000001</v>
      </c>
    </row>
    <row r="135" spans="1:3">
      <c r="B135" s="804" t="s">
        <v>1610</v>
      </c>
      <c r="C135" s="502">
        <v>7.657</v>
      </c>
    </row>
    <row r="136" spans="1:3">
      <c r="A136" s="486">
        <v>316</v>
      </c>
      <c r="B136" s="487" t="s">
        <v>1132</v>
      </c>
      <c r="C136" s="502"/>
    </row>
    <row r="137" spans="1:3">
      <c r="A137"/>
      <c r="B137" s="804" t="s">
        <v>1608</v>
      </c>
      <c r="C137" s="502">
        <v>14.902155547002078</v>
      </c>
    </row>
    <row r="138" spans="1:3">
      <c r="A138"/>
      <c r="B138" s="804" t="s">
        <v>1110</v>
      </c>
      <c r="C138" s="502">
        <v>4.6658304224654046</v>
      </c>
    </row>
    <row r="139" spans="1:3">
      <c r="A139"/>
      <c r="B139" s="804" t="s">
        <v>1111</v>
      </c>
      <c r="C139" s="502">
        <v>10.376047328485704</v>
      </c>
    </row>
    <row r="140" spans="1:3">
      <c r="A140"/>
      <c r="B140" s="804" t="s">
        <v>1112</v>
      </c>
      <c r="C140" s="502">
        <v>1.5129999999999999</v>
      </c>
    </row>
    <row r="141" spans="1:3">
      <c r="A141"/>
      <c r="B141" s="804" t="s">
        <v>1113</v>
      </c>
      <c r="C141" s="502">
        <v>1.4930000000000001</v>
      </c>
    </row>
    <row r="142" spans="1:3">
      <c r="A142"/>
      <c r="B142" s="804" t="s">
        <v>478</v>
      </c>
      <c r="C142" s="502">
        <v>2.0059999999999998</v>
      </c>
    </row>
    <row r="143" spans="1:3">
      <c r="A143"/>
      <c r="B143" s="804" t="s">
        <v>1114</v>
      </c>
      <c r="C143" s="502">
        <v>1.7609999999999999</v>
      </c>
    </row>
    <row r="144" spans="1:3">
      <c r="A144"/>
      <c r="B144" s="804" t="s">
        <v>1115</v>
      </c>
      <c r="C144" s="502">
        <v>1.581</v>
      </c>
    </row>
    <row r="145" spans="1:3">
      <c r="A145"/>
      <c r="B145" s="804" t="s">
        <v>1116</v>
      </c>
      <c r="C145" s="502">
        <v>1.5469999999999999</v>
      </c>
    </row>
    <row r="146" spans="1:3">
      <c r="A146"/>
      <c r="B146" s="804" t="s">
        <v>1117</v>
      </c>
      <c r="C146" s="502">
        <v>1.714</v>
      </c>
    </row>
    <row r="147" spans="1:3">
      <c r="A147"/>
      <c r="B147" s="804" t="s">
        <v>1118</v>
      </c>
      <c r="C147" s="502">
        <v>1.8879999999999999</v>
      </c>
    </row>
    <row r="148" spans="1:3">
      <c r="B148" s="804" t="s">
        <v>1119</v>
      </c>
      <c r="C148" s="502">
        <v>1.5680000000000001</v>
      </c>
    </row>
    <row r="149" spans="1:3">
      <c r="B149" s="804" t="s">
        <v>1120</v>
      </c>
      <c r="C149" s="502">
        <v>2.5640000000000001</v>
      </c>
    </row>
    <row r="150" spans="1:3">
      <c r="B150" s="804" t="s">
        <v>1121</v>
      </c>
      <c r="C150" s="502">
        <v>1.641</v>
      </c>
    </row>
    <row r="151" spans="1:3">
      <c r="B151" s="804" t="s">
        <v>1122</v>
      </c>
      <c r="C151" s="502">
        <v>2.419</v>
      </c>
    </row>
    <row r="152" spans="1:3">
      <c r="B152" s="804" t="s">
        <v>635</v>
      </c>
      <c r="C152" s="502">
        <v>6.4645414394923426</v>
      </c>
    </row>
    <row r="153" spans="1:3">
      <c r="B153" s="804" t="s">
        <v>1123</v>
      </c>
      <c r="C153" s="502">
        <v>5.1349219566039865</v>
      </c>
    </row>
    <row r="154" spans="1:3">
      <c r="B154" s="804" t="s">
        <v>1609</v>
      </c>
      <c r="C154" s="502">
        <v>0</v>
      </c>
    </row>
    <row r="155" spans="1:3">
      <c r="B155" s="804" t="s">
        <v>1610</v>
      </c>
      <c r="C155" s="502">
        <v>5.5979999999999999</v>
      </c>
    </row>
    <row r="156" spans="1:3" ht="14.25">
      <c r="A156" s="486">
        <v>317</v>
      </c>
      <c r="B156" s="487" t="s">
        <v>1133</v>
      </c>
      <c r="C156" s="502" t="s">
        <v>1320</v>
      </c>
    </row>
    <row r="157" spans="1:3">
      <c r="B157" s="487"/>
      <c r="C157" s="502"/>
    </row>
    <row r="158" spans="1:3">
      <c r="A158" s="882" t="s">
        <v>942</v>
      </c>
      <c r="B158" s="487"/>
      <c r="C158" s="503"/>
    </row>
    <row r="159" spans="1:3" ht="14.25">
      <c r="A159" s="486">
        <v>330</v>
      </c>
      <c r="B159" s="487" t="s">
        <v>1134</v>
      </c>
      <c r="C159" s="502" t="s">
        <v>1321</v>
      </c>
    </row>
    <row r="160" spans="1:3">
      <c r="A160" s="486">
        <v>331</v>
      </c>
      <c r="B160" s="487" t="s">
        <v>1202</v>
      </c>
      <c r="C160" s="502"/>
    </row>
    <row r="161" spans="1:3">
      <c r="B161" s="804" t="s">
        <v>1135</v>
      </c>
      <c r="C161" s="502">
        <v>1.4870000000000001</v>
      </c>
    </row>
    <row r="162" spans="1:3">
      <c r="B162" s="804" t="s">
        <v>448</v>
      </c>
      <c r="C162" s="502">
        <v>1.0620000000000001</v>
      </c>
    </row>
    <row r="163" spans="1:3">
      <c r="B163" s="804" t="s">
        <v>1136</v>
      </c>
      <c r="C163" s="502">
        <v>1.702</v>
      </c>
    </row>
    <row r="164" spans="1:3">
      <c r="B164" s="804" t="s">
        <v>1137</v>
      </c>
      <c r="C164" s="502">
        <v>1.8380000000000001</v>
      </c>
    </row>
    <row r="165" spans="1:3">
      <c r="B165" s="804" t="s">
        <v>1138</v>
      </c>
      <c r="C165" s="502">
        <v>1.677</v>
      </c>
    </row>
    <row r="166" spans="1:3">
      <c r="B166" s="804" t="s">
        <v>1139</v>
      </c>
      <c r="C166" s="502">
        <v>1.4079999999999999</v>
      </c>
    </row>
    <row r="167" spans="1:3">
      <c r="A167" s="486">
        <v>332</v>
      </c>
      <c r="B167" s="487" t="s">
        <v>1140</v>
      </c>
      <c r="C167" s="502"/>
    </row>
    <row r="168" spans="1:3">
      <c r="B168" s="804" t="s">
        <v>1135</v>
      </c>
      <c r="C168" s="502">
        <v>1.5620000000000001</v>
      </c>
    </row>
    <row r="169" spans="1:3">
      <c r="B169" s="804" t="s">
        <v>448</v>
      </c>
      <c r="C169" s="502">
        <v>1.0920000000000001</v>
      </c>
    </row>
    <row r="170" spans="1:3">
      <c r="B170" s="804" t="s">
        <v>1136</v>
      </c>
      <c r="C170" s="502">
        <v>2.3130000000000002</v>
      </c>
    </row>
    <row r="171" spans="1:3">
      <c r="B171" s="804" t="s">
        <v>1137</v>
      </c>
      <c r="C171" s="502">
        <v>1.5940000000000001</v>
      </c>
    </row>
    <row r="172" spans="1:3">
      <c r="B172" s="804" t="s">
        <v>1138</v>
      </c>
      <c r="C172" s="502">
        <v>0.86</v>
      </c>
    </row>
    <row r="173" spans="1:3">
      <c r="B173" s="804" t="s">
        <v>1139</v>
      </c>
      <c r="C173" s="502">
        <v>1.377</v>
      </c>
    </row>
    <row r="174" spans="1:3">
      <c r="A174" s="486">
        <v>333</v>
      </c>
      <c r="B174" s="487" t="s">
        <v>1141</v>
      </c>
      <c r="C174" s="502"/>
    </row>
    <row r="175" spans="1:3">
      <c r="B175" s="804" t="s">
        <v>1135</v>
      </c>
      <c r="C175" s="502">
        <v>0.94199999999999995</v>
      </c>
    </row>
    <row r="176" spans="1:3">
      <c r="B176" s="804" t="s">
        <v>448</v>
      </c>
      <c r="C176" s="502">
        <v>1.2270000000000001</v>
      </c>
    </row>
    <row r="177" spans="1:3">
      <c r="B177" s="804" t="s">
        <v>1136</v>
      </c>
      <c r="C177" s="502">
        <v>1.0309999999999999</v>
      </c>
    </row>
    <row r="178" spans="1:3">
      <c r="B178" s="804" t="s">
        <v>1137</v>
      </c>
      <c r="C178" s="502">
        <v>0.70899999999999996</v>
      </c>
    </row>
    <row r="179" spans="1:3">
      <c r="B179" s="804" t="s">
        <v>1138</v>
      </c>
      <c r="C179" s="502">
        <v>1.778</v>
      </c>
    </row>
    <row r="180" spans="1:3">
      <c r="B180" s="804" t="s">
        <v>1139</v>
      </c>
      <c r="C180" s="502">
        <v>1.851</v>
      </c>
    </row>
    <row r="181" spans="1:3">
      <c r="A181" s="486">
        <v>334</v>
      </c>
      <c r="B181" s="487" t="s">
        <v>1130</v>
      </c>
      <c r="C181" s="502"/>
    </row>
    <row r="182" spans="1:3">
      <c r="B182" s="804" t="s">
        <v>1135</v>
      </c>
      <c r="C182" s="502">
        <v>2.4710000000000001</v>
      </c>
    </row>
    <row r="183" spans="1:3">
      <c r="B183" s="804" t="s">
        <v>448</v>
      </c>
      <c r="C183" s="502">
        <v>1.4330000000000001</v>
      </c>
    </row>
    <row r="184" spans="1:3">
      <c r="B184" s="804" t="s">
        <v>1136</v>
      </c>
      <c r="C184" s="502">
        <v>1.6120000000000001</v>
      </c>
    </row>
    <row r="185" spans="1:3">
      <c r="B185" s="804" t="s">
        <v>1137</v>
      </c>
      <c r="C185" s="502">
        <v>2.0369999999999999</v>
      </c>
    </row>
    <row r="186" spans="1:3">
      <c r="B186" s="804" t="s">
        <v>1138</v>
      </c>
      <c r="C186" s="502">
        <v>2.306</v>
      </c>
    </row>
    <row r="187" spans="1:3">
      <c r="B187" s="804" t="s">
        <v>1139</v>
      </c>
      <c r="C187" s="502">
        <v>1.802</v>
      </c>
    </row>
    <row r="188" spans="1:3">
      <c r="A188" s="486">
        <v>334.2</v>
      </c>
      <c r="B188" s="487" t="s">
        <v>1204</v>
      </c>
      <c r="C188" s="502">
        <v>1.3169999999999999</v>
      </c>
    </row>
    <row r="189" spans="1:3">
      <c r="A189" s="486">
        <v>335</v>
      </c>
      <c r="B189" s="487" t="s">
        <v>1132</v>
      </c>
      <c r="C189" s="502"/>
    </row>
    <row r="190" spans="1:3">
      <c r="B190" s="804" t="s">
        <v>1135</v>
      </c>
      <c r="C190" s="502">
        <v>1.833</v>
      </c>
    </row>
    <row r="191" spans="1:3">
      <c r="B191" s="804" t="s">
        <v>448</v>
      </c>
      <c r="C191" s="502">
        <v>1.706</v>
      </c>
    </row>
    <row r="192" spans="1:3">
      <c r="B192" s="804" t="s">
        <v>1136</v>
      </c>
      <c r="C192" s="502">
        <v>2.8780000000000001</v>
      </c>
    </row>
    <row r="193" spans="1:3">
      <c r="B193" s="804" t="s">
        <v>1137</v>
      </c>
      <c r="C193" s="502">
        <v>3.69</v>
      </c>
    </row>
    <row r="194" spans="1:3">
      <c r="B194" s="804" t="s">
        <v>1138</v>
      </c>
      <c r="C194" s="502">
        <v>2.83</v>
      </c>
    </row>
    <row r="195" spans="1:3">
      <c r="B195" s="804" t="s">
        <v>1139</v>
      </c>
      <c r="C195" s="502">
        <v>1.929</v>
      </c>
    </row>
    <row r="196" spans="1:3">
      <c r="A196" s="486">
        <v>335.2</v>
      </c>
      <c r="B196" s="487" t="s">
        <v>1142</v>
      </c>
      <c r="C196" s="502"/>
    </row>
    <row r="197" spans="1:3">
      <c r="B197" s="804" t="s">
        <v>1135</v>
      </c>
      <c r="C197" s="502">
        <v>2.3559999999999999</v>
      </c>
    </row>
    <row r="198" spans="1:3">
      <c r="B198" s="804" t="s">
        <v>448</v>
      </c>
      <c r="C198" s="502">
        <v>1.5449999999999999</v>
      </c>
    </row>
    <row r="199" spans="1:3">
      <c r="B199" s="804" t="s">
        <v>1136</v>
      </c>
      <c r="C199" s="502">
        <v>2.266</v>
      </c>
    </row>
    <row r="200" spans="1:3">
      <c r="B200" s="804" t="s">
        <v>1137</v>
      </c>
      <c r="C200" s="502">
        <v>3.33</v>
      </c>
    </row>
    <row r="201" spans="1:3">
      <c r="B201" s="804" t="s">
        <v>1139</v>
      </c>
      <c r="C201" s="502">
        <v>1.6619999999999999</v>
      </c>
    </row>
    <row r="202" spans="1:3">
      <c r="A202" s="486">
        <v>336</v>
      </c>
      <c r="B202" s="487" t="s">
        <v>1143</v>
      </c>
      <c r="C202" s="502"/>
    </row>
    <row r="203" spans="1:3">
      <c r="B203" s="804" t="s">
        <v>1135</v>
      </c>
      <c r="C203" s="502">
        <v>2.403</v>
      </c>
    </row>
    <row r="204" spans="1:3">
      <c r="B204" s="804" t="s">
        <v>448</v>
      </c>
      <c r="C204" s="502">
        <v>1.0660000000000001</v>
      </c>
    </row>
    <row r="205" spans="1:3">
      <c r="B205" s="804" t="s">
        <v>1137</v>
      </c>
      <c r="C205" s="502">
        <v>2.6659999999999999</v>
      </c>
    </row>
    <row r="206" spans="1:3">
      <c r="B206" s="804" t="s">
        <v>1138</v>
      </c>
      <c r="C206" s="502">
        <v>1.121</v>
      </c>
    </row>
    <row r="207" spans="1:3">
      <c r="B207" s="804" t="s">
        <v>1139</v>
      </c>
      <c r="C207" s="502">
        <v>1.329</v>
      </c>
    </row>
    <row r="208" spans="1:3">
      <c r="B208" s="487"/>
      <c r="C208" s="805"/>
    </row>
    <row r="209" spans="1:3">
      <c r="A209" s="882" t="s">
        <v>943</v>
      </c>
      <c r="B209" s="487"/>
      <c r="C209" s="503"/>
    </row>
    <row r="210" spans="1:3">
      <c r="A210" s="486">
        <v>340</v>
      </c>
      <c r="B210" s="487" t="s">
        <v>1144</v>
      </c>
      <c r="C210" s="502">
        <v>2</v>
      </c>
    </row>
    <row r="211" spans="1:3">
      <c r="A211" s="486">
        <v>341</v>
      </c>
      <c r="B211" s="487" t="s">
        <v>1202</v>
      </c>
      <c r="C211" s="502"/>
    </row>
    <row r="212" spans="1:3">
      <c r="B212" s="804" t="s">
        <v>444</v>
      </c>
      <c r="C212" s="502">
        <v>4.63</v>
      </c>
    </row>
    <row r="213" spans="1:3">
      <c r="B213" s="804" t="s">
        <v>1145</v>
      </c>
      <c r="C213" s="502">
        <v>2.6890000000000001</v>
      </c>
    </row>
    <row r="214" spans="1:3">
      <c r="B214" s="804" t="s">
        <v>1146</v>
      </c>
      <c r="C214" s="502">
        <v>2.6890000000000001</v>
      </c>
    </row>
    <row r="215" spans="1:3">
      <c r="B215" s="804" t="s">
        <v>1147</v>
      </c>
      <c r="C215" s="502">
        <v>2.6890000000000001</v>
      </c>
    </row>
    <row r="216" spans="1:3" ht="14.25">
      <c r="B216" s="804" t="s">
        <v>1410</v>
      </c>
      <c r="C216" s="504" t="s">
        <v>1612</v>
      </c>
    </row>
    <row r="217" spans="1:3">
      <c r="B217" s="804" t="s">
        <v>1148</v>
      </c>
      <c r="C217" s="502">
        <v>0.88500000000000001</v>
      </c>
    </row>
    <row r="218" spans="1:3">
      <c r="B218" s="804" t="s">
        <v>1149</v>
      </c>
      <c r="C218" s="502">
        <v>1.4350000000000001</v>
      </c>
    </row>
    <row r="219" spans="1:3">
      <c r="B219" s="804" t="s">
        <v>1150</v>
      </c>
      <c r="C219" s="502">
        <v>2.34</v>
      </c>
    </row>
    <row r="220" spans="1:3">
      <c r="B220" s="804" t="s">
        <v>1151</v>
      </c>
      <c r="C220" s="502">
        <v>2.34</v>
      </c>
    </row>
    <row r="221" spans="1:3">
      <c r="B221" s="804" t="s">
        <v>1152</v>
      </c>
      <c r="C221" s="502">
        <v>2.4929999999999999</v>
      </c>
    </row>
    <row r="222" spans="1:3">
      <c r="B222" s="804" t="s">
        <v>1153</v>
      </c>
      <c r="C222" s="502">
        <v>2.5619999999999998</v>
      </c>
    </row>
    <row r="223" spans="1:3">
      <c r="B223" s="804" t="s">
        <v>1154</v>
      </c>
      <c r="C223" s="502">
        <v>2.5619999999999998</v>
      </c>
    </row>
    <row r="224" spans="1:3">
      <c r="B224" s="804" t="s">
        <v>1155</v>
      </c>
      <c r="C224" s="502">
        <v>1.72</v>
      </c>
    </row>
    <row r="225" spans="1:3">
      <c r="B225" s="804" t="s">
        <v>1156</v>
      </c>
      <c r="C225" s="502">
        <v>2.56</v>
      </c>
    </row>
    <row r="226" spans="1:3">
      <c r="B226" s="804" t="s">
        <v>1157</v>
      </c>
      <c r="C226" s="502">
        <v>2.34</v>
      </c>
    </row>
    <row r="227" spans="1:3" ht="14.25">
      <c r="B227" s="804" t="s">
        <v>1613</v>
      </c>
      <c r="C227" s="504" t="s">
        <v>1411</v>
      </c>
    </row>
    <row r="228" spans="1:3">
      <c r="B228" s="804" t="s">
        <v>1158</v>
      </c>
      <c r="C228" s="502">
        <v>2.8490000000000002</v>
      </c>
    </row>
    <row r="229" spans="1:3">
      <c r="B229" s="804" t="s">
        <v>1159</v>
      </c>
      <c r="C229" s="502">
        <v>2.8490000000000002</v>
      </c>
    </row>
    <row r="230" spans="1:3">
      <c r="B230" s="804" t="s">
        <v>1160</v>
      </c>
      <c r="C230" s="502">
        <v>2.8490000000000002</v>
      </c>
    </row>
    <row r="231" spans="1:3">
      <c r="B231" s="804" t="s">
        <v>1161</v>
      </c>
      <c r="C231" s="502">
        <v>2.8490000000000002</v>
      </c>
    </row>
    <row r="232" spans="1:3">
      <c r="B232" s="804" t="s">
        <v>1162</v>
      </c>
      <c r="C232" s="502">
        <v>0.82</v>
      </c>
    </row>
    <row r="233" spans="1:3">
      <c r="A233" s="486">
        <v>342</v>
      </c>
      <c r="B233" s="487" t="s">
        <v>1163</v>
      </c>
      <c r="C233" s="502"/>
    </row>
    <row r="234" spans="1:3">
      <c r="B234" s="804" t="s">
        <v>444</v>
      </c>
      <c r="C234" s="502">
        <v>1.0409999999999999</v>
      </c>
    </row>
    <row r="235" spans="1:3">
      <c r="B235" s="804" t="s">
        <v>1145</v>
      </c>
      <c r="C235" s="502">
        <v>2.6890000000000001</v>
      </c>
    </row>
    <row r="236" spans="1:3">
      <c r="B236" s="804" t="s">
        <v>1146</v>
      </c>
      <c r="C236" s="502">
        <v>2.6890000000000001</v>
      </c>
    </row>
    <row r="237" spans="1:3">
      <c r="B237" s="804" t="s">
        <v>1147</v>
      </c>
      <c r="C237" s="502">
        <v>2.6890000000000001</v>
      </c>
    </row>
    <row r="238" spans="1:3" ht="14.25">
      <c r="B238" s="804" t="s">
        <v>1410</v>
      </c>
      <c r="C238" s="504" t="s">
        <v>1612</v>
      </c>
    </row>
    <row r="239" spans="1:3">
      <c r="B239" s="804" t="s">
        <v>1148</v>
      </c>
      <c r="C239" s="502">
        <v>1.04</v>
      </c>
    </row>
    <row r="240" spans="1:3">
      <c r="B240" s="804" t="s">
        <v>1149</v>
      </c>
      <c r="C240" s="502">
        <v>2.4809999999999999</v>
      </c>
    </row>
    <row r="241" spans="1:3">
      <c r="B241" s="804" t="s">
        <v>1150</v>
      </c>
      <c r="C241" s="502">
        <v>2.8540000000000001</v>
      </c>
    </row>
    <row r="242" spans="1:3">
      <c r="B242" s="804" t="s">
        <v>1151</v>
      </c>
      <c r="C242" s="502">
        <v>2.891</v>
      </c>
    </row>
    <row r="243" spans="1:3">
      <c r="B243" s="804" t="s">
        <v>1152</v>
      </c>
      <c r="C243" s="502">
        <v>2.5270000000000001</v>
      </c>
    </row>
    <row r="244" spans="1:3">
      <c r="B244" s="804" t="s">
        <v>1153</v>
      </c>
      <c r="C244" s="502">
        <v>2.5619999999999998</v>
      </c>
    </row>
    <row r="245" spans="1:3">
      <c r="B245" s="804" t="s">
        <v>1154</v>
      </c>
      <c r="C245" s="502">
        <v>2.5619999999999998</v>
      </c>
    </row>
    <row r="246" spans="1:3">
      <c r="B246" s="804" t="s">
        <v>1155</v>
      </c>
      <c r="C246" s="502">
        <v>1.7030000000000001</v>
      </c>
    </row>
    <row r="247" spans="1:3">
      <c r="B247" s="804" t="s">
        <v>1156</v>
      </c>
      <c r="C247" s="502">
        <v>3.89</v>
      </c>
    </row>
    <row r="248" spans="1:3" ht="14.25">
      <c r="B248" s="804" t="s">
        <v>1613</v>
      </c>
      <c r="C248" s="504" t="s">
        <v>1411</v>
      </c>
    </row>
    <row r="249" spans="1:3">
      <c r="B249" s="804" t="s">
        <v>1158</v>
      </c>
      <c r="C249" s="502">
        <v>2.8490000000000002</v>
      </c>
    </row>
    <row r="250" spans="1:3">
      <c r="B250" s="804" t="s">
        <v>1159</v>
      </c>
      <c r="C250" s="502">
        <v>2.8490000000000002</v>
      </c>
    </row>
    <row r="251" spans="1:3">
      <c r="B251" s="804" t="s">
        <v>1160</v>
      </c>
      <c r="C251" s="502">
        <v>2.8490000000000002</v>
      </c>
    </row>
    <row r="252" spans="1:3">
      <c r="B252" s="804" t="s">
        <v>1161</v>
      </c>
      <c r="C252" s="502">
        <v>2.8490000000000002</v>
      </c>
    </row>
    <row r="253" spans="1:3">
      <c r="B253" s="804" t="s">
        <v>1162</v>
      </c>
      <c r="C253" s="502">
        <v>1.353</v>
      </c>
    </row>
    <row r="254" spans="1:3">
      <c r="A254" s="486">
        <v>343</v>
      </c>
      <c r="B254" s="487" t="s">
        <v>1164</v>
      </c>
      <c r="C254" s="502"/>
    </row>
    <row r="255" spans="1:3">
      <c r="B255" s="804" t="s">
        <v>1145</v>
      </c>
      <c r="C255" s="502">
        <v>2.6890000000000001</v>
      </c>
    </row>
    <row r="256" spans="1:3">
      <c r="B256" s="804" t="s">
        <v>1146</v>
      </c>
      <c r="C256" s="502">
        <v>2.6890000000000001</v>
      </c>
    </row>
    <row r="257" spans="1:3">
      <c r="B257" s="804" t="s">
        <v>1147</v>
      </c>
      <c r="C257" s="502">
        <v>2.6890000000000001</v>
      </c>
    </row>
    <row r="258" spans="1:3" ht="14.25">
      <c r="B258" s="804" t="s">
        <v>1410</v>
      </c>
      <c r="C258" s="504" t="s">
        <v>1612</v>
      </c>
    </row>
    <row r="259" spans="1:3">
      <c r="B259" s="804" t="s">
        <v>1149</v>
      </c>
      <c r="C259" s="502">
        <v>2.2109999999999999</v>
      </c>
    </row>
    <row r="260" spans="1:3">
      <c r="B260" s="804" t="s">
        <v>1150</v>
      </c>
      <c r="C260" s="502">
        <v>2.3149999999999999</v>
      </c>
    </row>
    <row r="261" spans="1:3">
      <c r="B261" s="804" t="s">
        <v>1151</v>
      </c>
      <c r="C261" s="502">
        <v>2.0699999999999998</v>
      </c>
    </row>
    <row r="262" spans="1:3">
      <c r="B262" s="804" t="s">
        <v>1152</v>
      </c>
      <c r="C262" s="502">
        <v>2.0699999999999998</v>
      </c>
    </row>
    <row r="263" spans="1:3">
      <c r="B263" s="804" t="s">
        <v>1153</v>
      </c>
      <c r="C263" s="502">
        <v>2.5619999999999998</v>
      </c>
    </row>
    <row r="264" spans="1:3">
      <c r="B264" s="804" t="s">
        <v>1154</v>
      </c>
      <c r="C264" s="502">
        <v>2.5619999999999998</v>
      </c>
    </row>
    <row r="265" spans="1:3">
      <c r="B265" s="804" t="s">
        <v>1155</v>
      </c>
      <c r="C265" s="502">
        <v>2.7290000000000001</v>
      </c>
    </row>
    <row r="266" spans="1:3" ht="14.25">
      <c r="B266" s="804" t="s">
        <v>1613</v>
      </c>
      <c r="C266" s="504" t="s">
        <v>1411</v>
      </c>
    </row>
    <row r="267" spans="1:3">
      <c r="B267" s="804" t="s">
        <v>1158</v>
      </c>
      <c r="C267" s="502">
        <v>2.8490000000000002</v>
      </c>
    </row>
    <row r="268" spans="1:3">
      <c r="B268" s="804" t="s">
        <v>1159</v>
      </c>
      <c r="C268" s="502">
        <v>2.8490000000000002</v>
      </c>
    </row>
    <row r="269" spans="1:3">
      <c r="B269" s="804" t="s">
        <v>1160</v>
      </c>
      <c r="C269" s="502">
        <v>2.8490000000000002</v>
      </c>
    </row>
    <row r="270" spans="1:3">
      <c r="B270" s="804" t="s">
        <v>1161</v>
      </c>
      <c r="C270" s="502">
        <v>2.8490000000000002</v>
      </c>
    </row>
    <row r="271" spans="1:3">
      <c r="A271" s="486">
        <v>344</v>
      </c>
      <c r="B271" s="487" t="s">
        <v>1165</v>
      </c>
      <c r="C271" s="502"/>
    </row>
    <row r="272" spans="1:3">
      <c r="B272" s="804" t="s">
        <v>444</v>
      </c>
      <c r="C272" s="502">
        <v>1.6180000000000001</v>
      </c>
    </row>
    <row r="273" spans="2:3">
      <c r="B273" s="804" t="s">
        <v>1145</v>
      </c>
      <c r="C273" s="502">
        <v>2.6890000000000001</v>
      </c>
    </row>
    <row r="274" spans="2:3">
      <c r="B274" s="804" t="s">
        <v>1146</v>
      </c>
      <c r="C274" s="502">
        <v>2.6890000000000001</v>
      </c>
    </row>
    <row r="275" spans="2:3" ht="14.25">
      <c r="B275" s="804" t="s">
        <v>1410</v>
      </c>
      <c r="C275" s="504" t="s">
        <v>1612</v>
      </c>
    </row>
    <row r="276" spans="2:3">
      <c r="B276" s="804" t="s">
        <v>1614</v>
      </c>
      <c r="C276" s="502">
        <v>6.67</v>
      </c>
    </row>
    <row r="277" spans="2:3">
      <c r="B277" s="804" t="s">
        <v>1148</v>
      </c>
      <c r="C277" s="502">
        <v>1.0289999999999999</v>
      </c>
    </row>
    <row r="278" spans="2:3">
      <c r="B278" s="804" t="s">
        <v>1149</v>
      </c>
      <c r="C278" s="502">
        <v>1.4239999999999999</v>
      </c>
    </row>
    <row r="279" spans="2:3">
      <c r="B279" s="804" t="s">
        <v>1150</v>
      </c>
      <c r="C279" s="502">
        <v>2.4180000000000001</v>
      </c>
    </row>
    <row r="280" spans="2:3">
      <c r="B280" s="804" t="s">
        <v>1151</v>
      </c>
      <c r="C280" s="502">
        <v>2.726</v>
      </c>
    </row>
    <row r="281" spans="2:3">
      <c r="B281" s="804" t="s">
        <v>1152</v>
      </c>
      <c r="C281" s="502">
        <v>2.6890000000000001</v>
      </c>
    </row>
    <row r="282" spans="2:3">
      <c r="B282" s="804" t="s">
        <v>1153</v>
      </c>
      <c r="C282" s="502">
        <v>2.5619999999999998</v>
      </c>
    </row>
    <row r="283" spans="2:3">
      <c r="B283" s="804" t="s">
        <v>1154</v>
      </c>
      <c r="C283" s="502">
        <v>2.5619999999999998</v>
      </c>
    </row>
    <row r="284" spans="2:3">
      <c r="B284" s="804" t="s">
        <v>1155</v>
      </c>
      <c r="C284" s="502">
        <v>2.6890000000000001</v>
      </c>
    </row>
    <row r="285" spans="2:3">
      <c r="B285" s="804" t="s">
        <v>1156</v>
      </c>
      <c r="C285" s="502">
        <v>4.0259999999999998</v>
      </c>
    </row>
    <row r="286" spans="2:3" ht="14.25">
      <c r="B286" s="804" t="s">
        <v>1613</v>
      </c>
      <c r="C286" s="504" t="s">
        <v>1411</v>
      </c>
    </row>
    <row r="287" spans="2:3">
      <c r="B287" s="804" t="s">
        <v>1158</v>
      </c>
      <c r="C287" s="502">
        <v>2.8490000000000002</v>
      </c>
    </row>
    <row r="288" spans="2:3">
      <c r="B288" s="804" t="s">
        <v>1159</v>
      </c>
      <c r="C288" s="502">
        <v>2.8490000000000002</v>
      </c>
    </row>
    <row r="289" spans="1:3">
      <c r="B289" s="804" t="s">
        <v>1160</v>
      </c>
      <c r="C289" s="502">
        <v>2.8490000000000002</v>
      </c>
    </row>
    <row r="290" spans="1:3">
      <c r="B290" s="804" t="s">
        <v>1162</v>
      </c>
      <c r="C290" s="502">
        <v>1.9019999999999999</v>
      </c>
    </row>
    <row r="291" spans="1:3" ht="14.25">
      <c r="B291" s="804" t="s">
        <v>1412</v>
      </c>
      <c r="C291" s="504" t="s">
        <v>1615</v>
      </c>
    </row>
    <row r="292" spans="1:3">
      <c r="A292" s="486">
        <v>345</v>
      </c>
      <c r="B292" s="487" t="s">
        <v>1130</v>
      </c>
      <c r="C292" s="502"/>
    </row>
    <row r="293" spans="1:3">
      <c r="B293" s="804" t="s">
        <v>444</v>
      </c>
      <c r="C293" s="502">
        <v>3.7450000000000001</v>
      </c>
    </row>
    <row r="294" spans="1:3">
      <c r="B294" s="804" t="s">
        <v>1145</v>
      </c>
      <c r="C294" s="502">
        <v>2.6890000000000001</v>
      </c>
    </row>
    <row r="295" spans="1:3">
      <c r="A295"/>
      <c r="B295" s="804" t="s">
        <v>1146</v>
      </c>
      <c r="C295" s="502">
        <v>2.6890000000000001</v>
      </c>
    </row>
    <row r="296" spans="1:3">
      <c r="A296"/>
      <c r="B296" s="804" t="s">
        <v>1147</v>
      </c>
      <c r="C296" s="502">
        <v>2.6890000000000001</v>
      </c>
    </row>
    <row r="297" spans="1:3" ht="14.25">
      <c r="B297" s="804" t="s">
        <v>1410</v>
      </c>
      <c r="C297" s="504" t="s">
        <v>1612</v>
      </c>
    </row>
    <row r="298" spans="1:3">
      <c r="A298"/>
      <c r="B298" s="804" t="s">
        <v>1148</v>
      </c>
      <c r="C298" s="502">
        <v>4.2030000000000003</v>
      </c>
    </row>
    <row r="299" spans="1:3">
      <c r="A299"/>
      <c r="B299" s="804" t="s">
        <v>1149</v>
      </c>
      <c r="C299" s="502">
        <v>1.4370000000000001</v>
      </c>
    </row>
    <row r="300" spans="1:3">
      <c r="A300"/>
      <c r="B300" s="804" t="s">
        <v>1150</v>
      </c>
      <c r="C300" s="502">
        <v>2.21</v>
      </c>
    </row>
    <row r="301" spans="1:3">
      <c r="A301"/>
      <c r="B301" s="804" t="s">
        <v>1151</v>
      </c>
      <c r="C301" s="502">
        <v>2.21</v>
      </c>
    </row>
    <row r="302" spans="1:3">
      <c r="A302"/>
      <c r="B302" s="804" t="s">
        <v>1152</v>
      </c>
      <c r="C302" s="502">
        <v>2.5409999999999999</v>
      </c>
    </row>
    <row r="303" spans="1:3">
      <c r="A303"/>
      <c r="B303" s="804" t="s">
        <v>1153</v>
      </c>
      <c r="C303" s="502">
        <v>2.5619999999999998</v>
      </c>
    </row>
    <row r="304" spans="1:3">
      <c r="A304"/>
      <c r="B304" s="804" t="s">
        <v>1154</v>
      </c>
      <c r="C304" s="502">
        <v>2.5619999999999998</v>
      </c>
    </row>
    <row r="305" spans="1:3">
      <c r="A305"/>
      <c r="B305" s="804" t="s">
        <v>1155</v>
      </c>
      <c r="C305" s="502">
        <v>2.6970000000000001</v>
      </c>
    </row>
    <row r="306" spans="1:3">
      <c r="A306"/>
      <c r="B306" s="804" t="s">
        <v>1156</v>
      </c>
      <c r="C306" s="502">
        <v>1.3660000000000001</v>
      </c>
    </row>
    <row r="307" spans="1:3" ht="14.25">
      <c r="A307"/>
      <c r="B307" s="804" t="s">
        <v>1613</v>
      </c>
      <c r="C307" s="504" t="s">
        <v>1411</v>
      </c>
    </row>
    <row r="308" spans="1:3">
      <c r="A308"/>
      <c r="B308" s="804" t="s">
        <v>1158</v>
      </c>
      <c r="C308" s="502">
        <v>2.8490000000000002</v>
      </c>
    </row>
    <row r="309" spans="1:3">
      <c r="A309"/>
      <c r="B309" s="804" t="s">
        <v>1159</v>
      </c>
      <c r="C309" s="502">
        <v>2.8490000000000002</v>
      </c>
    </row>
    <row r="310" spans="1:3">
      <c r="A310"/>
      <c r="B310" s="804" t="s">
        <v>1160</v>
      </c>
      <c r="C310" s="502">
        <v>2.8490000000000002</v>
      </c>
    </row>
    <row r="311" spans="1:3">
      <c r="A311"/>
      <c r="B311" s="804" t="s">
        <v>1161</v>
      </c>
      <c r="C311" s="502">
        <v>2.8490000000000002</v>
      </c>
    </row>
    <row r="312" spans="1:3">
      <c r="A312"/>
      <c r="B312" s="804" t="s">
        <v>1162</v>
      </c>
      <c r="C312" s="502">
        <v>4.5529999999999999</v>
      </c>
    </row>
    <row r="313" spans="1:3">
      <c r="A313" s="486">
        <v>345.2</v>
      </c>
      <c r="B313" s="487" t="s">
        <v>1204</v>
      </c>
      <c r="C313" s="502"/>
    </row>
    <row r="314" spans="1:3">
      <c r="B314" s="804" t="s">
        <v>1149</v>
      </c>
      <c r="C314" s="502">
        <v>1.7130000000000001</v>
      </c>
    </row>
    <row r="315" spans="1:3">
      <c r="B315" s="804" t="s">
        <v>1150</v>
      </c>
      <c r="C315" s="502">
        <v>2.21</v>
      </c>
    </row>
    <row r="316" spans="1:3">
      <c r="B316" s="804" t="s">
        <v>1151</v>
      </c>
      <c r="C316" s="502">
        <v>2.21</v>
      </c>
    </row>
    <row r="317" spans="1:3">
      <c r="B317" s="804" t="s">
        <v>1155</v>
      </c>
      <c r="C317" s="502">
        <v>2.202</v>
      </c>
    </row>
    <row r="318" spans="1:3">
      <c r="A318" s="486">
        <v>346</v>
      </c>
      <c r="B318" s="487" t="s">
        <v>1132</v>
      </c>
      <c r="C318" s="502"/>
    </row>
    <row r="319" spans="1:3">
      <c r="B319" s="804" t="s">
        <v>444</v>
      </c>
      <c r="C319" s="502">
        <v>0.97599999999999998</v>
      </c>
    </row>
    <row r="320" spans="1:3">
      <c r="B320" s="804" t="s">
        <v>1145</v>
      </c>
      <c r="C320" s="502">
        <v>2.6890000000000001</v>
      </c>
    </row>
    <row r="321" spans="2:3">
      <c r="B321" s="804" t="s">
        <v>1146</v>
      </c>
      <c r="C321" s="502">
        <v>2.6890000000000001</v>
      </c>
    </row>
    <row r="322" spans="2:3">
      <c r="B322" s="804" t="s">
        <v>1147</v>
      </c>
      <c r="C322" s="502">
        <v>2.6890000000000001</v>
      </c>
    </row>
    <row r="323" spans="2:3" ht="14.25">
      <c r="B323" s="804" t="s">
        <v>1410</v>
      </c>
      <c r="C323" s="504" t="s">
        <v>1612</v>
      </c>
    </row>
    <row r="324" spans="2:3">
      <c r="B324" s="804" t="s">
        <v>1148</v>
      </c>
      <c r="C324" s="502">
        <v>1.131</v>
      </c>
    </row>
    <row r="325" spans="2:3">
      <c r="B325" s="804" t="s">
        <v>1149</v>
      </c>
      <c r="C325" s="502">
        <v>1.494</v>
      </c>
    </row>
    <row r="326" spans="2:3">
      <c r="B326" s="804" t="s">
        <v>1150</v>
      </c>
      <c r="C326" s="502">
        <v>1.88</v>
      </c>
    </row>
    <row r="327" spans="2:3">
      <c r="B327" s="804" t="s">
        <v>1151</v>
      </c>
      <c r="C327" s="502">
        <v>1.88</v>
      </c>
    </row>
    <row r="328" spans="2:3">
      <c r="B328" s="804" t="s">
        <v>1152</v>
      </c>
      <c r="C328" s="502">
        <v>2.5230000000000001</v>
      </c>
    </row>
    <row r="329" spans="2:3">
      <c r="B329" s="804" t="s">
        <v>1153</v>
      </c>
      <c r="C329" s="502">
        <v>2.5619999999999998</v>
      </c>
    </row>
    <row r="330" spans="2:3">
      <c r="B330" s="804" t="s">
        <v>1154</v>
      </c>
      <c r="C330" s="502">
        <v>2.5619999999999998</v>
      </c>
    </row>
    <row r="331" spans="2:3">
      <c r="B331" s="804" t="s">
        <v>1155</v>
      </c>
      <c r="C331" s="502">
        <v>2.629</v>
      </c>
    </row>
    <row r="332" spans="2:3">
      <c r="B332" s="804" t="s">
        <v>1166</v>
      </c>
      <c r="C332" s="502">
        <v>1.4550000000000001</v>
      </c>
    </row>
    <row r="333" spans="2:3" ht="14.25">
      <c r="B333" s="804" t="s">
        <v>1613</v>
      </c>
      <c r="C333" s="504" t="s">
        <v>1411</v>
      </c>
    </row>
    <row r="334" spans="2:3">
      <c r="B334" s="804" t="s">
        <v>1158</v>
      </c>
      <c r="C334" s="502">
        <v>2.8490000000000002</v>
      </c>
    </row>
    <row r="335" spans="2:3">
      <c r="B335" s="804" t="s">
        <v>1159</v>
      </c>
      <c r="C335" s="502">
        <v>2.8490000000000002</v>
      </c>
    </row>
    <row r="336" spans="2:3">
      <c r="B336" s="804" t="s">
        <v>1160</v>
      </c>
      <c r="C336" s="502">
        <v>2.8490000000000002</v>
      </c>
    </row>
    <row r="337" spans="1:3">
      <c r="B337" s="804" t="s">
        <v>1161</v>
      </c>
      <c r="C337" s="502">
        <v>2.8490000000000002</v>
      </c>
    </row>
    <row r="338" spans="1:3">
      <c r="B338" s="804" t="s">
        <v>1162</v>
      </c>
      <c r="C338" s="502">
        <v>4.835</v>
      </c>
    </row>
    <row r="339" spans="1:3" ht="14.25">
      <c r="A339" s="486">
        <v>347</v>
      </c>
      <c r="B339" s="487" t="s">
        <v>1167</v>
      </c>
      <c r="C339" s="502" t="s">
        <v>1320</v>
      </c>
    </row>
    <row r="340" spans="1:3">
      <c r="B340" s="487"/>
      <c r="C340" s="502"/>
    </row>
    <row r="341" spans="1:3" ht="14.25">
      <c r="A341" s="486" t="s">
        <v>1616</v>
      </c>
      <c r="B341" s="804" t="s">
        <v>1617</v>
      </c>
      <c r="C341" s="502" t="s">
        <v>1413</v>
      </c>
    </row>
    <row r="342" spans="1:3">
      <c r="B342" s="487"/>
      <c r="C342" s="502"/>
    </row>
    <row r="343" spans="1:3">
      <c r="A343" s="880" t="s">
        <v>990</v>
      </c>
      <c r="B343" s="486"/>
      <c r="C343" s="503"/>
    </row>
    <row r="344" spans="1:3">
      <c r="A344" s="486">
        <v>350.2</v>
      </c>
      <c r="B344" s="484" t="s">
        <v>727</v>
      </c>
      <c r="C344" s="502">
        <v>1.03</v>
      </c>
    </row>
    <row r="345" spans="1:3">
      <c r="A345" s="486">
        <v>352</v>
      </c>
      <c r="B345" s="484" t="s">
        <v>728</v>
      </c>
      <c r="C345" s="502">
        <v>1.44</v>
      </c>
    </row>
    <row r="346" spans="1:3">
      <c r="A346" s="486">
        <v>353</v>
      </c>
      <c r="B346" s="484" t="s">
        <v>20</v>
      </c>
      <c r="C346" s="502">
        <v>1.78</v>
      </c>
    </row>
    <row r="347" spans="1:3">
      <c r="A347" s="486">
        <v>354</v>
      </c>
      <c r="B347" s="484" t="s">
        <v>729</v>
      </c>
      <c r="C347" s="502">
        <v>1.18</v>
      </c>
    </row>
    <row r="348" spans="1:3">
      <c r="A348" s="486">
        <v>355</v>
      </c>
      <c r="B348" s="484" t="s">
        <v>730</v>
      </c>
      <c r="C348" s="502">
        <v>1.64</v>
      </c>
    </row>
    <row r="349" spans="1:3">
      <c r="A349" s="486">
        <v>356</v>
      </c>
      <c r="B349" s="484" t="s">
        <v>731</v>
      </c>
      <c r="C349" s="502">
        <v>1.79</v>
      </c>
    </row>
    <row r="350" spans="1:3">
      <c r="A350" s="486">
        <v>357</v>
      </c>
      <c r="B350" s="484" t="s">
        <v>732</v>
      </c>
      <c r="C350" s="502">
        <v>1.94</v>
      </c>
    </row>
    <row r="351" spans="1:3">
      <c r="A351" s="486">
        <v>358</v>
      </c>
      <c r="B351" s="484" t="s">
        <v>733</v>
      </c>
      <c r="C351" s="502">
        <v>1.88</v>
      </c>
    </row>
    <row r="352" spans="1:3">
      <c r="A352" s="486">
        <v>359</v>
      </c>
      <c r="B352" s="487" t="s">
        <v>734</v>
      </c>
      <c r="C352" s="504">
        <v>0.97</v>
      </c>
    </row>
    <row r="353" spans="1:3">
      <c r="B353" s="487"/>
      <c r="C353" s="504"/>
    </row>
    <row r="354" spans="1:3">
      <c r="A354" s="880" t="s">
        <v>989</v>
      </c>
      <c r="B354" s="487"/>
      <c r="C354" s="504"/>
    </row>
    <row r="355" spans="1:3">
      <c r="A355" s="486">
        <v>360.1</v>
      </c>
      <c r="B355" s="487" t="s">
        <v>1168</v>
      </c>
      <c r="C355" s="504"/>
    </row>
    <row r="356" spans="1:3">
      <c r="A356" s="486">
        <v>360.2</v>
      </c>
      <c r="B356" s="487" t="s">
        <v>727</v>
      </c>
      <c r="C356" s="504">
        <v>1.0900000000000001</v>
      </c>
    </row>
    <row r="357" spans="1:3">
      <c r="A357" s="486">
        <v>361</v>
      </c>
      <c r="B357" s="487" t="s">
        <v>728</v>
      </c>
      <c r="C357" s="504">
        <v>1.71</v>
      </c>
    </row>
    <row r="358" spans="1:3">
      <c r="A358" s="486">
        <v>361.1</v>
      </c>
      <c r="B358" s="487" t="s">
        <v>1169</v>
      </c>
      <c r="C358" s="504">
        <v>1.71</v>
      </c>
    </row>
    <row r="359" spans="1:3">
      <c r="A359" s="486">
        <v>362</v>
      </c>
      <c r="B359" s="487" t="s">
        <v>20</v>
      </c>
      <c r="C359" s="504">
        <v>2.0499999999999998</v>
      </c>
    </row>
    <row r="360" spans="1:3">
      <c r="A360" s="486">
        <v>362.1</v>
      </c>
      <c r="B360" s="487" t="s">
        <v>1170</v>
      </c>
      <c r="C360" s="504">
        <v>2.0499999999999998</v>
      </c>
    </row>
    <row r="361" spans="1:3">
      <c r="A361" s="486">
        <v>364</v>
      </c>
      <c r="B361" s="487" t="s">
        <v>1171</v>
      </c>
      <c r="C361" s="504">
        <v>3.65</v>
      </c>
    </row>
    <row r="362" spans="1:3">
      <c r="A362" s="486">
        <v>365</v>
      </c>
      <c r="B362" s="487" t="s">
        <v>731</v>
      </c>
      <c r="C362" s="504">
        <v>3.31</v>
      </c>
    </row>
    <row r="363" spans="1:3">
      <c r="A363" s="486">
        <v>366</v>
      </c>
      <c r="B363" s="487" t="s">
        <v>732</v>
      </c>
      <c r="C363" s="504">
        <v>1.99</v>
      </c>
    </row>
    <row r="364" spans="1:3">
      <c r="A364" s="486">
        <v>367</v>
      </c>
      <c r="B364" s="487" t="s">
        <v>733</v>
      </c>
      <c r="C364" s="504">
        <v>2.0499999999999998</v>
      </c>
    </row>
    <row r="365" spans="1:3">
      <c r="A365" s="486">
        <v>368</v>
      </c>
      <c r="B365" s="487" t="s">
        <v>1172</v>
      </c>
      <c r="C365" s="504">
        <v>2.21</v>
      </c>
    </row>
    <row r="366" spans="1:3">
      <c r="A366" s="486">
        <v>369</v>
      </c>
      <c r="B366" s="487" t="s">
        <v>1173</v>
      </c>
      <c r="C366" s="504">
        <v>2.33</v>
      </c>
    </row>
    <row r="367" spans="1:3">
      <c r="A367" s="486">
        <v>369.1</v>
      </c>
      <c r="B367" s="487" t="s">
        <v>1174</v>
      </c>
      <c r="C367" s="504">
        <v>2.33</v>
      </c>
    </row>
    <row r="368" spans="1:3">
      <c r="A368" s="486">
        <v>369.2</v>
      </c>
      <c r="B368" s="487" t="s">
        <v>1175</v>
      </c>
      <c r="C368" s="504">
        <v>2.33</v>
      </c>
    </row>
    <row r="369" spans="1:4">
      <c r="A369" s="486">
        <v>370</v>
      </c>
      <c r="B369" s="487" t="s">
        <v>1176</v>
      </c>
      <c r="C369" s="504">
        <v>3.97</v>
      </c>
    </row>
    <row r="370" spans="1:4" ht="14.25">
      <c r="A370" s="486">
        <v>370.2</v>
      </c>
      <c r="B370" s="487" t="s">
        <v>1177</v>
      </c>
      <c r="C370" s="504" t="s">
        <v>1414</v>
      </c>
    </row>
    <row r="371" spans="1:4">
      <c r="A371" s="486">
        <v>371</v>
      </c>
      <c r="B371" s="487" t="s">
        <v>1178</v>
      </c>
      <c r="C371" s="504">
        <v>1</v>
      </c>
    </row>
    <row r="372" spans="1:4">
      <c r="A372" s="486">
        <v>373</v>
      </c>
      <c r="B372" s="487" t="s">
        <v>1179</v>
      </c>
      <c r="C372" s="504">
        <v>2.95</v>
      </c>
    </row>
    <row r="373" spans="1:4">
      <c r="A373" s="880"/>
      <c r="B373" s="487"/>
      <c r="C373" s="504"/>
    </row>
    <row r="374" spans="1:4">
      <c r="A374" s="880" t="s">
        <v>1002</v>
      </c>
      <c r="C374" s="502"/>
    </row>
    <row r="375" spans="1:4" ht="14.25">
      <c r="A375" s="486">
        <v>389</v>
      </c>
      <c r="B375" s="484" t="s">
        <v>1201</v>
      </c>
      <c r="C375" s="502" t="s">
        <v>212</v>
      </c>
    </row>
    <row r="376" spans="1:4">
      <c r="A376" s="486">
        <v>390</v>
      </c>
      <c r="B376" s="484" t="s">
        <v>1202</v>
      </c>
      <c r="C376" s="502">
        <v>4.88</v>
      </c>
    </row>
    <row r="377" spans="1:4">
      <c r="A377" s="486">
        <v>391</v>
      </c>
      <c r="B377" s="484" t="s">
        <v>1203</v>
      </c>
      <c r="C377" s="502">
        <v>4.75</v>
      </c>
    </row>
    <row r="378" spans="1:4">
      <c r="A378" s="486">
        <v>391.2</v>
      </c>
      <c r="B378" s="484" t="s">
        <v>16</v>
      </c>
      <c r="C378" s="502">
        <v>20</v>
      </c>
    </row>
    <row r="379" spans="1:4">
      <c r="A379" s="486">
        <v>392.1</v>
      </c>
      <c r="B379" s="484" t="s">
        <v>1415</v>
      </c>
      <c r="C379" s="502">
        <v>9</v>
      </c>
      <c r="D379" s="1048"/>
    </row>
    <row r="380" spans="1:4">
      <c r="A380" s="486">
        <v>392.2</v>
      </c>
      <c r="B380" s="484" t="s">
        <v>1416</v>
      </c>
      <c r="C380" s="502">
        <v>9</v>
      </c>
    </row>
    <row r="381" spans="1:4">
      <c r="A381" s="486">
        <v>392.3</v>
      </c>
      <c r="B381" s="484" t="s">
        <v>1417</v>
      </c>
      <c r="C381" s="502">
        <v>9</v>
      </c>
    </row>
    <row r="382" spans="1:4">
      <c r="A382" s="486">
        <v>392.4</v>
      </c>
      <c r="B382" s="484" t="s">
        <v>1418</v>
      </c>
      <c r="C382" s="502">
        <v>9</v>
      </c>
    </row>
    <row r="383" spans="1:4">
      <c r="A383" s="486">
        <v>393</v>
      </c>
      <c r="B383" s="484" t="s">
        <v>1205</v>
      </c>
      <c r="C383" s="502">
        <v>3.17</v>
      </c>
    </row>
    <row r="384" spans="1:4">
      <c r="A384" s="486">
        <v>394</v>
      </c>
      <c r="B384" s="484" t="s">
        <v>1206</v>
      </c>
      <c r="C384" s="502">
        <v>3.8</v>
      </c>
    </row>
    <row r="385" spans="1:3">
      <c r="A385" s="486">
        <v>395</v>
      </c>
      <c r="B385" s="484" t="s">
        <v>1207</v>
      </c>
      <c r="C385" s="502">
        <v>9.5</v>
      </c>
    </row>
    <row r="386" spans="1:3">
      <c r="A386" s="486">
        <v>396</v>
      </c>
      <c r="B386" s="484" t="s">
        <v>1208</v>
      </c>
      <c r="C386" s="502">
        <v>9</v>
      </c>
    </row>
    <row r="387" spans="1:3">
      <c r="A387" s="486">
        <v>397</v>
      </c>
      <c r="B387" s="484" t="s">
        <v>1209</v>
      </c>
      <c r="C387" s="502">
        <v>6.67</v>
      </c>
    </row>
    <row r="388" spans="1:3">
      <c r="A388" s="486">
        <v>397.3</v>
      </c>
      <c r="B388" s="484" t="s">
        <v>1419</v>
      </c>
      <c r="C388" s="502">
        <v>6.67</v>
      </c>
    </row>
    <row r="389" spans="1:3">
      <c r="A389" s="486">
        <v>398</v>
      </c>
      <c r="B389" s="484" t="s">
        <v>1210</v>
      </c>
      <c r="C389" s="502">
        <v>5</v>
      </c>
    </row>
    <row r="390" spans="1:3">
      <c r="C390" s="502"/>
    </row>
    <row r="391" spans="1:3">
      <c r="A391" s="880" t="s">
        <v>948</v>
      </c>
      <c r="B391" s="486"/>
      <c r="C391" s="503"/>
    </row>
    <row r="392" spans="1:3">
      <c r="A392" s="486">
        <v>302</v>
      </c>
      <c r="B392" s="484" t="s">
        <v>1211</v>
      </c>
      <c r="C392" s="502">
        <v>3.3330000000000002</v>
      </c>
    </row>
    <row r="393" spans="1:3" ht="14.25">
      <c r="A393" s="486">
        <v>302</v>
      </c>
      <c r="B393" s="484" t="s">
        <v>1198</v>
      </c>
      <c r="C393" s="502" t="s">
        <v>214</v>
      </c>
    </row>
    <row r="394" spans="1:3">
      <c r="A394" s="881" t="s">
        <v>1420</v>
      </c>
      <c r="B394" s="484" t="s">
        <v>1407</v>
      </c>
      <c r="C394" s="502">
        <v>33.33</v>
      </c>
    </row>
    <row r="395" spans="1:3">
      <c r="A395" s="881" t="s">
        <v>1421</v>
      </c>
      <c r="B395" s="484" t="s">
        <v>384</v>
      </c>
      <c r="C395" s="502">
        <v>20</v>
      </c>
    </row>
    <row r="396" spans="1:3">
      <c r="A396" s="881" t="s">
        <v>1421</v>
      </c>
      <c r="B396" s="484" t="s">
        <v>385</v>
      </c>
      <c r="C396" s="502">
        <v>10</v>
      </c>
    </row>
    <row r="397" spans="1:3">
      <c r="A397" s="881" t="s">
        <v>1421</v>
      </c>
      <c r="B397" s="484" t="s">
        <v>1408</v>
      </c>
      <c r="C397" s="502">
        <v>6.67</v>
      </c>
    </row>
    <row r="398" spans="1:3">
      <c r="A398" s="881" t="s">
        <v>1422</v>
      </c>
      <c r="B398" s="484" t="s">
        <v>1423</v>
      </c>
      <c r="C398" s="502">
        <v>10</v>
      </c>
    </row>
    <row r="399" spans="1:3">
      <c r="C399" s="502"/>
    </row>
    <row r="400" spans="1:3">
      <c r="A400" s="880" t="s">
        <v>949</v>
      </c>
      <c r="C400" s="502"/>
    </row>
    <row r="401" spans="1:3" ht="14.25">
      <c r="A401" s="486">
        <v>389</v>
      </c>
      <c r="B401" s="484" t="s">
        <v>1201</v>
      </c>
      <c r="C401" s="502" t="s">
        <v>735</v>
      </c>
    </row>
    <row r="402" spans="1:3">
      <c r="A402" s="881" t="s">
        <v>1424</v>
      </c>
      <c r="B402" s="484" t="s">
        <v>1425</v>
      </c>
      <c r="C402" s="502">
        <v>3.14</v>
      </c>
    </row>
    <row r="403" spans="1:3">
      <c r="A403" s="881" t="s">
        <v>1426</v>
      </c>
      <c r="B403" s="484" t="s">
        <v>1427</v>
      </c>
      <c r="C403" s="502">
        <v>3.8</v>
      </c>
    </row>
    <row r="404" spans="1:3" ht="14.25">
      <c r="A404" s="881" t="s">
        <v>1428</v>
      </c>
      <c r="B404" s="484" t="s">
        <v>1429</v>
      </c>
      <c r="C404" s="502" t="s">
        <v>1430</v>
      </c>
    </row>
    <row r="405" spans="1:3" ht="14.25">
      <c r="A405" s="881" t="s">
        <v>1431</v>
      </c>
      <c r="B405" s="484" t="s">
        <v>1432</v>
      </c>
      <c r="C405" s="502" t="s">
        <v>1433</v>
      </c>
    </row>
    <row r="406" spans="1:3">
      <c r="A406" s="881" t="s">
        <v>1434</v>
      </c>
      <c r="B406" s="484" t="s">
        <v>1203</v>
      </c>
      <c r="C406" s="502">
        <v>4.75</v>
      </c>
    </row>
    <row r="407" spans="1:3">
      <c r="A407" s="881" t="s">
        <v>1435</v>
      </c>
      <c r="B407" s="484" t="s">
        <v>1436</v>
      </c>
      <c r="C407" s="502">
        <v>20</v>
      </c>
    </row>
    <row r="408" spans="1:3">
      <c r="A408" s="881" t="s">
        <v>1437</v>
      </c>
      <c r="B408" s="484" t="s">
        <v>1438</v>
      </c>
      <c r="C408" s="502">
        <v>33.33</v>
      </c>
    </row>
    <row r="409" spans="1:3">
      <c r="A409" s="486">
        <v>392.1</v>
      </c>
      <c r="B409" s="484" t="s">
        <v>1415</v>
      </c>
      <c r="C409" s="502">
        <v>9</v>
      </c>
    </row>
    <row r="410" spans="1:3">
      <c r="A410" s="486">
        <v>392.2</v>
      </c>
      <c r="B410" s="484" t="s">
        <v>1416</v>
      </c>
      <c r="C410" s="502">
        <v>9</v>
      </c>
    </row>
    <row r="411" spans="1:3">
      <c r="A411" s="486">
        <v>392.3</v>
      </c>
      <c r="B411" s="484" t="s">
        <v>1417</v>
      </c>
      <c r="C411" s="502">
        <v>9</v>
      </c>
    </row>
    <row r="412" spans="1:3">
      <c r="A412" s="486">
        <v>392.4</v>
      </c>
      <c r="B412" s="484" t="s">
        <v>1418</v>
      </c>
      <c r="C412" s="502">
        <v>9</v>
      </c>
    </row>
    <row r="413" spans="1:3">
      <c r="A413" s="486">
        <v>393</v>
      </c>
      <c r="B413" s="484" t="s">
        <v>1205</v>
      </c>
      <c r="C413" s="502">
        <v>3.17</v>
      </c>
    </row>
    <row r="414" spans="1:3">
      <c r="A414" s="486">
        <v>394</v>
      </c>
      <c r="B414" s="484" t="s">
        <v>1206</v>
      </c>
      <c r="C414" s="502">
        <v>3.8</v>
      </c>
    </row>
    <row r="415" spans="1:3">
      <c r="A415" s="486">
        <v>395</v>
      </c>
      <c r="B415" s="484" t="s">
        <v>1207</v>
      </c>
      <c r="C415" s="502">
        <v>9.5</v>
      </c>
    </row>
    <row r="416" spans="1:3">
      <c r="A416" s="486">
        <v>396</v>
      </c>
      <c r="B416" s="484" t="s">
        <v>1208</v>
      </c>
      <c r="C416" s="502">
        <v>9</v>
      </c>
    </row>
    <row r="417" spans="1:3">
      <c r="A417" s="486">
        <v>397</v>
      </c>
      <c r="B417" s="484" t="s">
        <v>1209</v>
      </c>
      <c r="C417" s="502">
        <v>6.67</v>
      </c>
    </row>
    <row r="418" spans="1:3">
      <c r="A418" s="486">
        <v>398</v>
      </c>
      <c r="B418" s="484" t="s">
        <v>1210</v>
      </c>
      <c r="C418" s="502">
        <v>5</v>
      </c>
    </row>
    <row r="419" spans="1:3">
      <c r="A419"/>
      <c r="B419"/>
      <c r="C419"/>
    </row>
    <row r="420" spans="1:3">
      <c r="A420"/>
      <c r="B420"/>
      <c r="C420"/>
    </row>
    <row r="421" spans="1:3">
      <c r="A421" s="486" t="s">
        <v>89</v>
      </c>
    </row>
    <row r="422" spans="1:3" ht="38.25">
      <c r="A422" s="484"/>
      <c r="B422" s="1049" t="s">
        <v>552</v>
      </c>
    </row>
    <row r="423" spans="1:3" ht="25.5">
      <c r="A423" s="731">
        <v>1</v>
      </c>
      <c r="B423" s="883" t="s">
        <v>550</v>
      </c>
    </row>
    <row r="424" spans="1:3" ht="38.25">
      <c r="A424" s="731">
        <v>2</v>
      </c>
      <c r="B424" s="883" t="s">
        <v>1618</v>
      </c>
    </row>
    <row r="425" spans="1:3" ht="25.5">
      <c r="A425" s="731">
        <v>3</v>
      </c>
      <c r="B425" s="883" t="s">
        <v>551</v>
      </c>
      <c r="C425" s="489"/>
    </row>
    <row r="426" spans="1:3" ht="51">
      <c r="A426" s="731">
        <v>4</v>
      </c>
      <c r="B426" s="883" t="s">
        <v>1619</v>
      </c>
    </row>
    <row r="427" spans="1:3">
      <c r="A427" s="486">
        <v>5</v>
      </c>
      <c r="B427" s="884" t="s">
        <v>1318</v>
      </c>
    </row>
    <row r="428" spans="1:3" ht="25.5">
      <c r="A428" s="731">
        <v>6</v>
      </c>
      <c r="B428" s="883" t="s">
        <v>1439</v>
      </c>
    </row>
    <row r="429" spans="1:3" ht="51">
      <c r="A429" s="731">
        <v>7</v>
      </c>
      <c r="B429" s="883" t="s">
        <v>1620</v>
      </c>
    </row>
    <row r="430" spans="1:3">
      <c r="A430" s="731">
        <v>8</v>
      </c>
      <c r="B430" s="883" t="s">
        <v>1440</v>
      </c>
      <c r="C430"/>
    </row>
    <row r="431" spans="1:3" ht="25.5">
      <c r="A431" s="731">
        <v>9</v>
      </c>
      <c r="B431" s="883" t="s">
        <v>1441</v>
      </c>
      <c r="C431"/>
    </row>
    <row r="432" spans="1:3" ht="25.5">
      <c r="A432" s="731">
        <v>10</v>
      </c>
      <c r="B432" s="883" t="s">
        <v>1621</v>
      </c>
      <c r="C432"/>
    </row>
    <row r="433" spans="1:3" ht="51">
      <c r="A433" s="731">
        <v>11</v>
      </c>
      <c r="B433" s="883" t="s">
        <v>1622</v>
      </c>
      <c r="C433"/>
    </row>
    <row r="434" spans="1:3" ht="38.25">
      <c r="A434" s="731">
        <v>12</v>
      </c>
      <c r="B434" s="883" t="s">
        <v>1623</v>
      </c>
      <c r="C434"/>
    </row>
    <row r="435" spans="1:3" ht="25.5">
      <c r="A435" s="731">
        <v>13</v>
      </c>
      <c r="B435" s="883" t="s">
        <v>1624</v>
      </c>
      <c r="C435"/>
    </row>
    <row r="436" spans="1:3">
      <c r="A436" s="486">
        <v>390</v>
      </c>
      <c r="B436" s="484" t="s">
        <v>1625</v>
      </c>
      <c r="C436" s="502">
        <v>6.0609999999999999</v>
      </c>
    </row>
    <row r="437" spans="1:3">
      <c r="A437" s="486">
        <v>390</v>
      </c>
      <c r="B437" s="484" t="s">
        <v>1626</v>
      </c>
      <c r="C437" s="502">
        <v>6.0609999999999999</v>
      </c>
    </row>
    <row r="438" spans="1:3">
      <c r="A438" s="486">
        <v>390</v>
      </c>
      <c r="B438" s="484" t="s">
        <v>1627</v>
      </c>
      <c r="C438" s="502">
        <v>6.6669999999999998</v>
      </c>
    </row>
    <row r="439" spans="1:3">
      <c r="A439" s="486">
        <v>390.2</v>
      </c>
      <c r="B439" s="484" t="s">
        <v>1628</v>
      </c>
      <c r="C439" s="502">
        <v>3.8</v>
      </c>
    </row>
    <row r="440" spans="1:3">
      <c r="A440" s="486">
        <v>391</v>
      </c>
      <c r="B440" s="484" t="s">
        <v>1203</v>
      </c>
      <c r="C440" s="502">
        <v>4.75</v>
      </c>
    </row>
    <row r="441" spans="1:3">
      <c r="A441" s="486">
        <v>391</v>
      </c>
      <c r="B441" s="484" t="s">
        <v>1629</v>
      </c>
      <c r="C441" s="502">
        <v>5</v>
      </c>
    </row>
    <row r="442" spans="1:3">
      <c r="A442" s="486">
        <v>391</v>
      </c>
      <c r="B442" s="484" t="s">
        <v>1630</v>
      </c>
      <c r="C442" s="502">
        <v>33.35</v>
      </c>
    </row>
    <row r="443" spans="1:3">
      <c r="A443" s="486">
        <v>391</v>
      </c>
      <c r="B443" s="484" t="s">
        <v>1631</v>
      </c>
      <c r="C443" s="502">
        <v>20</v>
      </c>
    </row>
    <row r="444" spans="1:3">
      <c r="A444" s="486">
        <v>392</v>
      </c>
      <c r="B444" s="484" t="s">
        <v>1632</v>
      </c>
      <c r="C444" s="502">
        <v>9</v>
      </c>
    </row>
    <row r="445" spans="1:3">
      <c r="A445" s="486">
        <v>393</v>
      </c>
      <c r="B445" s="484" t="s">
        <v>1205</v>
      </c>
      <c r="C445" s="502">
        <v>3.17</v>
      </c>
    </row>
    <row r="446" spans="1:3">
      <c r="A446" s="486">
        <v>394</v>
      </c>
      <c r="B446" s="484" t="s">
        <v>1206</v>
      </c>
      <c r="C446" s="502">
        <v>3.8</v>
      </c>
    </row>
    <row r="447" spans="1:3">
      <c r="A447" s="486">
        <v>395</v>
      </c>
      <c r="B447" s="484" t="s">
        <v>1207</v>
      </c>
      <c r="C447" s="502">
        <v>9.5</v>
      </c>
    </row>
    <row r="448" spans="1:3">
      <c r="A448" s="486">
        <v>396</v>
      </c>
      <c r="B448" s="484" t="s">
        <v>1208</v>
      </c>
      <c r="C448" s="502">
        <v>9</v>
      </c>
    </row>
    <row r="449" spans="1:3">
      <c r="A449" s="486">
        <v>397</v>
      </c>
      <c r="B449" s="484" t="s">
        <v>1209</v>
      </c>
      <c r="C449" s="502">
        <v>6.67</v>
      </c>
    </row>
    <row r="450" spans="1:3">
      <c r="A450" s="486">
        <v>398</v>
      </c>
      <c r="B450" s="484" t="s">
        <v>1210</v>
      </c>
      <c r="C450" s="502">
        <v>5</v>
      </c>
    </row>
    <row r="452" spans="1:3">
      <c r="A452" s="486" t="s">
        <v>89</v>
      </c>
    </row>
    <row r="453" spans="1:3" ht="38.25">
      <c r="A453" s="484"/>
      <c r="B453" s="806" t="s">
        <v>552</v>
      </c>
      <c r="C453" s="489"/>
    </row>
    <row r="454" spans="1:3" ht="25.5">
      <c r="A454" s="731">
        <v>1</v>
      </c>
      <c r="B454" s="757" t="s">
        <v>550</v>
      </c>
      <c r="C454" s="489"/>
    </row>
    <row r="455" spans="1:3" ht="38.25">
      <c r="A455" s="731">
        <v>2</v>
      </c>
      <c r="B455" s="806" t="s">
        <v>1633</v>
      </c>
      <c r="C455" s="1050"/>
    </row>
    <row r="456" spans="1:3" ht="25.5">
      <c r="A456" s="731">
        <v>3</v>
      </c>
      <c r="B456" s="757" t="s">
        <v>551</v>
      </c>
      <c r="C456" s="489"/>
    </row>
    <row r="457" spans="1:3" ht="38.25">
      <c r="A457" s="731">
        <v>4</v>
      </c>
      <c r="B457" s="806" t="s">
        <v>1634</v>
      </c>
    </row>
    <row r="458" spans="1:3">
      <c r="A458" s="486">
        <v>5</v>
      </c>
      <c r="B458" s="484" t="s">
        <v>1318</v>
      </c>
    </row>
    <row r="459" spans="1:3" ht="25.5">
      <c r="A459" s="731">
        <v>6</v>
      </c>
      <c r="B459" s="806" t="s">
        <v>1635</v>
      </c>
    </row>
    <row r="460" spans="1:3" ht="51">
      <c r="A460" s="731">
        <v>7</v>
      </c>
      <c r="B460" s="806" t="s">
        <v>1636</v>
      </c>
    </row>
  </sheetData>
  <mergeCells count="3">
    <mergeCell ref="A12:B12"/>
    <mergeCell ref="A14:B14"/>
    <mergeCell ref="A18:B18"/>
  </mergeCells>
  <phoneticPr fontId="2" type="noConversion"/>
  <printOptions horizontalCentered="1"/>
  <pageMargins left="0.75" right="0.75" top="1" bottom="0.75" header="0.5" footer="0.5"/>
  <pageSetup fitToHeight="17" orientation="portrait" r:id="rId1"/>
  <headerFooter alignWithMargins="0">
    <oddHeader>&amp;RPage &amp;P of &amp;N</oddHeader>
  </headerFooter>
  <rowBreaks count="1" manualBreakCount="1">
    <brk id="400" max="2"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T65"/>
  <sheetViews>
    <sheetView view="pageBreakPreview" zoomScale="60" zoomScaleNormal="100" workbookViewId="0">
      <selection activeCell="Z34" sqref="Z34"/>
    </sheetView>
  </sheetViews>
  <sheetFormatPr defaultRowHeight="12.75"/>
  <cols>
    <col min="1" max="1" width="4.7109375" customWidth="1"/>
    <col min="2" max="2" width="1.7109375" customWidth="1"/>
    <col min="3" max="3" width="8.5703125" customWidth="1"/>
    <col min="4" max="4" width="4.7109375" customWidth="1"/>
    <col min="5" max="5" width="7.7109375" customWidth="1"/>
    <col min="6" max="6" width="0.85546875" customWidth="1"/>
    <col min="7" max="7" width="12.28515625" customWidth="1"/>
    <col min="8" max="8" width="0.85546875" customWidth="1"/>
    <col min="9" max="9" width="13" bestFit="1" customWidth="1"/>
    <col min="10" max="10" width="0.85546875" customWidth="1"/>
    <col min="11" max="11" width="12.42578125" bestFit="1" customWidth="1"/>
    <col min="12" max="12" width="0.85546875" customWidth="1"/>
    <col min="13" max="13" width="12.7109375" bestFit="1" customWidth="1"/>
    <col min="14" max="14" width="0.85546875" customWidth="1"/>
    <col min="15" max="15" width="11.7109375" customWidth="1"/>
    <col min="16" max="16" width="0.85546875" customWidth="1"/>
    <col min="17" max="17" width="12.5703125" customWidth="1"/>
    <col min="18" max="18" width="0.85546875" customWidth="1"/>
    <col min="19" max="19" width="12.28515625" customWidth="1"/>
  </cols>
  <sheetData>
    <row r="1" spans="1:19">
      <c r="A1" s="99" t="str">
        <f>'Cover Page'!A5</f>
        <v>Public Service Company of Colorado</v>
      </c>
      <c r="S1" s="133" t="str">
        <f>'Table of Contents'!A34</f>
        <v>Table 26</v>
      </c>
    </row>
    <row r="2" spans="1:19">
      <c r="A2" s="99" t="str">
        <f>'Cover Page'!A6</f>
        <v>Transmission Formula Rate Template</v>
      </c>
      <c r="S2" s="133" t="str">
        <f ca="1">MID(CELL("filename",$A$1),FIND("]",CELL("filename",$A$1))+1,LEN(CELL("filename",$A$1))-FIND("]",CELL("filename",$A$1)))</f>
        <v>WP_I-1</v>
      </c>
    </row>
    <row r="3" spans="1:19">
      <c r="A3" s="99" t="str">
        <f>'Cover Page'!A7</f>
        <v>Twelve Months Ended December 31, 2017</v>
      </c>
    </row>
    <row r="4" spans="1:19">
      <c r="A4" s="99" t="s">
        <v>193</v>
      </c>
    </row>
    <row r="6" spans="1:19">
      <c r="C6" s="100"/>
    </row>
    <row r="7" spans="1:19" ht="13.5" thickBot="1">
      <c r="G7" s="1259" t="s">
        <v>492</v>
      </c>
      <c r="H7" s="1259"/>
      <c r="I7" s="1259"/>
      <c r="J7" s="1259"/>
      <c r="K7" s="1259"/>
      <c r="L7" s="1259"/>
      <c r="M7" s="1259"/>
      <c r="N7" s="1259"/>
      <c r="O7" s="1259"/>
      <c r="P7" s="1259"/>
      <c r="Q7" s="1259"/>
      <c r="R7" s="1259"/>
      <c r="S7" s="1259"/>
    </row>
    <row r="8" spans="1:19">
      <c r="M8" s="110"/>
      <c r="O8" s="110"/>
      <c r="P8" s="73"/>
      <c r="Q8" s="110"/>
    </row>
    <row r="9" spans="1:19">
      <c r="A9" t="s">
        <v>788</v>
      </c>
      <c r="G9" s="450"/>
      <c r="H9" s="451"/>
      <c r="I9" s="106" t="s">
        <v>475</v>
      </c>
      <c r="J9" s="451"/>
      <c r="K9" s="451" t="s">
        <v>475</v>
      </c>
      <c r="L9" s="451"/>
      <c r="M9" s="111" t="s">
        <v>476</v>
      </c>
      <c r="N9" s="451"/>
      <c r="O9" s="116" t="s">
        <v>476</v>
      </c>
      <c r="P9" s="452"/>
      <c r="Q9" s="116" t="s">
        <v>476</v>
      </c>
      <c r="R9" s="433"/>
      <c r="S9" s="450"/>
    </row>
    <row r="10" spans="1:19">
      <c r="G10" s="450"/>
      <c r="H10" s="451"/>
      <c r="I10" s="106" t="s">
        <v>477</v>
      </c>
      <c r="J10" s="451"/>
      <c r="K10" s="451" t="s">
        <v>738</v>
      </c>
      <c r="L10" s="451"/>
      <c r="M10" s="111" t="s">
        <v>478</v>
      </c>
      <c r="N10" s="451"/>
      <c r="O10" s="116" t="s">
        <v>479</v>
      </c>
      <c r="P10" s="452"/>
      <c r="Q10" s="111" t="s">
        <v>789</v>
      </c>
      <c r="R10" s="433"/>
      <c r="S10" s="450"/>
    </row>
    <row r="11" spans="1:19">
      <c r="G11" s="450" t="s">
        <v>480</v>
      </c>
      <c r="H11" s="451"/>
      <c r="I11" s="106" t="s">
        <v>481</v>
      </c>
      <c r="J11" s="451"/>
      <c r="K11" s="451" t="s">
        <v>739</v>
      </c>
      <c r="L11" s="451"/>
      <c r="M11" s="111" t="s">
        <v>482</v>
      </c>
      <c r="N11" s="451"/>
      <c r="O11" s="111" t="s">
        <v>789</v>
      </c>
      <c r="P11" s="453"/>
      <c r="Q11" s="111" t="s">
        <v>483</v>
      </c>
      <c r="R11" s="451"/>
      <c r="S11" s="450" t="s">
        <v>789</v>
      </c>
    </row>
    <row r="12" spans="1:19">
      <c r="A12" s="106" t="s">
        <v>86</v>
      </c>
      <c r="B12" s="106"/>
      <c r="C12" s="454"/>
      <c r="D12" s="198" t="s">
        <v>484</v>
      </c>
      <c r="E12" s="454"/>
      <c r="F12" s="454"/>
      <c r="G12" s="450" t="s">
        <v>867</v>
      </c>
      <c r="H12" s="451"/>
      <c r="I12" s="106" t="s">
        <v>485</v>
      </c>
      <c r="J12" s="451"/>
      <c r="K12" s="451" t="s">
        <v>740</v>
      </c>
      <c r="L12" s="451"/>
      <c r="M12" s="111" t="s">
        <v>485</v>
      </c>
      <c r="N12" s="451"/>
      <c r="O12" s="111" t="s">
        <v>488</v>
      </c>
      <c r="P12" s="453"/>
      <c r="Q12" s="111" t="s">
        <v>489</v>
      </c>
      <c r="R12" s="451"/>
      <c r="S12" s="450" t="s">
        <v>867</v>
      </c>
    </row>
    <row r="13" spans="1:19">
      <c r="A13" s="455" t="s">
        <v>87</v>
      </c>
      <c r="B13" s="198"/>
      <c r="C13" s="367"/>
      <c r="D13" s="456" t="s">
        <v>490</v>
      </c>
      <c r="E13" s="367"/>
      <c r="F13" s="457"/>
      <c r="G13" s="458" t="s">
        <v>873</v>
      </c>
      <c r="H13" s="459"/>
      <c r="I13" s="456" t="s">
        <v>873</v>
      </c>
      <c r="J13" s="459"/>
      <c r="K13" s="494" t="s">
        <v>873</v>
      </c>
      <c r="L13" s="459"/>
      <c r="M13" s="458" t="s">
        <v>873</v>
      </c>
      <c r="N13" s="459"/>
      <c r="O13" s="458" t="s">
        <v>873</v>
      </c>
      <c r="P13" s="459"/>
      <c r="Q13" s="458" t="s">
        <v>873</v>
      </c>
      <c r="R13" s="459"/>
      <c r="S13" s="458" t="s">
        <v>873</v>
      </c>
    </row>
    <row r="14" spans="1:19">
      <c r="A14" s="198"/>
      <c r="B14" s="198"/>
      <c r="C14" s="460"/>
      <c r="D14" s="237"/>
      <c r="E14" s="460"/>
      <c r="F14" s="457"/>
      <c r="G14" s="311" t="s">
        <v>358</v>
      </c>
      <c r="H14" s="730"/>
      <c r="I14" s="311" t="s">
        <v>357</v>
      </c>
      <c r="J14" s="730"/>
      <c r="K14" s="311" t="s">
        <v>359</v>
      </c>
      <c r="L14" s="730"/>
      <c r="M14" s="311" t="s">
        <v>360</v>
      </c>
      <c r="N14" s="730"/>
      <c r="O14" s="311" t="s">
        <v>361</v>
      </c>
      <c r="P14" s="730"/>
      <c r="Q14" s="311" t="s">
        <v>362</v>
      </c>
      <c r="R14" s="110"/>
      <c r="S14" s="311" t="s">
        <v>363</v>
      </c>
    </row>
    <row r="16" spans="1:19">
      <c r="A16">
        <v>1</v>
      </c>
      <c r="C16" s="462">
        <v>42736</v>
      </c>
      <c r="D16" s="275"/>
      <c r="E16" s="275"/>
      <c r="G16" s="463">
        <v>5144389.2964185672</v>
      </c>
      <c r="I16" s="463">
        <v>-6620</v>
      </c>
      <c r="K16" s="463">
        <v>-198886</v>
      </c>
      <c r="M16" s="463">
        <v>194053</v>
      </c>
      <c r="O16" s="463">
        <v>524982.82265513553</v>
      </c>
      <c r="Q16" s="463">
        <v>253510</v>
      </c>
      <c r="S16" s="135">
        <f>SUM(G16:Q16)</f>
        <v>5911429.119073703</v>
      </c>
    </row>
    <row r="17" spans="1:20">
      <c r="A17">
        <v>2</v>
      </c>
      <c r="C17" s="462">
        <v>42767</v>
      </c>
      <c r="D17" s="275"/>
      <c r="E17" s="275"/>
      <c r="G17" s="463">
        <v>4977174.882118972</v>
      </c>
      <c r="I17" s="463">
        <v>-7400</v>
      </c>
      <c r="K17" s="463">
        <v>-199716</v>
      </c>
      <c r="M17" s="463">
        <v>194053</v>
      </c>
      <c r="O17" s="463">
        <v>517378.84738015023</v>
      </c>
      <c r="Q17" s="463">
        <v>253510</v>
      </c>
      <c r="S17" s="135">
        <f t="shared" ref="S17:S27" si="0">SUM(G17:Q17)</f>
        <v>5735000.7294991221</v>
      </c>
      <c r="T17" s="100"/>
    </row>
    <row r="18" spans="1:20">
      <c r="A18">
        <v>3</v>
      </c>
      <c r="C18" s="462">
        <v>42795</v>
      </c>
      <c r="D18" s="275"/>
      <c r="E18" s="275"/>
      <c r="G18" s="463">
        <v>4498154.2613770887</v>
      </c>
      <c r="I18" s="463">
        <v>-6650</v>
      </c>
      <c r="K18" s="463">
        <v>-178126</v>
      </c>
      <c r="M18" s="463">
        <v>194053</v>
      </c>
      <c r="O18" s="463">
        <v>303902.4157562672</v>
      </c>
      <c r="Q18" s="463">
        <v>253510</v>
      </c>
      <c r="S18" s="135">
        <f t="shared" si="0"/>
        <v>5064843.6771333562</v>
      </c>
    </row>
    <row r="19" spans="1:20">
      <c r="A19">
        <v>4</v>
      </c>
      <c r="C19" s="462">
        <v>42826</v>
      </c>
      <c r="D19" s="275"/>
      <c r="E19" s="275"/>
      <c r="G19" s="463">
        <v>4323897.100148214</v>
      </c>
      <c r="I19" s="463">
        <v>-3780</v>
      </c>
      <c r="K19" s="463">
        <v>-128904</v>
      </c>
      <c r="M19" s="463">
        <v>190000</v>
      </c>
      <c r="O19" s="463">
        <v>245704.4177745046</v>
      </c>
      <c r="Q19" s="463">
        <v>253510</v>
      </c>
      <c r="S19" s="135">
        <f t="shared" si="0"/>
        <v>4880427.517922719</v>
      </c>
    </row>
    <row r="20" spans="1:20">
      <c r="A20">
        <v>5</v>
      </c>
      <c r="C20" s="462">
        <v>42856</v>
      </c>
      <c r="D20" s="275"/>
      <c r="E20" s="275"/>
      <c r="G20" s="463">
        <v>5090352.8687944263</v>
      </c>
      <c r="I20" s="463">
        <v>-5620</v>
      </c>
      <c r="K20" s="463">
        <v>-98154</v>
      </c>
      <c r="M20" s="463">
        <v>190000</v>
      </c>
      <c r="O20" s="463">
        <v>274498.35276063089</v>
      </c>
      <c r="Q20" s="463">
        <v>253510</v>
      </c>
      <c r="S20" s="135">
        <f t="shared" si="0"/>
        <v>5704587.221555057</v>
      </c>
    </row>
    <row r="21" spans="1:20">
      <c r="A21">
        <v>6</v>
      </c>
      <c r="C21" s="462">
        <v>42887</v>
      </c>
      <c r="D21" s="275"/>
      <c r="E21" s="275"/>
      <c r="G21" s="463">
        <v>6155477.8215667354</v>
      </c>
      <c r="I21" s="463">
        <v>-6580</v>
      </c>
      <c r="K21" s="463">
        <v>-111945</v>
      </c>
      <c r="M21" s="463">
        <v>190000</v>
      </c>
      <c r="O21" s="463">
        <v>356234.81593514694</v>
      </c>
      <c r="Q21" s="463">
        <v>253510</v>
      </c>
      <c r="S21" s="135">
        <f t="shared" si="0"/>
        <v>6836697.6375018824</v>
      </c>
    </row>
    <row r="22" spans="1:20">
      <c r="A22">
        <v>7</v>
      </c>
      <c r="C22" s="462">
        <v>42917</v>
      </c>
      <c r="D22" s="275"/>
      <c r="E22" s="275"/>
      <c r="G22" s="463">
        <v>6630462.1186165055</v>
      </c>
      <c r="I22" s="463">
        <v>-7070</v>
      </c>
      <c r="K22" s="463">
        <v>-114047</v>
      </c>
      <c r="M22" s="463">
        <v>190000</v>
      </c>
      <c r="O22" s="463">
        <v>376354.31042799988</v>
      </c>
      <c r="Q22" s="463">
        <v>253510</v>
      </c>
      <c r="S22" s="135">
        <f t="shared" si="0"/>
        <v>7329209.4290445056</v>
      </c>
    </row>
    <row r="23" spans="1:20">
      <c r="A23">
        <v>8</v>
      </c>
      <c r="C23" s="462">
        <v>42948</v>
      </c>
      <c r="D23" s="275"/>
      <c r="E23" s="275"/>
      <c r="G23" s="463">
        <v>6314753.7241883585</v>
      </c>
      <c r="I23" s="463">
        <v>-7670</v>
      </c>
      <c r="K23" s="463">
        <v>-110067</v>
      </c>
      <c r="M23" s="463">
        <v>190000</v>
      </c>
      <c r="O23" s="463">
        <v>345484.10562956287</v>
      </c>
      <c r="Q23" s="463">
        <v>253510</v>
      </c>
      <c r="S23" s="135">
        <f t="shared" si="0"/>
        <v>6986010.8298179209</v>
      </c>
    </row>
    <row r="24" spans="1:20">
      <c r="A24">
        <v>9</v>
      </c>
      <c r="C24" s="462">
        <v>42979</v>
      </c>
      <c r="D24" s="275"/>
      <c r="E24" s="275"/>
      <c r="G24" s="463">
        <v>5478936.4830994764</v>
      </c>
      <c r="I24" s="463">
        <v>-8090</v>
      </c>
      <c r="K24" s="463">
        <v>-101286</v>
      </c>
      <c r="M24" s="463">
        <v>190000</v>
      </c>
      <c r="O24" s="463">
        <v>322841.73149313376</v>
      </c>
      <c r="Q24" s="463">
        <v>253510</v>
      </c>
      <c r="S24" s="135">
        <f t="shared" si="0"/>
        <v>6135912.2145926105</v>
      </c>
    </row>
    <row r="25" spans="1:20">
      <c r="A25">
        <v>10</v>
      </c>
      <c r="C25" s="462">
        <v>43009</v>
      </c>
      <c r="D25" s="275"/>
      <c r="E25" s="275"/>
      <c r="G25" s="463">
        <v>4708663.9846401541</v>
      </c>
      <c r="I25" s="463">
        <v>-4860</v>
      </c>
      <c r="K25" s="463">
        <v>-114352</v>
      </c>
      <c r="M25" s="463">
        <v>194053</v>
      </c>
      <c r="O25" s="463">
        <v>251039.35489240859</v>
      </c>
      <c r="Q25" s="463">
        <v>253510</v>
      </c>
      <c r="S25" s="135">
        <f t="shared" si="0"/>
        <v>5288054.3395325625</v>
      </c>
    </row>
    <row r="26" spans="1:20">
      <c r="A26">
        <v>11</v>
      </c>
      <c r="C26" s="462">
        <v>43040</v>
      </c>
      <c r="D26" s="275"/>
      <c r="E26" s="275"/>
      <c r="G26" s="463">
        <v>4945244.3158099102</v>
      </c>
      <c r="I26" s="463">
        <v>-5590</v>
      </c>
      <c r="K26" s="463">
        <v>-213613</v>
      </c>
      <c r="M26" s="463">
        <v>194053</v>
      </c>
      <c r="O26" s="463">
        <v>265151.24951164273</v>
      </c>
      <c r="Q26" s="463">
        <v>253510</v>
      </c>
      <c r="S26" s="135">
        <f t="shared" si="0"/>
        <v>5438755.5653215526</v>
      </c>
    </row>
    <row r="27" spans="1:20">
      <c r="A27">
        <v>12</v>
      </c>
      <c r="C27" s="462">
        <v>43070</v>
      </c>
      <c r="D27" s="275"/>
      <c r="E27" s="275"/>
      <c r="G27" s="464">
        <v>5418758.4997519394</v>
      </c>
      <c r="I27" s="464">
        <v>-5650</v>
      </c>
      <c r="K27" s="464">
        <v>-223235</v>
      </c>
      <c r="M27" s="464">
        <v>194053</v>
      </c>
      <c r="O27" s="464">
        <v>283127.27928174462</v>
      </c>
      <c r="Q27" s="464">
        <v>253510</v>
      </c>
      <c r="S27" s="182">
        <f t="shared" si="0"/>
        <v>5920563.7790336842</v>
      </c>
    </row>
    <row r="28" spans="1:20">
      <c r="A28">
        <v>13</v>
      </c>
      <c r="C28" t="s">
        <v>70</v>
      </c>
      <c r="G28" s="135">
        <f>SUM(G16:G27)</f>
        <v>63686265.356530346</v>
      </c>
      <c r="I28" s="135">
        <f>SUM(I16:I27)</f>
        <v>-75580</v>
      </c>
      <c r="K28" s="135">
        <f>SUM(K16:K27)</f>
        <v>-1792331</v>
      </c>
      <c r="M28" s="135">
        <f>SUM(M16:M27)</f>
        <v>2304318</v>
      </c>
      <c r="O28" s="135">
        <f>SUM(O16:O27)</f>
        <v>4066699.7034983276</v>
      </c>
      <c r="Q28" s="135">
        <f>SUM(Q16:Q27)</f>
        <v>3042120</v>
      </c>
      <c r="S28" s="135">
        <f>SUM(S16:S27)</f>
        <v>71231492.060028672</v>
      </c>
    </row>
    <row r="29" spans="1:20" ht="13.5" thickBot="1">
      <c r="A29">
        <v>14</v>
      </c>
    </row>
    <row r="30" spans="1:20" ht="13.5" thickBot="1">
      <c r="A30">
        <v>15</v>
      </c>
      <c r="C30" t="s">
        <v>491</v>
      </c>
      <c r="G30" s="461">
        <f>ROUND(G28/12,0)</f>
        <v>5307189</v>
      </c>
      <c r="H30" s="277"/>
      <c r="I30" s="461">
        <f>ROUND(I28/12,0)</f>
        <v>-6298</v>
      </c>
      <c r="J30" s="277"/>
      <c r="K30" s="461">
        <f>ROUND(K28/12,0)</f>
        <v>-149361</v>
      </c>
      <c r="L30" s="277"/>
      <c r="M30" s="461">
        <f>ROUND(M28/12,0)</f>
        <v>192027</v>
      </c>
      <c r="N30" s="277"/>
      <c r="O30" s="461">
        <f>ROUND(O28/12,0)</f>
        <v>338892</v>
      </c>
      <c r="P30" s="277"/>
      <c r="Q30" s="461">
        <f>ROUND(Q28/12,0)</f>
        <v>253510</v>
      </c>
      <c r="S30" s="183">
        <f>SUM(G30:Q30)</f>
        <v>5935959</v>
      </c>
    </row>
    <row r="31" spans="1:20" ht="13.5" thickTop="1">
      <c r="S31" s="1190">
        <f>'WP_F-1'!E53</f>
        <v>1053901</v>
      </c>
    </row>
    <row r="32" spans="1:20">
      <c r="S32" s="1189">
        <f>S31/S30</f>
        <v>0.17754519530879509</v>
      </c>
    </row>
    <row r="33" spans="1:20" ht="13.5" thickBot="1">
      <c r="G33" s="1259" t="s">
        <v>493</v>
      </c>
      <c r="H33" s="1259"/>
      <c r="I33" s="1259"/>
      <c r="J33" s="1259"/>
      <c r="K33" s="1259"/>
      <c r="L33" s="1259"/>
      <c r="M33" s="1259"/>
      <c r="N33" s="272"/>
      <c r="P33" s="238"/>
      <c r="Q33" s="142"/>
      <c r="R33" s="164"/>
      <c r="S33" s="164"/>
      <c r="T33" s="100"/>
    </row>
    <row r="34" spans="1:20">
      <c r="M34" s="110"/>
      <c r="O34" s="110"/>
      <c r="P34" s="73"/>
      <c r="Q34" s="110"/>
    </row>
    <row r="35" spans="1:20">
      <c r="A35" t="s">
        <v>788</v>
      </c>
      <c r="G35" s="450"/>
      <c r="H35" s="451"/>
      <c r="I35" s="451" t="s">
        <v>475</v>
      </c>
      <c r="J35" s="509"/>
      <c r="K35" s="111"/>
      <c r="L35" s="451"/>
      <c r="M35" s="450"/>
      <c r="P35" s="452"/>
      <c r="Q35" s="116"/>
      <c r="R35" s="433"/>
    </row>
    <row r="36" spans="1:20">
      <c r="G36" s="450"/>
      <c r="H36" s="451"/>
      <c r="I36" s="451" t="s">
        <v>738</v>
      </c>
      <c r="J36" s="509"/>
      <c r="K36" s="111"/>
      <c r="L36" s="451"/>
      <c r="M36" s="450"/>
      <c r="P36" s="452"/>
      <c r="Q36" s="111"/>
      <c r="R36" s="433"/>
      <c r="T36" s="100"/>
    </row>
    <row r="37" spans="1:20">
      <c r="G37" s="450" t="s">
        <v>789</v>
      </c>
      <c r="H37" s="451"/>
      <c r="I37" s="451" t="s">
        <v>739</v>
      </c>
      <c r="J37" s="509"/>
      <c r="K37" s="111" t="s">
        <v>475</v>
      </c>
      <c r="L37" s="451"/>
      <c r="M37" s="450" t="s">
        <v>789</v>
      </c>
      <c r="P37" s="453"/>
      <c r="Q37" s="111"/>
      <c r="R37" s="451"/>
    </row>
    <row r="38" spans="1:20">
      <c r="A38" s="106" t="s">
        <v>86</v>
      </c>
      <c r="B38" s="106"/>
      <c r="C38" s="454"/>
      <c r="D38" s="198" t="s">
        <v>484</v>
      </c>
      <c r="E38" s="454"/>
      <c r="F38" s="454"/>
      <c r="G38" s="450" t="s">
        <v>867</v>
      </c>
      <c r="H38" s="451"/>
      <c r="I38" s="451" t="s">
        <v>740</v>
      </c>
      <c r="J38" s="509"/>
      <c r="K38" s="111" t="s">
        <v>163</v>
      </c>
      <c r="L38" s="451"/>
      <c r="M38" s="450" t="s">
        <v>867</v>
      </c>
      <c r="P38" s="453"/>
      <c r="Q38" s="111"/>
      <c r="R38" s="451"/>
    </row>
    <row r="39" spans="1:20">
      <c r="A39" s="455" t="s">
        <v>87</v>
      </c>
      <c r="B39" s="198"/>
      <c r="C39" s="367"/>
      <c r="D39" s="456" t="s">
        <v>490</v>
      </c>
      <c r="E39" s="367"/>
      <c r="F39" s="457"/>
      <c r="G39" s="458" t="s">
        <v>925</v>
      </c>
      <c r="H39" s="459"/>
      <c r="I39" s="456" t="s">
        <v>873</v>
      </c>
      <c r="J39" s="459"/>
      <c r="K39" s="458" t="s">
        <v>873</v>
      </c>
      <c r="L39" s="459"/>
      <c r="M39" s="458" t="s">
        <v>873</v>
      </c>
      <c r="P39" s="459"/>
      <c r="Q39" s="311"/>
      <c r="R39" s="459"/>
      <c r="T39" s="100"/>
    </row>
    <row r="40" spans="1:20">
      <c r="A40" s="198"/>
      <c r="B40" s="198"/>
      <c r="C40" s="460"/>
      <c r="D40" s="237"/>
      <c r="E40" s="460"/>
      <c r="F40" s="457"/>
      <c r="G40" s="311" t="s">
        <v>358</v>
      </c>
      <c r="H40" s="730"/>
      <c r="I40" s="311" t="s">
        <v>357</v>
      </c>
      <c r="J40" s="730"/>
      <c r="K40" s="311" t="s">
        <v>359</v>
      </c>
      <c r="L40" s="730"/>
      <c r="M40" s="311" t="s">
        <v>360</v>
      </c>
      <c r="N40" s="730"/>
      <c r="O40" s="311"/>
      <c r="P40" s="730"/>
      <c r="Q40" s="311"/>
      <c r="R40" s="110"/>
      <c r="S40" s="311"/>
    </row>
    <row r="41" spans="1:20">
      <c r="Q41" s="142"/>
    </row>
    <row r="42" spans="1:20">
      <c r="A42">
        <v>1</v>
      </c>
      <c r="C42" s="462">
        <v>42736</v>
      </c>
      <c r="D42" s="275" t="s">
        <v>1876</v>
      </c>
      <c r="E42" s="1170" t="s">
        <v>1877</v>
      </c>
      <c r="G42" s="463">
        <v>6372249</v>
      </c>
      <c r="I42" s="463">
        <v>-229653.62</v>
      </c>
      <c r="K42" s="463">
        <v>-6532.8863631684699</v>
      </c>
      <c r="M42" s="135">
        <f t="shared" ref="M42:M53" si="1">SUM(G42:K42)</f>
        <v>6136062.4936368316</v>
      </c>
      <c r="Q42" s="480"/>
    </row>
    <row r="43" spans="1:20">
      <c r="A43">
        <v>2</v>
      </c>
      <c r="C43" s="462">
        <v>42767</v>
      </c>
      <c r="D43" s="275" t="s">
        <v>1878</v>
      </c>
      <c r="E43" s="1170" t="s">
        <v>1879</v>
      </c>
      <c r="G43" s="463">
        <v>5824401</v>
      </c>
      <c r="I43" s="463">
        <v>-194609.24</v>
      </c>
      <c r="K43" s="463">
        <v>-5530.7070682346193</v>
      </c>
      <c r="M43" s="135">
        <f t="shared" si="1"/>
        <v>5624261.0529317651</v>
      </c>
      <c r="Q43" s="480"/>
    </row>
    <row r="44" spans="1:20">
      <c r="A44">
        <v>3</v>
      </c>
      <c r="C44" s="462">
        <v>42795</v>
      </c>
      <c r="D44" s="275" t="s">
        <v>1880</v>
      </c>
      <c r="E44" s="1170" t="s">
        <v>1879</v>
      </c>
      <c r="G44" s="463">
        <v>5490265</v>
      </c>
      <c r="I44" s="463">
        <v>-211287.258</v>
      </c>
      <c r="K44" s="463">
        <v>-6642.3084364270935</v>
      </c>
      <c r="M44" s="135">
        <f t="shared" si="1"/>
        <v>5272335.4335635724</v>
      </c>
      <c r="Q44" s="480"/>
    </row>
    <row r="45" spans="1:20">
      <c r="A45">
        <v>4</v>
      </c>
      <c r="C45" s="462">
        <v>42826</v>
      </c>
      <c r="D45" s="275" t="s">
        <v>1876</v>
      </c>
      <c r="E45" s="1170" t="s">
        <v>1881</v>
      </c>
      <c r="G45" s="463">
        <v>4937163</v>
      </c>
      <c r="I45" s="463">
        <v>-154923.95800000001</v>
      </c>
      <c r="K45" s="463">
        <v>-5132.3637902005603</v>
      </c>
      <c r="M45" s="135">
        <f t="shared" si="1"/>
        <v>4777106.6782097993</v>
      </c>
      <c r="Q45" s="480"/>
    </row>
    <row r="46" spans="1:20">
      <c r="A46">
        <v>5</v>
      </c>
      <c r="C46" s="462">
        <v>42856</v>
      </c>
      <c r="D46" s="275" t="s">
        <v>1882</v>
      </c>
      <c r="E46" s="1170" t="s">
        <v>1877</v>
      </c>
      <c r="G46" s="463">
        <v>5165710</v>
      </c>
      <c r="I46" s="463">
        <v>-111325.43800000001</v>
      </c>
      <c r="K46" s="463">
        <v>-5550.9827041217395</v>
      </c>
      <c r="M46" s="135">
        <f t="shared" si="1"/>
        <v>5048833.5792958783</v>
      </c>
      <c r="Q46" s="480"/>
    </row>
    <row r="47" spans="1:20">
      <c r="A47">
        <v>6</v>
      </c>
      <c r="C47" s="462">
        <v>42887</v>
      </c>
      <c r="D47" s="275" t="s">
        <v>1883</v>
      </c>
      <c r="E47" s="1170" t="s">
        <v>1884</v>
      </c>
      <c r="G47" s="463">
        <v>7297917</v>
      </c>
      <c r="I47" s="463">
        <v>-126187.36200000001</v>
      </c>
      <c r="K47" s="463">
        <v>-5805.5349611828533</v>
      </c>
      <c r="M47" s="135">
        <f t="shared" si="1"/>
        <v>7165924.1030388176</v>
      </c>
      <c r="Q47" s="480"/>
    </row>
    <row r="48" spans="1:20">
      <c r="A48">
        <v>7</v>
      </c>
      <c r="C48" s="462">
        <v>42917</v>
      </c>
      <c r="D48" s="275" t="s">
        <v>1885</v>
      </c>
      <c r="E48" s="1170" t="s">
        <v>1886</v>
      </c>
      <c r="G48" s="463">
        <v>7499809</v>
      </c>
      <c r="I48" s="463">
        <v>-130550.28</v>
      </c>
      <c r="K48" s="463">
        <v>-5540.7545184748478</v>
      </c>
      <c r="M48" s="135">
        <f t="shared" si="1"/>
        <v>7363717.9654815253</v>
      </c>
      <c r="Q48" s="480"/>
    </row>
    <row r="49" spans="1:17">
      <c r="A49">
        <v>8</v>
      </c>
      <c r="C49" s="462">
        <v>42948</v>
      </c>
      <c r="D49" s="275" t="s">
        <v>1887</v>
      </c>
      <c r="E49" s="1170" t="s">
        <v>1884</v>
      </c>
      <c r="G49" s="463">
        <v>6717641</v>
      </c>
      <c r="I49" s="463">
        <v>-116483.47200000001</v>
      </c>
      <c r="K49" s="463">
        <v>-5352.0454182027506</v>
      </c>
      <c r="M49" s="135">
        <f t="shared" si="1"/>
        <v>6595805.4825817971</v>
      </c>
      <c r="Q49" s="480"/>
    </row>
    <row r="50" spans="1:17">
      <c r="A50">
        <v>9</v>
      </c>
      <c r="C50" s="462">
        <v>42979</v>
      </c>
      <c r="D50" s="275" t="s">
        <v>1888</v>
      </c>
      <c r="E50" s="1170" t="s">
        <v>1884</v>
      </c>
      <c r="G50" s="463">
        <v>6469287</v>
      </c>
      <c r="I50" s="463">
        <v>-110999.42</v>
      </c>
      <c r="K50" s="463">
        <v>-3572.717678835083</v>
      </c>
      <c r="M50" s="135">
        <f t="shared" si="1"/>
        <v>6354714.8623211654</v>
      </c>
      <c r="Q50" s="480"/>
    </row>
    <row r="51" spans="1:17">
      <c r="A51">
        <v>10</v>
      </c>
      <c r="C51" s="462">
        <v>43009</v>
      </c>
      <c r="D51" s="275" t="s">
        <v>1889</v>
      </c>
      <c r="E51" s="1170" t="s">
        <v>1879</v>
      </c>
      <c r="G51" s="463">
        <v>5150497</v>
      </c>
      <c r="I51" s="463">
        <v>-122978.5655028</v>
      </c>
      <c r="K51" s="463">
        <v>-5749.3147153268792</v>
      </c>
      <c r="M51" s="135">
        <f t="shared" si="1"/>
        <v>5021769.1197818732</v>
      </c>
      <c r="Q51" s="480"/>
    </row>
    <row r="52" spans="1:17">
      <c r="A52">
        <v>11</v>
      </c>
      <c r="C52" s="462">
        <v>43040</v>
      </c>
      <c r="D52" s="275" t="s">
        <v>1890</v>
      </c>
      <c r="E52" s="1170" t="s">
        <v>1877</v>
      </c>
      <c r="G52" s="463">
        <v>5433614</v>
      </c>
      <c r="I52" s="463">
        <v>-141939.3893372</v>
      </c>
      <c r="K52" s="463">
        <v>-7215.473404450011</v>
      </c>
      <c r="M52" s="135">
        <f t="shared" si="1"/>
        <v>5284459.1372583499</v>
      </c>
      <c r="Q52" s="480"/>
    </row>
    <row r="53" spans="1:17">
      <c r="A53">
        <v>12</v>
      </c>
      <c r="C53" s="462">
        <v>43070</v>
      </c>
      <c r="D53" s="275" t="s">
        <v>1883</v>
      </c>
      <c r="E53" s="1170" t="s">
        <v>1877</v>
      </c>
      <c r="G53" s="464">
        <v>6003218</v>
      </c>
      <c r="I53" s="464">
        <v>-229547.25381700002</v>
      </c>
      <c r="K53" s="464">
        <v>-3176.6347536564126</v>
      </c>
      <c r="M53" s="182">
        <f t="shared" si="1"/>
        <v>5770494.111429343</v>
      </c>
      <c r="Q53" s="480"/>
    </row>
    <row r="54" spans="1:17">
      <c r="A54">
        <v>13</v>
      </c>
      <c r="C54" t="s">
        <v>70</v>
      </c>
      <c r="G54" s="135">
        <f>SUM(G42:G53)</f>
        <v>72361771</v>
      </c>
      <c r="I54" s="135">
        <f>SUM(I42:I53)</f>
        <v>-1880485.2566569999</v>
      </c>
      <c r="K54" s="135">
        <f>SUM(K42:K53)</f>
        <v>-65801.723812281329</v>
      </c>
      <c r="M54" s="135">
        <f>SUM(M42:M53)</f>
        <v>70415484.019530728</v>
      </c>
      <c r="Q54" s="481"/>
    </row>
    <row r="55" spans="1:17" ht="13.5" thickBot="1">
      <c r="A55">
        <v>14</v>
      </c>
      <c r="Q55" s="142"/>
    </row>
    <row r="56" spans="1:17" ht="13.5" thickBot="1">
      <c r="A56">
        <v>15</v>
      </c>
      <c r="C56" t="s">
        <v>491</v>
      </c>
      <c r="G56" s="461">
        <f>ROUND(G54/12,0)</f>
        <v>6030148</v>
      </c>
      <c r="H56" s="277"/>
      <c r="I56" s="461">
        <f>ROUND(I54/12,0)</f>
        <v>-156707</v>
      </c>
      <c r="J56" s="277"/>
      <c r="K56" s="461">
        <f>ROUND(K54/12,0)</f>
        <v>-5483</v>
      </c>
      <c r="L56" s="277"/>
      <c r="M56" s="183">
        <f>SUM(G56:K56)</f>
        <v>5867958</v>
      </c>
      <c r="P56" s="277"/>
      <c r="Q56" s="480"/>
    </row>
    <row r="57" spans="1:17" ht="13.5" thickTop="1">
      <c r="M57" s="1279">
        <f>'WP_F-1'!E113</f>
        <v>1104081</v>
      </c>
    </row>
    <row r="58" spans="1:17">
      <c r="M58" s="1280">
        <f>M57/M56</f>
        <v>0.18815420969270741</v>
      </c>
    </row>
    <row r="59" spans="1:17">
      <c r="C59" s="79" t="s">
        <v>1199</v>
      </c>
    </row>
    <row r="63" spans="1:17">
      <c r="I63" s="277"/>
    </row>
    <row r="65" spans="9:9">
      <c r="I65" s="552"/>
    </row>
  </sheetData>
  <mergeCells count="2">
    <mergeCell ref="G7:S7"/>
    <mergeCell ref="G33:M33"/>
  </mergeCells>
  <phoneticPr fontId="2" type="noConversion"/>
  <pageMargins left="0.75" right="0.75" top="1" bottom="1" header="0.5" footer="0.5"/>
  <pageSetup scale="75" orientation="portrait" r:id="rId1"/>
  <headerFooter alignWithMargins="0">
    <oddHeader>&amp;RPage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E136"/>
  <sheetViews>
    <sheetView view="pageBreakPreview" zoomScale="60" zoomScaleNormal="100" workbookViewId="0">
      <selection activeCell="Z34" sqref="Z34"/>
    </sheetView>
  </sheetViews>
  <sheetFormatPr defaultRowHeight="12.75"/>
  <cols>
    <col min="2" max="2" width="79.85546875" bestFit="1" customWidth="1"/>
    <col min="3" max="3" width="30.85546875" style="106" customWidth="1"/>
    <col min="4" max="4" width="12.5703125" style="108" bestFit="1" customWidth="1"/>
    <col min="5" max="5" width="4.85546875" bestFit="1" customWidth="1"/>
  </cols>
  <sheetData>
    <row r="1" spans="1:5">
      <c r="A1" s="99" t="str">
        <f>'Cover Page'!A5</f>
        <v>Public Service Company of Colorado</v>
      </c>
      <c r="D1" s="366" t="str">
        <f>'Table of Contents'!A35</f>
        <v>Table 27</v>
      </c>
    </row>
    <row r="2" spans="1:5">
      <c r="A2" s="99" t="str">
        <f>'Cover Page'!A6</f>
        <v>Transmission Formula Rate Template</v>
      </c>
      <c r="D2" s="133" t="str">
        <f ca="1">MID(CELL("filename",$A$1),FIND("]",CELL("filename",$A$1))+1,LEN(CELL("filename",$A$1))-FIND("]",CELL("filename",$A$1)))</f>
        <v>Schedule 1</v>
      </c>
    </row>
    <row r="3" spans="1:5">
      <c r="A3" s="99" t="s">
        <v>199</v>
      </c>
      <c r="D3" s="133"/>
    </row>
    <row r="4" spans="1:5">
      <c r="A4" s="99" t="s">
        <v>200</v>
      </c>
    </row>
    <row r="5" spans="1:5" ht="12.75" customHeight="1">
      <c r="A5" s="501"/>
      <c r="C5" s="120"/>
      <c r="D5" s="107"/>
      <c r="E5" s="107"/>
    </row>
    <row r="7" spans="1:5">
      <c r="A7" s="2" t="s">
        <v>862</v>
      </c>
      <c r="B7" s="2" t="s">
        <v>912</v>
      </c>
      <c r="C7" s="2" t="s">
        <v>864</v>
      </c>
      <c r="D7" s="123" t="s">
        <v>913</v>
      </c>
    </row>
    <row r="9" spans="1:5">
      <c r="A9" s="106">
        <v>1</v>
      </c>
      <c r="B9" s="526" t="s">
        <v>1442</v>
      </c>
    </row>
    <row r="10" spans="1:5">
      <c r="A10" s="106">
        <f>A9+1</f>
        <v>2</v>
      </c>
      <c r="B10" s="105" t="s">
        <v>871</v>
      </c>
      <c r="C10" s="111" t="str">
        <f ca="1">'WP_C-1'!M2&amp;" Lines "&amp;'WP_C-1'!A12&amp;" through "&amp;'WP_C-1'!A19</f>
        <v>WP_C-1 Lines 2 through 9</v>
      </c>
      <c r="D10" s="109">
        <f>SUM('WP_C-1'!H12:H19)</f>
        <v>8120350.3685999988</v>
      </c>
    </row>
    <row r="11" spans="1:5">
      <c r="A11" s="106">
        <f t="shared" ref="A11:A38" si="0">A10+1</f>
        <v>3</v>
      </c>
      <c r="B11" s="547" t="s">
        <v>1200</v>
      </c>
      <c r="C11" s="111" t="str">
        <f ca="1">'WP_C-1'!M2&amp;" Line "&amp;'WP_C-1'!A15</f>
        <v>WP_C-1 Line 5</v>
      </c>
      <c r="D11" s="109">
        <f>-'WP_C-1'!H15</f>
        <v>0</v>
      </c>
    </row>
    <row r="12" spans="1:5">
      <c r="A12" s="106">
        <f t="shared" si="0"/>
        <v>4</v>
      </c>
      <c r="B12" s="627" t="s">
        <v>595</v>
      </c>
      <c r="C12" s="111" t="str">
        <f ca="1">'WP_C-1'!M2&amp;" Line "&amp;'WP_C-1'!A16</f>
        <v>WP_C-1 Line 6</v>
      </c>
      <c r="D12" s="109">
        <f>-'WP_C-1'!H16</f>
        <v>-73437.190900000001</v>
      </c>
    </row>
    <row r="13" spans="1:5">
      <c r="A13" s="106">
        <f t="shared" si="0"/>
        <v>5</v>
      </c>
      <c r="B13" s="627" t="s">
        <v>596</v>
      </c>
      <c r="C13" s="111" t="str">
        <f ca="1">'WP_C-1'!M2&amp;" Line "&amp;'WP_C-1'!A17</f>
        <v>WP_C-1 Line 7</v>
      </c>
      <c r="D13" s="109">
        <f>-'WP_C-1'!H17</f>
        <v>-85640.717900000003</v>
      </c>
    </row>
    <row r="14" spans="1:5">
      <c r="A14" s="106">
        <f t="shared" si="0"/>
        <v>6</v>
      </c>
      <c r="B14" s="627" t="s">
        <v>597</v>
      </c>
      <c r="C14" s="111" t="str">
        <f ca="1">'WP_C-1'!M2&amp;" Line "&amp;'WP_C-1'!A18</f>
        <v>WP_C-1 Line 8</v>
      </c>
      <c r="D14" s="109">
        <f>-'WP_C-1'!H18</f>
        <v>28058.062599999976</v>
      </c>
    </row>
    <row r="15" spans="1:5">
      <c r="A15" s="106">
        <f t="shared" si="0"/>
        <v>7</v>
      </c>
      <c r="B15" s="627" t="s">
        <v>598</v>
      </c>
      <c r="C15" s="111" t="str">
        <f ca="1">'WP_C-1'!M2&amp;" Line "&amp;'WP_C-1'!A19</f>
        <v>WP_C-1 Line 9</v>
      </c>
      <c r="D15" s="112">
        <f>-'WP_C-1'!H19</f>
        <v>-3278774.7766000004</v>
      </c>
    </row>
    <row r="16" spans="1:5">
      <c r="A16" s="106">
        <f t="shared" si="0"/>
        <v>8</v>
      </c>
      <c r="B16" s="119" t="s">
        <v>872</v>
      </c>
      <c r="C16" s="111" t="str">
        <f>"Sum Lines "&amp;A10&amp;" through "&amp;A15</f>
        <v>Sum Lines 2 through 7</v>
      </c>
      <c r="D16" s="109">
        <f>SUM(D10:D15)</f>
        <v>4710555.7457999988</v>
      </c>
    </row>
    <row r="17" spans="1:5">
      <c r="A17" s="106">
        <f t="shared" si="0"/>
        <v>9</v>
      </c>
      <c r="B17" s="105"/>
      <c r="C17" s="111"/>
      <c r="D17" s="109"/>
    </row>
    <row r="18" spans="1:5">
      <c r="A18" s="106">
        <f t="shared" si="0"/>
        <v>10</v>
      </c>
      <c r="B18" s="105" t="s">
        <v>855</v>
      </c>
      <c r="C18" s="111" t="str">
        <f ca="1">'WP_F-1'!R2&amp;" Line "&amp;'WP_F-1'!A54</f>
        <v>WP_F-1 Line 42</v>
      </c>
      <c r="D18" s="109">
        <f>'WP_F-1'!H54</f>
        <v>693176.20328626747</v>
      </c>
    </row>
    <row r="19" spans="1:5">
      <c r="A19" s="106">
        <f t="shared" si="0"/>
        <v>11</v>
      </c>
      <c r="B19" s="105"/>
      <c r="C19" s="111"/>
      <c r="D19" s="109"/>
    </row>
    <row r="20" spans="1:5">
      <c r="A20" s="106">
        <f t="shared" si="0"/>
        <v>12</v>
      </c>
      <c r="B20" s="119" t="s">
        <v>850</v>
      </c>
      <c r="C20" s="106" t="str">
        <f>"(Ln "&amp;A16&amp;" - Ln "&amp;A18&amp;")"</f>
        <v>(Ln 8 - Ln 10)</v>
      </c>
      <c r="D20" s="109">
        <f>D16-D18</f>
        <v>4017379.5425137314</v>
      </c>
    </row>
    <row r="21" spans="1:5">
      <c r="A21" s="106">
        <f t="shared" si="0"/>
        <v>13</v>
      </c>
      <c r="B21" s="105"/>
      <c r="D21" s="109"/>
    </row>
    <row r="22" spans="1:5">
      <c r="A22" s="106">
        <f t="shared" si="0"/>
        <v>14</v>
      </c>
      <c r="D22" s="113"/>
    </row>
    <row r="23" spans="1:5">
      <c r="A23" s="106">
        <f t="shared" si="0"/>
        <v>15</v>
      </c>
      <c r="B23" s="807" t="s">
        <v>853</v>
      </c>
    </row>
    <row r="24" spans="1:5">
      <c r="A24" s="106">
        <f t="shared" si="0"/>
        <v>16</v>
      </c>
      <c r="B24" s="119" t="s">
        <v>852</v>
      </c>
      <c r="C24" s="111" t="str">
        <f ca="1">'WP_I-1'!S2&amp;" Line "&amp;'WP_I-1'!A30</f>
        <v>WP_I-1 Line 15</v>
      </c>
      <c r="D24" s="115">
        <f>'WP_I-1'!S30</f>
        <v>5935959</v>
      </c>
      <c r="E24" t="s">
        <v>873</v>
      </c>
    </row>
    <row r="25" spans="1:5">
      <c r="A25" s="106">
        <f t="shared" si="0"/>
        <v>17</v>
      </c>
      <c r="B25" s="121"/>
      <c r="C25" s="111"/>
    </row>
    <row r="26" spans="1:5">
      <c r="A26" s="106">
        <f t="shared" si="0"/>
        <v>18</v>
      </c>
      <c r="B26" s="121" t="s">
        <v>874</v>
      </c>
      <c r="C26" s="111" t="str">
        <f>"((Line "&amp;A20&amp;" /Line "&amp;A24&amp;") /12)"</f>
        <v>((Line 12 /Line 16) /12)</v>
      </c>
      <c r="D26" s="756">
        <f>IF(D24=0,0,(ROUND(((D20/D24)/12),3)))</f>
        <v>5.6000000000000001E-2</v>
      </c>
      <c r="E26" t="s">
        <v>873</v>
      </c>
    </row>
    <row r="27" spans="1:5">
      <c r="A27" s="106">
        <f t="shared" si="0"/>
        <v>19</v>
      </c>
      <c r="B27" s="121" t="s">
        <v>875</v>
      </c>
      <c r="C27" s="111" t="str">
        <f>"((Line "&amp;A20&amp;" /Line "&amp;A24&amp;") /52)"</f>
        <v>((Line 12 /Line 16) /52)</v>
      </c>
      <c r="D27" s="756">
        <f>IF(D24=0,0,(ROUND(((D20/D24)/52),3)))</f>
        <v>1.2999999999999999E-2</v>
      </c>
      <c r="E27" t="s">
        <v>873</v>
      </c>
    </row>
    <row r="28" spans="1:5">
      <c r="A28" s="106">
        <f t="shared" si="0"/>
        <v>20</v>
      </c>
      <c r="B28" s="121" t="s">
        <v>876</v>
      </c>
      <c r="C28" s="111" t="str">
        <f>"((Line "&amp;A20&amp;" /Line "&amp;A24&amp;") /365)"</f>
        <v>((Line 12 /Line 16) /365)</v>
      </c>
      <c r="D28" s="756">
        <f>IF(D24=0,0,(ROUND(((D20/D24)/365),3)))</f>
        <v>2E-3</v>
      </c>
      <c r="E28" t="s">
        <v>873</v>
      </c>
    </row>
    <row r="29" spans="1:5">
      <c r="A29" s="106">
        <f t="shared" si="0"/>
        <v>21</v>
      </c>
      <c r="B29" s="121" t="s">
        <v>881</v>
      </c>
      <c r="C29" s="111" t="str">
        <f>"((Line "&amp;A20&amp;" /Line "&amp;A24&amp;") /8760 * 1000)"</f>
        <v>((Line 12 /Line 16) /8760 * 1000)</v>
      </c>
      <c r="D29" s="756">
        <f>IF(D24=0,0,(ROUND((((D20/D24)/8760)*1000),3)))</f>
        <v>7.6999999999999999E-2</v>
      </c>
      <c r="E29" t="s">
        <v>882</v>
      </c>
    </row>
    <row r="30" spans="1:5">
      <c r="A30" s="106">
        <f t="shared" si="0"/>
        <v>22</v>
      </c>
      <c r="C30" s="111"/>
      <c r="D30" s="113"/>
    </row>
    <row r="31" spans="1:5">
      <c r="A31" s="106">
        <f t="shared" si="0"/>
        <v>23</v>
      </c>
      <c r="B31" s="99"/>
      <c r="D31" s="113"/>
    </row>
    <row r="32" spans="1:5">
      <c r="A32" s="106">
        <f t="shared" si="0"/>
        <v>24</v>
      </c>
      <c r="D32" s="113"/>
    </row>
    <row r="33" spans="1:5">
      <c r="A33" s="106">
        <f t="shared" si="0"/>
        <v>25</v>
      </c>
      <c r="B33" s="526" t="s">
        <v>1443</v>
      </c>
      <c r="D33" s="113"/>
    </row>
    <row r="34" spans="1:5">
      <c r="A34" s="106">
        <f t="shared" si="0"/>
        <v>26</v>
      </c>
      <c r="B34" s="105" t="s">
        <v>871</v>
      </c>
      <c r="C34" s="111" t="str">
        <f ca="1">'WP_C-1'!M2&amp;" Lines "&amp;'WP_C-1'!A12&amp;" through "&amp;'WP_C-1'!A19</f>
        <v>WP_C-1 Lines 2 through 9</v>
      </c>
      <c r="D34" s="109">
        <f>SUM('WP_C-1'!M12:M19)</f>
        <v>8546604</v>
      </c>
    </row>
    <row r="35" spans="1:5">
      <c r="A35" s="106">
        <f t="shared" si="0"/>
        <v>27</v>
      </c>
      <c r="B35" s="547" t="s">
        <v>1200</v>
      </c>
      <c r="C35" s="111" t="str">
        <f ca="1">'WP_C-1'!M2&amp;" Line "&amp;'WP_C-1'!A15</f>
        <v>WP_C-1 Line 5</v>
      </c>
      <c r="D35" s="109">
        <f>-'WP_C-1'!M15</f>
        <v>-220</v>
      </c>
    </row>
    <row r="36" spans="1:5">
      <c r="A36" s="106">
        <f t="shared" si="0"/>
        <v>28</v>
      </c>
      <c r="B36" s="627" t="s">
        <v>595</v>
      </c>
      <c r="C36" s="111" t="str">
        <f ca="1">'WP_C-1'!M2&amp;" Line "&amp;'WP_C-1'!A16</f>
        <v>WP_C-1 Line 6</v>
      </c>
      <c r="D36" s="109">
        <f>-'WP_C-1'!M16</f>
        <v>-180</v>
      </c>
    </row>
    <row r="37" spans="1:5">
      <c r="A37" s="106">
        <f t="shared" si="0"/>
        <v>29</v>
      </c>
      <c r="B37" s="627" t="s">
        <v>596</v>
      </c>
      <c r="C37" s="111" t="str">
        <f ca="1">'WP_C-1'!M2&amp;" Line "&amp;'WP_C-1'!A17</f>
        <v>WP_C-1 Line 7</v>
      </c>
      <c r="D37" s="109">
        <f>-'WP_C-1'!M17</f>
        <v>0</v>
      </c>
    </row>
    <row r="38" spans="1:5">
      <c r="A38" s="106">
        <f t="shared" si="0"/>
        <v>30</v>
      </c>
      <c r="B38" s="627" t="s">
        <v>597</v>
      </c>
      <c r="C38" s="111" t="str">
        <f ca="1">'WP_C-1'!M2&amp;" Line "&amp;'WP_C-1'!A18</f>
        <v>WP_C-1 Line 8</v>
      </c>
      <c r="D38" s="109">
        <f>-'WP_C-1'!M18</f>
        <v>141759</v>
      </c>
    </row>
    <row r="39" spans="1:5">
      <c r="A39" s="106">
        <f t="shared" ref="A39:A52" si="1">A38+1</f>
        <v>31</v>
      </c>
      <c r="B39" s="627" t="s">
        <v>598</v>
      </c>
      <c r="C39" s="111" t="str">
        <f ca="1">'WP_C-1'!M2&amp;" Line "&amp;'WP_C-1'!A19</f>
        <v>WP_C-1 Line 9</v>
      </c>
      <c r="D39" s="112">
        <f>-'WP_C-1'!M19</f>
        <v>-4212233</v>
      </c>
    </row>
    <row r="40" spans="1:5">
      <c r="A40" s="106">
        <f t="shared" si="1"/>
        <v>32</v>
      </c>
      <c r="B40" s="119" t="s">
        <v>883</v>
      </c>
      <c r="C40" s="111" t="str">
        <f>"Sum Lines "&amp;A34&amp;" through "&amp;A39</f>
        <v>Sum Lines 26 through 31</v>
      </c>
      <c r="D40" s="109">
        <f>SUM(D34:D39)</f>
        <v>4475730</v>
      </c>
    </row>
    <row r="41" spans="1:5">
      <c r="A41" s="106">
        <f t="shared" si="1"/>
        <v>33</v>
      </c>
      <c r="B41" s="105"/>
      <c r="D41" s="109"/>
    </row>
    <row r="42" spans="1:5">
      <c r="A42" s="106">
        <f t="shared" si="1"/>
        <v>34</v>
      </c>
      <c r="B42" s="105" t="s">
        <v>884</v>
      </c>
      <c r="C42" s="111" t="str">
        <f ca="1">'WP_F-1'!R2&amp;" Line "&amp;'WP_F-1'!A114</f>
        <v>WP_F-1 Line 42</v>
      </c>
      <c r="D42" s="109">
        <f>'WP_F-1'!H114</f>
        <v>630710</v>
      </c>
    </row>
    <row r="43" spans="1:5">
      <c r="A43" s="106">
        <f t="shared" si="1"/>
        <v>35</v>
      </c>
      <c r="B43" s="105"/>
      <c r="D43" s="113"/>
    </row>
    <row r="44" spans="1:5">
      <c r="A44" s="106">
        <f t="shared" si="1"/>
        <v>36</v>
      </c>
      <c r="B44" s="105" t="s">
        <v>885</v>
      </c>
      <c r="C44" s="106" t="str">
        <f>"(Ln "&amp;A40&amp;" - Ln "&amp;A42&amp;")"</f>
        <v>(Ln 32 - Ln 34)</v>
      </c>
      <c r="D44" s="113">
        <f>D40-D42</f>
        <v>3845020</v>
      </c>
    </row>
    <row r="45" spans="1:5">
      <c r="A45" s="106">
        <f t="shared" si="1"/>
        <v>37</v>
      </c>
      <c r="B45" s="105"/>
      <c r="D45" s="113"/>
    </row>
    <row r="46" spans="1:5">
      <c r="A46" s="111">
        <f t="shared" si="1"/>
        <v>38</v>
      </c>
      <c r="B46" s="807" t="s">
        <v>854</v>
      </c>
      <c r="C46" s="111"/>
      <c r="D46" s="109"/>
      <c r="E46" s="110"/>
    </row>
    <row r="47" spans="1:5">
      <c r="A47" s="111">
        <f t="shared" si="1"/>
        <v>39</v>
      </c>
      <c r="B47" s="119" t="s">
        <v>851</v>
      </c>
      <c r="C47" s="111" t="str">
        <f ca="1">'WP_I-1'!S2&amp;" Line "&amp;'WP_I-1'!A56</f>
        <v>WP_I-1 Line 15</v>
      </c>
      <c r="D47" s="115">
        <f>'WP_I-1'!M56</f>
        <v>5867958</v>
      </c>
      <c r="E47" s="110" t="s">
        <v>873</v>
      </c>
    </row>
    <row r="48" spans="1:5">
      <c r="A48" s="111">
        <f t="shared" si="1"/>
        <v>40</v>
      </c>
      <c r="B48" s="783"/>
      <c r="C48" s="111"/>
      <c r="D48" s="115"/>
      <c r="E48" s="110"/>
    </row>
    <row r="49" spans="1:5">
      <c r="A49" s="111">
        <f t="shared" si="1"/>
        <v>41</v>
      </c>
      <c r="B49" s="783" t="s">
        <v>874</v>
      </c>
      <c r="C49" s="111" t="str">
        <f>"((Line "&amp;A44&amp;" /Line "&amp;A47&amp;") /12)"</f>
        <v>((Line 36 /Line 39) /12)</v>
      </c>
      <c r="D49" s="808">
        <f>IF(D47=0,0,(ROUND(((D44/D47)/12),3)))</f>
        <v>5.5E-2</v>
      </c>
      <c r="E49" s="110" t="s">
        <v>873</v>
      </c>
    </row>
    <row r="50" spans="1:5">
      <c r="A50" s="111">
        <f t="shared" si="1"/>
        <v>42</v>
      </c>
      <c r="B50" s="783" t="s">
        <v>875</v>
      </c>
      <c r="C50" s="111" t="str">
        <f>"((Line "&amp;A44&amp;" /Line "&amp;A47&amp;") /52)"</f>
        <v>((Line 36 /Line 39) /52)</v>
      </c>
      <c r="D50" s="808">
        <f>IF(D47=0,0,(ROUND(((D44/D47)/52),3)))</f>
        <v>1.2999999999999999E-2</v>
      </c>
      <c r="E50" s="110" t="s">
        <v>873</v>
      </c>
    </row>
    <row r="51" spans="1:5">
      <c r="A51" s="111">
        <f t="shared" si="1"/>
        <v>43</v>
      </c>
      <c r="B51" s="783" t="s">
        <v>876</v>
      </c>
      <c r="C51" s="111" t="str">
        <f>"((Line "&amp;A44&amp;" /Line "&amp;A47&amp;") /365)"</f>
        <v>((Line 36 /Line 39) /365)</v>
      </c>
      <c r="D51" s="808">
        <f>IF(D47=0,0,(ROUND(((D44/D47)/365),3)))</f>
        <v>2E-3</v>
      </c>
      <c r="E51" s="110" t="s">
        <v>873</v>
      </c>
    </row>
    <row r="52" spans="1:5">
      <c r="A52" s="111">
        <f t="shared" si="1"/>
        <v>44</v>
      </c>
      <c r="B52" s="783" t="s">
        <v>881</v>
      </c>
      <c r="C52" s="111" t="str">
        <f>"((Line "&amp;A44&amp;" /Line "&amp;A47&amp;") /8760 * 1000)"</f>
        <v>((Line 36 /Line 39) /8760 * 1000)</v>
      </c>
      <c r="D52" s="808">
        <f>IF(D47=0,0,(ROUND((((D44/D47)/8760)*1000),3)))</f>
        <v>7.4999999999999997E-2</v>
      </c>
      <c r="E52" s="110" t="s">
        <v>882</v>
      </c>
    </row>
    <row r="53" spans="1:5">
      <c r="A53" s="106"/>
      <c r="B53" s="105"/>
      <c r="D53" s="113"/>
    </row>
    <row r="54" spans="1:5">
      <c r="A54" s="106"/>
      <c r="B54" s="105"/>
      <c r="D54" s="113"/>
    </row>
    <row r="55" spans="1:5">
      <c r="A55" s="106"/>
      <c r="B55" s="105"/>
      <c r="D55" s="113"/>
    </row>
    <row r="136" spans="1:2">
      <c r="A136" s="110"/>
      <c r="B136" s="110"/>
    </row>
  </sheetData>
  <phoneticPr fontId="2" type="noConversion"/>
  <printOptions horizontalCentered="1"/>
  <pageMargins left="0.75" right="0.5" top="0.75" bottom="0.75" header="0.5" footer="0.5"/>
  <pageSetup scale="68" firstPageNumber="7" orientation="portrait" cellComments="atEnd" r:id="rId1"/>
  <headerFooter alignWithMargins="0">
    <oddHeader>&amp;RPage &amp;P of &amp;N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A1:K82"/>
  <sheetViews>
    <sheetView view="pageBreakPreview" zoomScale="60" zoomScaleNormal="100" workbookViewId="0">
      <selection activeCell="Z34" sqref="Z34"/>
    </sheetView>
  </sheetViews>
  <sheetFormatPr defaultRowHeight="12.75"/>
  <cols>
    <col min="1" max="1" width="9.28515625" style="106" bestFit="1" customWidth="1"/>
    <col min="2" max="2" width="11.85546875" customWidth="1"/>
    <col min="4" max="4" width="9.28515625" bestFit="1" customWidth="1"/>
    <col min="7" max="7" width="22" customWidth="1"/>
    <col min="8" max="8" width="14.7109375" style="497" bestFit="1" customWidth="1"/>
    <col min="9" max="9" width="40.28515625" customWidth="1"/>
    <col min="10" max="10" width="14" bestFit="1" customWidth="1"/>
    <col min="11" max="11" width="10.7109375" bestFit="1" customWidth="1"/>
  </cols>
  <sheetData>
    <row r="1" spans="1:10">
      <c r="A1" s="131" t="str">
        <f>'Cover Page'!A5</f>
        <v>Public Service Company of Colorado</v>
      </c>
      <c r="H1" s="495"/>
      <c r="I1" s="133" t="str">
        <f>'Table of Contents'!A36</f>
        <v>Table 28</v>
      </c>
    </row>
    <row r="2" spans="1:10">
      <c r="A2" s="131" t="str">
        <f>'Cover Page'!A6</f>
        <v>Transmission Formula Rate Template</v>
      </c>
      <c r="H2" s="495"/>
      <c r="I2" s="133" t="str">
        <f ca="1">MID(CELL("filename",$A$1),FIND("]",CELL("filename",$A$1))+1,LEN(CELL("filename",$A$1))-FIND("]",CELL("filename",$A$1)))</f>
        <v>Schedule 2</v>
      </c>
    </row>
    <row r="3" spans="1:10">
      <c r="A3" s="99" t="s">
        <v>494</v>
      </c>
      <c r="H3" s="495"/>
    </row>
    <row r="4" spans="1:10">
      <c r="A4" s="99" t="s">
        <v>744</v>
      </c>
      <c r="H4" s="495"/>
    </row>
    <row r="5" spans="1:10">
      <c r="A5"/>
      <c r="H5" s="495"/>
    </row>
    <row r="6" spans="1:10">
      <c r="A6"/>
      <c r="H6" s="495"/>
    </row>
    <row r="7" spans="1:10">
      <c r="A7" s="2" t="s">
        <v>1375</v>
      </c>
      <c r="B7" s="1211" t="s">
        <v>912</v>
      </c>
      <c r="C7" s="1211"/>
      <c r="D7" s="1211"/>
      <c r="E7" s="1211"/>
      <c r="F7" s="1211"/>
      <c r="G7" s="631"/>
      <c r="H7" s="633" t="s">
        <v>913</v>
      </c>
      <c r="I7" s="2" t="s">
        <v>869</v>
      </c>
    </row>
    <row r="8" spans="1:10">
      <c r="H8" s="495"/>
      <c r="J8" s="100"/>
    </row>
    <row r="9" spans="1:10">
      <c r="A9" s="106">
        <v>1</v>
      </c>
      <c r="B9" s="99" t="s">
        <v>413</v>
      </c>
      <c r="H9" s="495"/>
    </row>
    <row r="11" spans="1:10">
      <c r="A11" s="106">
        <v>2</v>
      </c>
      <c r="B11" s="105" t="s">
        <v>405</v>
      </c>
      <c r="C11" t="s">
        <v>406</v>
      </c>
      <c r="G11" s="122"/>
      <c r="H11" s="837">
        <v>401307050</v>
      </c>
      <c r="I11" t="s">
        <v>631</v>
      </c>
    </row>
    <row r="12" spans="1:10">
      <c r="A12" s="106">
        <v>3</v>
      </c>
      <c r="B12" s="105" t="s">
        <v>407</v>
      </c>
      <c r="C12" t="s">
        <v>408</v>
      </c>
      <c r="G12" s="122"/>
      <c r="H12" s="837">
        <v>1278176235</v>
      </c>
      <c r="I12" t="s">
        <v>632</v>
      </c>
    </row>
    <row r="13" spans="1:10">
      <c r="B13" s="105"/>
    </row>
    <row r="14" spans="1:10">
      <c r="A14" s="106">
        <v>4</v>
      </c>
      <c r="B14" s="105" t="s">
        <v>409</v>
      </c>
      <c r="H14" s="500">
        <f>H11+H12</f>
        <v>1679483285</v>
      </c>
      <c r="I14" t="str">
        <f>"Line "&amp;A11&amp;" + Line "&amp;A12</f>
        <v>Line 2 + Line 3</v>
      </c>
      <c r="J14" s="428"/>
    </row>
    <row r="15" spans="1:10">
      <c r="B15" s="105"/>
    </row>
    <row r="16" spans="1:10">
      <c r="A16" s="106">
        <v>5</v>
      </c>
      <c r="B16" s="105" t="s">
        <v>1257</v>
      </c>
      <c r="H16" s="862">
        <v>0.2</v>
      </c>
    </row>
    <row r="17" spans="1:10">
      <c r="B17" s="105"/>
    </row>
    <row r="18" spans="1:10">
      <c r="A18" s="106">
        <f>A16+1</f>
        <v>6</v>
      </c>
      <c r="B18" s="105" t="s">
        <v>1259</v>
      </c>
      <c r="H18" s="500">
        <f>H14*H16</f>
        <v>335896657</v>
      </c>
      <c r="I18" t="str">
        <f>"Line "&amp;A14&amp;" * Line "&amp;A16</f>
        <v>Line 4 * Line 5</v>
      </c>
    </row>
    <row r="19" spans="1:10">
      <c r="B19" s="647"/>
      <c r="H19" s="495"/>
    </row>
    <row r="20" spans="1:10">
      <c r="A20" s="106">
        <f>A18+1</f>
        <v>7</v>
      </c>
      <c r="B20" s="105" t="s">
        <v>410</v>
      </c>
      <c r="H20" s="838">
        <f>2825470+57308512+209491+314237</f>
        <v>60657710</v>
      </c>
      <c r="I20" s="122" t="s">
        <v>633</v>
      </c>
      <c r="J20" s="100"/>
    </row>
    <row r="21" spans="1:10" ht="13.5" thickBot="1">
      <c r="B21" s="105"/>
      <c r="H21" s="110"/>
    </row>
    <row r="22" spans="1:10" ht="13.5" thickBot="1">
      <c r="A22" s="106">
        <f>A20+1</f>
        <v>8</v>
      </c>
      <c r="B22" s="105" t="s">
        <v>411</v>
      </c>
      <c r="H22" s="632">
        <f>H18+H20</f>
        <v>396554367</v>
      </c>
      <c r="I22" s="110" t="str">
        <f>"Line "&amp;A18&amp;" + Line "&amp;A20</f>
        <v>Line 6 + Line 7</v>
      </c>
    </row>
    <row r="23" spans="1:10">
      <c r="B23" s="105"/>
    </row>
    <row r="24" spans="1:10">
      <c r="A24" s="106">
        <f>A22+1</f>
        <v>9</v>
      </c>
      <c r="B24" s="119" t="s">
        <v>634</v>
      </c>
      <c r="C24" s="110"/>
      <c r="D24" s="110"/>
      <c r="E24" s="110"/>
      <c r="F24" s="110"/>
      <c r="G24" s="110"/>
      <c r="H24" s="500">
        <f>H69*H22</f>
        <v>110043850.19077389</v>
      </c>
      <c r="I24" t="str">
        <f>"Line "&amp;A69&amp;" * Line "&amp;A22</f>
        <v>Line 34 * Line 8</v>
      </c>
      <c r="J24" s="175"/>
    </row>
    <row r="25" spans="1:10">
      <c r="B25" s="105"/>
      <c r="H25" s="495"/>
    </row>
    <row r="26" spans="1:10">
      <c r="A26" s="106">
        <f>A24+1</f>
        <v>10</v>
      </c>
      <c r="B26" s="105" t="s">
        <v>412</v>
      </c>
      <c r="H26" s="766">
        <f>WP_FCR!F28</f>
        <v>0.15495</v>
      </c>
      <c r="I26" t="str">
        <f ca="1">WP_FCR!I2&amp;" Line "&amp;WP_FCR!A28</f>
        <v>WP_FCR Line 21</v>
      </c>
    </row>
    <row r="28" spans="1:10">
      <c r="A28" s="106">
        <f>A26+1</f>
        <v>11</v>
      </c>
      <c r="B28" s="105" t="s">
        <v>413</v>
      </c>
      <c r="H28" s="649">
        <f>H24*H26</f>
        <v>17051294.587060414</v>
      </c>
      <c r="I28" t="str">
        <f>"Line "&amp;A24&amp;" * Line "&amp;A26</f>
        <v>Line 9 * Line 10</v>
      </c>
    </row>
    <row r="29" spans="1:10">
      <c r="H29" s="648"/>
      <c r="I29" s="122"/>
    </row>
    <row r="30" spans="1:10">
      <c r="A30" s="106">
        <f>A28+1</f>
        <v>12</v>
      </c>
      <c r="B30" s="131" t="s">
        <v>1260</v>
      </c>
      <c r="H30" s="648"/>
      <c r="I30" s="122"/>
    </row>
    <row r="32" spans="1:10">
      <c r="A32" s="106">
        <f>A30+1</f>
        <v>13</v>
      </c>
      <c r="B32" s="121" t="s">
        <v>342</v>
      </c>
      <c r="H32" s="497">
        <f>WP_FCR!H57</f>
        <v>5303075656</v>
      </c>
      <c r="I32" t="str">
        <f ca="1">WP_FCR!I2&amp;" Line "&amp;WP_FCR!A57</f>
        <v>WP_FCR Line 50</v>
      </c>
    </row>
    <row r="34" spans="1:11">
      <c r="A34" s="106">
        <f>A32+1</f>
        <v>14</v>
      </c>
      <c r="B34" s="119" t="s">
        <v>238</v>
      </c>
      <c r="H34" s="497">
        <f>H24</f>
        <v>110043850.19077389</v>
      </c>
      <c r="I34" t="str">
        <f>"Line "&amp;A24</f>
        <v>Line 9</v>
      </c>
    </row>
    <row r="35" spans="1:11">
      <c r="B35" s="105"/>
    </row>
    <row r="36" spans="1:11">
      <c r="A36" s="106">
        <f>A34+1</f>
        <v>15</v>
      </c>
      <c r="B36" s="105" t="s">
        <v>239</v>
      </c>
      <c r="H36" s="497">
        <f>H32-H34</f>
        <v>5193031805.809226</v>
      </c>
      <c r="I36" t="str">
        <f>"Line "&amp;A32&amp;" - Line "&amp;A34</f>
        <v>Line 13 - Line 14</v>
      </c>
    </row>
    <row r="37" spans="1:11">
      <c r="B37" s="105"/>
    </row>
    <row r="38" spans="1:11">
      <c r="A38" s="106">
        <f>A36+1</f>
        <v>16</v>
      </c>
      <c r="B38" s="105" t="s">
        <v>412</v>
      </c>
      <c r="H38" s="765">
        <f>WP_FCR!F28</f>
        <v>0.15495</v>
      </c>
      <c r="I38" t="str">
        <f ca="1">WP_FCR!I2&amp;" Line "&amp;WP_FCR!A28</f>
        <v>WP_FCR Line 21</v>
      </c>
    </row>
    <row r="39" spans="1:11">
      <c r="B39" s="105"/>
    </row>
    <row r="40" spans="1:11">
      <c r="A40" s="106">
        <f>A38+1</f>
        <v>17</v>
      </c>
      <c r="B40" s="119" t="s">
        <v>414</v>
      </c>
      <c r="C40" s="110"/>
      <c r="D40" s="110"/>
      <c r="E40" s="110"/>
      <c r="F40" s="110"/>
      <c r="G40" s="110"/>
      <c r="H40" s="500">
        <f>H36*H38</f>
        <v>804660278.31013966</v>
      </c>
      <c r="I40" t="str">
        <f>"Line "&amp;A36&amp;" * Line "&amp;A38</f>
        <v>Line 15 * Line 16</v>
      </c>
      <c r="J40" s="100"/>
    </row>
    <row r="41" spans="1:11">
      <c r="B41" s="119"/>
      <c r="C41" s="110"/>
      <c r="D41" s="110"/>
      <c r="E41" s="110"/>
      <c r="F41" s="110"/>
      <c r="G41" s="110"/>
      <c r="H41" s="500"/>
      <c r="J41" s="100"/>
    </row>
    <row r="42" spans="1:11">
      <c r="A42" s="106">
        <f>A40+1</f>
        <v>18</v>
      </c>
      <c r="B42" s="119" t="s">
        <v>1261</v>
      </c>
      <c r="C42" s="110"/>
      <c r="D42" s="110"/>
      <c r="E42" s="110"/>
      <c r="F42" s="110"/>
      <c r="G42" s="110"/>
      <c r="H42" s="863">
        <v>1.5E-3</v>
      </c>
      <c r="I42" s="110" t="s">
        <v>1088</v>
      </c>
      <c r="J42" s="100"/>
    </row>
    <row r="44" spans="1:11">
      <c r="A44" s="106">
        <f>A42+1</f>
        <v>19</v>
      </c>
      <c r="B44" s="105" t="s">
        <v>1260</v>
      </c>
      <c r="H44" s="650">
        <f>H40*H42</f>
        <v>1206990.4174652095</v>
      </c>
      <c r="I44" t="str">
        <f>"Line "&amp;A40&amp;" * Line "&amp;A42</f>
        <v>Line 17 * Line 18</v>
      </c>
    </row>
    <row r="46" spans="1:11" ht="13.5" thickBot="1">
      <c r="A46" s="106">
        <f>A44+1</f>
        <v>20</v>
      </c>
      <c r="B46" s="99" t="s">
        <v>415</v>
      </c>
      <c r="H46" s="646">
        <f>H28+H44</f>
        <v>18258285.004525624</v>
      </c>
      <c r="I46" t="str">
        <f>"Line "&amp;A28&amp;" + Line "&amp;A44</f>
        <v>Line 11 + Line 19</v>
      </c>
      <c r="J46" s="277"/>
      <c r="K46" s="428"/>
    </row>
    <row r="47" spans="1:11" ht="13.5" thickTop="1">
      <c r="H47" s="495"/>
      <c r="J47" s="709"/>
    </row>
    <row r="48" spans="1:11">
      <c r="A48" s="106">
        <f>A46+1</f>
        <v>21</v>
      </c>
      <c r="B48" s="105" t="s">
        <v>416</v>
      </c>
      <c r="H48" s="839">
        <v>6006879</v>
      </c>
      <c r="I48" s="110" t="s">
        <v>927</v>
      </c>
      <c r="J48" s="710"/>
      <c r="K48" s="277"/>
    </row>
    <row r="50" spans="1:11">
      <c r="A50" s="106">
        <f>A48+1</f>
        <v>22</v>
      </c>
      <c r="B50" s="99" t="s">
        <v>191</v>
      </c>
    </row>
    <row r="52" spans="1:11">
      <c r="A52" s="106">
        <f>A50+1</f>
        <v>23</v>
      </c>
      <c r="B52" s="105" t="s">
        <v>417</v>
      </c>
      <c r="H52" s="809">
        <f>IF(H48=0,0,H46/H48)</f>
        <v>3.0395626421850057</v>
      </c>
      <c r="I52" t="str">
        <f>"$ per kW - Year (Line "&amp;A46&amp;" / Line "&amp;A48&amp;")"</f>
        <v>$ per kW - Year (Line 20 / Line 21)</v>
      </c>
    </row>
    <row r="53" spans="1:11">
      <c r="H53" s="496"/>
    </row>
    <row r="54" spans="1:11">
      <c r="A54" s="106">
        <f>A52+1</f>
        <v>24</v>
      </c>
      <c r="B54" s="307" t="s">
        <v>127</v>
      </c>
      <c r="H54" s="810">
        <f>ROUND(H52/12,3)</f>
        <v>0.253</v>
      </c>
      <c r="I54" t="str">
        <f>"$ per kW - Month (Line "&amp;A52&amp;" / 12)"</f>
        <v>$ per kW - Month (Line 23 / 12)</v>
      </c>
      <c r="K54" s="430"/>
    </row>
    <row r="55" spans="1:11">
      <c r="H55" s="496"/>
    </row>
    <row r="56" spans="1:11">
      <c r="A56" s="106">
        <f>A54+1</f>
        <v>25</v>
      </c>
      <c r="B56" s="307" t="s">
        <v>128</v>
      </c>
      <c r="H56" s="811">
        <f>ROUND(H52/52,3)</f>
        <v>5.8000000000000003E-2</v>
      </c>
      <c r="I56" t="str">
        <f>"$ per kW - Week (Line "&amp;A52&amp;" / 52)"</f>
        <v>$ per kW - Week (Line 23 / 52)</v>
      </c>
      <c r="K56" s="430"/>
    </row>
    <row r="57" spans="1:11">
      <c r="H57" s="496"/>
    </row>
    <row r="58" spans="1:11">
      <c r="A58" s="106">
        <f>A56+1</f>
        <v>26</v>
      </c>
      <c r="B58" s="307" t="s">
        <v>202</v>
      </c>
      <c r="H58" s="811">
        <f>ROUND(H56/6,3)</f>
        <v>0.01</v>
      </c>
      <c r="I58" t="str">
        <f>"$ per kW - day (Line "&amp;A56&amp;" / 6)"</f>
        <v>$ per kW - day (Line 25 / 6)</v>
      </c>
      <c r="K58" s="430"/>
    </row>
    <row r="59" spans="1:11">
      <c r="A59" s="111">
        <f>A58+1</f>
        <v>27</v>
      </c>
      <c r="B59" s="768" t="s">
        <v>203</v>
      </c>
      <c r="C59" s="110"/>
      <c r="D59" s="110"/>
      <c r="E59" s="110"/>
      <c r="F59" s="110"/>
      <c r="G59" s="110"/>
      <c r="H59" s="811">
        <f>ROUND(H56/7,3)</f>
        <v>8.0000000000000002E-3</v>
      </c>
      <c r="I59" s="110" t="str">
        <f>"$ per kW - day (Line "&amp;A56&amp;" / 7)"</f>
        <v>$ per kW - day (Line 25 / 7)</v>
      </c>
    </row>
    <row r="60" spans="1:11">
      <c r="A60" s="111"/>
      <c r="B60" s="110"/>
      <c r="C60" s="110"/>
      <c r="D60" s="110"/>
      <c r="E60" s="110"/>
      <c r="F60" s="110"/>
      <c r="G60" s="110"/>
      <c r="H60" s="496"/>
      <c r="I60" s="110"/>
    </row>
    <row r="61" spans="1:11">
      <c r="A61" s="111">
        <f>A59+1</f>
        <v>28</v>
      </c>
      <c r="B61" s="768" t="s">
        <v>204</v>
      </c>
      <c r="C61" s="110"/>
      <c r="D61" s="110"/>
      <c r="E61" s="110"/>
      <c r="F61" s="110"/>
      <c r="G61" s="110"/>
      <c r="H61" s="811">
        <f>ROUND((H58/16)*1000,3)</f>
        <v>0.625</v>
      </c>
      <c r="I61" s="110" t="s">
        <v>206</v>
      </c>
      <c r="K61" s="430"/>
    </row>
    <row r="62" spans="1:11">
      <c r="A62" s="111">
        <f>A61+1</f>
        <v>29</v>
      </c>
      <c r="B62" s="768" t="s">
        <v>205</v>
      </c>
      <c r="C62" s="110"/>
      <c r="D62" s="110"/>
      <c r="E62" s="110"/>
      <c r="F62" s="110"/>
      <c r="G62" s="110"/>
      <c r="H62" s="811">
        <f>ROUND((H59/24)*1000,3)</f>
        <v>0.33300000000000002</v>
      </c>
      <c r="I62" s="110" t="s">
        <v>207</v>
      </c>
      <c r="K62" s="430"/>
    </row>
    <row r="63" spans="1:11">
      <c r="B63" s="307"/>
      <c r="H63" s="811"/>
      <c r="K63" s="430"/>
    </row>
    <row r="64" spans="1:11">
      <c r="A64" s="106">
        <f>A62+1</f>
        <v>30</v>
      </c>
      <c r="B64" s="307" t="s">
        <v>131</v>
      </c>
      <c r="H64" s="811">
        <f>H54</f>
        <v>0.253</v>
      </c>
      <c r="I64" s="73" t="s">
        <v>1589</v>
      </c>
    </row>
    <row r="65" spans="1:10">
      <c r="B65" s="307"/>
      <c r="H65" s="496"/>
    </row>
    <row r="66" spans="1:10">
      <c r="A66" s="106">
        <f>A64+1</f>
        <v>31</v>
      </c>
      <c r="B66" s="110" t="s">
        <v>418</v>
      </c>
      <c r="C66" s="110"/>
      <c r="D66" s="110"/>
      <c r="E66" s="110"/>
      <c r="F66" s="110"/>
      <c r="G66" s="839">
        <v>6273000</v>
      </c>
      <c r="H66" s="496" t="s">
        <v>419</v>
      </c>
      <c r="I66" s="100"/>
      <c r="J66" s="100"/>
    </row>
    <row r="67" spans="1:10">
      <c r="A67" s="106">
        <f>A66+1</f>
        <v>32</v>
      </c>
      <c r="B67" s="110" t="s">
        <v>741</v>
      </c>
      <c r="C67" s="110"/>
      <c r="D67" s="110"/>
      <c r="E67" s="110"/>
      <c r="F67" s="110"/>
      <c r="G67" s="839">
        <v>5332050</v>
      </c>
      <c r="H67" s="496" t="s">
        <v>873</v>
      </c>
    </row>
    <row r="68" spans="1:10">
      <c r="A68" s="106">
        <f>A67+1</f>
        <v>33</v>
      </c>
      <c r="B68" s="110" t="s">
        <v>420</v>
      </c>
      <c r="C68" s="110"/>
      <c r="D68" s="110"/>
      <c r="E68" s="110"/>
      <c r="F68" s="110"/>
      <c r="G68" s="839">
        <v>3304508</v>
      </c>
      <c r="H68" s="498" t="s">
        <v>421</v>
      </c>
      <c r="I68" s="432"/>
    </row>
    <row r="69" spans="1:10">
      <c r="A69" s="106">
        <f>A68+1</f>
        <v>34</v>
      </c>
      <c r="B69" s="110" t="s">
        <v>422</v>
      </c>
      <c r="C69" s="110"/>
      <c r="D69" s="110"/>
      <c r="E69" s="110"/>
      <c r="F69" s="110"/>
      <c r="G69" s="110"/>
      <c r="H69" s="499">
        <f>IF(G68=0,0,G68^2/G66^2)</f>
        <v>0.27750003366064024</v>
      </c>
    </row>
    <row r="70" spans="1:10">
      <c r="A70" s="122"/>
    </row>
    <row r="74" spans="1:10">
      <c r="H74" s="645"/>
    </row>
    <row r="75" spans="1:10">
      <c r="H75" s="645"/>
    </row>
    <row r="76" spans="1:10">
      <c r="H76" s="645"/>
    </row>
    <row r="77" spans="1:10">
      <c r="H77" s="645"/>
      <c r="I77" s="732"/>
    </row>
    <row r="78" spans="1:10">
      <c r="H78" s="645"/>
      <c r="I78" s="732"/>
    </row>
    <row r="79" spans="1:10">
      <c r="H79" s="645"/>
    </row>
    <row r="80" spans="1:10">
      <c r="H80" s="645"/>
    </row>
    <row r="81" spans="8:8">
      <c r="H81" s="645"/>
    </row>
    <row r="82" spans="8:8">
      <c r="H82" s="645"/>
    </row>
  </sheetData>
  <mergeCells count="1">
    <mergeCell ref="B7:F7"/>
  </mergeCells>
  <phoneticPr fontId="2" type="noConversion"/>
  <printOptions horizontalCentered="1"/>
  <pageMargins left="0.75" right="0.75" top="1" bottom="1" header="0.5" footer="0.5"/>
  <pageSetup scale="67" orientation="portrait" r:id="rId1"/>
  <headerFooter alignWithMargins="0">
    <oddHeader>&amp;RPage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A1:K60"/>
  <sheetViews>
    <sheetView view="pageBreakPreview" zoomScale="60" zoomScaleNormal="100" workbookViewId="0">
      <selection activeCell="Z34" sqref="Z34"/>
    </sheetView>
  </sheetViews>
  <sheetFormatPr defaultRowHeight="12.75"/>
  <cols>
    <col min="2" max="2" width="41.28515625" customWidth="1"/>
    <col min="3" max="3" width="11.5703125" style="106" bestFit="1" customWidth="1"/>
    <col min="4" max="4" width="15.28515625" bestFit="1" customWidth="1"/>
    <col min="5" max="5" width="11.5703125" bestFit="1" customWidth="1"/>
    <col min="6" max="6" width="13.28515625" bestFit="1" customWidth="1"/>
    <col min="7" max="7" width="24.5703125" bestFit="1" customWidth="1"/>
    <col min="8" max="8" width="16.28515625" bestFit="1" customWidth="1"/>
    <col min="9" max="9" width="17.28515625" customWidth="1"/>
    <col min="10" max="10" width="22" customWidth="1"/>
  </cols>
  <sheetData>
    <row r="1" spans="1:10">
      <c r="A1" s="99" t="str">
        <f>'Cover Page'!A5</f>
        <v>Public Service Company of Colorado</v>
      </c>
      <c r="I1" s="467" t="str">
        <f>'Table of Contents'!A37</f>
        <v>Table 29</v>
      </c>
    </row>
    <row r="2" spans="1:10">
      <c r="A2" s="99" t="str">
        <f>'Cover Page'!A6</f>
        <v>Transmission Formula Rate Template</v>
      </c>
      <c r="I2" s="133" t="str">
        <f ca="1">MID(CELL("filename",$A$1),FIND("]",CELL("filename",$A$1))+1,LEN(CELL("filename",$A$1))-FIND("]",CELL("filename",$A$1)))</f>
        <v>Schedule 3 and 3A</v>
      </c>
    </row>
    <row r="3" spans="1:10">
      <c r="A3" s="940" t="s">
        <v>1490</v>
      </c>
      <c r="B3" s="908"/>
      <c r="C3" s="908"/>
      <c r="D3" s="908"/>
      <c r="E3" s="908"/>
      <c r="F3" s="908"/>
      <c r="G3" s="908"/>
      <c r="H3" s="908"/>
      <c r="I3" s="908"/>
      <c r="J3" s="428"/>
    </row>
    <row r="4" spans="1:10">
      <c r="A4" s="941" t="s">
        <v>745</v>
      </c>
      <c r="B4" s="909"/>
      <c r="C4" s="909"/>
      <c r="D4" s="910"/>
      <c r="E4" s="910"/>
      <c r="F4" s="911"/>
      <c r="G4" s="910"/>
      <c r="H4" s="909"/>
      <c r="I4" s="910"/>
      <c r="J4" s="428"/>
    </row>
    <row r="5" spans="1:10">
      <c r="A5" s="909"/>
      <c r="B5" s="909"/>
      <c r="C5" s="909"/>
      <c r="D5" s="910"/>
      <c r="E5" s="910"/>
      <c r="F5" s="911"/>
      <c r="G5" s="908"/>
      <c r="H5" s="910"/>
      <c r="I5" s="910"/>
      <c r="J5" s="428"/>
    </row>
    <row r="6" spans="1:10" ht="63.75">
      <c r="A6" s="912" t="s">
        <v>1375</v>
      </c>
      <c r="B6" s="912" t="s">
        <v>1449</v>
      </c>
      <c r="C6" s="913"/>
      <c r="D6" s="912" t="s">
        <v>1450</v>
      </c>
      <c r="E6" s="912" t="s">
        <v>1451</v>
      </c>
      <c r="F6" s="914" t="s">
        <v>1452</v>
      </c>
      <c r="G6" s="915" t="s">
        <v>1453</v>
      </c>
      <c r="H6" s="914" t="s">
        <v>1454</v>
      </c>
      <c r="I6" s="916" t="s">
        <v>1455</v>
      </c>
    </row>
    <row r="7" spans="1:10">
      <c r="A7" s="917"/>
      <c r="B7" s="918" t="s">
        <v>1456</v>
      </c>
      <c r="C7" s="918" t="s">
        <v>1457</v>
      </c>
      <c r="D7" s="918" t="s">
        <v>1458</v>
      </c>
      <c r="E7" s="918" t="s">
        <v>1459</v>
      </c>
      <c r="F7" s="918" t="s">
        <v>1460</v>
      </c>
      <c r="G7" s="918" t="s">
        <v>1461</v>
      </c>
      <c r="H7" s="918" t="s">
        <v>1462</v>
      </c>
      <c r="I7" s="918" t="s">
        <v>1463</v>
      </c>
    </row>
    <row r="8" spans="1:10">
      <c r="A8" s="917"/>
      <c r="B8" s="918"/>
      <c r="C8" s="918"/>
      <c r="D8" s="918"/>
      <c r="E8" s="918"/>
      <c r="F8" s="918"/>
      <c r="G8" s="918"/>
      <c r="H8" s="918"/>
      <c r="I8" s="918"/>
      <c r="J8" s="198"/>
    </row>
    <row r="9" spans="1:10">
      <c r="A9" s="919">
        <v>1</v>
      </c>
      <c r="B9" s="920" t="s">
        <v>430</v>
      </c>
      <c r="C9" s="921"/>
      <c r="D9" s="922">
        <v>1.9422011817204616E-2</v>
      </c>
      <c r="E9" s="923">
        <f>'WP_Installed Cost'!H9</f>
        <v>0</v>
      </c>
      <c r="F9" s="923">
        <f>'WP_O&amp;M Cost'!M9</f>
        <v>0</v>
      </c>
      <c r="G9" s="923">
        <f>E9*(WP_FCR!$F$28-WP_FCR!$F$8)</f>
        <v>0</v>
      </c>
      <c r="H9" s="924">
        <f>D9*'WP_Reactive Cost'!G9</f>
        <v>0</v>
      </c>
      <c r="I9" s="925">
        <f>(G9+F9-H9)*D9</f>
        <v>0</v>
      </c>
      <c r="J9" s="198"/>
    </row>
    <row r="10" spans="1:10">
      <c r="A10" s="919">
        <f>+A9+1</f>
        <v>2</v>
      </c>
      <c r="B10" s="920" t="s">
        <v>431</v>
      </c>
      <c r="C10" s="921"/>
      <c r="D10" s="922">
        <v>6.9186194616389793E-2</v>
      </c>
      <c r="E10" s="923">
        <f>'WP_Installed Cost'!H10</f>
        <v>540.0385</v>
      </c>
      <c r="F10" s="923">
        <f>'WP_O&amp;M Cost'!M10</f>
        <v>6.8410636615262943</v>
      </c>
      <c r="G10" s="923">
        <f>E10*(WP_FCR!$F$28-WP_FCR!$F$8)</f>
        <v>62.388745998583062</v>
      </c>
      <c r="H10" s="924">
        <f>D10*'WP_Reactive Cost'!G10</f>
        <v>0.18244966321107461</v>
      </c>
      <c r="I10" s="925">
        <f t="shared" ref="I10:I30" si="0">(G10+F10-H10)*D10</f>
        <v>4.7771240864933313</v>
      </c>
      <c r="J10" s="198"/>
    </row>
    <row r="11" spans="1:10">
      <c r="A11" s="919">
        <f t="shared" ref="A11:A48" si="1">+A10+1</f>
        <v>3</v>
      </c>
      <c r="B11" s="920" t="s">
        <v>432</v>
      </c>
      <c r="C11" s="921"/>
      <c r="D11" s="922">
        <v>8.9887378325634232E-2</v>
      </c>
      <c r="E11" s="923">
        <f>'WP_Installed Cost'!H12</f>
        <v>945.50570000000005</v>
      </c>
      <c r="F11" s="923">
        <f>'WP_O&amp;M Cost'!M12</f>
        <v>20.4668776371308</v>
      </c>
      <c r="G11" s="923">
        <f>E11*(WP_FCR!$F$28-WP_FCR!$F$8)</f>
        <v>109.23094364107833</v>
      </c>
      <c r="H11" s="924">
        <f>D11*'WP_Reactive Cost'!G12</f>
        <v>0.23704038057548224</v>
      </c>
      <c r="I11" s="925">
        <f t="shared" si="0"/>
        <v>11.636890190877637</v>
      </c>
      <c r="J11" s="198"/>
    </row>
    <row r="12" spans="1:10">
      <c r="A12" s="919">
        <f t="shared" si="1"/>
        <v>4</v>
      </c>
      <c r="B12" s="920" t="s">
        <v>433</v>
      </c>
      <c r="C12" s="921"/>
      <c r="D12" s="922">
        <v>0</v>
      </c>
      <c r="E12" s="923">
        <f>'WP_Installed Cost'!H13</f>
        <v>1121.7799</v>
      </c>
      <c r="F12" s="923">
        <f>'WP_O&amp;M Cost'!M13</f>
        <v>27.941622554660526</v>
      </c>
      <c r="G12" s="923">
        <f>E12*(WP_FCR!$F$28-WP_FCR!$F$8)</f>
        <v>129.59528116498342</v>
      </c>
      <c r="H12" s="924">
        <f>D12*'WP_Reactive Cost'!G13</f>
        <v>0</v>
      </c>
      <c r="I12" s="925">
        <f t="shared" si="0"/>
        <v>0</v>
      </c>
      <c r="J12" s="433"/>
    </row>
    <row r="13" spans="1:10">
      <c r="A13" s="919">
        <f t="shared" si="1"/>
        <v>5</v>
      </c>
      <c r="B13" s="920" t="s">
        <v>441</v>
      </c>
      <c r="C13" s="921"/>
      <c r="D13" s="922">
        <v>2.18230463392757E-2</v>
      </c>
      <c r="E13" s="923">
        <f>'WP_Installed Cost'!H14</f>
        <v>674.97680000000003</v>
      </c>
      <c r="F13" s="923">
        <f>'WP_O&amp;M Cost'!M14</f>
        <v>22.002954511270119</v>
      </c>
      <c r="G13" s="923">
        <f>E13*(WP_FCR!$F$28-WP_FCR!$F$8)</f>
        <v>77.977692572171051</v>
      </c>
      <c r="H13" s="924">
        <f>D13*'WP_Reactive Cost'!G14</f>
        <v>5.7549161027239192E-2</v>
      </c>
      <c r="I13" s="925">
        <f t="shared" si="0"/>
        <v>2.1806263963248225</v>
      </c>
      <c r="J13" s="619"/>
    </row>
    <row r="14" spans="1:10">
      <c r="A14" s="919">
        <f t="shared" si="1"/>
        <v>6</v>
      </c>
      <c r="B14" s="920" t="s">
        <v>442</v>
      </c>
      <c r="C14" s="921"/>
      <c r="D14" s="922">
        <v>9.385203546493126E-2</v>
      </c>
      <c r="E14" s="923">
        <f>'WP_Installed Cost'!H15</f>
        <v>1662.3258000000001</v>
      </c>
      <c r="F14" s="923">
        <f>'WP_O&amp;M Cost'!M15</f>
        <v>36.818226422609669</v>
      </c>
      <c r="G14" s="923">
        <f>E14*(WP_FCR!$F$28-WP_FCR!$F$8)</f>
        <v>192.04264529860629</v>
      </c>
      <c r="H14" s="924">
        <f>D14*'WP_Reactive Cost'!G15</f>
        <v>0.24749550625225655</v>
      </c>
      <c r="I14" s="925">
        <f t="shared" si="0"/>
        <v>21.455830692284447</v>
      </c>
      <c r="J14" s="619"/>
    </row>
    <row r="15" spans="1:10">
      <c r="A15" s="919">
        <f t="shared" si="1"/>
        <v>7</v>
      </c>
      <c r="B15" s="920" t="s">
        <v>635</v>
      </c>
      <c r="C15" s="921"/>
      <c r="D15" s="922">
        <v>2.4675973510211301E-2</v>
      </c>
      <c r="E15" s="923">
        <f>'WP_Installed Cost'!H16</f>
        <v>740.54269999999997</v>
      </c>
      <c r="F15" s="923">
        <f>'WP_O&amp;M Cost'!M16</f>
        <v>30.108696786310517</v>
      </c>
      <c r="G15" s="923">
        <f>E15*(WP_FCR!$F$28-WP_FCR!$F$8)</f>
        <v>85.55229008932676</v>
      </c>
      <c r="H15" s="924">
        <f>D15*'WP_Reactive Cost'!G16</f>
        <v>6.5072563700113148E-2</v>
      </c>
      <c r="I15" s="925">
        <f t="shared" si="0"/>
        <v>2.8524417194500167</v>
      </c>
      <c r="J15" s="619"/>
    </row>
    <row r="16" spans="1:10">
      <c r="A16" s="919">
        <f t="shared" si="1"/>
        <v>8</v>
      </c>
      <c r="B16" s="920" t="s">
        <v>443</v>
      </c>
      <c r="C16" s="921"/>
      <c r="D16" s="922">
        <v>0</v>
      </c>
      <c r="E16" s="923">
        <f>'WP_Installed Cost'!H17</f>
        <v>352.88040000000001</v>
      </c>
      <c r="F16" s="923">
        <f>'WP_O&amp;M Cost'!M17</f>
        <v>28.995493333333332</v>
      </c>
      <c r="G16" s="923">
        <f>E16*(WP_FCR!$F$28-WP_FCR!$F$8)</f>
        <v>40.767029838573343</v>
      </c>
      <c r="H16" s="924">
        <f>D16*'WP_Reactive Cost'!G17</f>
        <v>0</v>
      </c>
      <c r="I16" s="925">
        <f t="shared" si="0"/>
        <v>0</v>
      </c>
      <c r="J16" s="619"/>
    </row>
    <row r="17" spans="1:11">
      <c r="A17" s="919">
        <f t="shared" si="1"/>
        <v>9</v>
      </c>
      <c r="B17" s="920" t="s">
        <v>444</v>
      </c>
      <c r="C17" s="921"/>
      <c r="D17" s="922">
        <v>0</v>
      </c>
      <c r="E17" s="923">
        <f>'WP_Installed Cost'!H18</f>
        <v>181.22290000000001</v>
      </c>
      <c r="F17" s="923">
        <f>'WP_O&amp;M Cost'!M18</f>
        <v>1.2732169669669671</v>
      </c>
      <c r="G17" s="923">
        <f>E17*(WP_FCR!$F$28-WP_FCR!$F$8)</f>
        <v>20.936043406584194</v>
      </c>
      <c r="H17" s="924">
        <f>D17*'WP_Reactive Cost'!G18</f>
        <v>0</v>
      </c>
      <c r="I17" s="925">
        <f t="shared" si="0"/>
        <v>0</v>
      </c>
      <c r="J17" s="619"/>
    </row>
    <row r="18" spans="1:11">
      <c r="A18" s="919">
        <f t="shared" si="1"/>
        <v>10</v>
      </c>
      <c r="B18" s="920" t="s">
        <v>445</v>
      </c>
      <c r="C18" s="921"/>
      <c r="D18" s="922">
        <v>2.8145517879541644E-3</v>
      </c>
      <c r="E18" s="923">
        <f>'WP_Installed Cost'!H19</f>
        <v>136.16130000000001</v>
      </c>
      <c r="F18" s="923">
        <f>'WP_O&amp;M Cost'!M19</f>
        <v>0.20038690476190477</v>
      </c>
      <c r="G18" s="923">
        <f>E18*(WP_FCR!$F$28-WP_FCR!$F$8)</f>
        <v>15.73023545642925</v>
      </c>
      <c r="H18" s="924">
        <f>D18*'WP_Reactive Cost'!G19</f>
        <v>7.4222036440882207E-3</v>
      </c>
      <c r="I18" s="925">
        <f t="shared" si="0"/>
        <v>4.4816671473376125E-2</v>
      </c>
      <c r="J18" s="619"/>
    </row>
    <row r="19" spans="1:11">
      <c r="A19" s="919">
        <f t="shared" si="1"/>
        <v>11</v>
      </c>
      <c r="B19" s="920" t="s">
        <v>446</v>
      </c>
      <c r="C19" s="921"/>
      <c r="D19" s="922">
        <v>0</v>
      </c>
      <c r="E19" s="923">
        <f>'WP_Installed Cost'!H20</f>
        <v>130.0265</v>
      </c>
      <c r="F19" s="923">
        <f>'WP_O&amp;M Cost'!M20</f>
        <v>0.45138888888888884</v>
      </c>
      <c r="G19" s="923">
        <f>E19*(WP_FCR!$F$28-WP_FCR!$F$8)</f>
        <v>15.021503617954572</v>
      </c>
      <c r="H19" s="924">
        <f>D19*'WP_Reactive Cost'!G20</f>
        <v>0</v>
      </c>
      <c r="I19" s="925">
        <f t="shared" si="0"/>
        <v>0</v>
      </c>
      <c r="J19" s="619"/>
    </row>
    <row r="20" spans="1:11">
      <c r="A20" s="919">
        <f t="shared" si="1"/>
        <v>12</v>
      </c>
      <c r="B20" s="920" t="s">
        <v>447</v>
      </c>
      <c r="C20" s="921"/>
      <c r="D20" s="922">
        <v>4.3510178738366057E-4</v>
      </c>
      <c r="E20" s="923">
        <f>'WP_Installed Cost'!H21</f>
        <v>158.74639999999999</v>
      </c>
      <c r="F20" s="923">
        <f>'WP_O&amp;M Cost'!M21</f>
        <v>0.20059021922428333</v>
      </c>
      <c r="G20" s="923">
        <f>E20*(WP_FCR!$F$28-WP_FCR!$F$8)</f>
        <v>18.3394125192731</v>
      </c>
      <c r="H20" s="924">
        <f>D20*'WP_Reactive Cost'!G21</f>
        <v>1.1473990585960027E-3</v>
      </c>
      <c r="I20" s="925">
        <f t="shared" si="0"/>
        <v>8.0662890942369368E-3</v>
      </c>
      <c r="J20" s="620"/>
    </row>
    <row r="21" spans="1:11">
      <c r="A21" s="919">
        <f t="shared" si="1"/>
        <v>13</v>
      </c>
      <c r="B21" s="920" t="s">
        <v>636</v>
      </c>
      <c r="C21" s="921"/>
      <c r="D21" s="922">
        <v>0.25455435582628561</v>
      </c>
      <c r="E21" s="923">
        <f>'WP_Installed Cost'!H22</f>
        <v>493.6644</v>
      </c>
      <c r="F21" s="923">
        <f>'WP_O&amp;M Cost'!M22</f>
        <v>8.5638854640778934</v>
      </c>
      <c r="G21" s="923">
        <f>E21*(WP_FCR!$F$28-WP_FCR!$F$8)</f>
        <v>57.031309545787764</v>
      </c>
      <c r="H21" s="924">
        <f>D21*'WP_Reactive Cost'!G22</f>
        <v>0.6712806904170403</v>
      </c>
      <c r="I21" s="925">
        <f t="shared" si="0"/>
        <v>16.526665187308204</v>
      </c>
      <c r="J21" s="619"/>
    </row>
    <row r="22" spans="1:11">
      <c r="A22" s="919">
        <f t="shared" si="1"/>
        <v>14</v>
      </c>
      <c r="B22" s="920" t="s">
        <v>742</v>
      </c>
      <c r="C22" s="921"/>
      <c r="D22" s="922">
        <v>2.0235353422834779E-2</v>
      </c>
      <c r="E22" s="923">
        <f>'WP_Installed Cost'!H23</f>
        <v>587.904</v>
      </c>
      <c r="F22" s="923">
        <f>'WP_O&amp;M Cost'!M23</f>
        <v>0.98455614973262029</v>
      </c>
      <c r="G22" s="923">
        <f>E22*(WP_FCR!$F$28-WP_FCR!$F$8)</f>
        <v>67.91847864096907</v>
      </c>
      <c r="H22" s="924">
        <f>D22*'WP_Reactive Cost'!G23</f>
        <v>5.3362284736479415E-2</v>
      </c>
      <c r="I22" s="925">
        <f t="shared" si="0"/>
        <v>1.3931974562046368</v>
      </c>
      <c r="J22" s="620"/>
    </row>
    <row r="23" spans="1:11">
      <c r="A23" s="919">
        <f t="shared" si="1"/>
        <v>15</v>
      </c>
      <c r="B23" s="920" t="s">
        <v>1197</v>
      </c>
      <c r="C23" s="921"/>
      <c r="D23" s="922">
        <v>5.5326588929345062E-2</v>
      </c>
      <c r="E23" s="923">
        <f>'WP_Installed Cost'!H24</f>
        <v>548.16660000000002</v>
      </c>
      <c r="F23" s="923">
        <f>'WP_O&amp;M Cost'!M24</f>
        <v>4.1424308697838104</v>
      </c>
      <c r="G23" s="923">
        <f>E23*(WP_FCR!$F$28-WP_FCR!$F$8)</f>
        <v>63.327756766058123</v>
      </c>
      <c r="H23" s="924">
        <f>D23*'WP_Reactive Cost'!G24</f>
        <v>0.14590074758043264</v>
      </c>
      <c r="I23" s="925">
        <f t="shared" si="0"/>
        <v>3.7248231456281404</v>
      </c>
      <c r="J23" s="619"/>
    </row>
    <row r="24" spans="1:11">
      <c r="A24" s="919">
        <f t="shared" si="1"/>
        <v>16</v>
      </c>
      <c r="B24" s="920" t="s">
        <v>743</v>
      </c>
      <c r="C24" s="921"/>
      <c r="D24" s="922">
        <v>0.23438757676303401</v>
      </c>
      <c r="E24" s="923">
        <f>'WP_Installed Cost'!H25</f>
        <v>578.82939999999996</v>
      </c>
      <c r="F24" s="923">
        <f>'WP_O&amp;M Cost'!M25</f>
        <v>17.066489563567359</v>
      </c>
      <c r="G24" s="923">
        <f>E24*(WP_FCR!$F$28-WP_FCR!$F$8)</f>
        <v>66.870122061875648</v>
      </c>
      <c r="H24" s="924">
        <f>D24*'WP_Reactive Cost'!G25</f>
        <v>0.61809924188466547</v>
      </c>
      <c r="I24" s="925">
        <f t="shared" si="0"/>
        <v>19.528824217083081</v>
      </c>
      <c r="J24" s="620"/>
    </row>
    <row r="25" spans="1:11">
      <c r="A25" s="919">
        <f t="shared" si="1"/>
        <v>17</v>
      </c>
      <c r="B25" s="920" t="s">
        <v>448</v>
      </c>
      <c r="C25" s="921"/>
      <c r="D25" s="922">
        <v>6.1449371036212244E-2</v>
      </c>
      <c r="E25" s="923">
        <f>'WP_Installed Cost'!H26</f>
        <v>200.30459999999999</v>
      </c>
      <c r="F25" s="923">
        <f>'WP_O&amp;M Cost'!M26</f>
        <v>6.6025</v>
      </c>
      <c r="G25" s="923">
        <f>E25*(WP_FCR!$F$28-WP_FCR!$F$8)</f>
        <v>23.140485005694558</v>
      </c>
      <c r="H25" s="924">
        <f>D25*'WP_Reactive Cost'!G26</f>
        <v>0.16204702559885223</v>
      </c>
      <c r="I25" s="925">
        <f t="shared" si="0"/>
        <v>1.8177300335380837</v>
      </c>
      <c r="J25" s="619"/>
    </row>
    <row r="26" spans="1:11">
      <c r="A26" s="919">
        <f t="shared" si="1"/>
        <v>18</v>
      </c>
      <c r="B26" s="920" t="s">
        <v>1465</v>
      </c>
      <c r="C26" s="921"/>
      <c r="D26" s="922">
        <v>2.6626381199948094E-3</v>
      </c>
      <c r="E26" s="923">
        <f>'WP_Installed Cost'!H27</f>
        <v>75</v>
      </c>
      <c r="F26" s="923">
        <f>'WP_O&amp;M Cost'!M27</f>
        <v>0</v>
      </c>
      <c r="G26" s="923">
        <f>E26</f>
        <v>75</v>
      </c>
      <c r="H26" s="924">
        <f>+D26*'WP_Reactive Cost'!G10</f>
        <v>7.0215948563087955E-3</v>
      </c>
      <c r="I26" s="925">
        <f t="shared" si="0"/>
        <v>0.19967916303348313</v>
      </c>
      <c r="J26" s="620"/>
      <c r="K26" s="963"/>
    </row>
    <row r="27" spans="1:11">
      <c r="A27" s="919">
        <f t="shared" si="1"/>
        <v>19</v>
      </c>
      <c r="B27" s="920" t="s">
        <v>1466</v>
      </c>
      <c r="C27" s="921"/>
      <c r="D27" s="922">
        <v>4.3055424919065007E-3</v>
      </c>
      <c r="E27" s="923">
        <f>'WP_Installed Cost'!H28</f>
        <v>73</v>
      </c>
      <c r="F27" s="923">
        <f>'WP_O&amp;M Cost'!M28</f>
        <v>0</v>
      </c>
      <c r="G27" s="923">
        <f>E27</f>
        <v>73</v>
      </c>
      <c r="H27" s="924">
        <f>+D27*'WP_Reactive Cost'!G12</f>
        <v>1.1354068278286566E-2</v>
      </c>
      <c r="I27" s="925">
        <f t="shared" si="0"/>
        <v>0.31425571648574641</v>
      </c>
      <c r="J27" s="619"/>
    </row>
    <row r="28" spans="1:11">
      <c r="A28" s="919">
        <f t="shared" si="1"/>
        <v>20</v>
      </c>
      <c r="B28" s="920" t="s">
        <v>1467</v>
      </c>
      <c r="C28" s="921"/>
      <c r="D28" s="922">
        <v>1.9299561370090697E-2</v>
      </c>
      <c r="E28" s="923">
        <f>'WP_Installed Cost'!H29</f>
        <v>64</v>
      </c>
      <c r="F28" s="923">
        <f>'WP_O&amp;M Cost'!M29</f>
        <v>0</v>
      </c>
      <c r="G28" s="923">
        <f>E28</f>
        <v>64</v>
      </c>
      <c r="H28" s="924">
        <f>+D28*'WP_Reactive Cost'!G13</f>
        <v>5.0894524429594273E-2</v>
      </c>
      <c r="I28" s="925">
        <f t="shared" si="0"/>
        <v>1.234189685688174</v>
      </c>
      <c r="J28" s="620"/>
    </row>
    <row r="29" spans="1:11">
      <c r="A29" s="919">
        <f t="shared" si="1"/>
        <v>21</v>
      </c>
      <c r="B29" s="920" t="s">
        <v>1468</v>
      </c>
      <c r="C29" s="921"/>
      <c r="D29" s="922">
        <v>1.4207891458907339E-2</v>
      </c>
      <c r="E29" s="923">
        <f>'WP_Installed Cost'!H30</f>
        <v>98</v>
      </c>
      <c r="F29" s="923">
        <f>'WP_O&amp;M Cost'!M30</f>
        <v>0</v>
      </c>
      <c r="G29" s="923">
        <f>E29</f>
        <v>98</v>
      </c>
      <c r="H29" s="924">
        <f>+D29*'WP_Reactive Cost'!G14</f>
        <v>3.7467373743996391E-2</v>
      </c>
      <c r="I29" s="925">
        <f t="shared" si="0"/>
        <v>1.3918410305935143</v>
      </c>
      <c r="J29" s="619"/>
    </row>
    <row r="30" spans="1:11">
      <c r="A30" s="919">
        <f t="shared" si="1"/>
        <v>22</v>
      </c>
      <c r="B30" s="920" t="s">
        <v>1469</v>
      </c>
      <c r="C30" s="921"/>
      <c r="D30" s="922">
        <v>1.1744949830287578E-2</v>
      </c>
      <c r="E30" s="923">
        <f>'WP_Installed Cost'!H31</f>
        <v>71</v>
      </c>
      <c r="F30" s="923">
        <f>'WP_O&amp;M Cost'!M31</f>
        <v>0</v>
      </c>
      <c r="G30" s="923">
        <f>E30</f>
        <v>71</v>
      </c>
      <c r="H30" s="924">
        <f>+D30*'WP_Reactive Cost'!G15</f>
        <v>3.0972394895372745E-2</v>
      </c>
      <c r="I30" s="925">
        <f t="shared" si="0"/>
        <v>0.83352766872624806</v>
      </c>
      <c r="J30" s="620"/>
    </row>
    <row r="31" spans="1:11">
      <c r="A31" s="919">
        <f t="shared" si="1"/>
        <v>23</v>
      </c>
      <c r="B31" s="910"/>
      <c r="C31" s="910"/>
      <c r="D31" s="910"/>
      <c r="E31" s="910"/>
      <c r="F31" s="910"/>
      <c r="G31" s="926"/>
      <c r="H31" s="910"/>
      <c r="I31" s="910"/>
      <c r="J31" s="619"/>
    </row>
    <row r="32" spans="1:11">
      <c r="A32" s="919">
        <f t="shared" si="1"/>
        <v>24</v>
      </c>
      <c r="B32" s="910"/>
      <c r="C32" s="910"/>
      <c r="D32" s="910"/>
      <c r="E32" s="910"/>
      <c r="F32" s="910"/>
      <c r="G32" s="910"/>
      <c r="H32" s="910"/>
      <c r="I32" s="910"/>
      <c r="J32" s="620"/>
    </row>
    <row r="33" spans="1:11">
      <c r="A33" s="919">
        <f t="shared" si="1"/>
        <v>25</v>
      </c>
      <c r="B33" s="910"/>
      <c r="C33" s="910"/>
      <c r="D33" s="922">
        <v>1</v>
      </c>
      <c r="E33" s="910"/>
      <c r="F33" s="910"/>
      <c r="G33" s="909"/>
      <c r="H33" s="927" t="s">
        <v>1470</v>
      </c>
      <c r="I33" s="928">
        <f>ROUND(SUM(I9:I30),3)</f>
        <v>89.921000000000006</v>
      </c>
      <c r="J33" s="619"/>
    </row>
    <row r="34" spans="1:11">
      <c r="A34" s="919">
        <f t="shared" si="1"/>
        <v>26</v>
      </c>
      <c r="B34" s="910"/>
      <c r="C34" s="910"/>
      <c r="D34" s="910"/>
      <c r="E34" s="910"/>
      <c r="F34" s="910"/>
      <c r="G34" s="909"/>
      <c r="H34" s="929" t="s">
        <v>1471</v>
      </c>
      <c r="I34" s="930">
        <v>0</v>
      </c>
      <c r="J34" s="620"/>
    </row>
    <row r="35" spans="1:11">
      <c r="A35" s="919">
        <f t="shared" si="1"/>
        <v>27</v>
      </c>
      <c r="B35" s="910"/>
      <c r="C35" s="910"/>
      <c r="D35" s="910"/>
      <c r="E35" s="910"/>
      <c r="F35" s="910"/>
      <c r="G35" s="909"/>
      <c r="H35" s="931" t="s">
        <v>1472</v>
      </c>
      <c r="I35" s="932">
        <f>+I33*1000</f>
        <v>89921</v>
      </c>
      <c r="J35" s="619"/>
    </row>
    <row r="36" spans="1:11">
      <c r="A36" s="919">
        <f t="shared" si="1"/>
        <v>28</v>
      </c>
      <c r="B36" s="910"/>
      <c r="C36" s="933" t="s">
        <v>1473</v>
      </c>
      <c r="D36" s="910"/>
      <c r="E36" s="933" t="s">
        <v>1446</v>
      </c>
      <c r="F36" s="910"/>
      <c r="G36" s="933" t="s">
        <v>1447</v>
      </c>
      <c r="H36" s="910"/>
      <c r="I36" s="910"/>
      <c r="J36" s="620"/>
    </row>
    <row r="37" spans="1:11">
      <c r="A37" s="919">
        <f t="shared" si="1"/>
        <v>29</v>
      </c>
      <c r="B37" s="910" t="s">
        <v>1474</v>
      </c>
      <c r="C37" s="910">
        <v>79.88</v>
      </c>
      <c r="D37" s="910"/>
      <c r="E37" s="910">
        <v>19.170000000000002</v>
      </c>
      <c r="F37" s="910"/>
      <c r="G37" s="910">
        <v>46.57</v>
      </c>
      <c r="H37" s="910"/>
      <c r="I37" s="910"/>
      <c r="J37" s="619"/>
    </row>
    <row r="38" spans="1:11">
      <c r="A38" s="919">
        <f t="shared" si="1"/>
        <v>30</v>
      </c>
      <c r="B38" s="910" t="s">
        <v>1570</v>
      </c>
      <c r="C38" s="934">
        <v>6268.083333333333</v>
      </c>
      <c r="D38" s="910"/>
      <c r="E38" s="934">
        <f>6361.8+1521.5</f>
        <v>7883.3</v>
      </c>
      <c r="F38" s="934"/>
      <c r="G38" s="934">
        <v>2251</v>
      </c>
      <c r="H38" s="910"/>
      <c r="I38" s="910"/>
      <c r="J38" s="620"/>
      <c r="K38" s="73"/>
    </row>
    <row r="39" spans="1:11">
      <c r="A39" s="919">
        <f t="shared" si="1"/>
        <v>31</v>
      </c>
      <c r="B39" s="910" t="s">
        <v>1475</v>
      </c>
      <c r="C39" s="935">
        <f>+C37/C38</f>
        <v>1.274392756956539E-2</v>
      </c>
      <c r="D39" s="935"/>
      <c r="E39" s="935">
        <f>+E37/E38</f>
        <v>2.4317227556987556E-3</v>
      </c>
      <c r="F39" s="935"/>
      <c r="G39" s="935">
        <f>+G37/G38</f>
        <v>2.0688582852065748E-2</v>
      </c>
      <c r="H39" s="910"/>
      <c r="I39" s="910"/>
      <c r="J39" s="619"/>
    </row>
    <row r="40" spans="1:11">
      <c r="A40" s="919">
        <f t="shared" si="1"/>
        <v>32</v>
      </c>
      <c r="B40" s="910" t="s">
        <v>1476</v>
      </c>
      <c r="C40" s="907">
        <f>I33</f>
        <v>89.921000000000006</v>
      </c>
      <c r="D40" s="910"/>
      <c r="E40" s="907">
        <f>I33</f>
        <v>89.921000000000006</v>
      </c>
      <c r="F40" s="910"/>
      <c r="G40" s="907">
        <f>I33</f>
        <v>89.921000000000006</v>
      </c>
      <c r="H40" s="910"/>
      <c r="I40" s="910"/>
      <c r="J40" s="619"/>
    </row>
    <row r="41" spans="1:11">
      <c r="A41" s="919">
        <f t="shared" si="1"/>
        <v>33</v>
      </c>
      <c r="B41" s="910" t="s">
        <v>1477</v>
      </c>
      <c r="C41" s="936">
        <f>+C40/12</f>
        <v>7.4934166666666675</v>
      </c>
      <c r="D41" s="910"/>
      <c r="E41" s="936">
        <f>+E40/12</f>
        <v>7.4934166666666675</v>
      </c>
      <c r="F41" s="910"/>
      <c r="G41" s="936">
        <f>+G40/12</f>
        <v>7.4934166666666675</v>
      </c>
      <c r="H41" s="910"/>
      <c r="I41" s="910"/>
      <c r="J41" s="619"/>
    </row>
    <row r="42" spans="1:11">
      <c r="A42" s="919">
        <f t="shared" si="1"/>
        <v>34</v>
      </c>
      <c r="B42" s="910" t="s">
        <v>1478</v>
      </c>
      <c r="C42" s="936">
        <f>+C40/52</f>
        <v>1.7292500000000002</v>
      </c>
      <c r="D42" s="910"/>
      <c r="E42" s="936">
        <f>+E40/52</f>
        <v>1.7292500000000002</v>
      </c>
      <c r="F42" s="910"/>
      <c r="G42" s="936">
        <f>+G40/52</f>
        <v>1.7292500000000002</v>
      </c>
      <c r="H42" s="910"/>
      <c r="I42" s="910"/>
      <c r="J42" s="619"/>
    </row>
    <row r="43" spans="1:11">
      <c r="A43" s="919">
        <f t="shared" si="1"/>
        <v>35</v>
      </c>
      <c r="B43" s="910" t="s">
        <v>1479</v>
      </c>
      <c r="C43" s="936">
        <f>+C42/6*1000</f>
        <v>288.20833333333337</v>
      </c>
      <c r="D43" s="910"/>
      <c r="E43" s="936">
        <f>+E42/6*1000</f>
        <v>288.20833333333337</v>
      </c>
      <c r="F43" s="910"/>
      <c r="G43" s="936">
        <f>+G42/6*1000</f>
        <v>288.20833333333337</v>
      </c>
      <c r="H43" s="910"/>
      <c r="I43" s="910"/>
      <c r="J43" s="619"/>
    </row>
    <row r="44" spans="1:11">
      <c r="A44" s="919">
        <f t="shared" si="1"/>
        <v>36</v>
      </c>
      <c r="B44" s="910" t="s">
        <v>1480</v>
      </c>
      <c r="C44" s="936">
        <f>+C42/7*1000</f>
        <v>247.03571428571431</v>
      </c>
      <c r="D44" s="910"/>
      <c r="E44" s="936">
        <f>+E42/7*1000</f>
        <v>247.03571428571431</v>
      </c>
      <c r="F44" s="910"/>
      <c r="G44" s="936">
        <f>+G42/7*1000</f>
        <v>247.03571428571431</v>
      </c>
      <c r="H44" s="910"/>
      <c r="I44" s="910"/>
      <c r="J44" s="619"/>
    </row>
    <row r="45" spans="1:11">
      <c r="A45" s="919">
        <f t="shared" si="1"/>
        <v>37</v>
      </c>
      <c r="B45" s="910" t="s">
        <v>1481</v>
      </c>
      <c r="C45" s="936">
        <f>+C43/16</f>
        <v>18.013020833333336</v>
      </c>
      <c r="D45" s="910"/>
      <c r="E45" s="936">
        <f>+E43/16</f>
        <v>18.013020833333336</v>
      </c>
      <c r="F45" s="910"/>
      <c r="G45" s="936">
        <f>+G43/16</f>
        <v>18.013020833333336</v>
      </c>
      <c r="H45" s="910"/>
      <c r="I45" s="910"/>
      <c r="J45" s="619"/>
    </row>
    <row r="46" spans="1:11">
      <c r="A46" s="919">
        <f t="shared" si="1"/>
        <v>38</v>
      </c>
      <c r="B46" s="910" t="s">
        <v>1482</v>
      </c>
      <c r="C46" s="936">
        <f>+C44/24</f>
        <v>10.293154761904763</v>
      </c>
      <c r="D46" s="910"/>
      <c r="E46" s="936">
        <f>+E44/24</f>
        <v>10.293154761904763</v>
      </c>
      <c r="F46" s="910"/>
      <c r="G46" s="936">
        <f>+G44/24</f>
        <v>10.293154761904763</v>
      </c>
      <c r="H46" s="910"/>
      <c r="I46" s="910"/>
      <c r="J46" s="620"/>
    </row>
    <row r="47" spans="1:11">
      <c r="A47" s="919">
        <f t="shared" si="1"/>
        <v>39</v>
      </c>
      <c r="B47" s="910" t="s">
        <v>1483</v>
      </c>
      <c r="C47" s="936">
        <f>+C41</f>
        <v>7.4934166666666675</v>
      </c>
      <c r="D47" s="910"/>
      <c r="E47" s="936">
        <f>+E41</f>
        <v>7.4934166666666675</v>
      </c>
      <c r="F47" s="910"/>
      <c r="G47" s="936">
        <f>+G41</f>
        <v>7.4934166666666675</v>
      </c>
      <c r="H47" s="910"/>
      <c r="I47" s="910"/>
      <c r="J47" s="619"/>
    </row>
    <row r="48" spans="1:11">
      <c r="A48" s="919">
        <f t="shared" si="1"/>
        <v>40</v>
      </c>
      <c r="B48" s="910" t="s">
        <v>1484</v>
      </c>
      <c r="C48" s="936">
        <f>+C41</f>
        <v>7.4934166666666675</v>
      </c>
      <c r="D48" s="910"/>
      <c r="E48" s="936">
        <f>+E41</f>
        <v>7.4934166666666675</v>
      </c>
      <c r="F48" s="910"/>
      <c r="G48" s="936">
        <f>+G41</f>
        <v>7.4934166666666675</v>
      </c>
      <c r="H48" s="910"/>
      <c r="I48" s="910"/>
      <c r="J48" s="617"/>
    </row>
    <row r="49" spans="1:10">
      <c r="A49" s="919"/>
      <c r="B49" s="909"/>
      <c r="C49" s="909"/>
      <c r="D49" s="909"/>
      <c r="E49" s="909"/>
      <c r="F49" s="909"/>
      <c r="G49" s="909"/>
      <c r="H49" s="910"/>
      <c r="I49" s="910"/>
      <c r="J49" s="618"/>
    </row>
    <row r="50" spans="1:10">
      <c r="A50" s="910"/>
      <c r="B50" s="910"/>
      <c r="C50" s="910"/>
      <c r="D50" s="910"/>
      <c r="E50" s="910"/>
      <c r="F50" s="910"/>
      <c r="G50" s="910"/>
      <c r="H50" s="910"/>
      <c r="I50" s="910"/>
      <c r="J50" s="433"/>
    </row>
    <row r="51" spans="1:10">
      <c r="A51" s="910"/>
      <c r="B51" s="910" t="s">
        <v>870</v>
      </c>
      <c r="C51" s="910"/>
      <c r="D51" s="910"/>
      <c r="E51" s="910"/>
      <c r="F51" s="910"/>
      <c r="G51" s="910"/>
      <c r="H51" s="910"/>
      <c r="I51" s="910"/>
    </row>
    <row r="52" spans="1:10">
      <c r="A52" s="910"/>
      <c r="B52" s="937" t="s">
        <v>1485</v>
      </c>
      <c r="C52" s="910"/>
      <c r="D52" s="910"/>
      <c r="E52" s="910"/>
      <c r="F52" s="910"/>
      <c r="G52" s="910"/>
      <c r="H52" s="910"/>
      <c r="I52" s="910"/>
    </row>
    <row r="53" spans="1:10">
      <c r="A53" s="910"/>
      <c r="B53" s="938" t="s">
        <v>1486</v>
      </c>
      <c r="C53" s="910"/>
      <c r="D53" s="910"/>
      <c r="E53" s="910"/>
      <c r="F53" s="910"/>
      <c r="G53" s="910"/>
      <c r="H53" s="910"/>
      <c r="I53" s="910"/>
    </row>
    <row r="54" spans="1:10">
      <c r="A54" s="910"/>
      <c r="B54" s="939" t="s">
        <v>1487</v>
      </c>
      <c r="C54" s="910"/>
      <c r="D54" s="910"/>
      <c r="E54" s="910"/>
      <c r="F54" s="910"/>
      <c r="G54" s="910"/>
      <c r="H54" s="910"/>
      <c r="I54" s="910"/>
      <c r="J54" s="430"/>
    </row>
    <row r="55" spans="1:10">
      <c r="A55" s="910"/>
      <c r="B55" s="939" t="s">
        <v>1488</v>
      </c>
      <c r="C55" s="910"/>
      <c r="D55" s="910"/>
      <c r="E55" s="910"/>
      <c r="F55" s="910"/>
      <c r="G55" s="910"/>
      <c r="H55" s="910"/>
      <c r="I55" s="910"/>
    </row>
    <row r="56" spans="1:10">
      <c r="A56" s="910"/>
      <c r="B56" s="939" t="s">
        <v>1489</v>
      </c>
      <c r="C56" s="910"/>
      <c r="D56" s="910"/>
      <c r="E56" s="910"/>
      <c r="F56" s="910"/>
      <c r="G56" s="910"/>
      <c r="H56" s="910"/>
      <c r="I56" s="910"/>
    </row>
    <row r="57" spans="1:10">
      <c r="C57"/>
    </row>
    <row r="58" spans="1:10">
      <c r="C58"/>
    </row>
    <row r="59" spans="1:10">
      <c r="C59"/>
    </row>
    <row r="60" spans="1:10">
      <c r="C60"/>
    </row>
  </sheetData>
  <phoneticPr fontId="2" type="noConversion"/>
  <printOptions horizontalCentered="1"/>
  <pageMargins left="0.75" right="0.75" top="1" bottom="1" header="0.5" footer="0.5"/>
  <pageSetup scale="62" orientation="landscape" r:id="rId1"/>
  <headerFooter alignWithMargins="0">
    <oddHeader>&amp;RPage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Q627"/>
  <sheetViews>
    <sheetView view="pageBreakPreview" zoomScale="60" zoomScaleNormal="100" workbookViewId="0">
      <selection activeCell="Z34" sqref="Z34"/>
    </sheetView>
  </sheetViews>
  <sheetFormatPr defaultRowHeight="12.75"/>
  <cols>
    <col min="2" max="2" width="18.5703125" customWidth="1"/>
    <col min="3" max="3" width="3.5703125" customWidth="1"/>
    <col min="4" max="4" width="16.85546875" bestFit="1" customWidth="1"/>
    <col min="5" max="5" width="3.5703125" customWidth="1"/>
    <col min="6" max="6" width="16.85546875" customWidth="1"/>
    <col min="7" max="7" width="3.5703125" customWidth="1"/>
    <col min="8" max="8" width="13.28515625" bestFit="1" customWidth="1"/>
    <col min="9" max="9" width="3.5703125" customWidth="1"/>
    <col min="10" max="10" width="17" bestFit="1" customWidth="1"/>
    <col min="11" max="11" width="3.5703125" customWidth="1"/>
    <col min="12" max="12" width="15.85546875" customWidth="1"/>
    <col min="13" max="13" width="18.5703125" bestFit="1" customWidth="1"/>
    <col min="14" max="14" width="19.5703125" customWidth="1"/>
    <col min="15" max="15" width="18.5703125" customWidth="1"/>
    <col min="16" max="16" width="15.7109375" customWidth="1"/>
    <col min="17" max="17" width="22" customWidth="1"/>
  </cols>
  <sheetData>
    <row r="1" spans="1:17">
      <c r="A1" s="99" t="str">
        <f>'Cover Page'!A5</f>
        <v>Public Service Company of Colorado</v>
      </c>
      <c r="C1" s="106"/>
      <c r="O1" s="428"/>
      <c r="Q1" s="133" t="str">
        <f>'Table of Contents'!A38</f>
        <v>Table 30</v>
      </c>
    </row>
    <row r="2" spans="1:17">
      <c r="A2" s="99" t="str">
        <f>'Cover Page'!A6</f>
        <v>Transmission Formula Rate Template</v>
      </c>
      <c r="C2" s="106"/>
      <c r="O2" s="428"/>
      <c r="Q2" s="133" t="str">
        <f ca="1">MID(CELL("filename",$A$1),FIND("]",CELL("filename",$A$1))+1,LEN(CELL("filename",$A$1))-FIND("]",CELL("filename",$A$1)))</f>
        <v>Schedule 5</v>
      </c>
    </row>
    <row r="3" spans="1:17" ht="12" customHeight="1">
      <c r="A3" s="99" t="s">
        <v>495</v>
      </c>
      <c r="B3" s="429"/>
      <c r="C3" s="443"/>
    </row>
    <row r="4" spans="1:17">
      <c r="A4" s="99" t="s">
        <v>746</v>
      </c>
      <c r="C4" s="106"/>
    </row>
    <row r="5" spans="1:17">
      <c r="C5" s="106"/>
      <c r="J5" s="164"/>
      <c r="K5" s="164"/>
      <c r="L5" s="164"/>
      <c r="M5" s="164"/>
    </row>
    <row r="6" spans="1:17">
      <c r="C6" s="106"/>
      <c r="D6" s="106"/>
      <c r="F6" s="106"/>
      <c r="G6" s="106"/>
      <c r="H6" s="106"/>
      <c r="I6" s="106"/>
      <c r="J6" s="106"/>
      <c r="K6" s="106"/>
      <c r="L6" s="111"/>
      <c r="M6" s="437"/>
      <c r="N6" s="198"/>
      <c r="O6" s="198"/>
      <c r="P6" s="198"/>
      <c r="Q6" s="198"/>
    </row>
    <row r="7" spans="1:17">
      <c r="B7" s="106"/>
      <c r="C7" s="106"/>
      <c r="D7" s="106"/>
      <c r="E7" s="106"/>
      <c r="F7" s="106"/>
      <c r="G7" s="106"/>
      <c r="H7" s="106"/>
      <c r="I7" s="106"/>
      <c r="J7" s="106" t="s">
        <v>449</v>
      </c>
      <c r="K7" s="106"/>
      <c r="L7" s="111" t="s">
        <v>450</v>
      </c>
      <c r="M7" s="438" t="s">
        <v>451</v>
      </c>
    </row>
    <row r="8" spans="1:17">
      <c r="B8" s="106"/>
      <c r="C8" s="106"/>
      <c r="D8" s="106"/>
      <c r="E8" s="106"/>
      <c r="F8" s="106" t="s">
        <v>449</v>
      </c>
      <c r="G8" s="106"/>
      <c r="H8" s="106" t="s">
        <v>455</v>
      </c>
      <c r="I8" s="106"/>
      <c r="J8" s="106" t="s">
        <v>456</v>
      </c>
      <c r="K8" s="106"/>
      <c r="L8" s="111" t="s">
        <v>457</v>
      </c>
      <c r="M8" s="438" t="s">
        <v>458</v>
      </c>
      <c r="N8" s="198" t="s">
        <v>452</v>
      </c>
      <c r="O8" s="198" t="s">
        <v>453</v>
      </c>
      <c r="P8" s="198" t="s">
        <v>454</v>
      </c>
      <c r="Q8" s="198"/>
    </row>
    <row r="9" spans="1:17">
      <c r="C9" s="106"/>
      <c r="E9" s="106"/>
      <c r="F9" s="106" t="s">
        <v>456</v>
      </c>
      <c r="G9" s="106"/>
      <c r="H9" s="106" t="s">
        <v>426</v>
      </c>
      <c r="I9" s="106"/>
      <c r="J9" s="106" t="s">
        <v>462</v>
      </c>
      <c r="K9" s="106"/>
      <c r="L9" s="111" t="s">
        <v>463</v>
      </c>
      <c r="M9" s="438" t="s">
        <v>468</v>
      </c>
      <c r="N9" s="198" t="s">
        <v>459</v>
      </c>
      <c r="O9" s="198" t="s">
        <v>460</v>
      </c>
      <c r="P9" s="198" t="s">
        <v>427</v>
      </c>
      <c r="Q9" s="198"/>
    </row>
    <row r="10" spans="1:17">
      <c r="A10" s="455" t="s">
        <v>862</v>
      </c>
      <c r="B10" s="455" t="s">
        <v>461</v>
      </c>
      <c r="C10" s="455"/>
      <c r="D10" s="466" t="s">
        <v>423</v>
      </c>
      <c r="E10" s="213"/>
      <c r="F10" s="817" t="s">
        <v>794</v>
      </c>
      <c r="G10" s="213"/>
      <c r="H10" s="466" t="s">
        <v>1331</v>
      </c>
      <c r="I10" s="213"/>
      <c r="J10" s="466" t="s">
        <v>465</v>
      </c>
      <c r="K10" s="213" t="s">
        <v>788</v>
      </c>
      <c r="L10" s="466" t="s">
        <v>466</v>
      </c>
      <c r="M10" s="818" t="s">
        <v>643</v>
      </c>
      <c r="N10" s="817" t="s">
        <v>798</v>
      </c>
      <c r="O10" s="466" t="s">
        <v>553</v>
      </c>
      <c r="P10" s="466" t="s">
        <v>640</v>
      </c>
      <c r="Q10" s="198"/>
    </row>
    <row r="11" spans="1:17">
      <c r="A11" s="106"/>
      <c r="C11" s="198"/>
      <c r="D11" s="111" t="s">
        <v>1323</v>
      </c>
      <c r="E11" s="110"/>
      <c r="F11" s="111" t="s">
        <v>1324</v>
      </c>
      <c r="G11" s="111"/>
      <c r="H11" s="575" t="s">
        <v>1332</v>
      </c>
      <c r="I11" s="111"/>
      <c r="J11" s="111" t="s">
        <v>1325</v>
      </c>
      <c r="K11" s="111"/>
      <c r="L11" s="111" t="s">
        <v>1326</v>
      </c>
      <c r="M11" s="812" t="s">
        <v>1327</v>
      </c>
      <c r="N11" s="116" t="s">
        <v>1328</v>
      </c>
      <c r="O11" s="116" t="s">
        <v>1329</v>
      </c>
      <c r="P11" s="116" t="s">
        <v>1330</v>
      </c>
      <c r="Q11" s="198"/>
    </row>
    <row r="12" spans="1:17">
      <c r="B12" s="106"/>
      <c r="J12" s="106"/>
      <c r="L12" s="111"/>
      <c r="N12" s="106"/>
    </row>
    <row r="13" spans="1:17">
      <c r="A13" s="106">
        <v>1</v>
      </c>
      <c r="B13" s="433" t="str">
        <f>'WP_Cost per Unit'!B11</f>
        <v>Arapahoe</v>
      </c>
      <c r="D13" s="529">
        <f>'WP_Cost per Unit'!D11</f>
        <v>4422869</v>
      </c>
      <c r="E13" s="277"/>
      <c r="F13" s="529">
        <f>'Schedule 3 and 3A'!F13</f>
        <v>22.002954511270119</v>
      </c>
      <c r="H13" s="636">
        <f>IF(D13=0,0,D13/D$49)</f>
        <v>8.4894953410851284E-4</v>
      </c>
      <c r="J13" s="529">
        <f>F13*H13</f>
        <v>1.8679397981353568E-2</v>
      </c>
      <c r="K13" s="277"/>
      <c r="L13" s="528">
        <f>D13-J13</f>
        <v>4422868.9813206019</v>
      </c>
      <c r="M13" s="534">
        <v>0</v>
      </c>
      <c r="N13" s="735">
        <f>WP_FCR!$F$28</f>
        <v>0.15495</v>
      </c>
      <c r="O13" s="529">
        <f>L13*N13*M13</f>
        <v>0</v>
      </c>
      <c r="P13" s="619">
        <f>IF(M13=0,0,'WP_Cost per Unit'!F11)</f>
        <v>0</v>
      </c>
      <c r="Q13" s="619"/>
    </row>
    <row r="14" spans="1:17">
      <c r="A14" s="106"/>
      <c r="B14" s="433"/>
      <c r="D14" s="277"/>
      <c r="E14" s="277"/>
      <c r="F14" s="277"/>
      <c r="H14" s="636"/>
      <c r="J14" s="277"/>
      <c r="K14" s="277"/>
      <c r="L14" s="483"/>
      <c r="M14" s="535"/>
      <c r="N14" s="735"/>
      <c r="O14" s="277"/>
      <c r="P14" s="619"/>
      <c r="Q14" s="619"/>
    </row>
    <row r="15" spans="1:17">
      <c r="A15" s="106">
        <f>A13+1</f>
        <v>2</v>
      </c>
      <c r="B15" s="433" t="str">
        <f>'WP_Cost per Unit'!B13</f>
        <v>Cherokee 3,4</v>
      </c>
      <c r="D15" s="529">
        <f>'WP_Cost per Unit'!D13</f>
        <v>273151476</v>
      </c>
      <c r="E15" s="277"/>
      <c r="F15" s="277">
        <f>F$13</f>
        <v>22.002954511270119</v>
      </c>
      <c r="H15" s="636">
        <f>IF(D15=0,0,D15/D$49)</f>
        <v>5.2430180114141439E-2</v>
      </c>
      <c r="J15" s="277">
        <f>F15*H15</f>
        <v>1.1536188680691533</v>
      </c>
      <c r="K15" s="277"/>
      <c r="L15" s="483">
        <f>D15-J15</f>
        <v>273151474.84638113</v>
      </c>
      <c r="M15" s="534">
        <v>0</v>
      </c>
      <c r="N15" s="735">
        <f>WP_FCR!$F$28</f>
        <v>0.15495</v>
      </c>
      <c r="O15" s="277">
        <f>L15*N15*M15</f>
        <v>0</v>
      </c>
      <c r="P15" s="619">
        <f>IF(M15=0,0,'WP_Cost per Unit'!F13)</f>
        <v>0</v>
      </c>
      <c r="Q15" s="619"/>
    </row>
    <row r="16" spans="1:17">
      <c r="B16" s="433"/>
      <c r="D16" s="277"/>
      <c r="E16" s="277"/>
      <c r="F16" s="277"/>
      <c r="H16" s="636"/>
      <c r="J16" s="277"/>
      <c r="K16" s="277"/>
      <c r="L16" s="483"/>
      <c r="M16" s="535"/>
      <c r="N16" s="735"/>
      <c r="O16" s="277"/>
      <c r="P16" s="619"/>
      <c r="Q16" s="619"/>
    </row>
    <row r="17" spans="1:17">
      <c r="A17" s="106">
        <f>A15+1</f>
        <v>3</v>
      </c>
      <c r="B17" s="433" t="str">
        <f>'WP_Cost per Unit'!B15</f>
        <v>Cherokee 5,6,7</v>
      </c>
      <c r="D17" s="529">
        <f>'WP_Cost per Unit'!D15</f>
        <v>583578463</v>
      </c>
      <c r="E17" s="277"/>
      <c r="F17" s="277">
        <f>F$13</f>
        <v>22.002954511270119</v>
      </c>
      <c r="H17" s="636">
        <f>IF(D17=0,0,D17/D$49)</f>
        <v>0.11201522457020816</v>
      </c>
      <c r="J17" s="530">
        <f>F17*H17</f>
        <v>2.4646658907879968</v>
      </c>
      <c r="K17" s="277"/>
      <c r="L17" s="480">
        <f>D17-J17</f>
        <v>583578460.53533411</v>
      </c>
      <c r="M17" s="534">
        <v>1</v>
      </c>
      <c r="N17" s="735">
        <f>WP_FCR!$F$28</f>
        <v>0.15495</v>
      </c>
      <c r="O17" s="277">
        <f>L17*N17*M17</f>
        <v>90425482.45995003</v>
      </c>
      <c r="P17" s="619">
        <f>IF(M17=0,0,'WP_Cost per Unit'!F15)</f>
        <v>625600</v>
      </c>
      <c r="Q17" s="619"/>
    </row>
    <row r="18" spans="1:17">
      <c r="B18" s="433"/>
      <c r="D18" s="277"/>
      <c r="E18" s="277"/>
      <c r="F18" s="277"/>
      <c r="H18" s="637"/>
      <c r="J18" s="277"/>
      <c r="K18" s="277"/>
      <c r="L18" s="483"/>
      <c r="M18" s="535"/>
      <c r="N18" s="735"/>
      <c r="O18" s="277"/>
      <c r="P18" s="619"/>
      <c r="Q18" s="619"/>
    </row>
    <row r="19" spans="1:17">
      <c r="A19" s="106">
        <f>A17+1</f>
        <v>4</v>
      </c>
      <c r="B19" s="433" t="str">
        <f>'WP_Cost per Unit'!B17</f>
        <v>Comanche</v>
      </c>
      <c r="C19" s="106"/>
      <c r="D19" s="529">
        <f>'WP_Cost per Unit'!D17</f>
        <v>1546185463</v>
      </c>
      <c r="E19" s="277"/>
      <c r="F19" s="277">
        <f>F$13</f>
        <v>22.002954511270119</v>
      </c>
      <c r="H19" s="636">
        <f>IF(D19=0,0,D19/D$49)</f>
        <v>0.29678324826242991</v>
      </c>
      <c r="J19" s="277">
        <f>F19*H19</f>
        <v>6.5301083112252316</v>
      </c>
      <c r="K19" s="277"/>
      <c r="L19" s="483">
        <f>D19-J19</f>
        <v>1546185456.4698918</v>
      </c>
      <c r="M19" s="534">
        <v>0</v>
      </c>
      <c r="N19" s="735">
        <f>WP_FCR!$F$28</f>
        <v>0.15495</v>
      </c>
      <c r="O19" s="277">
        <f>L19*N19*M19</f>
        <v>0</v>
      </c>
      <c r="P19" s="619">
        <f>IF(M19=0,0,'WP_Cost per Unit'!F17)</f>
        <v>0</v>
      </c>
      <c r="Q19" s="619"/>
    </row>
    <row r="20" spans="1:17">
      <c r="B20" s="433"/>
      <c r="C20" s="106"/>
      <c r="D20" s="277"/>
      <c r="E20" s="277"/>
      <c r="F20" s="277"/>
      <c r="H20" s="636"/>
      <c r="J20" s="277"/>
      <c r="K20" s="277"/>
      <c r="L20" s="483"/>
      <c r="M20" s="535"/>
      <c r="N20" s="735"/>
      <c r="O20" s="277"/>
      <c r="P20" s="620"/>
      <c r="Q20" s="620"/>
    </row>
    <row r="21" spans="1:17">
      <c r="A21" s="106">
        <f>A19+1</f>
        <v>5</v>
      </c>
      <c r="B21" s="433" t="str">
        <f>'WP_Cost per Unit'!B19</f>
        <v>Craig</v>
      </c>
      <c r="C21" s="106"/>
      <c r="D21" s="529">
        <f>'WP_Cost per Unit'!D19</f>
        <v>97482671</v>
      </c>
      <c r="E21" s="277"/>
      <c r="F21" s="277">
        <f>F$13</f>
        <v>22.002954511270119</v>
      </c>
      <c r="H21" s="636">
        <f>IF(D21=0,0,D21/D$49)</f>
        <v>1.8711354129887961E-2</v>
      </c>
      <c r="J21" s="277">
        <f>F21*H21</f>
        <v>0.41170507376419108</v>
      </c>
      <c r="K21" s="277"/>
      <c r="L21" s="483">
        <f>D21-J21</f>
        <v>97482670.588294923</v>
      </c>
      <c r="M21" s="534">
        <v>0</v>
      </c>
      <c r="N21" s="735">
        <f>WP_FCR!$F$28</f>
        <v>0.15495</v>
      </c>
      <c r="O21" s="277">
        <f>L21*N21*M21</f>
        <v>0</v>
      </c>
      <c r="P21" s="619">
        <f>IF(M21=0,0,'WP_Cost per Unit'!F19)</f>
        <v>0</v>
      </c>
      <c r="Q21" s="619"/>
    </row>
    <row r="22" spans="1:17">
      <c r="B22" s="433"/>
      <c r="C22" s="106"/>
      <c r="D22" s="277"/>
      <c r="E22" s="277"/>
      <c r="F22" s="277"/>
      <c r="H22" s="636"/>
      <c r="J22" s="277"/>
      <c r="K22" s="277"/>
      <c r="L22" s="483"/>
      <c r="M22" s="535"/>
      <c r="N22" s="735"/>
      <c r="O22" s="277"/>
      <c r="P22" s="620"/>
      <c r="Q22" s="620"/>
    </row>
    <row r="23" spans="1:17">
      <c r="A23" s="106">
        <f>A21+1</f>
        <v>6</v>
      </c>
      <c r="B23" s="433" t="str">
        <f>'WP_Cost per Unit'!B21</f>
        <v>Hayden</v>
      </c>
      <c r="C23" s="106"/>
      <c r="D23" s="529">
        <f>'WP_Cost per Unit'!D21</f>
        <v>314127434</v>
      </c>
      <c r="E23" s="277"/>
      <c r="F23" s="277">
        <f>F$13</f>
        <v>22.002954511270119</v>
      </c>
      <c r="H23" s="636">
        <f>IF(D23=0,0,D23/D$49)</f>
        <v>6.0295328381872175E-2</v>
      </c>
      <c r="J23" s="277">
        <f>F23*H23</f>
        <v>1.3266753676284275</v>
      </c>
      <c r="K23" s="277"/>
      <c r="L23" s="483">
        <f>D23-J23</f>
        <v>314127432.67332464</v>
      </c>
      <c r="M23" s="534">
        <v>0</v>
      </c>
      <c r="N23" s="735">
        <f>WP_FCR!$F$28</f>
        <v>0.15495</v>
      </c>
      <c r="O23" s="277">
        <f>L23*N23*M23</f>
        <v>0</v>
      </c>
      <c r="P23" s="619">
        <f>IF(M23=0,0,'WP_Cost per Unit'!F21)</f>
        <v>0</v>
      </c>
      <c r="Q23" s="619"/>
    </row>
    <row r="24" spans="1:17">
      <c r="B24" s="433"/>
      <c r="C24" s="106"/>
      <c r="D24" s="277"/>
      <c r="E24" s="277"/>
      <c r="F24" s="277"/>
      <c r="H24" s="636"/>
      <c r="J24" s="277"/>
      <c r="K24" s="277"/>
      <c r="L24" s="483"/>
      <c r="M24" s="535"/>
      <c r="N24" s="735"/>
      <c r="O24" s="277"/>
      <c r="P24" s="620"/>
      <c r="Q24" s="620"/>
    </row>
    <row r="25" spans="1:17">
      <c r="A25" s="106">
        <f>A23+1</f>
        <v>7</v>
      </c>
      <c r="B25" s="433" t="str">
        <f>'WP_Cost per Unit'!B23</f>
        <v>Pawnee</v>
      </c>
      <c r="C25" s="106"/>
      <c r="D25" s="529">
        <f>'WP_Cost per Unit'!D23</f>
        <v>918152433</v>
      </c>
      <c r="E25" s="277"/>
      <c r="F25" s="277">
        <f>F$13</f>
        <v>22.002954511270119</v>
      </c>
      <c r="H25" s="636">
        <f>IF(D25=0,0,D25/D$49)</f>
        <v>0.17623517229109603</v>
      </c>
      <c r="J25" s="277">
        <f>F25*H25</f>
        <v>3.8776944792068382</v>
      </c>
      <c r="K25" s="277"/>
      <c r="L25" s="483">
        <f>D25-J25</f>
        <v>918152429.12230551</v>
      </c>
      <c r="M25" s="534">
        <v>1</v>
      </c>
      <c r="N25" s="735">
        <f>WP_FCR!$F$28</f>
        <v>0.15495</v>
      </c>
      <c r="O25" s="277">
        <f>L25*N25*M25</f>
        <v>142267718.89250124</v>
      </c>
      <c r="P25" s="619">
        <f>IF(M25=0,0,'WP_Cost per Unit'!F23)</f>
        <v>552330</v>
      </c>
      <c r="Q25" s="619"/>
    </row>
    <row r="26" spans="1:17">
      <c r="B26" s="433"/>
      <c r="C26" s="106"/>
      <c r="D26" s="277"/>
      <c r="E26" s="277"/>
      <c r="F26" s="277"/>
      <c r="H26" s="636"/>
      <c r="J26" s="277"/>
      <c r="K26" s="277"/>
      <c r="L26" s="483"/>
      <c r="M26" s="535"/>
      <c r="N26" s="735"/>
      <c r="O26" s="277"/>
      <c r="P26" s="620"/>
      <c r="Q26" s="620"/>
    </row>
    <row r="27" spans="1:17">
      <c r="A27" s="106">
        <f>A25+1</f>
        <v>8</v>
      </c>
      <c r="B27" s="433" t="str">
        <f>'WP_Cost per Unit'!B25</f>
        <v>Valmont 5</v>
      </c>
      <c r="C27" s="106"/>
      <c r="D27" s="529">
        <f>'WP_Cost per Unit'!D25</f>
        <v>141947225</v>
      </c>
      <c r="E27" s="277"/>
      <c r="F27" s="277">
        <f>F$13</f>
        <v>22.002954511270119</v>
      </c>
      <c r="H27" s="636">
        <f>IF(D27=0,0,D27/D$49)</f>
        <v>2.7246122490118121E-2</v>
      </c>
      <c r="J27" s="277">
        <f>F27*H27</f>
        <v>0.59949519375856275</v>
      </c>
      <c r="K27" s="277"/>
      <c r="L27" s="483">
        <f>D27-J27</f>
        <v>141947224.4005048</v>
      </c>
      <c r="M27" s="534">
        <v>1</v>
      </c>
      <c r="N27" s="735">
        <f>WP_FCR!$F$28</f>
        <v>0.15495</v>
      </c>
      <c r="O27" s="277">
        <f>L27*N27*M27</f>
        <v>21994722.420858219</v>
      </c>
      <c r="P27" s="619">
        <f>IF(M27=0,0,'WP_Cost per Unit'!F25)</f>
        <v>191680</v>
      </c>
      <c r="Q27" s="619"/>
    </row>
    <row r="28" spans="1:17">
      <c r="B28" s="433"/>
      <c r="C28" s="106"/>
      <c r="D28" s="277"/>
      <c r="E28" s="277"/>
      <c r="F28" s="277"/>
      <c r="H28" s="636"/>
      <c r="J28" s="277"/>
      <c r="K28" s="277"/>
      <c r="L28" s="483"/>
      <c r="M28" s="535"/>
      <c r="N28" s="735"/>
      <c r="O28" s="277"/>
      <c r="P28" s="620"/>
      <c r="Q28" s="620"/>
    </row>
    <row r="29" spans="1:17">
      <c r="A29" s="106">
        <f>A27+1</f>
        <v>9</v>
      </c>
      <c r="B29" s="433" t="str">
        <f>'WP_Cost per Unit'!B27</f>
        <v>Zuni</v>
      </c>
      <c r="C29" s="106"/>
      <c r="D29" s="529">
        <f>'WP_Cost per Unit'!D27</f>
        <v>26466027</v>
      </c>
      <c r="E29" s="277"/>
      <c r="F29" s="277">
        <f>F$13</f>
        <v>22.002954511270119</v>
      </c>
      <c r="H29" s="636">
        <f>IF(D29=0,0,D29/D$49)</f>
        <v>5.0800331846485441E-3</v>
      </c>
      <c r="J29" s="277">
        <f>F29*H29</f>
        <v>0.11177573907756459</v>
      </c>
      <c r="K29" s="277"/>
      <c r="L29" s="483">
        <f>D29-J29</f>
        <v>26466026.888224263</v>
      </c>
      <c r="M29" s="534">
        <v>0</v>
      </c>
      <c r="N29" s="735">
        <f>WP_FCR!$F$28</f>
        <v>0.15495</v>
      </c>
      <c r="O29" s="277">
        <f>L29*N29*M29</f>
        <v>0</v>
      </c>
      <c r="P29" s="619">
        <f>IF(M29=0,0,'WP_Cost per Unit'!F27)</f>
        <v>0</v>
      </c>
      <c r="Q29" s="619"/>
    </row>
    <row r="30" spans="1:17">
      <c r="B30" s="433"/>
      <c r="C30" s="106"/>
      <c r="D30" s="277"/>
      <c r="E30" s="277"/>
      <c r="F30" s="277"/>
      <c r="H30" s="636"/>
      <c r="J30" s="277"/>
      <c r="K30" s="277"/>
      <c r="L30" s="483"/>
      <c r="M30" s="535"/>
      <c r="N30" s="735"/>
      <c r="O30" s="277"/>
      <c r="P30" s="620"/>
      <c r="Q30" s="620"/>
    </row>
    <row r="31" spans="1:17">
      <c r="A31" s="106">
        <f>A29+1</f>
        <v>10</v>
      </c>
      <c r="B31" s="433" t="str">
        <f>'WP_Cost per Unit'!B29</f>
        <v>Alamosa</v>
      </c>
      <c r="C31" s="106"/>
      <c r="D31" s="529">
        <f>'WP_Cost per Unit'!D29</f>
        <v>9655556</v>
      </c>
      <c r="E31" s="277"/>
      <c r="F31" s="277">
        <f>F$13</f>
        <v>22.002954511270119</v>
      </c>
      <c r="H31" s="636">
        <f>IF(D31=0,0,D31/D$49)</f>
        <v>1.8533399401516654E-3</v>
      </c>
      <c r="J31" s="277">
        <f>F31*H31</f>
        <v>4.0778954397077176E-2</v>
      </c>
      <c r="K31" s="277"/>
      <c r="L31" s="483">
        <f>D31-J31</f>
        <v>9655555.9592210464</v>
      </c>
      <c r="M31" s="534">
        <v>1</v>
      </c>
      <c r="N31" s="735">
        <f>WP_FCR!$F$28</f>
        <v>0.15495</v>
      </c>
      <c r="O31" s="277">
        <f>L31*N31*M31</f>
        <v>1496128.3958813013</v>
      </c>
      <c r="P31" s="619">
        <f>IF(M31=0,0,'WP_Cost per Unit'!F29)</f>
        <v>53280</v>
      </c>
      <c r="Q31" s="619"/>
    </row>
    <row r="32" spans="1:17">
      <c r="B32" s="433"/>
      <c r="C32" s="106"/>
      <c r="D32" s="277"/>
      <c r="E32" s="277"/>
      <c r="F32" s="277"/>
      <c r="H32" s="636"/>
      <c r="J32" s="277"/>
      <c r="K32" s="277"/>
      <c r="L32" s="483"/>
      <c r="M32" s="535"/>
      <c r="N32" s="735"/>
      <c r="O32" s="277"/>
      <c r="P32" s="620"/>
      <c r="Q32" s="620"/>
    </row>
    <row r="33" spans="1:17">
      <c r="A33" s="106">
        <f>A31+1</f>
        <v>11</v>
      </c>
      <c r="B33" s="433" t="str">
        <f>'WP_Cost per Unit'!B31</f>
        <v>Fort Lupton</v>
      </c>
      <c r="C33" s="106"/>
      <c r="D33" s="529">
        <f>'WP_Cost per Unit'!D31</f>
        <v>13725060</v>
      </c>
      <c r="E33" s="277"/>
      <c r="F33" s="277">
        <f>F$13</f>
        <v>22.002954511270119</v>
      </c>
      <c r="H33" s="636">
        <f>IF(D33=0,0,D33/D$49)</f>
        <v>2.6344626740270592E-3</v>
      </c>
      <c r="J33" s="277">
        <f>F33*H33</f>
        <v>5.7965962378256422E-2</v>
      </c>
      <c r="K33" s="277"/>
      <c r="L33" s="483">
        <f>D33-J33</f>
        <v>13725059.942034038</v>
      </c>
      <c r="M33" s="534">
        <v>1</v>
      </c>
      <c r="N33" s="735">
        <f>WP_FCR!$F$28</f>
        <v>0.15495</v>
      </c>
      <c r="O33" s="277">
        <f>L33*N33*M33</f>
        <v>2126698.038018174</v>
      </c>
      <c r="P33" s="619">
        <f>IF(M33=0,0,'WP_Cost per Unit'!F31)</f>
        <v>100800</v>
      </c>
      <c r="Q33" s="619"/>
    </row>
    <row r="34" spans="1:17">
      <c r="B34" s="433"/>
      <c r="C34" s="106"/>
      <c r="D34" s="277"/>
      <c r="E34" s="277"/>
      <c r="F34" s="277"/>
      <c r="H34" s="636"/>
      <c r="J34" s="277"/>
      <c r="K34" s="277"/>
      <c r="L34" s="483"/>
      <c r="M34" s="535"/>
      <c r="N34" s="735"/>
      <c r="O34" s="277"/>
      <c r="P34" s="620"/>
      <c r="Q34" s="620"/>
    </row>
    <row r="35" spans="1:17">
      <c r="A35" s="106">
        <f>A33+1</f>
        <v>12</v>
      </c>
      <c r="B35" s="433" t="str">
        <f>'WP_Cost per Unit'!B33</f>
        <v>Fruita</v>
      </c>
      <c r="C35" s="106"/>
      <c r="D35" s="529">
        <f>'WP_Cost per Unit'!D33</f>
        <v>3463907</v>
      </c>
      <c r="E35" s="277"/>
      <c r="F35" s="277">
        <f>F$13</f>
        <v>22.002954511270119</v>
      </c>
      <c r="H35" s="636">
        <f>IF(D35=0,0,D35/D$49)</f>
        <v>6.6488115154331195E-4</v>
      </c>
      <c r="J35" s="277">
        <f>F35*H35</f>
        <v>1.4629349732808387E-2</v>
      </c>
      <c r="K35" s="277"/>
      <c r="L35" s="483">
        <f>D35-J35</f>
        <v>3463906.9853706504</v>
      </c>
      <c r="M35" s="534">
        <v>0</v>
      </c>
      <c r="N35" s="735">
        <f>WP_FCR!$F$28</f>
        <v>0.15495</v>
      </c>
      <c r="O35" s="277">
        <f>L35*N35*M35</f>
        <v>0</v>
      </c>
      <c r="P35" s="619">
        <f>IF(M35=0,0,'WP_Cost per Unit'!F33)</f>
        <v>0</v>
      </c>
      <c r="Q35" s="619"/>
    </row>
    <row r="36" spans="1:17">
      <c r="B36" s="433"/>
      <c r="C36" s="106"/>
      <c r="D36" s="277"/>
      <c r="E36" s="277"/>
      <c r="F36" s="277"/>
      <c r="H36" s="636"/>
      <c r="J36" s="277"/>
      <c r="K36" s="277"/>
      <c r="L36" s="483"/>
      <c r="M36" s="535"/>
      <c r="N36" s="735"/>
      <c r="O36" s="277"/>
      <c r="P36" s="620"/>
      <c r="Q36" s="620"/>
    </row>
    <row r="37" spans="1:17">
      <c r="A37" s="106">
        <f>A35+1</f>
        <v>13</v>
      </c>
      <c r="B37" s="433" t="str">
        <f>'WP_Cost per Unit'!B35</f>
        <v>Valmont 6</v>
      </c>
      <c r="C37" s="106"/>
      <c r="D37" s="529">
        <f>'WP_Cost per Unit'!D35</f>
        <v>9413482</v>
      </c>
      <c r="E37" s="277"/>
      <c r="F37" s="277">
        <f>F$13</f>
        <v>22.002954511270119</v>
      </c>
      <c r="H37" s="636">
        <f>IF(D37=0,0,D37/D$49)</f>
        <v>1.8068749398272642E-3</v>
      </c>
      <c r="J37" s="277">
        <f>F37*H37</f>
        <v>3.9756587108573223E-2</v>
      </c>
      <c r="K37" s="277"/>
      <c r="L37" s="483">
        <f>D37-J37</f>
        <v>9413481.9602434132</v>
      </c>
      <c r="M37" s="534">
        <v>1</v>
      </c>
      <c r="N37" s="735">
        <f>WP_FCR!$F$28</f>
        <v>0.15495</v>
      </c>
      <c r="O37" s="277">
        <f>L37*N37*M37</f>
        <v>1458619.029739717</v>
      </c>
      <c r="P37" s="619">
        <f>IF(M37=0,0,'WP_Cost per Unit'!F35)</f>
        <v>59300</v>
      </c>
      <c r="Q37" s="619"/>
    </row>
    <row r="38" spans="1:17">
      <c r="B38" s="433"/>
      <c r="C38" s="106"/>
      <c r="D38" s="277"/>
      <c r="E38" s="277"/>
      <c r="F38" s="277"/>
      <c r="H38" s="636"/>
      <c r="J38" s="277"/>
      <c r="K38" s="277"/>
      <c r="L38" s="483"/>
      <c r="M38" s="535"/>
      <c r="N38" s="735"/>
      <c r="O38" s="277"/>
      <c r="P38" s="620"/>
      <c r="Q38" s="620"/>
    </row>
    <row r="39" spans="1:17">
      <c r="A39" s="106">
        <f>A37+1</f>
        <v>14</v>
      </c>
      <c r="B39" s="433" t="str">
        <f>'WP_Cost per Unit'!B37</f>
        <v>Fort St. Vrain 1-4</v>
      </c>
      <c r="C39" s="106"/>
      <c r="D39" s="529">
        <f>'WP_Cost per Unit'!D37</f>
        <v>428426635</v>
      </c>
      <c r="E39" s="277"/>
      <c r="F39" s="277">
        <f>F$13</f>
        <v>22.002954511270119</v>
      </c>
      <c r="H39" s="636">
        <f>IF(D39=0,0,D39/D$49)</f>
        <v>8.2234538753675021E-2</v>
      </c>
      <c r="J39" s="277">
        <f>F39*H39</f>
        <v>1.8094028154523911</v>
      </c>
      <c r="K39" s="277"/>
      <c r="L39" s="483">
        <f>D39-J39</f>
        <v>428426633.19059718</v>
      </c>
      <c r="M39" s="534">
        <v>1</v>
      </c>
      <c r="N39" s="735">
        <f>WP_FCR!$F$28</f>
        <v>0.15495</v>
      </c>
      <c r="O39" s="277">
        <f>L39*N39*M39</f>
        <v>66384706.812883034</v>
      </c>
      <c r="P39" s="619">
        <f>IF(M39=0,0,'WP_Cost per Unit'!F37)</f>
        <v>867850</v>
      </c>
      <c r="Q39" s="619"/>
    </row>
    <row r="40" spans="1:17">
      <c r="B40" s="122"/>
      <c r="C40" s="106"/>
      <c r="D40" s="277"/>
      <c r="E40" s="277"/>
      <c r="F40" s="277"/>
      <c r="H40" s="636"/>
      <c r="J40" s="277"/>
      <c r="K40" s="277"/>
      <c r="L40" s="483"/>
      <c r="M40" s="535"/>
      <c r="N40" s="735"/>
      <c r="O40" s="277"/>
      <c r="P40" s="619"/>
      <c r="Q40" s="619"/>
    </row>
    <row r="41" spans="1:17">
      <c r="A41" s="106">
        <f>A39+1</f>
        <v>15</v>
      </c>
      <c r="B41" s="433" t="str">
        <f>'WP_Cost per Unit'!B39</f>
        <v>Fort St. Vrain 5-6</v>
      </c>
      <c r="C41" s="106"/>
      <c r="D41" s="529">
        <f>'WP_Cost per Unit'!D39</f>
        <v>164907064</v>
      </c>
      <c r="E41" s="277"/>
      <c r="F41" s="277">
        <f>F$13</f>
        <v>22.002954511270119</v>
      </c>
      <c r="H41" s="636">
        <f>IF(D41=0,0,D41/D$49)</f>
        <v>3.1653158878095354E-2</v>
      </c>
      <c r="J41" s="277">
        <f>F41*H41</f>
        <v>0.69646301493273799</v>
      </c>
      <c r="K41" s="277"/>
      <c r="L41" s="483">
        <f>D41-J41</f>
        <v>164907063.30353698</v>
      </c>
      <c r="M41" s="534">
        <v>1</v>
      </c>
      <c r="N41" s="735">
        <f>WP_FCR!$F$28</f>
        <v>0.15495</v>
      </c>
      <c r="O41" s="277">
        <f>L41*N41*M41</f>
        <v>25552349.458883055</v>
      </c>
      <c r="P41" s="619">
        <f>IF(M41=0,0,'WP_Cost per Unit'!F39)</f>
        <v>280500</v>
      </c>
      <c r="Q41" s="619"/>
    </row>
    <row r="42" spans="1:17">
      <c r="B42" s="122"/>
      <c r="C42" s="106"/>
      <c r="D42" s="277"/>
      <c r="E42" s="277"/>
      <c r="F42" s="277"/>
      <c r="H42" s="636"/>
      <c r="J42" s="277"/>
      <c r="K42" s="277"/>
      <c r="L42" s="483"/>
      <c r="M42" s="535"/>
      <c r="N42" s="735"/>
      <c r="O42" s="277"/>
      <c r="P42" s="619"/>
      <c r="Q42" s="619"/>
    </row>
    <row r="43" spans="1:17">
      <c r="A43" s="106">
        <f>A41+1</f>
        <v>16</v>
      </c>
      <c r="B43" s="433" t="str">
        <f>'WP_Cost per Unit'!B41</f>
        <v>Blue Spruce</v>
      </c>
      <c r="C43" s="106"/>
      <c r="D43" s="529">
        <f>'WP_Cost per Unit'!D41</f>
        <v>218060654</v>
      </c>
      <c r="E43" s="277"/>
      <c r="F43" s="277">
        <f>F$13</f>
        <v>22.002954511270119</v>
      </c>
      <c r="H43" s="636">
        <f>IF(D43=0,0,D43/D$49)</f>
        <v>4.1855748072280145E-2</v>
      </c>
      <c r="J43" s="277">
        <f>F43*H43</f>
        <v>0.92095012086956196</v>
      </c>
      <c r="K43" s="277"/>
      <c r="L43" s="483">
        <f>D43-J43</f>
        <v>218060653.07904989</v>
      </c>
      <c r="M43" s="534">
        <v>1</v>
      </c>
      <c r="N43" s="735">
        <f>WP_FCR!$F$28</f>
        <v>0.15495</v>
      </c>
      <c r="O43" s="277">
        <f>L43*N43*M43</f>
        <v>33788498.194598779</v>
      </c>
      <c r="P43" s="619">
        <f>IF(M43=0,0,'WP_Cost per Unit'!F41)</f>
        <v>397800</v>
      </c>
      <c r="Q43" s="619"/>
    </row>
    <row r="44" spans="1:17">
      <c r="B44" s="122"/>
      <c r="C44" s="106"/>
      <c r="D44" s="277"/>
      <c r="E44" s="277"/>
      <c r="F44" s="277"/>
      <c r="H44" s="636"/>
      <c r="J44" s="277"/>
      <c r="K44" s="277"/>
      <c r="L44" s="483"/>
      <c r="M44" s="535"/>
      <c r="N44" s="735"/>
      <c r="O44" s="277"/>
      <c r="P44" s="619"/>
      <c r="Q44" s="619"/>
    </row>
    <row r="45" spans="1:17">
      <c r="A45" s="106">
        <f>A43+1</f>
        <v>17</v>
      </c>
      <c r="B45" s="433" t="str">
        <f>'WP_Cost per Unit'!B43</f>
        <v>Rocky Mountain</v>
      </c>
      <c r="C45" s="106"/>
      <c r="D45" s="529">
        <f>'WP_Cost per Unit'!D43</f>
        <v>396556016</v>
      </c>
      <c r="E45" s="277"/>
      <c r="F45" s="277">
        <f>F$13</f>
        <v>22.002954511270119</v>
      </c>
      <c r="H45" s="636">
        <f>IF(D45=0,0,D45/D$49)</f>
        <v>7.6117118782204035E-2</v>
      </c>
      <c r="J45" s="277">
        <f>F45*H45</f>
        <v>1.6748015020937796</v>
      </c>
      <c r="K45" s="277"/>
      <c r="L45" s="483">
        <f>D45-J45</f>
        <v>396556014.32519847</v>
      </c>
      <c r="M45" s="534">
        <v>1</v>
      </c>
      <c r="N45" s="735">
        <f>WP_FCR!$F$28</f>
        <v>0.15495</v>
      </c>
      <c r="O45" s="277">
        <f>L45*N45*M45</f>
        <v>61446354.419689506</v>
      </c>
      <c r="P45" s="619">
        <f>IF(M45=0,0,'WP_Cost per Unit'!F43)</f>
        <v>685100</v>
      </c>
      <c r="Q45" s="619"/>
    </row>
    <row r="46" spans="1:17">
      <c r="B46" s="122"/>
      <c r="C46" s="106"/>
      <c r="D46" s="277"/>
      <c r="E46" s="277"/>
      <c r="F46" s="277"/>
      <c r="H46" s="636"/>
      <c r="J46" s="277"/>
      <c r="K46" s="277"/>
      <c r="L46" s="483"/>
      <c r="M46" s="535"/>
      <c r="N46" s="735"/>
      <c r="O46" s="277"/>
      <c r="P46" s="620"/>
      <c r="Q46" s="620"/>
    </row>
    <row r="47" spans="1:17">
      <c r="A47" s="106">
        <f>A45+1</f>
        <v>18</v>
      </c>
      <c r="B47" s="433" t="str">
        <f>'WP_Cost per Unit'!B45</f>
        <v>Cabin Creek</v>
      </c>
      <c r="C47" s="106"/>
      <c r="D47" s="529">
        <f>'WP_Cost per Unit'!D45</f>
        <v>60091367</v>
      </c>
      <c r="E47" s="277"/>
      <c r="F47" s="277">
        <f>F$13</f>
        <v>22.002954511270119</v>
      </c>
      <c r="H47" s="636">
        <f>IF(D47=0,0,D47/D$49)</f>
        <v>1.1534263849685275E-2</v>
      </c>
      <c r="J47" s="277">
        <f>F47*H47</f>
        <v>0.25378788280561249</v>
      </c>
      <c r="K47" s="277"/>
      <c r="L47" s="483">
        <f>D47-J47</f>
        <v>60091366.746212117</v>
      </c>
      <c r="M47" s="534">
        <v>1</v>
      </c>
      <c r="N47" s="735">
        <f>WP_FCR!$F$28</f>
        <v>0.15495</v>
      </c>
      <c r="O47" s="277">
        <f>L47*N47*M47</f>
        <v>9311157.2773255687</v>
      </c>
      <c r="P47" s="619">
        <f>IF(M47=0,0,'WP_Cost per Unit'!F45)</f>
        <v>300000</v>
      </c>
      <c r="Q47" s="619"/>
    </row>
    <row r="48" spans="1:17">
      <c r="B48" s="106"/>
      <c r="C48" s="106"/>
      <c r="O48" s="430"/>
      <c r="P48" s="617"/>
      <c r="Q48" s="617"/>
    </row>
    <row r="49" spans="1:17">
      <c r="A49" s="106">
        <f>A47+1</f>
        <v>19</v>
      </c>
      <c r="C49" s="147" t="s">
        <v>637</v>
      </c>
      <c r="D49" s="527">
        <f>SUM(D13:D47)</f>
        <v>5209813802</v>
      </c>
      <c r="H49" s="661">
        <f>SUM(H13:H47)</f>
        <v>1</v>
      </c>
      <c r="I49" s="114"/>
      <c r="J49" s="449">
        <f>SUM(J13:J47)</f>
        <v>22.002954511270115</v>
      </c>
      <c r="K49" s="114"/>
      <c r="L49" s="449">
        <f>SUM(L13:L47)</f>
        <v>5209813779.9970455</v>
      </c>
      <c r="M49" s="114"/>
      <c r="N49" s="114"/>
      <c r="O49" s="449">
        <f>SUM(O13:O47)</f>
        <v>456252435.40032858</v>
      </c>
      <c r="P49" s="618">
        <f>SUM(P13:P47)</f>
        <v>4114240</v>
      </c>
      <c r="Q49" s="618"/>
    </row>
    <row r="50" spans="1:17">
      <c r="B50" s="106"/>
    </row>
    <row r="51" spans="1:17">
      <c r="A51" s="106">
        <f>A49+1</f>
        <v>20</v>
      </c>
      <c r="B51" t="s">
        <v>870</v>
      </c>
      <c r="C51" s="106"/>
    </row>
    <row r="52" spans="1:17">
      <c r="B52" t="s">
        <v>638</v>
      </c>
      <c r="C52" s="106"/>
    </row>
    <row r="53" spans="1:17">
      <c r="A53" s="106">
        <f>A51+1</f>
        <v>21</v>
      </c>
      <c r="B53" t="str">
        <f ca="1">"(2) "&amp;'Schedule 2'!I2&amp;" Line "&amp;'Schedule 2'!A22</f>
        <v>(2) Schedule 2 Line 8</v>
      </c>
      <c r="N53" s="147" t="s">
        <v>467</v>
      </c>
      <c r="O53" s="813">
        <f>IF(O49=0,0,O49/P49)</f>
        <v>110.89592133670583</v>
      </c>
      <c r="P53" t="s">
        <v>331</v>
      </c>
    </row>
    <row r="54" spans="1:17">
      <c r="A54" s="106"/>
      <c r="B54" s="73" t="s">
        <v>1590</v>
      </c>
      <c r="C54" s="106"/>
      <c r="O54" s="448"/>
      <c r="P54" s="430"/>
      <c r="Q54" s="430"/>
    </row>
    <row r="55" spans="1:17">
      <c r="A55" s="106">
        <f>A53+1</f>
        <v>22</v>
      </c>
      <c r="B55" t="str">
        <f ca="1">"(4) "&amp;WP_FCR!I2&amp;" Line "&amp;WP_FCR!A28</f>
        <v>(4) WP_FCR Line 21</v>
      </c>
      <c r="C55" s="106"/>
      <c r="N55" s="634" t="s">
        <v>127</v>
      </c>
      <c r="O55" s="813">
        <f>ROUND(O53/12,3)</f>
        <v>9.2409999999999997</v>
      </c>
      <c r="P55" s="73" t="s">
        <v>644</v>
      </c>
    </row>
    <row r="56" spans="1:17">
      <c r="A56" s="106"/>
      <c r="C56" s="106"/>
      <c r="K56" s="106"/>
      <c r="O56" s="813"/>
    </row>
    <row r="57" spans="1:17">
      <c r="A57" s="106">
        <f>A55+1</f>
        <v>23</v>
      </c>
      <c r="C57" s="106"/>
      <c r="K57" s="106"/>
      <c r="N57" s="634" t="s">
        <v>128</v>
      </c>
      <c r="O57" s="813">
        <f>ROUND(O53/52,3)</f>
        <v>2.133</v>
      </c>
      <c r="P57" t="s">
        <v>750</v>
      </c>
    </row>
    <row r="58" spans="1:17">
      <c r="A58" s="106"/>
      <c r="C58" s="106"/>
      <c r="K58" s="106"/>
      <c r="O58" s="813"/>
    </row>
    <row r="59" spans="1:17">
      <c r="A59" s="106">
        <f>A57+1</f>
        <v>24</v>
      </c>
      <c r="C59" s="106"/>
      <c r="N59" s="634" t="s">
        <v>202</v>
      </c>
      <c r="O59" s="813">
        <f>ROUND(O57/6,3)</f>
        <v>0.35599999999999998</v>
      </c>
      <c r="P59" s="427" t="s">
        <v>751</v>
      </c>
      <c r="Q59" s="427"/>
    </row>
    <row r="60" spans="1:17" s="110" customFormat="1">
      <c r="A60" s="111">
        <f>A59+1</f>
        <v>25</v>
      </c>
      <c r="C60" s="111"/>
      <c r="N60" s="815" t="s">
        <v>203</v>
      </c>
      <c r="O60" s="809">
        <f>ROUND(O57/7,3)</f>
        <v>0.30499999999999999</v>
      </c>
      <c r="P60" s="308" t="s">
        <v>1592</v>
      </c>
      <c r="Q60" s="816"/>
    </row>
    <row r="61" spans="1:17">
      <c r="N61" s="147"/>
      <c r="O61" s="813"/>
    </row>
    <row r="62" spans="1:17">
      <c r="A62" s="106">
        <f>A60+1</f>
        <v>26</v>
      </c>
      <c r="C62" s="106"/>
      <c r="N62" s="634" t="s">
        <v>204</v>
      </c>
      <c r="O62" s="813">
        <f>ROUND(((O59/16)*1000),3)</f>
        <v>22.25</v>
      </c>
      <c r="P62" s="1035" t="s">
        <v>641</v>
      </c>
      <c r="Q62" s="427"/>
    </row>
    <row r="63" spans="1:17" s="110" customFormat="1">
      <c r="A63" s="111">
        <f>A62+1</f>
        <v>27</v>
      </c>
      <c r="C63" s="111"/>
      <c r="N63" s="815" t="s">
        <v>205</v>
      </c>
      <c r="O63" s="809">
        <f>ROUND((O60/24)*1000,3)</f>
        <v>12.708</v>
      </c>
      <c r="P63" s="308" t="s">
        <v>1591</v>
      </c>
      <c r="Q63" s="816"/>
    </row>
    <row r="64" spans="1:17">
      <c r="C64" s="106"/>
      <c r="O64" s="110"/>
    </row>
    <row r="65" spans="1:16">
      <c r="A65" s="1034">
        <f>A63+1</f>
        <v>28</v>
      </c>
      <c r="C65" s="106"/>
      <c r="M65" s="147"/>
      <c r="N65" s="634" t="s">
        <v>131</v>
      </c>
      <c r="O65" s="814">
        <f>O55</f>
        <v>9.2409999999999997</v>
      </c>
      <c r="P65" t="s">
        <v>642</v>
      </c>
    </row>
    <row r="66" spans="1:16">
      <c r="C66" s="106"/>
    </row>
    <row r="67" spans="1:16">
      <c r="C67" s="106"/>
    </row>
    <row r="68" spans="1:16">
      <c r="C68" s="106"/>
    </row>
    <row r="69" spans="1:16">
      <c r="C69" s="106"/>
    </row>
    <row r="70" spans="1:16">
      <c r="C70" s="106"/>
    </row>
    <row r="71" spans="1:16">
      <c r="C71" s="106"/>
    </row>
    <row r="72" spans="1:16">
      <c r="C72" s="106"/>
    </row>
    <row r="73" spans="1:16">
      <c r="C73" s="106"/>
    </row>
    <row r="74" spans="1:16">
      <c r="C74" s="106"/>
    </row>
    <row r="75" spans="1:16">
      <c r="C75" s="106"/>
    </row>
    <row r="76" spans="1:16">
      <c r="C76" s="106"/>
    </row>
    <row r="77" spans="1:16">
      <c r="C77" s="106"/>
    </row>
    <row r="78" spans="1:16">
      <c r="C78" s="106"/>
    </row>
    <row r="79" spans="1:16">
      <c r="C79" s="106"/>
    </row>
    <row r="80" spans="1:16">
      <c r="C80" s="106"/>
    </row>
    <row r="81" spans="3:3">
      <c r="C81" s="106"/>
    </row>
    <row r="82" spans="3:3">
      <c r="C82" s="106"/>
    </row>
    <row r="83" spans="3:3">
      <c r="C83" s="106"/>
    </row>
    <row r="84" spans="3:3">
      <c r="C84" s="106"/>
    </row>
    <row r="85" spans="3:3">
      <c r="C85" s="106"/>
    </row>
    <row r="86" spans="3:3">
      <c r="C86" s="106"/>
    </row>
    <row r="87" spans="3:3">
      <c r="C87" s="106"/>
    </row>
    <row r="88" spans="3:3">
      <c r="C88" s="106"/>
    </row>
    <row r="89" spans="3:3">
      <c r="C89" s="106"/>
    </row>
    <row r="90" spans="3:3">
      <c r="C90" s="106"/>
    </row>
    <row r="91" spans="3:3">
      <c r="C91" s="106"/>
    </row>
    <row r="92" spans="3:3">
      <c r="C92" s="106"/>
    </row>
    <row r="93" spans="3:3">
      <c r="C93" s="106"/>
    </row>
    <row r="94" spans="3:3">
      <c r="C94" s="106"/>
    </row>
    <row r="95" spans="3:3">
      <c r="C95" s="106"/>
    </row>
    <row r="96" spans="3:3">
      <c r="C96" s="106"/>
    </row>
    <row r="97" spans="3:3">
      <c r="C97" s="106"/>
    </row>
    <row r="98" spans="3:3">
      <c r="C98" s="106"/>
    </row>
    <row r="99" spans="3:3">
      <c r="C99" s="106"/>
    </row>
    <row r="100" spans="3:3">
      <c r="C100" s="106"/>
    </row>
    <row r="101" spans="3:3">
      <c r="C101" s="106"/>
    </row>
    <row r="102" spans="3:3">
      <c r="C102" s="106"/>
    </row>
    <row r="103" spans="3:3">
      <c r="C103" s="106"/>
    </row>
    <row r="104" spans="3:3">
      <c r="C104" s="106"/>
    </row>
    <row r="105" spans="3:3">
      <c r="C105" s="106"/>
    </row>
    <row r="106" spans="3:3">
      <c r="C106" s="106"/>
    </row>
    <row r="107" spans="3:3">
      <c r="C107" s="106"/>
    </row>
    <row r="108" spans="3:3">
      <c r="C108" s="106"/>
    </row>
    <row r="109" spans="3:3">
      <c r="C109" s="106"/>
    </row>
    <row r="110" spans="3:3">
      <c r="C110" s="106"/>
    </row>
    <row r="111" spans="3:3">
      <c r="C111" s="106"/>
    </row>
    <row r="112" spans="3:3">
      <c r="C112" s="106"/>
    </row>
    <row r="113" spans="3:3">
      <c r="C113" s="106"/>
    </row>
    <row r="114" spans="3:3">
      <c r="C114" s="106"/>
    </row>
    <row r="115" spans="3:3">
      <c r="C115" s="106"/>
    </row>
    <row r="116" spans="3:3">
      <c r="C116" s="106"/>
    </row>
    <row r="117" spans="3:3">
      <c r="C117" s="106"/>
    </row>
    <row r="118" spans="3:3">
      <c r="C118" s="106"/>
    </row>
    <row r="119" spans="3:3">
      <c r="C119" s="106"/>
    </row>
    <row r="120" spans="3:3">
      <c r="C120" s="106"/>
    </row>
    <row r="121" spans="3:3">
      <c r="C121" s="106"/>
    </row>
    <row r="122" spans="3:3">
      <c r="C122" s="106"/>
    </row>
    <row r="123" spans="3:3">
      <c r="C123" s="106"/>
    </row>
    <row r="124" spans="3:3">
      <c r="C124" s="106"/>
    </row>
    <row r="125" spans="3:3">
      <c r="C125" s="106"/>
    </row>
    <row r="126" spans="3:3">
      <c r="C126" s="106"/>
    </row>
    <row r="127" spans="3:3">
      <c r="C127" s="106"/>
    </row>
    <row r="128" spans="3:3">
      <c r="C128" s="106"/>
    </row>
    <row r="129" spans="3:3">
      <c r="C129" s="106"/>
    </row>
    <row r="130" spans="3:3">
      <c r="C130" s="106"/>
    </row>
    <row r="131" spans="3:3">
      <c r="C131" s="106"/>
    </row>
    <row r="132" spans="3:3">
      <c r="C132" s="106"/>
    </row>
    <row r="133" spans="3:3">
      <c r="C133" s="106"/>
    </row>
    <row r="134" spans="3:3">
      <c r="C134" s="106"/>
    </row>
    <row r="135" spans="3:3">
      <c r="C135" s="106"/>
    </row>
    <row r="136" spans="3:3">
      <c r="C136" s="106"/>
    </row>
    <row r="137" spans="3:3">
      <c r="C137" s="106"/>
    </row>
    <row r="138" spans="3:3">
      <c r="C138" s="106"/>
    </row>
    <row r="139" spans="3:3">
      <c r="C139" s="106"/>
    </row>
    <row r="140" spans="3:3">
      <c r="C140" s="106"/>
    </row>
    <row r="141" spans="3:3">
      <c r="C141" s="106"/>
    </row>
    <row r="142" spans="3:3">
      <c r="C142" s="106"/>
    </row>
    <row r="143" spans="3:3">
      <c r="C143" s="106"/>
    </row>
    <row r="144" spans="3:3">
      <c r="C144" s="106"/>
    </row>
    <row r="145" spans="3:3">
      <c r="C145" s="106"/>
    </row>
    <row r="146" spans="3:3">
      <c r="C146" s="106"/>
    </row>
    <row r="147" spans="3:3">
      <c r="C147" s="106"/>
    </row>
    <row r="148" spans="3:3">
      <c r="C148" s="106"/>
    </row>
    <row r="149" spans="3:3">
      <c r="C149" s="106"/>
    </row>
    <row r="150" spans="3:3">
      <c r="C150" s="106"/>
    </row>
    <row r="151" spans="3:3">
      <c r="C151" s="106"/>
    </row>
    <row r="152" spans="3:3">
      <c r="C152" s="106"/>
    </row>
    <row r="153" spans="3:3">
      <c r="C153" s="106"/>
    </row>
    <row r="154" spans="3:3">
      <c r="C154" s="106"/>
    </row>
    <row r="155" spans="3:3">
      <c r="C155" s="106"/>
    </row>
    <row r="156" spans="3:3">
      <c r="C156" s="106"/>
    </row>
    <row r="157" spans="3:3">
      <c r="C157" s="106"/>
    </row>
    <row r="158" spans="3:3">
      <c r="C158" s="106"/>
    </row>
    <row r="159" spans="3:3">
      <c r="C159" s="106"/>
    </row>
    <row r="160" spans="3:3">
      <c r="C160" s="106"/>
    </row>
    <row r="161" spans="3:3">
      <c r="C161" s="106"/>
    </row>
    <row r="162" spans="3:3">
      <c r="C162" s="106"/>
    </row>
    <row r="163" spans="3:3">
      <c r="C163" s="106"/>
    </row>
    <row r="164" spans="3:3">
      <c r="C164" s="106"/>
    </row>
    <row r="165" spans="3:3">
      <c r="C165" s="106"/>
    </row>
    <row r="166" spans="3:3">
      <c r="C166" s="106"/>
    </row>
    <row r="167" spans="3:3">
      <c r="C167" s="106"/>
    </row>
    <row r="168" spans="3:3">
      <c r="C168" s="106"/>
    </row>
    <row r="169" spans="3:3">
      <c r="C169" s="106"/>
    </row>
    <row r="170" spans="3:3">
      <c r="C170" s="106"/>
    </row>
    <row r="171" spans="3:3">
      <c r="C171" s="106"/>
    </row>
    <row r="172" spans="3:3">
      <c r="C172" s="106"/>
    </row>
    <row r="173" spans="3:3">
      <c r="C173" s="106"/>
    </row>
    <row r="174" spans="3:3">
      <c r="C174" s="106"/>
    </row>
    <row r="175" spans="3:3">
      <c r="C175" s="106"/>
    </row>
    <row r="176" spans="3:3">
      <c r="C176" s="106"/>
    </row>
    <row r="177" spans="3:3">
      <c r="C177" s="106"/>
    </row>
    <row r="178" spans="3:3">
      <c r="C178" s="106"/>
    </row>
    <row r="179" spans="3:3">
      <c r="C179" s="106"/>
    </row>
    <row r="180" spans="3:3">
      <c r="C180" s="106"/>
    </row>
    <row r="181" spans="3:3">
      <c r="C181" s="106"/>
    </row>
    <row r="182" spans="3:3">
      <c r="C182" s="106"/>
    </row>
    <row r="183" spans="3:3">
      <c r="C183" s="106"/>
    </row>
    <row r="184" spans="3:3">
      <c r="C184" s="106"/>
    </row>
    <row r="185" spans="3:3">
      <c r="C185" s="106"/>
    </row>
    <row r="186" spans="3:3">
      <c r="C186" s="106"/>
    </row>
    <row r="187" spans="3:3">
      <c r="C187" s="106"/>
    </row>
    <row r="188" spans="3:3">
      <c r="C188" s="106"/>
    </row>
    <row r="189" spans="3:3">
      <c r="C189" s="106"/>
    </row>
    <row r="190" spans="3:3">
      <c r="C190" s="106"/>
    </row>
    <row r="191" spans="3:3">
      <c r="C191" s="106"/>
    </row>
    <row r="192" spans="3:3">
      <c r="C192" s="106"/>
    </row>
    <row r="193" spans="3:3">
      <c r="C193" s="106"/>
    </row>
    <row r="194" spans="3:3">
      <c r="C194" s="106"/>
    </row>
    <row r="195" spans="3:3">
      <c r="C195" s="106"/>
    </row>
    <row r="196" spans="3:3">
      <c r="C196" s="106"/>
    </row>
    <row r="197" spans="3:3">
      <c r="C197" s="106"/>
    </row>
    <row r="198" spans="3:3">
      <c r="C198" s="106"/>
    </row>
    <row r="199" spans="3:3">
      <c r="C199" s="106"/>
    </row>
    <row r="200" spans="3:3">
      <c r="C200" s="106"/>
    </row>
    <row r="201" spans="3:3">
      <c r="C201" s="106"/>
    </row>
    <row r="202" spans="3:3">
      <c r="C202" s="106"/>
    </row>
    <row r="203" spans="3:3">
      <c r="C203" s="106"/>
    </row>
    <row r="204" spans="3:3">
      <c r="C204" s="106"/>
    </row>
    <row r="205" spans="3:3">
      <c r="C205" s="106"/>
    </row>
    <row r="206" spans="3:3">
      <c r="C206" s="106"/>
    </row>
    <row r="207" spans="3:3">
      <c r="C207" s="106"/>
    </row>
    <row r="208" spans="3:3">
      <c r="C208" s="106"/>
    </row>
    <row r="209" spans="3:3">
      <c r="C209" s="106"/>
    </row>
    <row r="210" spans="3:3">
      <c r="C210" s="106"/>
    </row>
    <row r="211" spans="3:3">
      <c r="C211" s="106"/>
    </row>
    <row r="212" spans="3:3">
      <c r="C212" s="106"/>
    </row>
    <row r="213" spans="3:3">
      <c r="C213" s="106"/>
    </row>
    <row r="214" spans="3:3">
      <c r="C214" s="106"/>
    </row>
    <row r="215" spans="3:3">
      <c r="C215" s="106"/>
    </row>
    <row r="216" spans="3:3">
      <c r="C216" s="106"/>
    </row>
    <row r="217" spans="3:3">
      <c r="C217" s="106"/>
    </row>
    <row r="218" spans="3:3">
      <c r="C218" s="106"/>
    </row>
    <row r="219" spans="3:3">
      <c r="C219" s="106"/>
    </row>
    <row r="220" spans="3:3">
      <c r="C220" s="106"/>
    </row>
    <row r="221" spans="3:3">
      <c r="C221" s="106"/>
    </row>
    <row r="222" spans="3:3">
      <c r="C222" s="106"/>
    </row>
    <row r="223" spans="3:3">
      <c r="C223" s="106"/>
    </row>
    <row r="224" spans="3:3">
      <c r="C224" s="106"/>
    </row>
    <row r="225" spans="3:3">
      <c r="C225" s="106"/>
    </row>
    <row r="226" spans="3:3">
      <c r="C226" s="106"/>
    </row>
    <row r="227" spans="3:3">
      <c r="C227" s="106"/>
    </row>
    <row r="228" spans="3:3">
      <c r="C228" s="106"/>
    </row>
    <row r="229" spans="3:3">
      <c r="C229" s="106"/>
    </row>
    <row r="230" spans="3:3">
      <c r="C230" s="106"/>
    </row>
    <row r="231" spans="3:3">
      <c r="C231" s="106"/>
    </row>
    <row r="232" spans="3:3">
      <c r="C232" s="106"/>
    </row>
    <row r="233" spans="3:3">
      <c r="C233" s="106"/>
    </row>
    <row r="234" spans="3:3">
      <c r="C234" s="106"/>
    </row>
    <row r="235" spans="3:3">
      <c r="C235" s="106"/>
    </row>
    <row r="236" spans="3:3">
      <c r="C236" s="106"/>
    </row>
    <row r="237" spans="3:3">
      <c r="C237" s="106"/>
    </row>
    <row r="238" spans="3:3">
      <c r="C238" s="106"/>
    </row>
    <row r="239" spans="3:3">
      <c r="C239" s="106"/>
    </row>
    <row r="240" spans="3:3">
      <c r="C240" s="106"/>
    </row>
    <row r="241" spans="3:3">
      <c r="C241" s="106"/>
    </row>
    <row r="242" spans="3:3">
      <c r="C242" s="106"/>
    </row>
    <row r="243" spans="3:3">
      <c r="C243" s="106"/>
    </row>
    <row r="244" spans="3:3">
      <c r="C244" s="106"/>
    </row>
    <row r="245" spans="3:3">
      <c r="C245" s="106"/>
    </row>
    <row r="246" spans="3:3">
      <c r="C246" s="106"/>
    </row>
    <row r="247" spans="3:3">
      <c r="C247" s="106"/>
    </row>
    <row r="248" spans="3:3">
      <c r="C248" s="106"/>
    </row>
    <row r="249" spans="3:3">
      <c r="C249" s="106"/>
    </row>
    <row r="250" spans="3:3">
      <c r="C250" s="106"/>
    </row>
    <row r="251" spans="3:3">
      <c r="C251" s="106"/>
    </row>
    <row r="252" spans="3:3">
      <c r="C252" s="106"/>
    </row>
    <row r="253" spans="3:3">
      <c r="C253" s="106"/>
    </row>
    <row r="254" spans="3:3">
      <c r="C254" s="106"/>
    </row>
    <row r="255" spans="3:3">
      <c r="C255" s="106"/>
    </row>
    <row r="256" spans="3:3">
      <c r="C256" s="106"/>
    </row>
    <row r="257" spans="3:3">
      <c r="C257" s="106"/>
    </row>
    <row r="258" spans="3:3">
      <c r="C258" s="106"/>
    </row>
    <row r="259" spans="3:3">
      <c r="C259" s="106"/>
    </row>
    <row r="260" spans="3:3">
      <c r="C260" s="106"/>
    </row>
    <row r="261" spans="3:3">
      <c r="C261" s="106"/>
    </row>
    <row r="262" spans="3:3">
      <c r="C262" s="106"/>
    </row>
    <row r="263" spans="3:3">
      <c r="C263" s="106"/>
    </row>
    <row r="264" spans="3:3">
      <c r="C264" s="106"/>
    </row>
    <row r="265" spans="3:3">
      <c r="C265" s="106"/>
    </row>
    <row r="266" spans="3:3">
      <c r="C266" s="106"/>
    </row>
    <row r="267" spans="3:3">
      <c r="C267" s="106"/>
    </row>
    <row r="268" spans="3:3">
      <c r="C268" s="106"/>
    </row>
    <row r="269" spans="3:3">
      <c r="C269" s="106"/>
    </row>
    <row r="270" spans="3:3">
      <c r="C270" s="106"/>
    </row>
    <row r="271" spans="3:3">
      <c r="C271" s="106"/>
    </row>
    <row r="272" spans="3:3">
      <c r="C272" s="106"/>
    </row>
    <row r="273" spans="3:3">
      <c r="C273" s="106"/>
    </row>
    <row r="274" spans="3:3">
      <c r="C274" s="106"/>
    </row>
    <row r="275" spans="3:3">
      <c r="C275" s="106"/>
    </row>
    <row r="276" spans="3:3">
      <c r="C276" s="106"/>
    </row>
    <row r="277" spans="3:3">
      <c r="C277" s="106"/>
    </row>
    <row r="278" spans="3:3">
      <c r="C278" s="106"/>
    </row>
    <row r="279" spans="3:3">
      <c r="C279" s="106"/>
    </row>
    <row r="280" spans="3:3">
      <c r="C280" s="106"/>
    </row>
    <row r="281" spans="3:3">
      <c r="C281" s="106"/>
    </row>
    <row r="282" spans="3:3">
      <c r="C282" s="106"/>
    </row>
    <row r="283" spans="3:3">
      <c r="C283" s="106"/>
    </row>
    <row r="284" spans="3:3">
      <c r="C284" s="106"/>
    </row>
    <row r="285" spans="3:3">
      <c r="C285" s="106"/>
    </row>
    <row r="286" spans="3:3">
      <c r="C286" s="106"/>
    </row>
    <row r="287" spans="3:3">
      <c r="C287" s="106"/>
    </row>
    <row r="288" spans="3:3">
      <c r="C288" s="106"/>
    </row>
    <row r="289" spans="3:3">
      <c r="C289" s="106"/>
    </row>
    <row r="290" spans="3:3">
      <c r="C290" s="106"/>
    </row>
    <row r="291" spans="3:3">
      <c r="C291" s="106"/>
    </row>
    <row r="292" spans="3:3">
      <c r="C292" s="106"/>
    </row>
    <row r="293" spans="3:3">
      <c r="C293" s="106"/>
    </row>
    <row r="294" spans="3:3">
      <c r="C294" s="106"/>
    </row>
    <row r="295" spans="3:3">
      <c r="C295" s="106"/>
    </row>
    <row r="296" spans="3:3">
      <c r="C296" s="106"/>
    </row>
    <row r="297" spans="3:3">
      <c r="C297" s="106"/>
    </row>
    <row r="298" spans="3:3">
      <c r="C298" s="106"/>
    </row>
    <row r="299" spans="3:3">
      <c r="C299" s="106"/>
    </row>
    <row r="300" spans="3:3">
      <c r="C300" s="106"/>
    </row>
    <row r="301" spans="3:3">
      <c r="C301" s="106"/>
    </row>
    <row r="302" spans="3:3">
      <c r="C302" s="106"/>
    </row>
    <row r="303" spans="3:3">
      <c r="C303" s="106"/>
    </row>
    <row r="304" spans="3:3">
      <c r="C304" s="106"/>
    </row>
    <row r="305" spans="3:3">
      <c r="C305" s="106"/>
    </row>
    <row r="306" spans="3:3">
      <c r="C306" s="106"/>
    </row>
    <row r="307" spans="3:3">
      <c r="C307" s="106"/>
    </row>
    <row r="308" spans="3:3">
      <c r="C308" s="106"/>
    </row>
    <row r="309" spans="3:3">
      <c r="C309" s="106"/>
    </row>
    <row r="310" spans="3:3">
      <c r="C310" s="106"/>
    </row>
    <row r="311" spans="3:3">
      <c r="C311" s="106"/>
    </row>
    <row r="312" spans="3:3">
      <c r="C312" s="106"/>
    </row>
    <row r="313" spans="3:3">
      <c r="C313" s="106"/>
    </row>
    <row r="314" spans="3:3">
      <c r="C314" s="106"/>
    </row>
    <row r="315" spans="3:3">
      <c r="C315" s="106"/>
    </row>
    <row r="316" spans="3:3">
      <c r="C316" s="106"/>
    </row>
    <row r="317" spans="3:3">
      <c r="C317" s="106"/>
    </row>
    <row r="318" spans="3:3">
      <c r="C318" s="106"/>
    </row>
    <row r="319" spans="3:3">
      <c r="C319" s="106"/>
    </row>
    <row r="320" spans="3:3">
      <c r="C320" s="106"/>
    </row>
    <row r="321" spans="3:3">
      <c r="C321" s="106"/>
    </row>
    <row r="322" spans="3:3">
      <c r="C322" s="106"/>
    </row>
    <row r="323" spans="3:3">
      <c r="C323" s="106"/>
    </row>
    <row r="324" spans="3:3">
      <c r="C324" s="106"/>
    </row>
    <row r="325" spans="3:3">
      <c r="C325" s="106"/>
    </row>
    <row r="326" spans="3:3">
      <c r="C326" s="106"/>
    </row>
    <row r="327" spans="3:3">
      <c r="C327" s="106"/>
    </row>
    <row r="328" spans="3:3">
      <c r="C328" s="106"/>
    </row>
    <row r="329" spans="3:3">
      <c r="C329" s="106"/>
    </row>
    <row r="330" spans="3:3">
      <c r="C330" s="106"/>
    </row>
    <row r="331" spans="3:3">
      <c r="C331" s="106"/>
    </row>
    <row r="332" spans="3:3">
      <c r="C332" s="106"/>
    </row>
    <row r="333" spans="3:3">
      <c r="C333" s="106"/>
    </row>
    <row r="334" spans="3:3">
      <c r="C334" s="106"/>
    </row>
    <row r="335" spans="3:3">
      <c r="C335" s="106"/>
    </row>
    <row r="336" spans="3:3">
      <c r="C336" s="106"/>
    </row>
    <row r="337" spans="3:3">
      <c r="C337" s="106"/>
    </row>
    <row r="338" spans="3:3">
      <c r="C338" s="106"/>
    </row>
    <row r="339" spans="3:3">
      <c r="C339" s="106"/>
    </row>
    <row r="340" spans="3:3">
      <c r="C340" s="106"/>
    </row>
    <row r="341" spans="3:3">
      <c r="C341" s="106"/>
    </row>
    <row r="342" spans="3:3">
      <c r="C342" s="106"/>
    </row>
    <row r="343" spans="3:3">
      <c r="C343" s="106"/>
    </row>
    <row r="344" spans="3:3">
      <c r="C344" s="106"/>
    </row>
    <row r="345" spans="3:3">
      <c r="C345" s="106"/>
    </row>
    <row r="346" spans="3:3">
      <c r="C346" s="106"/>
    </row>
    <row r="347" spans="3:3">
      <c r="C347" s="106"/>
    </row>
    <row r="348" spans="3:3">
      <c r="C348" s="106"/>
    </row>
    <row r="349" spans="3:3">
      <c r="C349" s="106"/>
    </row>
    <row r="350" spans="3:3">
      <c r="C350" s="106"/>
    </row>
    <row r="351" spans="3:3">
      <c r="C351" s="106"/>
    </row>
    <row r="352" spans="3:3">
      <c r="C352" s="106"/>
    </row>
    <row r="353" spans="3:3">
      <c r="C353" s="106"/>
    </row>
    <row r="354" spans="3:3">
      <c r="C354" s="106"/>
    </row>
    <row r="355" spans="3:3">
      <c r="C355" s="106"/>
    </row>
    <row r="356" spans="3:3">
      <c r="C356" s="106"/>
    </row>
    <row r="357" spans="3:3">
      <c r="C357" s="106"/>
    </row>
    <row r="358" spans="3:3">
      <c r="C358" s="106"/>
    </row>
    <row r="359" spans="3:3">
      <c r="C359" s="106"/>
    </row>
    <row r="360" spans="3:3">
      <c r="C360" s="106"/>
    </row>
    <row r="361" spans="3:3">
      <c r="C361" s="106"/>
    </row>
    <row r="362" spans="3:3">
      <c r="C362" s="106"/>
    </row>
    <row r="363" spans="3:3">
      <c r="C363" s="106"/>
    </row>
    <row r="364" spans="3:3">
      <c r="C364" s="106"/>
    </row>
    <row r="365" spans="3:3">
      <c r="C365" s="106"/>
    </row>
    <row r="366" spans="3:3">
      <c r="C366" s="106"/>
    </row>
    <row r="367" spans="3:3">
      <c r="C367" s="106"/>
    </row>
    <row r="368" spans="3:3">
      <c r="C368" s="106"/>
    </row>
    <row r="369" spans="3:3">
      <c r="C369" s="106"/>
    </row>
    <row r="370" spans="3:3">
      <c r="C370" s="106"/>
    </row>
    <row r="371" spans="3:3">
      <c r="C371" s="106"/>
    </row>
    <row r="372" spans="3:3">
      <c r="C372" s="106"/>
    </row>
    <row r="373" spans="3:3">
      <c r="C373" s="106"/>
    </row>
    <row r="374" spans="3:3">
      <c r="C374" s="106"/>
    </row>
    <row r="375" spans="3:3">
      <c r="C375" s="106"/>
    </row>
    <row r="376" spans="3:3">
      <c r="C376" s="106"/>
    </row>
    <row r="377" spans="3:3">
      <c r="C377" s="106"/>
    </row>
    <row r="378" spans="3:3">
      <c r="C378" s="106"/>
    </row>
    <row r="379" spans="3:3">
      <c r="C379" s="106"/>
    </row>
    <row r="380" spans="3:3">
      <c r="C380" s="106"/>
    </row>
    <row r="381" spans="3:3">
      <c r="C381" s="106"/>
    </row>
    <row r="382" spans="3:3">
      <c r="C382" s="106"/>
    </row>
    <row r="383" spans="3:3">
      <c r="C383" s="106"/>
    </row>
    <row r="384" spans="3:3">
      <c r="C384" s="106"/>
    </row>
    <row r="385" spans="3:3">
      <c r="C385" s="106"/>
    </row>
    <row r="386" spans="3:3">
      <c r="C386" s="106"/>
    </row>
    <row r="387" spans="3:3">
      <c r="C387" s="106"/>
    </row>
    <row r="388" spans="3:3">
      <c r="C388" s="106"/>
    </row>
    <row r="389" spans="3:3">
      <c r="C389" s="106"/>
    </row>
    <row r="390" spans="3:3">
      <c r="C390" s="106"/>
    </row>
    <row r="391" spans="3:3">
      <c r="C391" s="106"/>
    </row>
    <row r="392" spans="3:3">
      <c r="C392" s="106"/>
    </row>
    <row r="393" spans="3:3">
      <c r="C393" s="106"/>
    </row>
    <row r="394" spans="3:3">
      <c r="C394" s="106"/>
    </row>
    <row r="395" spans="3:3">
      <c r="C395" s="106"/>
    </row>
    <row r="396" spans="3:3">
      <c r="C396" s="106"/>
    </row>
    <row r="397" spans="3:3">
      <c r="C397" s="106"/>
    </row>
    <row r="398" spans="3:3">
      <c r="C398" s="106"/>
    </row>
    <row r="399" spans="3:3">
      <c r="C399" s="106"/>
    </row>
    <row r="400" spans="3:3">
      <c r="C400" s="106"/>
    </row>
    <row r="401" spans="3:3">
      <c r="C401" s="106"/>
    </row>
    <row r="402" spans="3:3">
      <c r="C402" s="106"/>
    </row>
    <row r="403" spans="3:3">
      <c r="C403" s="106"/>
    </row>
    <row r="404" spans="3:3">
      <c r="C404" s="106"/>
    </row>
    <row r="405" spans="3:3">
      <c r="C405" s="106"/>
    </row>
    <row r="406" spans="3:3">
      <c r="C406" s="106"/>
    </row>
    <row r="407" spans="3:3">
      <c r="C407" s="106"/>
    </row>
    <row r="408" spans="3:3">
      <c r="C408" s="106"/>
    </row>
    <row r="409" spans="3:3">
      <c r="C409" s="106"/>
    </row>
    <row r="410" spans="3:3">
      <c r="C410" s="106"/>
    </row>
    <row r="411" spans="3:3">
      <c r="C411" s="106"/>
    </row>
    <row r="412" spans="3:3">
      <c r="C412" s="106"/>
    </row>
    <row r="413" spans="3:3">
      <c r="C413" s="106"/>
    </row>
    <row r="414" spans="3:3">
      <c r="C414" s="106"/>
    </row>
    <row r="415" spans="3:3">
      <c r="C415" s="106"/>
    </row>
    <row r="416" spans="3:3">
      <c r="C416" s="106"/>
    </row>
    <row r="417" spans="3:3">
      <c r="C417" s="106"/>
    </row>
    <row r="418" spans="3:3">
      <c r="C418" s="106"/>
    </row>
    <row r="419" spans="3:3">
      <c r="C419" s="106"/>
    </row>
    <row r="420" spans="3:3">
      <c r="C420" s="106"/>
    </row>
    <row r="421" spans="3:3">
      <c r="C421" s="106"/>
    </row>
    <row r="422" spans="3:3">
      <c r="C422" s="106"/>
    </row>
    <row r="423" spans="3:3">
      <c r="C423" s="106"/>
    </row>
    <row r="424" spans="3:3">
      <c r="C424" s="106"/>
    </row>
    <row r="425" spans="3:3">
      <c r="C425" s="106"/>
    </row>
    <row r="426" spans="3:3">
      <c r="C426" s="106"/>
    </row>
    <row r="427" spans="3:3">
      <c r="C427" s="106"/>
    </row>
    <row r="428" spans="3:3">
      <c r="C428" s="106"/>
    </row>
    <row r="429" spans="3:3">
      <c r="C429" s="106"/>
    </row>
    <row r="430" spans="3:3">
      <c r="C430" s="106"/>
    </row>
    <row r="431" spans="3:3">
      <c r="C431" s="106"/>
    </row>
    <row r="432" spans="3:3">
      <c r="C432" s="106"/>
    </row>
    <row r="433" spans="3:3">
      <c r="C433" s="106"/>
    </row>
    <row r="434" spans="3:3">
      <c r="C434" s="106"/>
    </row>
    <row r="435" spans="3:3">
      <c r="C435" s="106"/>
    </row>
    <row r="436" spans="3:3">
      <c r="C436" s="106"/>
    </row>
    <row r="437" spans="3:3">
      <c r="C437" s="106"/>
    </row>
    <row r="438" spans="3:3">
      <c r="C438" s="106"/>
    </row>
    <row r="439" spans="3:3">
      <c r="C439" s="106"/>
    </row>
    <row r="440" spans="3:3">
      <c r="C440" s="106"/>
    </row>
    <row r="441" spans="3:3">
      <c r="C441" s="106"/>
    </row>
    <row r="442" spans="3:3">
      <c r="C442" s="106"/>
    </row>
    <row r="443" spans="3:3">
      <c r="C443" s="106"/>
    </row>
    <row r="444" spans="3:3">
      <c r="C444" s="106"/>
    </row>
    <row r="445" spans="3:3">
      <c r="C445" s="106"/>
    </row>
    <row r="446" spans="3:3">
      <c r="C446" s="106"/>
    </row>
    <row r="447" spans="3:3">
      <c r="C447" s="106"/>
    </row>
    <row r="448" spans="3:3">
      <c r="C448" s="106"/>
    </row>
    <row r="449" spans="3:3">
      <c r="C449" s="106"/>
    </row>
    <row r="450" spans="3:3">
      <c r="C450" s="106"/>
    </row>
    <row r="451" spans="3:3">
      <c r="C451" s="106"/>
    </row>
    <row r="452" spans="3:3">
      <c r="C452" s="106"/>
    </row>
    <row r="453" spans="3:3">
      <c r="C453" s="106"/>
    </row>
    <row r="454" spans="3:3">
      <c r="C454" s="106"/>
    </row>
    <row r="455" spans="3:3">
      <c r="C455" s="106"/>
    </row>
    <row r="456" spans="3:3">
      <c r="C456" s="106"/>
    </row>
    <row r="457" spans="3:3">
      <c r="C457" s="106"/>
    </row>
    <row r="458" spans="3:3">
      <c r="C458" s="106"/>
    </row>
    <row r="459" spans="3:3">
      <c r="C459" s="106"/>
    </row>
    <row r="460" spans="3:3">
      <c r="C460" s="106"/>
    </row>
    <row r="461" spans="3:3">
      <c r="C461" s="106"/>
    </row>
    <row r="462" spans="3:3">
      <c r="C462" s="106"/>
    </row>
    <row r="463" spans="3:3">
      <c r="C463" s="106"/>
    </row>
    <row r="464" spans="3:3">
      <c r="C464" s="106"/>
    </row>
    <row r="465" spans="3:3">
      <c r="C465" s="106"/>
    </row>
    <row r="466" spans="3:3">
      <c r="C466" s="106"/>
    </row>
    <row r="467" spans="3:3">
      <c r="C467" s="106"/>
    </row>
    <row r="468" spans="3:3">
      <c r="C468" s="106"/>
    </row>
    <row r="469" spans="3:3">
      <c r="C469" s="106"/>
    </row>
    <row r="470" spans="3:3">
      <c r="C470" s="106"/>
    </row>
    <row r="471" spans="3:3">
      <c r="C471" s="106"/>
    </row>
    <row r="472" spans="3:3">
      <c r="C472" s="106"/>
    </row>
    <row r="473" spans="3:3">
      <c r="C473" s="106"/>
    </row>
    <row r="474" spans="3:3">
      <c r="C474" s="106"/>
    </row>
    <row r="475" spans="3:3">
      <c r="C475" s="106"/>
    </row>
    <row r="476" spans="3:3">
      <c r="C476" s="106"/>
    </row>
    <row r="477" spans="3:3">
      <c r="C477" s="106"/>
    </row>
    <row r="478" spans="3:3">
      <c r="C478" s="106"/>
    </row>
    <row r="479" spans="3:3">
      <c r="C479" s="106"/>
    </row>
    <row r="480" spans="3:3">
      <c r="C480" s="106"/>
    </row>
    <row r="481" spans="3:3">
      <c r="C481" s="106"/>
    </row>
    <row r="482" spans="3:3">
      <c r="C482" s="106"/>
    </row>
    <row r="483" spans="3:3">
      <c r="C483" s="106"/>
    </row>
    <row r="484" spans="3:3">
      <c r="C484" s="106"/>
    </row>
    <row r="485" spans="3:3">
      <c r="C485" s="106"/>
    </row>
    <row r="486" spans="3:3">
      <c r="C486" s="106"/>
    </row>
    <row r="487" spans="3:3">
      <c r="C487" s="106"/>
    </row>
    <row r="488" spans="3:3">
      <c r="C488" s="106"/>
    </row>
    <row r="489" spans="3:3">
      <c r="C489" s="106"/>
    </row>
    <row r="490" spans="3:3">
      <c r="C490" s="106"/>
    </row>
    <row r="491" spans="3:3">
      <c r="C491" s="106"/>
    </row>
    <row r="492" spans="3:3">
      <c r="C492" s="106"/>
    </row>
    <row r="493" spans="3:3">
      <c r="C493" s="106"/>
    </row>
    <row r="494" spans="3:3">
      <c r="C494" s="106"/>
    </row>
    <row r="495" spans="3:3">
      <c r="C495" s="106"/>
    </row>
    <row r="496" spans="3:3">
      <c r="C496" s="106"/>
    </row>
    <row r="497" spans="3:3">
      <c r="C497" s="106"/>
    </row>
    <row r="498" spans="3:3">
      <c r="C498" s="106"/>
    </row>
    <row r="499" spans="3:3">
      <c r="C499" s="106"/>
    </row>
    <row r="500" spans="3:3">
      <c r="C500" s="106"/>
    </row>
    <row r="501" spans="3:3">
      <c r="C501" s="106"/>
    </row>
    <row r="502" spans="3:3">
      <c r="C502" s="106"/>
    </row>
    <row r="503" spans="3:3">
      <c r="C503" s="106"/>
    </row>
    <row r="504" spans="3:3">
      <c r="C504" s="106"/>
    </row>
    <row r="505" spans="3:3">
      <c r="C505" s="106"/>
    </row>
    <row r="506" spans="3:3">
      <c r="C506" s="106"/>
    </row>
    <row r="507" spans="3:3">
      <c r="C507" s="106"/>
    </row>
    <row r="508" spans="3:3">
      <c r="C508" s="106"/>
    </row>
    <row r="509" spans="3:3">
      <c r="C509" s="106"/>
    </row>
    <row r="510" spans="3:3">
      <c r="C510" s="106"/>
    </row>
    <row r="511" spans="3:3">
      <c r="C511" s="106"/>
    </row>
    <row r="512" spans="3:3">
      <c r="C512" s="106"/>
    </row>
    <row r="513" spans="3:3">
      <c r="C513" s="106"/>
    </row>
    <row r="514" spans="3:3">
      <c r="C514" s="106"/>
    </row>
    <row r="515" spans="3:3">
      <c r="C515" s="106"/>
    </row>
    <row r="516" spans="3:3">
      <c r="C516" s="106"/>
    </row>
    <row r="517" spans="3:3">
      <c r="C517" s="106"/>
    </row>
    <row r="518" spans="3:3">
      <c r="C518" s="106"/>
    </row>
    <row r="519" spans="3:3">
      <c r="C519" s="106"/>
    </row>
    <row r="520" spans="3:3">
      <c r="C520" s="106"/>
    </row>
    <row r="521" spans="3:3">
      <c r="C521" s="106"/>
    </row>
    <row r="522" spans="3:3">
      <c r="C522" s="106"/>
    </row>
    <row r="523" spans="3:3">
      <c r="C523" s="106"/>
    </row>
    <row r="524" spans="3:3">
      <c r="C524" s="106"/>
    </row>
    <row r="525" spans="3:3">
      <c r="C525" s="106"/>
    </row>
    <row r="526" spans="3:3">
      <c r="C526" s="106"/>
    </row>
    <row r="527" spans="3:3">
      <c r="C527" s="106"/>
    </row>
    <row r="528" spans="3:3">
      <c r="C528" s="106"/>
    </row>
    <row r="529" spans="3:3">
      <c r="C529" s="106"/>
    </row>
    <row r="530" spans="3:3">
      <c r="C530" s="106"/>
    </row>
    <row r="531" spans="3:3">
      <c r="C531" s="106"/>
    </row>
    <row r="532" spans="3:3">
      <c r="C532" s="106"/>
    </row>
    <row r="533" spans="3:3">
      <c r="C533" s="106"/>
    </row>
    <row r="534" spans="3:3">
      <c r="C534" s="106"/>
    </row>
    <row r="535" spans="3:3">
      <c r="C535" s="106"/>
    </row>
    <row r="536" spans="3:3">
      <c r="C536" s="106"/>
    </row>
    <row r="537" spans="3:3">
      <c r="C537" s="106"/>
    </row>
    <row r="538" spans="3:3">
      <c r="C538" s="106"/>
    </row>
    <row r="539" spans="3:3">
      <c r="C539" s="106"/>
    </row>
    <row r="540" spans="3:3">
      <c r="C540" s="106"/>
    </row>
    <row r="541" spans="3:3">
      <c r="C541" s="106"/>
    </row>
    <row r="542" spans="3:3">
      <c r="C542" s="106"/>
    </row>
    <row r="543" spans="3:3">
      <c r="C543" s="106"/>
    </row>
    <row r="544" spans="3:3">
      <c r="C544" s="106"/>
    </row>
    <row r="545" spans="3:3">
      <c r="C545" s="106"/>
    </row>
    <row r="546" spans="3:3">
      <c r="C546" s="106"/>
    </row>
    <row r="547" spans="3:3">
      <c r="C547" s="106"/>
    </row>
    <row r="548" spans="3:3">
      <c r="C548" s="106"/>
    </row>
    <row r="549" spans="3:3">
      <c r="C549" s="106"/>
    </row>
    <row r="550" spans="3:3">
      <c r="C550" s="106"/>
    </row>
    <row r="551" spans="3:3">
      <c r="C551" s="106"/>
    </row>
    <row r="552" spans="3:3">
      <c r="C552" s="106"/>
    </row>
    <row r="553" spans="3:3">
      <c r="C553" s="106"/>
    </row>
    <row r="554" spans="3:3">
      <c r="C554" s="106"/>
    </row>
    <row r="555" spans="3:3">
      <c r="C555" s="106"/>
    </row>
    <row r="556" spans="3:3">
      <c r="C556" s="106"/>
    </row>
    <row r="557" spans="3:3">
      <c r="C557" s="106"/>
    </row>
    <row r="558" spans="3:3">
      <c r="C558" s="106"/>
    </row>
    <row r="559" spans="3:3">
      <c r="C559" s="106"/>
    </row>
    <row r="560" spans="3:3">
      <c r="C560" s="106"/>
    </row>
    <row r="561" spans="3:3">
      <c r="C561" s="106"/>
    </row>
    <row r="562" spans="3:3">
      <c r="C562" s="106"/>
    </row>
    <row r="563" spans="3:3">
      <c r="C563" s="106"/>
    </row>
    <row r="564" spans="3:3">
      <c r="C564" s="106"/>
    </row>
    <row r="565" spans="3:3">
      <c r="C565" s="106"/>
    </row>
    <row r="566" spans="3:3">
      <c r="C566" s="106"/>
    </row>
    <row r="567" spans="3:3">
      <c r="C567" s="106"/>
    </row>
    <row r="568" spans="3:3">
      <c r="C568" s="106"/>
    </row>
    <row r="569" spans="3:3">
      <c r="C569" s="106"/>
    </row>
    <row r="570" spans="3:3">
      <c r="C570" s="106"/>
    </row>
    <row r="571" spans="3:3">
      <c r="C571" s="106"/>
    </row>
    <row r="572" spans="3:3">
      <c r="C572" s="106"/>
    </row>
    <row r="573" spans="3:3">
      <c r="C573" s="106"/>
    </row>
    <row r="574" spans="3:3">
      <c r="C574" s="106"/>
    </row>
    <row r="575" spans="3:3">
      <c r="C575" s="106"/>
    </row>
    <row r="576" spans="3:3">
      <c r="C576" s="106"/>
    </row>
    <row r="577" spans="3:3">
      <c r="C577" s="106"/>
    </row>
    <row r="578" spans="3:3">
      <c r="C578" s="106"/>
    </row>
    <row r="579" spans="3:3">
      <c r="C579" s="106"/>
    </row>
    <row r="580" spans="3:3">
      <c r="C580" s="106"/>
    </row>
    <row r="581" spans="3:3">
      <c r="C581" s="106"/>
    </row>
    <row r="582" spans="3:3">
      <c r="C582" s="106"/>
    </row>
    <row r="583" spans="3:3">
      <c r="C583" s="106"/>
    </row>
    <row r="584" spans="3:3">
      <c r="C584" s="106"/>
    </row>
    <row r="585" spans="3:3">
      <c r="C585" s="106"/>
    </row>
    <row r="586" spans="3:3">
      <c r="C586" s="106"/>
    </row>
    <row r="587" spans="3:3">
      <c r="C587" s="106"/>
    </row>
    <row r="588" spans="3:3">
      <c r="C588" s="106"/>
    </row>
    <row r="589" spans="3:3">
      <c r="C589" s="106"/>
    </row>
    <row r="590" spans="3:3">
      <c r="C590" s="106"/>
    </row>
    <row r="591" spans="3:3">
      <c r="C591" s="106"/>
    </row>
    <row r="592" spans="3:3">
      <c r="C592" s="106"/>
    </row>
    <row r="593" spans="3:3">
      <c r="C593" s="106"/>
    </row>
    <row r="594" spans="3:3">
      <c r="C594" s="106"/>
    </row>
    <row r="595" spans="3:3">
      <c r="C595" s="106"/>
    </row>
    <row r="596" spans="3:3">
      <c r="C596" s="106"/>
    </row>
    <row r="597" spans="3:3">
      <c r="C597" s="106"/>
    </row>
    <row r="598" spans="3:3">
      <c r="C598" s="106"/>
    </row>
    <row r="599" spans="3:3">
      <c r="C599" s="106"/>
    </row>
    <row r="600" spans="3:3">
      <c r="C600" s="106"/>
    </row>
    <row r="601" spans="3:3">
      <c r="C601" s="106"/>
    </row>
    <row r="602" spans="3:3">
      <c r="C602" s="106"/>
    </row>
    <row r="603" spans="3:3">
      <c r="C603" s="106"/>
    </row>
    <row r="604" spans="3:3">
      <c r="C604" s="106"/>
    </row>
    <row r="605" spans="3:3">
      <c r="C605" s="106"/>
    </row>
    <row r="606" spans="3:3">
      <c r="C606" s="106"/>
    </row>
    <row r="607" spans="3:3">
      <c r="C607" s="106"/>
    </row>
    <row r="608" spans="3:3">
      <c r="C608" s="106"/>
    </row>
    <row r="609" spans="3:3">
      <c r="C609" s="106"/>
    </row>
    <row r="610" spans="3:3">
      <c r="C610" s="106"/>
    </row>
    <row r="611" spans="3:3">
      <c r="C611" s="106"/>
    </row>
    <row r="612" spans="3:3">
      <c r="C612" s="106"/>
    </row>
    <row r="613" spans="3:3">
      <c r="C613" s="106"/>
    </row>
    <row r="614" spans="3:3">
      <c r="C614" s="106"/>
    </row>
    <row r="615" spans="3:3">
      <c r="C615" s="106"/>
    </row>
    <row r="616" spans="3:3">
      <c r="C616" s="106"/>
    </row>
    <row r="617" spans="3:3">
      <c r="C617" s="106"/>
    </row>
    <row r="618" spans="3:3">
      <c r="C618" s="106"/>
    </row>
    <row r="619" spans="3:3">
      <c r="C619" s="106"/>
    </row>
    <row r="620" spans="3:3">
      <c r="C620" s="106"/>
    </row>
    <row r="621" spans="3:3">
      <c r="C621" s="106"/>
    </row>
    <row r="622" spans="3:3">
      <c r="C622" s="106"/>
    </row>
    <row r="623" spans="3:3">
      <c r="C623" s="106"/>
    </row>
    <row r="624" spans="3:3">
      <c r="C624" s="106"/>
    </row>
    <row r="625" spans="3:3">
      <c r="C625" s="106"/>
    </row>
    <row r="626" spans="3:3">
      <c r="C626" s="106"/>
    </row>
    <row r="627" spans="3:3">
      <c r="C627" s="106"/>
    </row>
  </sheetData>
  <phoneticPr fontId="2" type="noConversion"/>
  <printOptions horizontalCentered="1"/>
  <pageMargins left="0.75" right="0.75" top="1" bottom="1" header="0.5" footer="0.5"/>
  <pageSetup scale="56" orientation="landscape" r:id="rId1"/>
  <headerFooter alignWithMargins="0">
    <oddHeader>&amp;RPage &amp;P of &amp;N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Q69"/>
  <sheetViews>
    <sheetView view="pageBreakPreview" zoomScale="60" zoomScaleNormal="100" workbookViewId="0">
      <selection activeCell="Z34" sqref="Z34"/>
    </sheetView>
  </sheetViews>
  <sheetFormatPr defaultRowHeight="12.75"/>
  <cols>
    <col min="2" max="2" width="18.5703125" customWidth="1"/>
    <col min="3" max="3" width="3.5703125" customWidth="1"/>
    <col min="4" max="4" width="16.85546875" bestFit="1" customWidth="1"/>
    <col min="5" max="5" width="3.5703125" customWidth="1"/>
    <col min="6" max="6" width="16.85546875" customWidth="1"/>
    <col min="7" max="7" width="3.5703125" customWidth="1"/>
    <col min="8" max="8" width="13.28515625" customWidth="1"/>
    <col min="9" max="9" width="3.5703125" customWidth="1"/>
    <col min="10" max="10" width="17" customWidth="1"/>
    <col min="11" max="11" width="3.5703125" customWidth="1"/>
    <col min="12" max="12" width="15.85546875" customWidth="1"/>
    <col min="13" max="13" width="15.5703125" customWidth="1"/>
    <col min="14" max="14" width="19.5703125" customWidth="1"/>
    <col min="15" max="15" width="18.7109375" customWidth="1"/>
    <col min="16" max="16" width="15.42578125" customWidth="1"/>
    <col min="17" max="17" width="22.85546875" customWidth="1"/>
  </cols>
  <sheetData>
    <row r="1" spans="1:17">
      <c r="A1" s="99" t="str">
        <f>'Cover Page'!A5</f>
        <v>Public Service Company of Colorado</v>
      </c>
      <c r="C1" s="106"/>
      <c r="O1" s="428"/>
      <c r="Q1" s="133" t="str">
        <f>'Table of Contents'!A39</f>
        <v>Table 31</v>
      </c>
    </row>
    <row r="2" spans="1:17">
      <c r="A2" s="99" t="str">
        <f>'Cover Page'!A6</f>
        <v>Transmission Formula Rate Template</v>
      </c>
      <c r="C2" s="106"/>
      <c r="O2" s="428"/>
      <c r="Q2" s="133" t="str">
        <f ca="1">MID(CELL("filename",$A$1),FIND("]",CELL("filename",$A$1))+1,LEN(CELL("filename",$A$1))-FIND("]",CELL("filename",$A$1)))</f>
        <v>Schedule 6</v>
      </c>
    </row>
    <row r="3" spans="1:17" ht="12" customHeight="1">
      <c r="A3" s="99" t="s">
        <v>499</v>
      </c>
      <c r="B3" s="429"/>
      <c r="C3" s="106"/>
      <c r="O3" s="428"/>
    </row>
    <row r="4" spans="1:17">
      <c r="A4" s="99" t="s">
        <v>747</v>
      </c>
      <c r="C4" s="106"/>
      <c r="D4" s="106"/>
      <c r="E4" s="106"/>
      <c r="F4" s="106"/>
    </row>
    <row r="6" spans="1:17">
      <c r="B6" s="106"/>
      <c r="H6" s="444"/>
      <c r="I6" s="444"/>
      <c r="J6" s="444"/>
      <c r="K6" s="444"/>
      <c r="L6" s="444"/>
    </row>
    <row r="7" spans="1:17" s="106" customFormat="1">
      <c r="J7" s="106" t="s">
        <v>449</v>
      </c>
      <c r="L7" s="111" t="s">
        <v>450</v>
      </c>
      <c r="M7" s="438" t="s">
        <v>451</v>
      </c>
      <c r="N7" s="437"/>
      <c r="O7" s="438" t="s">
        <v>469</v>
      </c>
      <c r="P7" s="437"/>
      <c r="Q7" s="437"/>
    </row>
    <row r="8" spans="1:17">
      <c r="E8" s="198"/>
      <c r="F8" s="106" t="s">
        <v>449</v>
      </c>
      <c r="G8" s="198"/>
      <c r="H8" s="106" t="s">
        <v>455</v>
      </c>
      <c r="I8" s="198"/>
      <c r="J8" s="106" t="s">
        <v>456</v>
      </c>
      <c r="K8" s="106"/>
      <c r="L8" s="445" t="s">
        <v>470</v>
      </c>
      <c r="M8" s="438" t="s">
        <v>458</v>
      </c>
      <c r="N8" s="198" t="s">
        <v>452</v>
      </c>
      <c r="O8" s="438" t="s">
        <v>471</v>
      </c>
      <c r="P8" s="437" t="s">
        <v>454</v>
      </c>
      <c r="Q8" s="437"/>
    </row>
    <row r="9" spans="1:17">
      <c r="C9" s="164"/>
      <c r="D9" s="142"/>
      <c r="E9" s="198"/>
      <c r="F9" s="106" t="s">
        <v>456</v>
      </c>
      <c r="G9" s="198"/>
      <c r="H9" s="106" t="s">
        <v>426</v>
      </c>
      <c r="I9" s="198"/>
      <c r="J9" s="106" t="s">
        <v>462</v>
      </c>
      <c r="K9" s="106"/>
      <c r="L9" s="445" t="s">
        <v>472</v>
      </c>
      <c r="M9" s="438" t="s">
        <v>470</v>
      </c>
      <c r="N9" s="198" t="s">
        <v>459</v>
      </c>
      <c r="O9" s="438" t="s">
        <v>473</v>
      </c>
      <c r="P9" s="437" t="s">
        <v>427</v>
      </c>
      <c r="Q9" s="437"/>
    </row>
    <row r="10" spans="1:17">
      <c r="A10" s="455" t="s">
        <v>862</v>
      </c>
      <c r="B10" s="455" t="s">
        <v>461</v>
      </c>
      <c r="C10" s="212"/>
      <c r="D10" s="466" t="s">
        <v>423</v>
      </c>
      <c r="E10" s="466"/>
      <c r="F10" s="817" t="s">
        <v>794</v>
      </c>
      <c r="G10" s="466"/>
      <c r="H10" s="466" t="s">
        <v>1331</v>
      </c>
      <c r="I10" s="466"/>
      <c r="J10" s="466" t="s">
        <v>465</v>
      </c>
      <c r="K10" s="466"/>
      <c r="L10" s="819" t="s">
        <v>466</v>
      </c>
      <c r="M10" s="1051" t="s">
        <v>1716</v>
      </c>
      <c r="N10" s="817" t="s">
        <v>798</v>
      </c>
      <c r="O10" s="818" t="s">
        <v>639</v>
      </c>
      <c r="P10" s="819" t="s">
        <v>464</v>
      </c>
      <c r="Q10" s="635"/>
    </row>
    <row r="11" spans="1:17">
      <c r="D11" s="111" t="s">
        <v>1323</v>
      </c>
      <c r="E11" s="110"/>
      <c r="F11" s="111" t="s">
        <v>1324</v>
      </c>
      <c r="G11" s="111"/>
      <c r="H11" s="575" t="s">
        <v>1332</v>
      </c>
      <c r="I11" s="111"/>
      <c r="J11" s="111" t="s">
        <v>1325</v>
      </c>
      <c r="K11" s="111"/>
      <c r="L11" s="111" t="s">
        <v>1326</v>
      </c>
      <c r="M11" s="812" t="s">
        <v>1327</v>
      </c>
      <c r="N11" s="116" t="s">
        <v>1328</v>
      </c>
      <c r="O11" s="116" t="s">
        <v>1329</v>
      </c>
      <c r="P11" s="116" t="s">
        <v>1330</v>
      </c>
      <c r="Q11" s="438"/>
    </row>
    <row r="12" spans="1:17">
      <c r="N12" s="446"/>
      <c r="O12" s="164"/>
      <c r="P12" s="446"/>
      <c r="Q12" s="446"/>
    </row>
    <row r="13" spans="1:17">
      <c r="A13" s="106">
        <v>1</v>
      </c>
      <c r="B13" s="433" t="str">
        <f>'WP_Cost per Unit'!B11</f>
        <v>Arapahoe</v>
      </c>
      <c r="D13" s="529">
        <f>'Schedule 5'!D13</f>
        <v>4422869</v>
      </c>
      <c r="E13" s="277"/>
      <c r="F13" s="529">
        <f>'Schedule 5'!F13</f>
        <v>22.002954511270119</v>
      </c>
      <c r="H13" s="636">
        <f>IF(D13=0,0,D13/D$49)</f>
        <v>8.4894953410851284E-4</v>
      </c>
      <c r="I13" s="428"/>
      <c r="J13" s="219">
        <f>F13*H13</f>
        <v>1.8679397981353568E-2</v>
      </c>
      <c r="K13" s="277"/>
      <c r="L13" s="529">
        <f>D13-J13</f>
        <v>4422868.9813206019</v>
      </c>
      <c r="M13" s="534">
        <v>0</v>
      </c>
      <c r="N13" s="735">
        <f>WP_FCR!F28</f>
        <v>0.15495</v>
      </c>
      <c r="O13" s="529">
        <f>L13*M13*N13</f>
        <v>0</v>
      </c>
      <c r="P13" s="619">
        <f>IF(M13=0,0,'WP_Cost per Unit'!F11)</f>
        <v>0</v>
      </c>
      <c r="Q13" s="619"/>
    </row>
    <row r="14" spans="1:17">
      <c r="A14" s="106"/>
      <c r="B14" s="433"/>
      <c r="D14" s="277"/>
      <c r="E14" s="277"/>
      <c r="F14" s="277"/>
      <c r="H14" s="636"/>
      <c r="I14" s="428"/>
      <c r="J14" s="277"/>
      <c r="K14" s="277"/>
      <c r="L14" s="277"/>
      <c r="M14" s="535"/>
      <c r="N14" s="735"/>
      <c r="O14" s="277"/>
      <c r="P14" s="619"/>
      <c r="Q14" s="619"/>
    </row>
    <row r="15" spans="1:17">
      <c r="A15" s="106">
        <f>A13+1</f>
        <v>2</v>
      </c>
      <c r="B15" s="433" t="str">
        <f>'WP_Cost per Unit'!B13</f>
        <v>Cherokee 3,4</v>
      </c>
      <c r="D15" s="277">
        <f>'Schedule 5'!D15</f>
        <v>273151476</v>
      </c>
      <c r="E15" s="277"/>
      <c r="F15" s="277">
        <f>'Schedule 5'!F15</f>
        <v>22.002954511270119</v>
      </c>
      <c r="H15" s="636">
        <f>IF(D15=0,0,D15/D$49)</f>
        <v>5.2430180114141439E-2</v>
      </c>
      <c r="I15" s="428"/>
      <c r="J15" s="134">
        <f>F15*H15</f>
        <v>1.1536188680691533</v>
      </c>
      <c r="K15" s="277"/>
      <c r="L15" s="277">
        <f>D15-J15</f>
        <v>273151474.84638113</v>
      </c>
      <c r="M15" s="534">
        <v>0</v>
      </c>
      <c r="N15" s="735">
        <f>N13</f>
        <v>0.15495</v>
      </c>
      <c r="O15" s="277">
        <f>L15*M15*N15</f>
        <v>0</v>
      </c>
      <c r="P15" s="619">
        <f>IF(M15=0,0,'WP_Cost per Unit'!F13)</f>
        <v>0</v>
      </c>
      <c r="Q15" s="619"/>
    </row>
    <row r="16" spans="1:17">
      <c r="B16" s="433"/>
      <c r="D16" s="277"/>
      <c r="E16" s="277"/>
      <c r="F16" s="277"/>
      <c r="H16" s="734"/>
      <c r="I16" s="428"/>
      <c r="J16" s="277"/>
      <c r="K16" s="277"/>
      <c r="L16" s="277"/>
      <c r="M16" s="535"/>
      <c r="N16" s="735"/>
      <c r="O16" s="277"/>
      <c r="P16" s="619"/>
      <c r="Q16" s="619"/>
    </row>
    <row r="17" spans="1:17">
      <c r="A17" s="106">
        <f>A15+1</f>
        <v>3</v>
      </c>
      <c r="B17" s="433" t="str">
        <f>'WP_Cost per Unit'!B15</f>
        <v>Cherokee 5,6,7</v>
      </c>
      <c r="D17" s="277">
        <f>'Schedule 5'!D17</f>
        <v>583578463</v>
      </c>
      <c r="E17" s="277"/>
      <c r="F17" s="277">
        <f>'Schedule 5'!F17</f>
        <v>22.002954511270119</v>
      </c>
      <c r="H17" s="636">
        <f>IF(D17=0,0,D17/D$49)</f>
        <v>0.11201522457020816</v>
      </c>
      <c r="I17" s="428"/>
      <c r="J17" s="134">
        <f>F17*H17</f>
        <v>2.4646658907879968</v>
      </c>
      <c r="K17" s="277"/>
      <c r="L17" s="277">
        <f>D17-J17</f>
        <v>583578460.53533411</v>
      </c>
      <c r="M17" s="534">
        <v>0</v>
      </c>
      <c r="N17" s="735">
        <f>N15</f>
        <v>0.15495</v>
      </c>
      <c r="O17" s="277">
        <f>L17*M17*N17</f>
        <v>0</v>
      </c>
      <c r="P17" s="619">
        <f>IF(M17=0,0,'WP_Cost per Unit'!F15)</f>
        <v>0</v>
      </c>
      <c r="Q17" s="619"/>
    </row>
    <row r="18" spans="1:17">
      <c r="B18" s="433"/>
      <c r="D18" s="277"/>
      <c r="E18" s="277"/>
      <c r="F18" s="277"/>
      <c r="H18" s="637"/>
      <c r="I18" s="440"/>
      <c r="J18" s="277"/>
      <c r="K18" s="531"/>
      <c r="L18" s="531"/>
      <c r="M18" s="535"/>
      <c r="N18" s="735"/>
      <c r="O18" s="531"/>
      <c r="P18" s="619"/>
      <c r="Q18" s="619"/>
    </row>
    <row r="19" spans="1:17">
      <c r="A19" s="106">
        <f>A17+1</f>
        <v>4</v>
      </c>
      <c r="B19" s="433" t="str">
        <f>'WP_Cost per Unit'!B17</f>
        <v>Comanche</v>
      </c>
      <c r="C19" s="106"/>
      <c r="D19" s="277">
        <f>'Schedule 5'!D19</f>
        <v>1546185463</v>
      </c>
      <c r="E19" s="277"/>
      <c r="F19" s="277">
        <f>'Schedule 5'!F19</f>
        <v>22.002954511270119</v>
      </c>
      <c r="H19" s="636">
        <f>IF(D19=0,0,D19/D$49)</f>
        <v>0.29678324826242991</v>
      </c>
      <c r="J19" s="134">
        <f>F19*H19</f>
        <v>6.5301083112252316</v>
      </c>
      <c r="K19" s="277"/>
      <c r="L19" s="277">
        <f>D19-J19</f>
        <v>1546185456.4698918</v>
      </c>
      <c r="M19" s="534">
        <v>0</v>
      </c>
      <c r="N19" s="735">
        <f>N17</f>
        <v>0.15495</v>
      </c>
      <c r="O19" s="277">
        <f>L19*M19*N19</f>
        <v>0</v>
      </c>
      <c r="P19" s="619">
        <f>IF(M19=0,0,'WP_Cost per Unit'!F17)</f>
        <v>0</v>
      </c>
      <c r="Q19" s="619"/>
    </row>
    <row r="20" spans="1:17">
      <c r="B20" s="433"/>
      <c r="C20" s="106"/>
      <c r="D20" s="530"/>
      <c r="E20" s="530"/>
      <c r="F20" s="530"/>
      <c r="H20" s="636"/>
      <c r="J20" s="277"/>
      <c r="K20" s="277"/>
      <c r="L20" s="277"/>
      <c r="M20" s="535"/>
      <c r="N20" s="735"/>
      <c r="O20" s="277"/>
      <c r="P20" s="620"/>
      <c r="Q20" s="620"/>
    </row>
    <row r="21" spans="1:17">
      <c r="A21" s="106">
        <f>A19+1</f>
        <v>5</v>
      </c>
      <c r="B21" s="433" t="str">
        <f>'WP_Cost per Unit'!B19</f>
        <v>Craig</v>
      </c>
      <c r="C21" s="106"/>
      <c r="D21" s="277">
        <f>'Schedule 5'!D21</f>
        <v>97482671</v>
      </c>
      <c r="E21" s="277"/>
      <c r="F21" s="277">
        <f>'Schedule 5'!F21</f>
        <v>22.002954511270119</v>
      </c>
      <c r="H21" s="636">
        <f>IF(D21=0,0,D21/D$49)</f>
        <v>1.8711354129887961E-2</v>
      </c>
      <c r="J21" s="134">
        <f>F21*H21</f>
        <v>0.41170507376419108</v>
      </c>
      <c r="K21" s="277"/>
      <c r="L21" s="277">
        <f>D21-J21</f>
        <v>97482670.588294923</v>
      </c>
      <c r="M21" s="534">
        <v>0</v>
      </c>
      <c r="N21" s="735">
        <f>N19</f>
        <v>0.15495</v>
      </c>
      <c r="O21" s="277">
        <f>L21*M21*N21</f>
        <v>0</v>
      </c>
      <c r="P21" s="619">
        <f>IF(M21=0,0,'WP_Cost per Unit'!F19)</f>
        <v>0</v>
      </c>
      <c r="Q21" s="619"/>
    </row>
    <row r="22" spans="1:17">
      <c r="B22" s="433"/>
      <c r="C22" s="106"/>
      <c r="D22" s="530"/>
      <c r="E22" s="530"/>
      <c r="F22" s="530"/>
      <c r="H22" s="636"/>
      <c r="J22" s="277"/>
      <c r="K22" s="277"/>
      <c r="L22" s="277"/>
      <c r="M22" s="535"/>
      <c r="N22" s="735"/>
      <c r="O22" s="277"/>
      <c r="P22" s="620"/>
      <c r="Q22" s="620"/>
    </row>
    <row r="23" spans="1:17">
      <c r="A23" s="106">
        <f>A21+1</f>
        <v>6</v>
      </c>
      <c r="B23" s="433" t="str">
        <f>'WP_Cost per Unit'!B21</f>
        <v>Hayden</v>
      </c>
      <c r="C23" s="106"/>
      <c r="D23" s="277">
        <f>'Schedule 5'!D23</f>
        <v>314127434</v>
      </c>
      <c r="E23" s="277"/>
      <c r="F23" s="277">
        <f>'Schedule 5'!F23</f>
        <v>22.002954511270119</v>
      </c>
      <c r="H23" s="636">
        <f>IF(D23=0,0,D23/D$49)</f>
        <v>6.0295328381872175E-2</v>
      </c>
      <c r="J23" s="134">
        <f>F23*H23</f>
        <v>1.3266753676284275</v>
      </c>
      <c r="K23" s="277"/>
      <c r="L23" s="277">
        <f>D23-J23</f>
        <v>314127432.67332464</v>
      </c>
      <c r="M23" s="534">
        <v>0</v>
      </c>
      <c r="N23" s="735">
        <f>N21</f>
        <v>0.15495</v>
      </c>
      <c r="O23" s="277">
        <f>L23*M23*N23</f>
        <v>0</v>
      </c>
      <c r="P23" s="619">
        <f>IF(M23=0,0,'WP_Cost per Unit'!F21)</f>
        <v>0</v>
      </c>
      <c r="Q23" s="619"/>
    </row>
    <row r="24" spans="1:17">
      <c r="B24" s="433"/>
      <c r="C24" s="106"/>
      <c r="D24" s="530"/>
      <c r="E24" s="530"/>
      <c r="F24" s="530"/>
      <c r="H24" s="636"/>
      <c r="J24" s="277"/>
      <c r="K24" s="277"/>
      <c r="L24" s="277"/>
      <c r="M24" s="535"/>
      <c r="N24" s="735"/>
      <c r="O24" s="277"/>
      <c r="P24" s="620"/>
      <c r="Q24" s="620"/>
    </row>
    <row r="25" spans="1:17">
      <c r="A25" s="106">
        <f>A23+1</f>
        <v>7</v>
      </c>
      <c r="B25" s="433" t="str">
        <f>'WP_Cost per Unit'!B23</f>
        <v>Pawnee</v>
      </c>
      <c r="C25" s="106"/>
      <c r="D25" s="277">
        <f>'Schedule 5'!D25</f>
        <v>918152433</v>
      </c>
      <c r="E25" s="277"/>
      <c r="F25" s="277">
        <f>'Schedule 5'!F25</f>
        <v>22.002954511270119</v>
      </c>
      <c r="H25" s="636">
        <f>IF(D25=0,0,D25/D$49)</f>
        <v>0.17623517229109603</v>
      </c>
      <c r="J25" s="134">
        <f>F25*H25</f>
        <v>3.8776944792068382</v>
      </c>
      <c r="K25" s="277"/>
      <c r="L25" s="277">
        <f>D25-J25</f>
        <v>918152429.12230551</v>
      </c>
      <c r="M25" s="534">
        <v>0</v>
      </c>
      <c r="N25" s="735">
        <f>N23</f>
        <v>0.15495</v>
      </c>
      <c r="O25" s="277">
        <f>L25*M25*N25</f>
        <v>0</v>
      </c>
      <c r="P25" s="619">
        <f>IF(M25=0,0,'WP_Cost per Unit'!F23)</f>
        <v>0</v>
      </c>
      <c r="Q25" s="619"/>
    </row>
    <row r="26" spans="1:17">
      <c r="B26" s="433"/>
      <c r="C26" s="106"/>
      <c r="D26" s="530"/>
      <c r="E26" s="530"/>
      <c r="F26" s="530"/>
      <c r="H26" s="636"/>
      <c r="J26" s="277"/>
      <c r="K26" s="277"/>
      <c r="L26" s="277"/>
      <c r="M26" s="535"/>
      <c r="N26" s="735"/>
      <c r="O26" s="277"/>
      <c r="P26" s="620"/>
      <c r="Q26" s="620"/>
    </row>
    <row r="27" spans="1:17">
      <c r="A27" s="106">
        <f>A25+1</f>
        <v>8</v>
      </c>
      <c r="B27" s="433" t="str">
        <f>'WP_Cost per Unit'!B25</f>
        <v>Valmont 5</v>
      </c>
      <c r="C27" s="106"/>
      <c r="D27" s="277">
        <f>'Schedule 5'!D27</f>
        <v>141947225</v>
      </c>
      <c r="E27" s="277"/>
      <c r="F27" s="277">
        <f>'Schedule 5'!F27</f>
        <v>22.002954511270119</v>
      </c>
      <c r="H27" s="636">
        <f>IF(D27=0,0,D27/D$49)</f>
        <v>2.7246122490118121E-2</v>
      </c>
      <c r="J27" s="134">
        <f>F27*H27</f>
        <v>0.59949519375856275</v>
      </c>
      <c r="K27" s="277"/>
      <c r="L27" s="277">
        <f>D27-J27</f>
        <v>141947224.4005048</v>
      </c>
      <c r="M27" s="534">
        <v>0</v>
      </c>
      <c r="N27" s="735">
        <f>N25</f>
        <v>0.15495</v>
      </c>
      <c r="O27" s="277">
        <f>L27*M27*N27</f>
        <v>0</v>
      </c>
      <c r="P27" s="619">
        <f>IF(M27=0,0,'WP_Cost per Unit'!F25)</f>
        <v>0</v>
      </c>
      <c r="Q27" s="619"/>
    </row>
    <row r="28" spans="1:17">
      <c r="B28" s="447"/>
      <c r="C28" s="106"/>
      <c r="D28" s="530"/>
      <c r="E28" s="530"/>
      <c r="F28" s="530"/>
      <c r="H28" s="636"/>
      <c r="J28" s="277"/>
      <c r="K28" s="277"/>
      <c r="L28" s="277"/>
      <c r="M28" s="535"/>
      <c r="N28" s="735"/>
      <c r="O28" s="277"/>
      <c r="P28" s="620"/>
      <c r="Q28" s="620"/>
    </row>
    <row r="29" spans="1:17">
      <c r="A29" s="106">
        <f>A27+1</f>
        <v>9</v>
      </c>
      <c r="B29" s="433" t="str">
        <f>'WP_Cost per Unit'!B27</f>
        <v>Zuni</v>
      </c>
      <c r="C29" s="106"/>
      <c r="D29" s="277">
        <f>'Schedule 5'!D29</f>
        <v>26466027</v>
      </c>
      <c r="E29" s="277"/>
      <c r="F29" s="277">
        <f>'Schedule 5'!F29</f>
        <v>22.002954511270119</v>
      </c>
      <c r="H29" s="636">
        <f>IF(D29=0,0,D29/D$49)</f>
        <v>5.0800331846485441E-3</v>
      </c>
      <c r="J29" s="134">
        <f>F29*H29</f>
        <v>0.11177573907756459</v>
      </c>
      <c r="K29" s="277"/>
      <c r="L29" s="277">
        <f>D29-J29</f>
        <v>26466026.888224263</v>
      </c>
      <c r="M29" s="534">
        <v>0</v>
      </c>
      <c r="N29" s="735">
        <f>N27</f>
        <v>0.15495</v>
      </c>
      <c r="O29" s="277">
        <f>L29*M29*N29</f>
        <v>0</v>
      </c>
      <c r="P29" s="619">
        <f>IF(M29=0,0,'WP_Cost per Unit'!F27)</f>
        <v>0</v>
      </c>
      <c r="Q29" s="619"/>
    </row>
    <row r="30" spans="1:17">
      <c r="B30" s="447"/>
      <c r="C30" s="106"/>
      <c r="D30" s="530"/>
      <c r="E30" s="530"/>
      <c r="F30" s="530"/>
      <c r="H30" s="636"/>
      <c r="J30" s="277"/>
      <c r="K30" s="277"/>
      <c r="L30" s="277"/>
      <c r="M30" s="535"/>
      <c r="N30" s="735"/>
      <c r="O30" s="277"/>
      <c r="P30" s="620"/>
      <c r="Q30" s="620"/>
    </row>
    <row r="31" spans="1:17">
      <c r="A31" s="106">
        <f>A29+1</f>
        <v>10</v>
      </c>
      <c r="B31" s="433" t="str">
        <f>'WP_Cost per Unit'!B29</f>
        <v>Alamosa</v>
      </c>
      <c r="C31" s="106"/>
      <c r="D31" s="277">
        <f>'Schedule 5'!D31</f>
        <v>9655556</v>
      </c>
      <c r="E31" s="277"/>
      <c r="F31" s="277">
        <f>'Schedule 5'!F31</f>
        <v>22.002954511270119</v>
      </c>
      <c r="H31" s="636">
        <f>IF(D31=0,0,D31/D$49)</f>
        <v>1.8533399401516654E-3</v>
      </c>
      <c r="J31" s="134">
        <f>F31*H31</f>
        <v>4.0778954397077176E-2</v>
      </c>
      <c r="K31" s="277"/>
      <c r="L31" s="277">
        <f>D31-J31</f>
        <v>9655555.9592210464</v>
      </c>
      <c r="M31" s="534">
        <v>1</v>
      </c>
      <c r="N31" s="735">
        <f>N29</f>
        <v>0.15495</v>
      </c>
      <c r="O31" s="277">
        <f>L31*M31*N31</f>
        <v>1496128.3958813013</v>
      </c>
      <c r="P31" s="619">
        <f>IF(M31=0,0,'WP_Cost per Unit'!F29)</f>
        <v>53280</v>
      </c>
      <c r="Q31" s="619"/>
    </row>
    <row r="32" spans="1:17">
      <c r="B32" s="447"/>
      <c r="C32" s="106"/>
      <c r="D32" s="530"/>
      <c r="E32" s="530"/>
      <c r="F32" s="530"/>
      <c r="H32" s="636"/>
      <c r="J32" s="277"/>
      <c r="K32" s="277"/>
      <c r="L32" s="277"/>
      <c r="M32" s="535"/>
      <c r="N32" s="735"/>
      <c r="O32" s="277"/>
      <c r="P32" s="620"/>
      <c r="Q32" s="620"/>
    </row>
    <row r="33" spans="1:17">
      <c r="A33" s="106">
        <f>A31+1</f>
        <v>11</v>
      </c>
      <c r="B33" s="433" t="str">
        <f>'WP_Cost per Unit'!B31</f>
        <v>Fort Lupton</v>
      </c>
      <c r="C33" s="106"/>
      <c r="D33" s="277">
        <f>'Schedule 5'!D33</f>
        <v>13725060</v>
      </c>
      <c r="E33" s="277"/>
      <c r="F33" s="277">
        <f>'Schedule 5'!F33</f>
        <v>22.002954511270119</v>
      </c>
      <c r="H33" s="636">
        <f>IF(D33=0,0,D33/D$49)</f>
        <v>2.6344626740270592E-3</v>
      </c>
      <c r="J33" s="134">
        <f>F33*H33</f>
        <v>5.7965962378256422E-2</v>
      </c>
      <c r="K33" s="277"/>
      <c r="L33" s="277">
        <f>D33-J33</f>
        <v>13725059.942034038</v>
      </c>
      <c r="M33" s="534">
        <v>1</v>
      </c>
      <c r="N33" s="735">
        <f>N31</f>
        <v>0.15495</v>
      </c>
      <c r="O33" s="277">
        <f>L33*M33*N33</f>
        <v>2126698.038018174</v>
      </c>
      <c r="P33" s="619">
        <f>IF(M33=0,0,'WP_Cost per Unit'!F31)</f>
        <v>100800</v>
      </c>
      <c r="Q33" s="619"/>
    </row>
    <row r="34" spans="1:17">
      <c r="B34" s="447"/>
      <c r="C34" s="106"/>
      <c r="D34" s="530"/>
      <c r="E34" s="530"/>
      <c r="F34" s="530"/>
      <c r="H34" s="636"/>
      <c r="J34" s="277"/>
      <c r="K34" s="277"/>
      <c r="L34" s="277"/>
      <c r="M34" s="535"/>
      <c r="N34" s="735"/>
      <c r="O34" s="277"/>
      <c r="P34" s="620"/>
      <c r="Q34" s="620"/>
    </row>
    <row r="35" spans="1:17">
      <c r="A35" s="106">
        <f>A33+1</f>
        <v>12</v>
      </c>
      <c r="B35" s="433" t="str">
        <f>'WP_Cost per Unit'!B33</f>
        <v>Fruita</v>
      </c>
      <c r="C35" s="106"/>
      <c r="D35" s="277">
        <f>'Schedule 5'!D35</f>
        <v>3463907</v>
      </c>
      <c r="E35" s="277"/>
      <c r="F35" s="277">
        <f>'Schedule 5'!F35</f>
        <v>22.002954511270119</v>
      </c>
      <c r="H35" s="636">
        <f>IF(D35=0,0,D35/D$49)</f>
        <v>6.6488115154331195E-4</v>
      </c>
      <c r="J35" s="134">
        <f>F35*H35</f>
        <v>1.4629349732808387E-2</v>
      </c>
      <c r="K35" s="532"/>
      <c r="L35" s="277">
        <f>D35-J35</f>
        <v>3463906.9853706504</v>
      </c>
      <c r="M35" s="534">
        <v>1</v>
      </c>
      <c r="N35" s="735">
        <f>N33</f>
        <v>0.15495</v>
      </c>
      <c r="O35" s="277">
        <f>L35*M35*N35</f>
        <v>536732.3873831823</v>
      </c>
      <c r="P35" s="619">
        <f>IF(M35=0,0,'WP_Cost per Unit'!F33)</f>
        <v>26640</v>
      </c>
      <c r="Q35" s="619"/>
    </row>
    <row r="36" spans="1:17">
      <c r="B36" s="447"/>
      <c r="C36" s="106"/>
      <c r="D36" s="530"/>
      <c r="E36" s="530"/>
      <c r="F36" s="530"/>
      <c r="H36" s="636"/>
      <c r="J36" s="277"/>
      <c r="K36" s="532"/>
      <c r="L36" s="277"/>
      <c r="M36" s="535"/>
      <c r="N36" s="735"/>
      <c r="O36" s="277"/>
      <c r="P36" s="620"/>
      <c r="Q36" s="620"/>
    </row>
    <row r="37" spans="1:17">
      <c r="A37" s="106">
        <f>A35+1</f>
        <v>13</v>
      </c>
      <c r="B37" s="433" t="str">
        <f>'WP_Cost per Unit'!B35</f>
        <v>Valmont 6</v>
      </c>
      <c r="C37" s="106"/>
      <c r="D37" s="277">
        <f>'Schedule 5'!D37</f>
        <v>9413482</v>
      </c>
      <c r="E37" s="277"/>
      <c r="F37" s="277">
        <f>'Schedule 5'!F37</f>
        <v>22.002954511270119</v>
      </c>
      <c r="H37" s="636">
        <f>IF(D37=0,0,D37/D$49)</f>
        <v>1.8068749398272642E-3</v>
      </c>
      <c r="J37" s="134">
        <f>F37*H37</f>
        <v>3.9756587108573223E-2</v>
      </c>
      <c r="K37" s="532"/>
      <c r="L37" s="277">
        <f>D37-J37</f>
        <v>9413481.9602434132</v>
      </c>
      <c r="M37" s="534">
        <v>0</v>
      </c>
      <c r="N37" s="735">
        <f>N35</f>
        <v>0.15495</v>
      </c>
      <c r="O37" s="277">
        <f>L37*M37*N37</f>
        <v>0</v>
      </c>
      <c r="P37" s="619">
        <f>IF(M37=0,0,'WP_Cost per Unit'!F35)</f>
        <v>0</v>
      </c>
      <c r="Q37" s="619"/>
    </row>
    <row r="38" spans="1:17">
      <c r="B38" s="447"/>
      <c r="C38" s="106"/>
      <c r="D38" s="530"/>
      <c r="E38" s="530"/>
      <c r="F38" s="530"/>
      <c r="H38" s="734"/>
      <c r="J38" s="277"/>
      <c r="K38" s="277"/>
      <c r="L38" s="277"/>
      <c r="M38" s="535"/>
      <c r="N38" s="735"/>
      <c r="O38" s="277"/>
      <c r="P38" s="620"/>
      <c r="Q38" s="620"/>
    </row>
    <row r="39" spans="1:17">
      <c r="A39" s="106">
        <f>A37+1</f>
        <v>14</v>
      </c>
      <c r="B39" s="433" t="str">
        <f>'WP_Cost per Unit'!B37</f>
        <v>Fort St. Vrain 1-4</v>
      </c>
      <c r="C39" s="106"/>
      <c r="D39" s="277">
        <f>'Schedule 5'!D39</f>
        <v>428426635</v>
      </c>
      <c r="E39" s="277"/>
      <c r="F39" s="277">
        <f>'Schedule 5'!F39</f>
        <v>22.002954511270119</v>
      </c>
      <c r="H39" s="636">
        <f>IF(D39=0,0,D39/D$49)</f>
        <v>8.2234538753675021E-2</v>
      </c>
      <c r="J39" s="134">
        <f>F39*H39</f>
        <v>1.8094028154523911</v>
      </c>
      <c r="K39" s="277"/>
      <c r="L39" s="277">
        <f>D39-J39</f>
        <v>428426633.19059718</v>
      </c>
      <c r="M39" s="534">
        <v>0</v>
      </c>
      <c r="N39" s="735">
        <f>N37</f>
        <v>0.15495</v>
      </c>
      <c r="O39" s="277">
        <f>L39*M39*N39</f>
        <v>0</v>
      </c>
      <c r="P39" s="619">
        <f>IF(M39=0,0,'WP_Cost per Unit'!F37)</f>
        <v>0</v>
      </c>
      <c r="Q39" s="619"/>
    </row>
    <row r="40" spans="1:17">
      <c r="B40" s="448"/>
      <c r="C40" s="106"/>
      <c r="D40" s="277"/>
      <c r="E40" s="277"/>
      <c r="F40" s="277"/>
      <c r="H40" s="636"/>
      <c r="J40" s="134"/>
      <c r="K40" s="277"/>
      <c r="L40" s="277"/>
      <c r="M40" s="535"/>
      <c r="N40" s="735"/>
      <c r="O40" s="277"/>
      <c r="P40" s="619"/>
      <c r="Q40" s="619"/>
    </row>
    <row r="41" spans="1:17">
      <c r="A41" s="106">
        <f>A39+1</f>
        <v>15</v>
      </c>
      <c r="B41" s="433" t="str">
        <f>'WP_Cost per Unit'!B39</f>
        <v>Fort St. Vrain 5-6</v>
      </c>
      <c r="C41" s="106"/>
      <c r="D41" s="277">
        <f>'Schedule 5'!D41</f>
        <v>164907064</v>
      </c>
      <c r="E41" s="277"/>
      <c r="F41" s="277">
        <f>'Schedule 5'!F41</f>
        <v>22.002954511270119</v>
      </c>
      <c r="H41" s="636">
        <f>IF(D41=0,0,D41/D$49)</f>
        <v>3.1653158878095354E-2</v>
      </c>
      <c r="J41" s="134">
        <f>F41*H41</f>
        <v>0.69646301493273799</v>
      </c>
      <c r="K41" s="277"/>
      <c r="L41" s="277">
        <f>D41-J41</f>
        <v>164907063.30353698</v>
      </c>
      <c r="M41" s="534">
        <v>0</v>
      </c>
      <c r="N41" s="735">
        <f>N39</f>
        <v>0.15495</v>
      </c>
      <c r="O41" s="277">
        <f>L41*M41*N41</f>
        <v>0</v>
      </c>
      <c r="P41" s="619">
        <f>IF(M41=0,0,'WP_Cost per Unit'!F39)</f>
        <v>0</v>
      </c>
      <c r="Q41" s="619"/>
    </row>
    <row r="42" spans="1:17">
      <c r="B42" s="122"/>
      <c r="C42" s="106"/>
      <c r="D42" s="277"/>
      <c r="E42" s="277"/>
      <c r="F42" s="277"/>
      <c r="H42" s="636"/>
      <c r="J42" s="134"/>
      <c r="K42" s="277"/>
      <c r="L42" s="277"/>
      <c r="M42" s="535"/>
      <c r="N42" s="735"/>
      <c r="O42" s="277"/>
      <c r="P42" s="619"/>
      <c r="Q42" s="619"/>
    </row>
    <row r="43" spans="1:17">
      <c r="A43" s="106">
        <f>A41+1</f>
        <v>16</v>
      </c>
      <c r="B43" s="433" t="str">
        <f>'WP_Cost per Unit'!B41</f>
        <v>Blue Spruce</v>
      </c>
      <c r="C43" s="106"/>
      <c r="D43" s="277">
        <f>'Schedule 5'!D43</f>
        <v>218060654</v>
      </c>
      <c r="E43" s="277"/>
      <c r="F43" s="277">
        <f>'Schedule 5'!F43</f>
        <v>22.002954511270119</v>
      </c>
      <c r="H43" s="636">
        <f>IF(D43=0,0,D43/D$49)</f>
        <v>4.1855748072280145E-2</v>
      </c>
      <c r="J43" s="134">
        <f>F43*H43</f>
        <v>0.92095012086956196</v>
      </c>
      <c r="K43" s="277"/>
      <c r="L43" s="277">
        <f>D43-J43</f>
        <v>218060653.07904989</v>
      </c>
      <c r="M43" s="534">
        <v>0</v>
      </c>
      <c r="N43" s="735">
        <f>N41</f>
        <v>0.15495</v>
      </c>
      <c r="O43" s="277">
        <f>L43*M43*N43</f>
        <v>0</v>
      </c>
      <c r="P43" s="619">
        <f>IF(M43=0,0,'WP_Cost per Unit'!F41)</f>
        <v>0</v>
      </c>
      <c r="Q43" s="619"/>
    </row>
    <row r="44" spans="1:17">
      <c r="B44" s="122"/>
      <c r="C44" s="106"/>
      <c r="D44" s="277"/>
      <c r="E44" s="277"/>
      <c r="F44" s="277"/>
      <c r="H44" s="636"/>
      <c r="J44" s="134"/>
      <c r="K44" s="277"/>
      <c r="L44" s="277"/>
      <c r="M44" s="535"/>
      <c r="N44" s="735"/>
      <c r="O44" s="277"/>
      <c r="P44" s="619"/>
      <c r="Q44" s="619"/>
    </row>
    <row r="45" spans="1:17">
      <c r="A45" s="106">
        <f>A43+1</f>
        <v>17</v>
      </c>
      <c r="B45" s="433" t="str">
        <f>'WP_Cost per Unit'!B43</f>
        <v>Rocky Mountain</v>
      </c>
      <c r="C45" s="106"/>
      <c r="D45" s="277">
        <f>'Schedule 5'!D45</f>
        <v>396556016</v>
      </c>
      <c r="E45" s="277"/>
      <c r="F45" s="277">
        <f>'Schedule 5'!F45</f>
        <v>22.002954511270119</v>
      </c>
      <c r="H45" s="636">
        <f>IF(D45=0,0,D45/D$49)</f>
        <v>7.6117118782204035E-2</v>
      </c>
      <c r="J45" s="134">
        <f>F45*H45</f>
        <v>1.6748015020937796</v>
      </c>
      <c r="K45" s="277"/>
      <c r="L45" s="277">
        <f>D45-J45</f>
        <v>396556014.32519847</v>
      </c>
      <c r="M45" s="534">
        <v>0</v>
      </c>
      <c r="N45" s="735">
        <f>N43</f>
        <v>0.15495</v>
      </c>
      <c r="O45" s="277">
        <f>L45*M45*N45</f>
        <v>0</v>
      </c>
      <c r="P45" s="619">
        <f>IF(M45=0,0,'WP_Cost per Unit'!F43)</f>
        <v>0</v>
      </c>
      <c r="Q45" s="619"/>
    </row>
    <row r="46" spans="1:17">
      <c r="B46" s="448"/>
      <c r="C46" s="106"/>
      <c r="D46" s="530"/>
      <c r="E46" s="530"/>
      <c r="F46" s="530"/>
      <c r="H46" s="636"/>
      <c r="J46" s="277"/>
      <c r="K46" s="277"/>
      <c r="L46" s="277"/>
      <c r="M46" s="535"/>
      <c r="N46" s="735"/>
      <c r="O46" s="277"/>
      <c r="P46" s="620"/>
      <c r="Q46" s="620"/>
    </row>
    <row r="47" spans="1:17">
      <c r="A47" s="106">
        <f>A45+1</f>
        <v>18</v>
      </c>
      <c r="B47" s="433" t="str">
        <f>'WP_Cost per Unit'!B45</f>
        <v>Cabin Creek</v>
      </c>
      <c r="C47" s="106"/>
      <c r="D47" s="277">
        <f>'Schedule 5'!D47</f>
        <v>60091367</v>
      </c>
      <c r="E47" s="277"/>
      <c r="F47" s="277">
        <f>'Schedule 5'!F47</f>
        <v>22.002954511270119</v>
      </c>
      <c r="H47" s="636">
        <f>IF(D47=0,0,D47/D$49)</f>
        <v>1.1534263849685275E-2</v>
      </c>
      <c r="J47" s="134">
        <f>F47*H47</f>
        <v>0.25378788280561249</v>
      </c>
      <c r="K47" s="277"/>
      <c r="L47" s="277">
        <f>D47-J47</f>
        <v>60091366.746212117</v>
      </c>
      <c r="M47" s="534">
        <v>1</v>
      </c>
      <c r="N47" s="735">
        <f>N39</f>
        <v>0.15495</v>
      </c>
      <c r="O47" s="277">
        <f>L47*M47*N47</f>
        <v>9311157.2773255687</v>
      </c>
      <c r="P47" s="619">
        <f>IF(M47=0,0,'WP_Cost per Unit'!F45)</f>
        <v>300000</v>
      </c>
      <c r="Q47" s="619"/>
    </row>
    <row r="48" spans="1:17">
      <c r="B48" s="106"/>
      <c r="C48" s="106"/>
      <c r="D48" s="439"/>
      <c r="E48" s="439"/>
      <c r="F48" s="439"/>
      <c r="M48" s="442"/>
      <c r="P48" s="617"/>
      <c r="Q48" s="617"/>
    </row>
    <row r="49" spans="1:17">
      <c r="A49" s="106">
        <f>A47+1</f>
        <v>19</v>
      </c>
      <c r="C49" s="147" t="s">
        <v>637</v>
      </c>
      <c r="D49" s="533">
        <f>SUM(D13:D47)</f>
        <v>5209813802</v>
      </c>
      <c r="E49" s="441"/>
      <c r="F49" s="441"/>
      <c r="G49" s="114"/>
      <c r="H49" s="662">
        <f>SUM(H13:H47)</f>
        <v>1</v>
      </c>
      <c r="I49" s="114"/>
      <c r="J49" s="449">
        <f>SUM(J13:J47)</f>
        <v>22.002954511270115</v>
      </c>
      <c r="K49" s="114"/>
      <c r="L49" s="449">
        <f>SUM(L13:L47)</f>
        <v>5209813779.9970455</v>
      </c>
      <c r="M49" s="114"/>
      <c r="N49" s="114"/>
      <c r="O49" s="449">
        <f>SUM(O13:O47)</f>
        <v>13470716.098608226</v>
      </c>
      <c r="P49" s="618">
        <f>SUM(P13:P47)</f>
        <v>480720</v>
      </c>
      <c r="Q49" s="618"/>
    </row>
    <row r="50" spans="1:17">
      <c r="H50" s="440"/>
    </row>
    <row r="51" spans="1:17">
      <c r="A51" s="106">
        <f>A49+1</f>
        <v>20</v>
      </c>
      <c r="B51" s="613" t="s">
        <v>89</v>
      </c>
      <c r="H51" s="440"/>
    </row>
    <row r="52" spans="1:17">
      <c r="B52" t="s">
        <v>638</v>
      </c>
      <c r="H52" s="440"/>
    </row>
    <row r="53" spans="1:17">
      <c r="A53" s="106">
        <f>A51+1</f>
        <v>21</v>
      </c>
      <c r="B53" t="str">
        <f ca="1">"(2) "&amp;'Schedule 2'!I2&amp;" Line "&amp;'Schedule 2'!A22</f>
        <v>(2) Schedule 2 Line 8</v>
      </c>
      <c r="J53" s="122"/>
      <c r="N53" s="147" t="s">
        <v>467</v>
      </c>
      <c r="O53" s="813">
        <f>IF(O49=0,0,O49/P49)</f>
        <v>28.021958933699921</v>
      </c>
      <c r="P53" t="s">
        <v>331</v>
      </c>
    </row>
    <row r="54" spans="1:17">
      <c r="B54" s="73" t="s">
        <v>1590</v>
      </c>
      <c r="O54" s="814"/>
      <c r="P54" s="430"/>
      <c r="Q54" s="430"/>
    </row>
    <row r="55" spans="1:17">
      <c r="A55" s="106">
        <f>A53+1</f>
        <v>22</v>
      </c>
      <c r="B55" t="str">
        <f ca="1">"(4) "&amp;WP_FCR!I2&amp;" Line "&amp;WP_FCR!A28</f>
        <v>(4) WP_FCR Line 21</v>
      </c>
      <c r="N55" s="634" t="s">
        <v>127</v>
      </c>
      <c r="O55" s="813">
        <f>ROUND(O53/12,3)</f>
        <v>2.335</v>
      </c>
      <c r="P55" t="s">
        <v>644</v>
      </c>
    </row>
    <row r="56" spans="1:17">
      <c r="O56" s="813"/>
    </row>
    <row r="57" spans="1:17">
      <c r="A57" s="106">
        <f>A55+1</f>
        <v>23</v>
      </c>
      <c r="N57" s="634" t="s">
        <v>128</v>
      </c>
      <c r="O57" s="813">
        <f>ROUND(O53/52,3)</f>
        <v>0.53900000000000003</v>
      </c>
      <c r="P57" t="s">
        <v>750</v>
      </c>
    </row>
    <row r="58" spans="1:17">
      <c r="O58" s="813"/>
    </row>
    <row r="59" spans="1:17">
      <c r="A59" s="106">
        <f>A57+1</f>
        <v>24</v>
      </c>
      <c r="C59" s="106"/>
      <c r="N59" s="634" t="s">
        <v>202</v>
      </c>
      <c r="O59" s="813">
        <f>ROUND(O57/6,3)</f>
        <v>0.09</v>
      </c>
      <c r="P59" s="427" t="s">
        <v>751</v>
      </c>
      <c r="Q59" s="427"/>
    </row>
    <row r="60" spans="1:17" s="110" customFormat="1">
      <c r="A60" s="111">
        <f>A59+1</f>
        <v>25</v>
      </c>
      <c r="C60" s="111"/>
      <c r="N60" s="815" t="s">
        <v>203</v>
      </c>
      <c r="O60" s="809">
        <f>ROUND(O57/7,3)</f>
        <v>7.6999999999999999E-2</v>
      </c>
      <c r="P60" s="308" t="s">
        <v>1592</v>
      </c>
      <c r="Q60" s="816"/>
    </row>
    <row r="61" spans="1:17">
      <c r="N61" s="147"/>
      <c r="O61" s="813"/>
    </row>
    <row r="62" spans="1:17">
      <c r="A62" s="106">
        <f>A60+1</f>
        <v>26</v>
      </c>
      <c r="C62" s="106"/>
      <c r="N62" s="634" t="s">
        <v>204</v>
      </c>
      <c r="O62" s="813">
        <f>ROUND(((O59/16)*1000),3)</f>
        <v>5.625</v>
      </c>
      <c r="P62" s="427" t="s">
        <v>641</v>
      </c>
      <c r="Q62" s="427"/>
    </row>
    <row r="63" spans="1:17" s="110" customFormat="1">
      <c r="A63" s="111">
        <f>A62+1</f>
        <v>27</v>
      </c>
      <c r="C63" s="111"/>
      <c r="N63" s="815" t="s">
        <v>205</v>
      </c>
      <c r="O63" s="809">
        <f>ROUND((O60/24)*1000,3)</f>
        <v>3.2080000000000002</v>
      </c>
      <c r="P63" s="308" t="s">
        <v>1591</v>
      </c>
      <c r="Q63" s="816"/>
    </row>
    <row r="64" spans="1:17">
      <c r="C64" s="106"/>
      <c r="O64" s="110"/>
      <c r="P64" s="430"/>
      <c r="Q64" s="430"/>
    </row>
    <row r="65" spans="1:17">
      <c r="A65" s="1034">
        <f>A63+1</f>
        <v>28</v>
      </c>
      <c r="N65" s="634" t="s">
        <v>131</v>
      </c>
      <c r="O65" s="814">
        <f>O55</f>
        <v>2.335</v>
      </c>
      <c r="P65" t="s">
        <v>642</v>
      </c>
    </row>
    <row r="69" spans="1:17">
      <c r="O69" s="110"/>
      <c r="P69" s="110"/>
      <c r="Q69" s="110"/>
    </row>
  </sheetData>
  <phoneticPr fontId="2" type="noConversion"/>
  <printOptions horizontalCentered="1"/>
  <pageMargins left="0.75" right="0.75" top="1" bottom="1" header="0.5" footer="0.5"/>
  <pageSetup scale="56" orientation="landscape" r:id="rId1"/>
  <headerFooter alignWithMargins="0">
    <oddHeader>&amp;RPage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J119"/>
  <sheetViews>
    <sheetView view="pageBreakPreview" zoomScale="60" zoomScaleNormal="100" workbookViewId="0">
      <selection activeCell="Z34" sqref="Z34"/>
    </sheetView>
  </sheetViews>
  <sheetFormatPr defaultRowHeight="12.75"/>
  <cols>
    <col min="1" max="1" width="9.140625" style="79"/>
    <col min="2" max="2" width="52.7109375" style="79" customWidth="1"/>
    <col min="3" max="3" width="25.5703125" style="80" customWidth="1"/>
    <col min="4" max="4" width="2.7109375" style="80" customWidth="1"/>
    <col min="5" max="5" width="13.42578125" style="80" customWidth="1"/>
    <col min="6" max="6" width="18.7109375" style="79" bestFit="1" customWidth="1"/>
    <col min="7" max="7" width="15" style="79" bestFit="1" customWidth="1"/>
    <col min="8" max="8" width="13.28515625" style="79" bestFit="1" customWidth="1"/>
    <col min="9" max="16384" width="9.140625" style="79"/>
  </cols>
  <sheetData>
    <row r="1" spans="1:8">
      <c r="A1" s="99" t="str">
        <f>'Cover Page'!A5</f>
        <v>Public Service Company of Colorado</v>
      </c>
      <c r="F1" s="133"/>
      <c r="H1" s="133" t="str">
        <f>'Table of Contents'!A10</f>
        <v>Table 2</v>
      </c>
    </row>
    <row r="2" spans="1:8">
      <c r="A2" s="99" t="str">
        <f>'Cover Page'!A6</f>
        <v>Transmission Formula Rate Template</v>
      </c>
      <c r="F2" s="577"/>
      <c r="H2" s="577" t="str">
        <f ca="1">MID(CELL("filename",$A$1),FIND("]",CELL("filename",$A$1))+1,LEN(CELL("filename",$A$1))-FIND("]",CELL("filename",$A$1)))</f>
        <v>Est. Rates</v>
      </c>
    </row>
    <row r="3" spans="1:8">
      <c r="A3" s="99" t="str">
        <f>'Cover Page'!A7</f>
        <v>Twelve Months Ended December 31, 2017</v>
      </c>
    </row>
    <row r="4" spans="1:8">
      <c r="A4" s="99" t="s">
        <v>849</v>
      </c>
    </row>
    <row r="6" spans="1:8" ht="32.25" customHeight="1">
      <c r="A6" s="2" t="s">
        <v>862</v>
      </c>
      <c r="B6" s="2" t="s">
        <v>912</v>
      </c>
      <c r="C6" s="2" t="s">
        <v>864</v>
      </c>
      <c r="D6" s="2"/>
      <c r="E6" s="146" t="s">
        <v>865</v>
      </c>
      <c r="F6" s="471"/>
    </row>
    <row r="7" spans="1:8">
      <c r="B7" s="332" t="s">
        <v>352</v>
      </c>
      <c r="C7" s="332" t="s">
        <v>353</v>
      </c>
      <c r="D7" s="332"/>
      <c r="E7" s="332" t="s">
        <v>354</v>
      </c>
    </row>
    <row r="8" spans="1:8">
      <c r="A8" s="80">
        <v>1</v>
      </c>
      <c r="B8" s="99" t="s">
        <v>863</v>
      </c>
      <c r="C8" s="80" t="str">
        <f ca="1">'ATRR Est.'!G2&amp;" Line "&amp;'ATRR Est.'!A144</f>
        <v>ATRR Est. Line 130</v>
      </c>
      <c r="D8" s="332"/>
      <c r="E8" s="315">
        <f>'ATRR Est.'!G144</f>
        <v>249558943.05226737</v>
      </c>
    </row>
    <row r="9" spans="1:8">
      <c r="A9" s="80">
        <f t="shared" ref="A9:A78" si="0">A8+1</f>
        <v>2</v>
      </c>
      <c r="D9" s="332"/>
      <c r="E9" s="79"/>
    </row>
    <row r="10" spans="1:8">
      <c r="A10" s="80">
        <f t="shared" si="0"/>
        <v>3</v>
      </c>
      <c r="B10" s="307" t="s">
        <v>1196</v>
      </c>
      <c r="C10" s="332" t="str">
        <f ca="1">'WP_A-2 (1)'!I2&amp;" Line "&amp;'WP_A-2 (1)'!A84</f>
        <v>WP_A-2 (1) Line 64</v>
      </c>
      <c r="D10" s="332"/>
      <c r="E10" s="363">
        <f>'WP_A-2 (1)'!F91+'WP_A-2 (2)'!F91+'WP_A-2 (3)'!F91+'WP_A-2 (4)'!F91+'WP_A-2 (5)'!F91+'WP_A-2 (6)'!F91+'WP_A-2 (7)'!I39</f>
        <v>2463976.7777435482</v>
      </c>
      <c r="G10" s="842"/>
    </row>
    <row r="11" spans="1:8">
      <c r="A11" s="80">
        <f t="shared" si="0"/>
        <v>4</v>
      </c>
      <c r="B11" s="307" t="s">
        <v>1224</v>
      </c>
      <c r="C11" s="332" t="str">
        <f ca="1">'WP_A-2 (1)'!I2&amp;" Line "&amp;'WP_A-2 (1)'!A85</f>
        <v>WP_A-2 (1) Line 65</v>
      </c>
      <c r="D11" s="332"/>
      <c r="E11" s="363">
        <f>'WP_A-2 (1)'!F92+'WP_A-2 (2)'!F92+'WP_A-2 (3)'!F92+'WP_A-2 (4)'!F92+'WP_A-2 (5)'!F92+'WP_A-2 (6)'!F92</f>
        <v>6048</v>
      </c>
      <c r="F11" s="842"/>
      <c r="G11" s="842"/>
    </row>
    <row r="12" spans="1:8">
      <c r="A12" s="80">
        <f t="shared" si="0"/>
        <v>5</v>
      </c>
      <c r="D12" s="332"/>
      <c r="E12" s="79"/>
      <c r="F12" s="508"/>
      <c r="G12" s="842"/>
    </row>
    <row r="13" spans="1:8" ht="13.5" thickBot="1">
      <c r="A13" s="80">
        <f t="shared" si="0"/>
        <v>6</v>
      </c>
      <c r="B13" s="99" t="s">
        <v>132</v>
      </c>
      <c r="C13" s="332" t="str">
        <f>"Sum Lines "&amp;A8&amp;" through "&amp;A11</f>
        <v>Sum Lines 1 through 4</v>
      </c>
      <c r="D13" s="332"/>
      <c r="E13" s="101">
        <f>SUM(E8:E11)</f>
        <v>252028967.83001092</v>
      </c>
      <c r="F13" s="508"/>
      <c r="G13" s="507"/>
    </row>
    <row r="14" spans="1:8" ht="13.5" thickTop="1">
      <c r="A14" s="80">
        <f t="shared" si="0"/>
        <v>7</v>
      </c>
      <c r="D14" s="332"/>
      <c r="E14" s="79"/>
      <c r="F14" s="508"/>
      <c r="G14" s="753"/>
    </row>
    <row r="15" spans="1:8">
      <c r="A15" s="80">
        <f t="shared" si="0"/>
        <v>8</v>
      </c>
      <c r="B15" s="99" t="s">
        <v>868</v>
      </c>
      <c r="D15" s="332"/>
      <c r="E15" s="79"/>
      <c r="F15" s="508"/>
      <c r="G15" s="508"/>
    </row>
    <row r="16" spans="1:8">
      <c r="A16" s="80">
        <f t="shared" si="0"/>
        <v>9</v>
      </c>
      <c r="B16" s="79" t="s">
        <v>866</v>
      </c>
      <c r="C16" s="332" t="str">
        <f ca="1">'WP_I-1'!S2&amp;" Line "&amp;'WP_I-1'!A30&amp;", Col. (g)"</f>
        <v>WP_I-1 Line 15, Col. (g)</v>
      </c>
      <c r="D16" s="332"/>
      <c r="E16" s="465">
        <f>'WP_I-1'!S30</f>
        <v>5935959</v>
      </c>
    </row>
    <row r="17" spans="1:7">
      <c r="A17" s="80">
        <f t="shared" si="0"/>
        <v>10</v>
      </c>
      <c r="D17" s="332"/>
      <c r="E17" s="79"/>
    </row>
    <row r="18" spans="1:7">
      <c r="A18" s="80">
        <f t="shared" si="0"/>
        <v>11</v>
      </c>
      <c r="B18" s="99" t="s">
        <v>191</v>
      </c>
      <c r="D18" s="332"/>
      <c r="E18" s="79"/>
    </row>
    <row r="19" spans="1:7">
      <c r="A19" s="80">
        <f t="shared" si="0"/>
        <v>12</v>
      </c>
      <c r="B19" s="79" t="s">
        <v>392</v>
      </c>
      <c r="C19" s="332" t="str">
        <f>"Line "&amp;A13&amp;" / Line "&amp;A16</f>
        <v>Line 6 / Line 9</v>
      </c>
      <c r="D19" s="332"/>
      <c r="E19" s="473">
        <f>IF(E16=0,0,ROUND(E13/E16,3))</f>
        <v>42.457999999999998</v>
      </c>
      <c r="F19" s="79" t="s">
        <v>505</v>
      </c>
    </row>
    <row r="20" spans="1:7">
      <c r="A20" s="80">
        <f t="shared" si="0"/>
        <v>13</v>
      </c>
      <c r="C20" s="332"/>
      <c r="D20" s="332"/>
      <c r="E20" s="473"/>
    </row>
    <row r="21" spans="1:7">
      <c r="A21" s="80">
        <f t="shared" si="0"/>
        <v>14</v>
      </c>
      <c r="B21" s="79" t="s">
        <v>393</v>
      </c>
      <c r="C21" s="332" t="str">
        <f>"Line "&amp;A19&amp;" / 12"</f>
        <v>Line 12 / 12</v>
      </c>
      <c r="D21" s="332"/>
      <c r="E21" s="473">
        <f>ROUND(E19/12,3)</f>
        <v>3.5379999999999998</v>
      </c>
      <c r="F21" s="79" t="s">
        <v>120</v>
      </c>
      <c r="G21" s="508"/>
    </row>
    <row r="22" spans="1:7">
      <c r="A22" s="80">
        <f t="shared" si="0"/>
        <v>15</v>
      </c>
      <c r="C22" s="332"/>
      <c r="D22" s="332"/>
      <c r="E22" s="332"/>
    </row>
    <row r="23" spans="1:7">
      <c r="A23" s="80">
        <f t="shared" si="0"/>
        <v>16</v>
      </c>
      <c r="B23" s="79" t="s">
        <v>106</v>
      </c>
      <c r="C23" s="332" t="str">
        <f>"Line "&amp;A19&amp;" / 52"</f>
        <v>Line 12 / 52</v>
      </c>
      <c r="D23" s="332"/>
      <c r="E23" s="473">
        <f>ROUND(E19/52,3)</f>
        <v>0.81699999999999995</v>
      </c>
      <c r="F23" s="79" t="s">
        <v>121</v>
      </c>
    </row>
    <row r="24" spans="1:7">
      <c r="A24" s="80">
        <f t="shared" si="0"/>
        <v>17</v>
      </c>
      <c r="B24" s="79" t="s">
        <v>107</v>
      </c>
      <c r="C24" s="332" t="str">
        <f>"Line "&amp;A23&amp;" / 6"</f>
        <v>Line 16 / 6</v>
      </c>
      <c r="D24" s="332"/>
      <c r="E24" s="473">
        <f>ROUND(E23/6,3)</f>
        <v>0.13600000000000001</v>
      </c>
      <c r="F24" s="79" t="s">
        <v>122</v>
      </c>
    </row>
    <row r="25" spans="1:7">
      <c r="A25" s="80">
        <f t="shared" si="0"/>
        <v>18</v>
      </c>
      <c r="B25" s="79" t="s">
        <v>108</v>
      </c>
      <c r="C25" s="332" t="str">
        <f>"(Line "&amp;A24&amp;" / 16) X 1,000"</f>
        <v>(Line 17 / 16) X 1,000</v>
      </c>
      <c r="D25" s="332"/>
      <c r="E25" s="473">
        <f>ROUND(E24/16*1000,3)</f>
        <v>8.5</v>
      </c>
      <c r="F25" s="79" t="s">
        <v>123</v>
      </c>
    </row>
    <row r="26" spans="1:7">
      <c r="A26" s="80">
        <f t="shared" si="0"/>
        <v>19</v>
      </c>
      <c r="B26" s="79" t="s">
        <v>109</v>
      </c>
      <c r="C26" s="332" t="str">
        <f>"((Line "&amp;A23&amp;" / 7) / 24) X 1,000"</f>
        <v>((Line 16 / 7) / 24) X 1,000</v>
      </c>
      <c r="D26" s="332"/>
      <c r="E26" s="473">
        <f>ROUND(((ROUND(E23/7,5)))/24*1000,2)</f>
        <v>4.8600000000000003</v>
      </c>
      <c r="F26" s="79" t="s">
        <v>123</v>
      </c>
    </row>
    <row r="27" spans="1:7">
      <c r="A27" s="80">
        <f t="shared" si="0"/>
        <v>20</v>
      </c>
      <c r="C27" s="332"/>
      <c r="D27" s="332"/>
      <c r="E27" s="472"/>
      <c r="F27" s="468"/>
    </row>
    <row r="28" spans="1:7">
      <c r="A28" s="80">
        <f t="shared" si="0"/>
        <v>21</v>
      </c>
      <c r="B28" s="131" t="s">
        <v>201</v>
      </c>
      <c r="C28" s="332" t="s">
        <v>536</v>
      </c>
      <c r="D28" s="469"/>
      <c r="E28" s="1150">
        <v>6.8868964699999993E-2</v>
      </c>
      <c r="F28" s="79" t="s">
        <v>123</v>
      </c>
    </row>
    <row r="29" spans="1:7">
      <c r="A29" s="80">
        <f t="shared" si="0"/>
        <v>22</v>
      </c>
      <c r="D29" s="332"/>
    </row>
    <row r="30" spans="1:7">
      <c r="A30" s="80">
        <f t="shared" si="0"/>
        <v>23</v>
      </c>
      <c r="E30" s="728"/>
    </row>
    <row r="31" spans="1:7">
      <c r="A31" s="80">
        <f t="shared" si="0"/>
        <v>24</v>
      </c>
      <c r="B31" s="1211" t="s">
        <v>535</v>
      </c>
      <c r="C31" s="1211"/>
      <c r="D31" s="1211"/>
      <c r="E31" s="1211"/>
      <c r="F31" s="1211"/>
    </row>
    <row r="32" spans="1:7">
      <c r="A32" s="80">
        <f t="shared" si="0"/>
        <v>25</v>
      </c>
    </row>
    <row r="33" spans="1:7">
      <c r="A33" s="80">
        <f t="shared" si="0"/>
        <v>26</v>
      </c>
      <c r="B33" s="131" t="s">
        <v>119</v>
      </c>
    </row>
    <row r="34" spans="1:7">
      <c r="A34" s="80">
        <f t="shared" si="0"/>
        <v>27</v>
      </c>
      <c r="B34" s="307" t="s">
        <v>127</v>
      </c>
      <c r="C34" s="80" t="str">
        <f ca="1">'Schedule 1'!$D$2&amp;" Line "&amp;'Schedule 1'!A26</f>
        <v>Schedule 1 Line 18</v>
      </c>
      <c r="E34" s="755">
        <f>'Schedule 1'!D26</f>
        <v>5.6000000000000001E-2</v>
      </c>
      <c r="F34" s="79" t="s">
        <v>120</v>
      </c>
    </row>
    <row r="35" spans="1:7">
      <c r="A35" s="80">
        <f t="shared" si="0"/>
        <v>28</v>
      </c>
      <c r="B35" s="307" t="s">
        <v>128</v>
      </c>
      <c r="C35" s="80" t="str">
        <f ca="1">'Schedule 1'!$D$2&amp;" Line "&amp;'Schedule 1'!A27</f>
        <v>Schedule 1 Line 19</v>
      </c>
      <c r="E35" s="755">
        <f>'Schedule 1'!D27</f>
        <v>1.2999999999999999E-2</v>
      </c>
      <c r="F35" s="79" t="s">
        <v>121</v>
      </c>
    </row>
    <row r="36" spans="1:7">
      <c r="A36" s="80">
        <f t="shared" si="0"/>
        <v>29</v>
      </c>
      <c r="B36" s="307" t="s">
        <v>129</v>
      </c>
      <c r="C36" s="80" t="str">
        <f ca="1">'Schedule 1'!$D$2&amp;" Line "&amp;'Schedule 1'!A28</f>
        <v>Schedule 1 Line 20</v>
      </c>
      <c r="E36" s="755">
        <f>'Schedule 1'!D28</f>
        <v>2E-3</v>
      </c>
      <c r="F36" s="79" t="s">
        <v>122</v>
      </c>
    </row>
    <row r="37" spans="1:7">
      <c r="A37" s="80">
        <f t="shared" si="0"/>
        <v>30</v>
      </c>
      <c r="B37" s="307" t="s">
        <v>130</v>
      </c>
      <c r="C37" s="80" t="str">
        <f ca="1">'Schedule 1'!$D$2&amp;" Line "&amp;'Schedule 1'!A29</f>
        <v>Schedule 1 Line 21</v>
      </c>
      <c r="E37" s="755">
        <f>'Schedule 1'!D29</f>
        <v>7.6999999999999999E-2</v>
      </c>
      <c r="F37" s="79" t="s">
        <v>123</v>
      </c>
    </row>
    <row r="38" spans="1:7">
      <c r="A38" s="80">
        <f t="shared" si="0"/>
        <v>31</v>
      </c>
      <c r="B38" s="307" t="s">
        <v>131</v>
      </c>
      <c r="C38" s="80" t="str">
        <f ca="1">'Schedule 1'!$D$2&amp;" Line "&amp;'Schedule 1'!A26</f>
        <v>Schedule 1 Line 18</v>
      </c>
      <c r="E38" s="755">
        <f>E34</f>
        <v>5.6000000000000001E-2</v>
      </c>
      <c r="F38" s="79" t="s">
        <v>120</v>
      </c>
    </row>
    <row r="39" spans="1:7">
      <c r="A39" s="80">
        <f t="shared" si="0"/>
        <v>32</v>
      </c>
      <c r="B39" s="307" t="s">
        <v>1246</v>
      </c>
      <c r="C39" s="80" t="str">
        <f ca="1">'Schedule 1'!$D$2&amp;" Line "&amp;'Schedule 1'!A26</f>
        <v>Schedule 1 Line 18</v>
      </c>
      <c r="E39" s="755">
        <f>E34</f>
        <v>5.6000000000000001E-2</v>
      </c>
      <c r="F39" s="79" t="s">
        <v>120</v>
      </c>
    </row>
    <row r="40" spans="1:7">
      <c r="A40" s="80">
        <f t="shared" si="0"/>
        <v>33</v>
      </c>
      <c r="E40" s="332"/>
    </row>
    <row r="41" spans="1:7">
      <c r="A41" s="80">
        <f t="shared" si="0"/>
        <v>34</v>
      </c>
      <c r="B41" s="131" t="s">
        <v>124</v>
      </c>
      <c r="E41" s="332"/>
    </row>
    <row r="42" spans="1:7">
      <c r="A42" s="80">
        <f t="shared" si="0"/>
        <v>35</v>
      </c>
      <c r="B42" s="307" t="s">
        <v>127</v>
      </c>
      <c r="C42" s="80" t="str">
        <f ca="1">'Schedule 2'!$I$2&amp;" Line "&amp;'Schedule 2'!A54</f>
        <v>Schedule 2 Line 24</v>
      </c>
      <c r="E42" s="472">
        <f>'Schedule 2'!H54</f>
        <v>0.253</v>
      </c>
      <c r="F42" s="769" t="s">
        <v>120</v>
      </c>
      <c r="G42" s="769"/>
    </row>
    <row r="43" spans="1:7">
      <c r="A43" s="80">
        <f t="shared" si="0"/>
        <v>36</v>
      </c>
      <c r="B43" s="307" t="s">
        <v>128</v>
      </c>
      <c r="C43" s="80" t="str">
        <f ca="1">'Schedule 2'!$I$2&amp;" Line "&amp;'Schedule 2'!A56</f>
        <v>Schedule 2 Line 25</v>
      </c>
      <c r="E43" s="472">
        <f>'Schedule 2'!H56</f>
        <v>5.8000000000000003E-2</v>
      </c>
      <c r="F43" s="769" t="s">
        <v>121</v>
      </c>
      <c r="G43" s="769"/>
    </row>
    <row r="44" spans="1:7">
      <c r="A44" s="80">
        <f t="shared" si="0"/>
        <v>37</v>
      </c>
      <c r="B44" s="307" t="s">
        <v>129</v>
      </c>
      <c r="C44" s="80" t="str">
        <f ca="1">'Schedule 2'!$I$2&amp;" Line "&amp;'Schedule 2'!A58</f>
        <v>Schedule 2 Line 26</v>
      </c>
      <c r="E44" s="472">
        <f>'Schedule 2'!H58</f>
        <v>0.01</v>
      </c>
      <c r="F44" s="769" t="s">
        <v>122</v>
      </c>
      <c r="G44" s="769"/>
    </row>
    <row r="45" spans="1:7" s="769" customFormat="1">
      <c r="A45" s="332">
        <f t="shared" si="0"/>
        <v>38</v>
      </c>
      <c r="B45" s="768" t="s">
        <v>325</v>
      </c>
      <c r="C45" s="332" t="str">
        <f ca="1">'Schedule 2'!$I$2&amp;" Line "&amp;'Schedule 2'!A59</f>
        <v>Schedule 2 Line 27</v>
      </c>
      <c r="D45" s="332"/>
      <c r="E45" s="472">
        <f>'Schedule 2'!H59</f>
        <v>8.0000000000000002E-3</v>
      </c>
      <c r="F45" s="769" t="s">
        <v>122</v>
      </c>
    </row>
    <row r="46" spans="1:7" s="769" customFormat="1">
      <c r="A46" s="332">
        <f t="shared" si="0"/>
        <v>39</v>
      </c>
      <c r="B46" s="768" t="s">
        <v>130</v>
      </c>
      <c r="C46" s="332" t="str">
        <f ca="1">'Schedule 2'!$I$2&amp;" Line "&amp;'Schedule 2'!A61</f>
        <v>Schedule 2 Line 28</v>
      </c>
      <c r="D46" s="332"/>
      <c r="E46" s="472">
        <f>'Schedule 2'!H61</f>
        <v>0.625</v>
      </c>
      <c r="F46" s="769" t="s">
        <v>123</v>
      </c>
    </row>
    <row r="47" spans="1:7" s="769" customFormat="1">
      <c r="A47" s="332">
        <f t="shared" si="0"/>
        <v>40</v>
      </c>
      <c r="B47" s="768" t="s">
        <v>327</v>
      </c>
      <c r="C47" s="332" t="str">
        <f ca="1">'Schedule 2'!$I$2&amp;" Line "&amp;'Schedule 2'!A62</f>
        <v>Schedule 2 Line 29</v>
      </c>
      <c r="D47" s="332"/>
      <c r="E47" s="472">
        <f>'Schedule 2'!H62</f>
        <v>0.33300000000000002</v>
      </c>
      <c r="F47" s="769" t="s">
        <v>123</v>
      </c>
    </row>
    <row r="48" spans="1:7" s="769" customFormat="1">
      <c r="A48" s="332">
        <f t="shared" si="0"/>
        <v>41</v>
      </c>
      <c r="B48" s="768" t="s">
        <v>131</v>
      </c>
      <c r="C48" s="332" t="str">
        <f ca="1">'Schedule 2'!$I$2&amp;" Line "&amp;'Schedule 2'!A54</f>
        <v>Schedule 2 Line 24</v>
      </c>
      <c r="D48" s="332"/>
      <c r="E48" s="472">
        <f>E42</f>
        <v>0.253</v>
      </c>
      <c r="F48" s="769" t="s">
        <v>120</v>
      </c>
    </row>
    <row r="49" spans="1:10" s="769" customFormat="1">
      <c r="A49" s="332">
        <f t="shared" si="0"/>
        <v>42</v>
      </c>
      <c r="B49" s="768" t="s">
        <v>1246</v>
      </c>
      <c r="C49" s="332" t="str">
        <f ca="1">'Schedule 2'!$I$2&amp;" Line "&amp;'Schedule 2'!A54</f>
        <v>Schedule 2 Line 24</v>
      </c>
      <c r="D49" s="332"/>
      <c r="E49" s="472">
        <f>E42</f>
        <v>0.253</v>
      </c>
      <c r="F49" s="769" t="s">
        <v>120</v>
      </c>
    </row>
    <row r="50" spans="1:10" s="769" customFormat="1">
      <c r="A50" s="332">
        <f t="shared" si="0"/>
        <v>43</v>
      </c>
      <c r="C50" s="332"/>
      <c r="D50" s="332"/>
      <c r="E50" s="332"/>
    </row>
    <row r="51" spans="1:10" s="769" customFormat="1">
      <c r="A51" s="332">
        <f t="shared" si="0"/>
        <v>44</v>
      </c>
      <c r="B51" s="899" t="s">
        <v>1444</v>
      </c>
      <c r="C51" s="332"/>
      <c r="D51" s="332"/>
      <c r="E51" s="901" t="s">
        <v>1445</v>
      </c>
      <c r="F51" s="901" t="s">
        <v>1446</v>
      </c>
      <c r="G51" s="901" t="s">
        <v>1447</v>
      </c>
    </row>
    <row r="52" spans="1:10" s="769" customFormat="1" ht="25.5">
      <c r="A52" s="332">
        <f t="shared" si="0"/>
        <v>45</v>
      </c>
      <c r="B52" s="900" t="s">
        <v>328</v>
      </c>
      <c r="C52" s="450" t="s">
        <v>1559</v>
      </c>
      <c r="D52" s="332"/>
      <c r="E52" s="970">
        <f>'Schedule 3 and 3A'!C39</f>
        <v>1.274392756956539E-2</v>
      </c>
      <c r="F52" s="970">
        <f>'Schedule 3 and 3A'!E39</f>
        <v>2.4317227556987556E-3</v>
      </c>
      <c r="G52" s="970">
        <f>'Schedule 3 and 3A'!G39</f>
        <v>2.0688582852065748E-2</v>
      </c>
      <c r="J52" s="308"/>
    </row>
    <row r="53" spans="1:10" s="769" customFormat="1">
      <c r="A53" s="332">
        <v>46</v>
      </c>
      <c r="B53" s="902" t="s">
        <v>127</v>
      </c>
      <c r="C53" s="450" t="s">
        <v>1552</v>
      </c>
      <c r="D53" s="332"/>
      <c r="E53" s="904">
        <f>'Schedule 3 and 3A'!C41</f>
        <v>7.4934166666666675</v>
      </c>
      <c r="F53" s="904">
        <f>'Schedule 3 and 3A'!E41</f>
        <v>7.4934166666666675</v>
      </c>
      <c r="G53" s="904">
        <f>'Schedule 3 and 3A'!G41</f>
        <v>7.4934166666666675</v>
      </c>
      <c r="H53" s="903" t="s">
        <v>120</v>
      </c>
    </row>
    <row r="54" spans="1:10" s="769" customFormat="1">
      <c r="A54" s="332">
        <f t="shared" si="0"/>
        <v>47</v>
      </c>
      <c r="B54" s="902" t="s">
        <v>128</v>
      </c>
      <c r="C54" s="450" t="s">
        <v>1553</v>
      </c>
      <c r="D54" s="332"/>
      <c r="E54" s="904">
        <f>'Schedule 3 and 3A'!C42</f>
        <v>1.7292500000000002</v>
      </c>
      <c r="F54" s="904">
        <f>'Schedule 3 and 3A'!E42</f>
        <v>1.7292500000000002</v>
      </c>
      <c r="G54" s="904">
        <f>'Schedule 3 and 3A'!G42</f>
        <v>1.7292500000000002</v>
      </c>
      <c r="H54" s="903" t="s">
        <v>121</v>
      </c>
    </row>
    <row r="55" spans="1:10" s="769" customFormat="1">
      <c r="A55" s="332">
        <f t="shared" si="0"/>
        <v>48</v>
      </c>
      <c r="B55" s="902" t="s">
        <v>324</v>
      </c>
      <c r="C55" s="450" t="s">
        <v>1551</v>
      </c>
      <c r="D55" s="332"/>
      <c r="E55" s="904">
        <f>'Schedule 3 and 3A'!C43</f>
        <v>288.20833333333337</v>
      </c>
      <c r="F55" s="904">
        <f>'Schedule 3 and 3A'!E43</f>
        <v>288.20833333333337</v>
      </c>
      <c r="G55" s="904">
        <f>'Schedule 3 and 3A'!G43</f>
        <v>288.20833333333337</v>
      </c>
      <c r="H55" s="903" t="s">
        <v>1448</v>
      </c>
    </row>
    <row r="56" spans="1:10" s="769" customFormat="1">
      <c r="A56" s="332">
        <f t="shared" si="0"/>
        <v>49</v>
      </c>
      <c r="B56" s="902" t="s">
        <v>325</v>
      </c>
      <c r="C56" s="450" t="s">
        <v>1554</v>
      </c>
      <c r="D56" s="332"/>
      <c r="E56" s="904">
        <f>'Schedule 3 and 3A'!C44</f>
        <v>247.03571428571431</v>
      </c>
      <c r="F56" s="904">
        <f>'Schedule 3 and 3A'!E44</f>
        <v>247.03571428571431</v>
      </c>
      <c r="G56" s="904">
        <f>'Schedule 3 and 3A'!G44</f>
        <v>247.03571428571431</v>
      </c>
      <c r="H56" s="903" t="s">
        <v>1448</v>
      </c>
    </row>
    <row r="57" spans="1:10" s="769" customFormat="1">
      <c r="A57" s="332">
        <f t="shared" si="0"/>
        <v>50</v>
      </c>
      <c r="B57" s="902" t="s">
        <v>326</v>
      </c>
      <c r="C57" s="450" t="s">
        <v>1555</v>
      </c>
      <c r="D57" s="332"/>
      <c r="E57" s="904">
        <f>'Schedule 3 and 3A'!C45</f>
        <v>18.013020833333336</v>
      </c>
      <c r="F57" s="904">
        <f>'Schedule 3 and 3A'!E45</f>
        <v>18.013020833333336</v>
      </c>
      <c r="G57" s="904">
        <f>'Schedule 3 and 3A'!G45</f>
        <v>18.013020833333336</v>
      </c>
      <c r="H57" s="903" t="s">
        <v>123</v>
      </c>
    </row>
    <row r="58" spans="1:10" s="769" customFormat="1">
      <c r="A58" s="332">
        <f t="shared" si="0"/>
        <v>51</v>
      </c>
      <c r="B58" s="902" t="s">
        <v>327</v>
      </c>
      <c r="C58" s="450" t="s">
        <v>1556</v>
      </c>
      <c r="D58" s="332"/>
      <c r="E58" s="904">
        <f>'Schedule 3 and 3A'!C46</f>
        <v>10.293154761904763</v>
      </c>
      <c r="F58" s="904">
        <f>'Schedule 3 and 3A'!E46</f>
        <v>10.293154761904763</v>
      </c>
      <c r="G58" s="904">
        <f>'Schedule 3 and 3A'!G46</f>
        <v>10.293154761904763</v>
      </c>
      <c r="H58" s="903" t="s">
        <v>123</v>
      </c>
    </row>
    <row r="59" spans="1:10" s="769" customFormat="1">
      <c r="A59" s="332">
        <f t="shared" si="0"/>
        <v>52</v>
      </c>
      <c r="B59" s="902" t="s">
        <v>131</v>
      </c>
      <c r="C59" s="450" t="s">
        <v>1557</v>
      </c>
      <c r="D59" s="332"/>
      <c r="E59" s="904">
        <f>'Schedule 3 and 3A'!C47</f>
        <v>7.4934166666666675</v>
      </c>
      <c r="F59" s="904">
        <f>'Schedule 3 and 3A'!E47</f>
        <v>7.4934166666666675</v>
      </c>
      <c r="G59" s="904">
        <f>'Schedule 3 and 3A'!G47</f>
        <v>7.4934166666666675</v>
      </c>
      <c r="H59" s="903" t="s">
        <v>120</v>
      </c>
    </row>
    <row r="60" spans="1:10" s="769" customFormat="1">
      <c r="A60" s="332">
        <f t="shared" si="0"/>
        <v>53</v>
      </c>
      <c r="B60" s="902" t="s">
        <v>1246</v>
      </c>
      <c r="C60" s="450" t="s">
        <v>1558</v>
      </c>
      <c r="D60" s="332"/>
      <c r="E60" s="904">
        <f>'Schedule 3 and 3A'!C48</f>
        <v>7.4934166666666675</v>
      </c>
      <c r="F60" s="904">
        <f>'Schedule 3 and 3A'!E48</f>
        <v>7.4934166666666675</v>
      </c>
      <c r="G60" s="904">
        <f>'Schedule 3 and 3A'!G48</f>
        <v>7.4934166666666675</v>
      </c>
      <c r="H60" s="903" t="s">
        <v>120</v>
      </c>
    </row>
    <row r="61" spans="1:10" s="769" customFormat="1">
      <c r="A61" s="332">
        <f t="shared" si="0"/>
        <v>54</v>
      </c>
      <c r="B61" s="902"/>
      <c r="C61" s="901"/>
      <c r="D61" s="332"/>
      <c r="E61" s="904"/>
      <c r="F61" s="904"/>
      <c r="G61" s="904"/>
    </row>
    <row r="62" spans="1:10" s="769" customFormat="1">
      <c r="A62" s="332">
        <f t="shared" si="0"/>
        <v>55</v>
      </c>
      <c r="B62" s="563" t="s">
        <v>126</v>
      </c>
      <c r="C62" s="332"/>
      <c r="D62" s="332"/>
      <c r="E62" s="904"/>
      <c r="F62" s="904"/>
      <c r="G62" s="904"/>
    </row>
    <row r="63" spans="1:10" s="769" customFormat="1" ht="25.5">
      <c r="A63" s="332">
        <f t="shared" si="0"/>
        <v>56</v>
      </c>
      <c r="B63" s="770" t="s">
        <v>328</v>
      </c>
      <c r="C63" s="332" t="s">
        <v>1212</v>
      </c>
      <c r="D63" s="332"/>
      <c r="E63" s="771">
        <v>3.5000000000000003E-2</v>
      </c>
      <c r="F63" s="769" t="s">
        <v>846</v>
      </c>
      <c r="G63" s="175"/>
    </row>
    <row r="64" spans="1:10" s="769" customFormat="1">
      <c r="A64" s="332">
        <f t="shared" si="0"/>
        <v>57</v>
      </c>
      <c r="B64" s="768" t="s">
        <v>127</v>
      </c>
      <c r="C64" s="332" t="str">
        <f ca="1">'Schedule 5'!$Q$2&amp;" Line "&amp;'Schedule 5'!A55</f>
        <v>Schedule 5 Line 22</v>
      </c>
      <c r="D64" s="332"/>
      <c r="E64" s="755">
        <f>'Schedule 5'!O55</f>
        <v>9.2409999999999997</v>
      </c>
      <c r="F64" s="769" t="s">
        <v>120</v>
      </c>
    </row>
    <row r="65" spans="1:6" s="769" customFormat="1">
      <c r="A65" s="332">
        <f t="shared" si="0"/>
        <v>58</v>
      </c>
      <c r="B65" s="768" t="s">
        <v>128</v>
      </c>
      <c r="C65" s="332" t="str">
        <f ca="1">'Schedule 5'!$Q$2&amp;" Line "&amp;'Schedule 5'!A57</f>
        <v>Schedule 5 Line 23</v>
      </c>
      <c r="D65" s="332"/>
      <c r="E65" s="755">
        <f>'Schedule 5'!O57</f>
        <v>2.133</v>
      </c>
      <c r="F65" s="769" t="s">
        <v>121</v>
      </c>
    </row>
    <row r="66" spans="1:6" s="769" customFormat="1">
      <c r="A66" s="332">
        <f t="shared" si="0"/>
        <v>59</v>
      </c>
      <c r="B66" s="768" t="s">
        <v>129</v>
      </c>
      <c r="C66" s="332" t="str">
        <f ca="1">'Schedule 5'!$Q$2&amp;" Line "&amp;'Schedule 5'!A59</f>
        <v>Schedule 5 Line 24</v>
      </c>
      <c r="D66" s="332"/>
      <c r="E66" s="755">
        <f>'Schedule 5'!O59</f>
        <v>0.35599999999999998</v>
      </c>
      <c r="F66" s="769" t="s">
        <v>122</v>
      </c>
    </row>
    <row r="67" spans="1:6" s="769" customFormat="1">
      <c r="A67" s="332">
        <f t="shared" si="0"/>
        <v>60</v>
      </c>
      <c r="B67" s="768" t="s">
        <v>325</v>
      </c>
      <c r="C67" s="332" t="str">
        <f ca="1">'Schedule 5'!$Q$2&amp;" Line "&amp;'Schedule 5'!A60</f>
        <v>Schedule 5 Line 25</v>
      </c>
      <c r="D67" s="332"/>
      <c r="E67" s="755">
        <f>'Schedule 5'!O60</f>
        <v>0.30499999999999999</v>
      </c>
      <c r="F67" s="769" t="s">
        <v>122</v>
      </c>
    </row>
    <row r="68" spans="1:6" s="769" customFormat="1">
      <c r="A68" s="332">
        <f t="shared" si="0"/>
        <v>61</v>
      </c>
      <c r="B68" s="768" t="s">
        <v>326</v>
      </c>
      <c r="C68" s="332" t="str">
        <f ca="1">'Schedule 5'!$Q$2&amp;" Line "&amp;'Schedule 5'!A62</f>
        <v>Schedule 5 Line 26</v>
      </c>
      <c r="D68" s="332"/>
      <c r="E68" s="755">
        <f>'Schedule 5'!O62</f>
        <v>22.25</v>
      </c>
      <c r="F68" s="769" t="s">
        <v>123</v>
      </c>
    </row>
    <row r="69" spans="1:6" s="769" customFormat="1">
      <c r="A69" s="332">
        <f t="shared" si="0"/>
        <v>62</v>
      </c>
      <c r="B69" s="768" t="s">
        <v>327</v>
      </c>
      <c r="C69" s="332" t="str">
        <f ca="1">'Schedule 5'!$Q$2&amp;" Line "&amp;'Schedule 5'!A63</f>
        <v>Schedule 5 Line 27</v>
      </c>
      <c r="D69" s="332"/>
      <c r="E69" s="755">
        <f>'Schedule 5'!O63</f>
        <v>12.708</v>
      </c>
      <c r="F69" s="769" t="s">
        <v>123</v>
      </c>
    </row>
    <row r="70" spans="1:6" s="769" customFormat="1">
      <c r="A70" s="332">
        <f t="shared" si="0"/>
        <v>63</v>
      </c>
      <c r="B70" s="768" t="s">
        <v>131</v>
      </c>
      <c r="C70" s="332" t="str">
        <f ca="1">'Schedule 5'!$Q$2&amp;" Line "&amp;'Schedule 5'!A55</f>
        <v>Schedule 5 Line 22</v>
      </c>
      <c r="D70" s="332"/>
      <c r="E70" s="755">
        <f>E64</f>
        <v>9.2409999999999997</v>
      </c>
      <c r="F70" s="769" t="s">
        <v>120</v>
      </c>
    </row>
    <row r="71" spans="1:6" s="769" customFormat="1">
      <c r="A71" s="332">
        <f t="shared" si="0"/>
        <v>64</v>
      </c>
      <c r="B71" s="768" t="s">
        <v>1246</v>
      </c>
      <c r="C71" s="332" t="str">
        <f ca="1">'Schedule 5'!$Q$2&amp;" Line "&amp;'Schedule 5'!A55</f>
        <v>Schedule 5 Line 22</v>
      </c>
      <c r="D71" s="332"/>
      <c r="E71" s="755">
        <f>E64</f>
        <v>9.2409999999999997</v>
      </c>
      <c r="F71" s="769" t="s">
        <v>120</v>
      </c>
    </row>
    <row r="72" spans="1:6" s="769" customFormat="1">
      <c r="A72" s="332">
        <f t="shared" si="0"/>
        <v>65</v>
      </c>
      <c r="C72" s="332"/>
      <c r="D72" s="332"/>
      <c r="E72" s="332"/>
    </row>
    <row r="73" spans="1:6" s="769" customFormat="1">
      <c r="A73" s="332">
        <f t="shared" si="0"/>
        <v>66</v>
      </c>
      <c r="B73" s="563" t="s">
        <v>125</v>
      </c>
      <c r="C73" s="332"/>
      <c r="D73" s="332"/>
      <c r="E73" s="332"/>
    </row>
    <row r="74" spans="1:6" s="769" customFormat="1" ht="25.5">
      <c r="A74" s="332">
        <f t="shared" si="0"/>
        <v>67</v>
      </c>
      <c r="B74" s="770" t="s">
        <v>328</v>
      </c>
      <c r="C74" s="332" t="s">
        <v>1212</v>
      </c>
      <c r="D74" s="332"/>
      <c r="E74" s="771">
        <v>3.5000000000000003E-2</v>
      </c>
      <c r="F74" s="769" t="s">
        <v>846</v>
      </c>
    </row>
    <row r="75" spans="1:6" s="769" customFormat="1">
      <c r="A75" s="332">
        <f t="shared" si="0"/>
        <v>68</v>
      </c>
      <c r="B75" s="768" t="s">
        <v>127</v>
      </c>
      <c r="C75" s="332" t="str">
        <f ca="1">'Schedule 6'!$Q$2&amp;" Line "&amp;'Schedule 6'!A55</f>
        <v>Schedule 6 Line 22</v>
      </c>
      <c r="D75" s="332"/>
      <c r="E75" s="755">
        <f>'Schedule 6'!O55</f>
        <v>2.335</v>
      </c>
      <c r="F75" s="769" t="s">
        <v>120</v>
      </c>
    </row>
    <row r="76" spans="1:6" s="769" customFormat="1">
      <c r="A76" s="332">
        <f t="shared" si="0"/>
        <v>69</v>
      </c>
      <c r="B76" s="768" t="s">
        <v>128</v>
      </c>
      <c r="C76" s="332" t="str">
        <f ca="1">'Schedule 6'!$Q$2&amp;" Line "&amp;'Schedule 6'!A57</f>
        <v>Schedule 6 Line 23</v>
      </c>
      <c r="D76" s="332"/>
      <c r="E76" s="755">
        <f>'Schedule 6'!O57</f>
        <v>0.53900000000000003</v>
      </c>
      <c r="F76" s="769" t="s">
        <v>121</v>
      </c>
    </row>
    <row r="77" spans="1:6" s="769" customFormat="1">
      <c r="A77" s="332">
        <f t="shared" si="0"/>
        <v>70</v>
      </c>
      <c r="B77" s="768" t="s">
        <v>129</v>
      </c>
      <c r="C77" s="332" t="str">
        <f ca="1">'Schedule 6'!$Q$2&amp;" Line "&amp;'Schedule 6'!A59</f>
        <v>Schedule 6 Line 24</v>
      </c>
      <c r="D77" s="332"/>
      <c r="E77" s="755">
        <f>'Schedule 6'!O59</f>
        <v>0.09</v>
      </c>
      <c r="F77" s="769" t="s">
        <v>122</v>
      </c>
    </row>
    <row r="78" spans="1:6" s="769" customFormat="1">
      <c r="A78" s="332">
        <f t="shared" si="0"/>
        <v>71</v>
      </c>
      <c r="B78" s="768" t="s">
        <v>325</v>
      </c>
      <c r="C78" s="332" t="str">
        <f ca="1">'Schedule 6'!$Q$2&amp;" Line "&amp;'Schedule 6'!A60</f>
        <v>Schedule 6 Line 25</v>
      </c>
      <c r="D78" s="332"/>
      <c r="E78" s="755">
        <f>'Schedule 6'!O60</f>
        <v>7.6999999999999999E-2</v>
      </c>
      <c r="F78" s="769" t="s">
        <v>122</v>
      </c>
    </row>
    <row r="79" spans="1:6" s="769" customFormat="1">
      <c r="A79" s="332">
        <f>A78+1</f>
        <v>72</v>
      </c>
      <c r="B79" s="768" t="s">
        <v>326</v>
      </c>
      <c r="C79" s="332" t="str">
        <f ca="1">'Schedule 6'!$Q$2&amp;" Line "&amp;'Schedule 6'!A62</f>
        <v>Schedule 6 Line 26</v>
      </c>
      <c r="D79" s="332"/>
      <c r="E79" s="755">
        <f>'Schedule 6'!O62</f>
        <v>5.625</v>
      </c>
      <c r="F79" s="769" t="s">
        <v>123</v>
      </c>
    </row>
    <row r="80" spans="1:6" s="769" customFormat="1">
      <c r="A80" s="332">
        <f>A79+1</f>
        <v>73</v>
      </c>
      <c r="B80" s="768" t="s">
        <v>327</v>
      </c>
      <c r="C80" s="332" t="str">
        <f ca="1">'Schedule 6'!$Q$2&amp;" Line "&amp;'Schedule 6'!A63</f>
        <v>Schedule 6 Line 27</v>
      </c>
      <c r="D80" s="332"/>
      <c r="E80" s="755">
        <f>'Schedule 6'!O63</f>
        <v>3.2080000000000002</v>
      </c>
      <c r="F80" s="769" t="s">
        <v>123</v>
      </c>
    </row>
    <row r="81" spans="1:10" s="769" customFormat="1">
      <c r="A81" s="332">
        <f>A80+1</f>
        <v>74</v>
      </c>
      <c r="B81" s="768" t="s">
        <v>131</v>
      </c>
      <c r="C81" s="332" t="str">
        <f ca="1">'Schedule 6'!$Q$2&amp;" Line "&amp;'Schedule 6'!A55</f>
        <v>Schedule 6 Line 22</v>
      </c>
      <c r="D81" s="332"/>
      <c r="E81" s="755">
        <f>E75</f>
        <v>2.335</v>
      </c>
      <c r="F81" s="769" t="s">
        <v>120</v>
      </c>
    </row>
    <row r="82" spans="1:10" s="769" customFormat="1">
      <c r="A82" s="332">
        <f>A81+1</f>
        <v>75</v>
      </c>
      <c r="B82" s="768" t="s">
        <v>1246</v>
      </c>
      <c r="C82" s="332" t="str">
        <f ca="1">'Schedule 6'!$Q$2&amp;" Line "&amp;'Schedule 6'!A55</f>
        <v>Schedule 6 Line 22</v>
      </c>
      <c r="D82" s="332"/>
      <c r="E82" s="755">
        <f>E75</f>
        <v>2.335</v>
      </c>
      <c r="F82" s="769" t="s">
        <v>120</v>
      </c>
    </row>
    <row r="83" spans="1:10" s="769" customFormat="1">
      <c r="A83" s="332">
        <f t="shared" ref="A83:A94" si="1">A82+1</f>
        <v>76</v>
      </c>
      <c r="B83" s="768"/>
      <c r="C83" s="332"/>
      <c r="D83" s="332"/>
      <c r="E83" s="755"/>
    </row>
    <row r="84" spans="1:10" s="769" customFormat="1">
      <c r="A84" s="332">
        <f t="shared" si="1"/>
        <v>77</v>
      </c>
      <c r="B84" s="899" t="s">
        <v>1569</v>
      </c>
      <c r="C84" s="903"/>
      <c r="D84" s="903"/>
      <c r="E84" s="903"/>
      <c r="F84" s="903"/>
    </row>
    <row r="85" spans="1:10" s="769" customFormat="1" ht="25.5">
      <c r="A85" s="332">
        <f t="shared" si="1"/>
        <v>78</v>
      </c>
      <c r="B85" s="905" t="s">
        <v>328</v>
      </c>
      <c r="C85" s="450" t="s">
        <v>1568</v>
      </c>
      <c r="D85" s="906"/>
      <c r="E85" s="971">
        <f>'Schedule 16'!C39</f>
        <v>0.18957564575645758</v>
      </c>
      <c r="F85" s="903" t="s">
        <v>846</v>
      </c>
      <c r="J85" s="308"/>
    </row>
    <row r="86" spans="1:10" s="769" customFormat="1">
      <c r="A86" s="332">
        <v>79</v>
      </c>
      <c r="B86" s="783" t="s">
        <v>127</v>
      </c>
      <c r="C86" s="450" t="s">
        <v>1561</v>
      </c>
      <c r="D86" s="906"/>
      <c r="E86" s="904">
        <f>'Schedule 16'!C41</f>
        <v>5.82</v>
      </c>
      <c r="F86" s="903" t="s">
        <v>120</v>
      </c>
      <c r="J86" s="308"/>
    </row>
    <row r="87" spans="1:10" s="769" customFormat="1">
      <c r="A87" s="332">
        <f t="shared" si="1"/>
        <v>80</v>
      </c>
      <c r="B87" s="783" t="s">
        <v>128</v>
      </c>
      <c r="C87" s="450" t="s">
        <v>1560</v>
      </c>
      <c r="D87" s="906"/>
      <c r="E87" s="904">
        <f>'Schedule 16'!C42</f>
        <v>1.3430769230769231</v>
      </c>
      <c r="F87" s="903" t="s">
        <v>121</v>
      </c>
    </row>
    <row r="88" spans="1:10" s="769" customFormat="1">
      <c r="A88" s="332">
        <f t="shared" si="1"/>
        <v>81</v>
      </c>
      <c r="B88" s="783" t="s">
        <v>129</v>
      </c>
      <c r="C88" s="450" t="s">
        <v>1562</v>
      </c>
      <c r="D88" s="906"/>
      <c r="E88" s="904">
        <f>'Schedule 16'!C43</f>
        <v>223.84615384615384</v>
      </c>
      <c r="F88" s="903" t="s">
        <v>122</v>
      </c>
    </row>
    <row r="89" spans="1:10" s="769" customFormat="1">
      <c r="A89" s="332">
        <f t="shared" si="1"/>
        <v>82</v>
      </c>
      <c r="B89" s="783" t="s">
        <v>325</v>
      </c>
      <c r="C89" s="450" t="s">
        <v>1563</v>
      </c>
      <c r="D89" s="906"/>
      <c r="E89" s="904">
        <f>'Schedule 16'!C44</f>
        <v>191.86813186813188</v>
      </c>
      <c r="F89" s="903" t="s">
        <v>122</v>
      </c>
    </row>
    <row r="90" spans="1:10" s="769" customFormat="1">
      <c r="A90" s="332">
        <f t="shared" si="1"/>
        <v>83</v>
      </c>
      <c r="B90" s="783" t="s">
        <v>326</v>
      </c>
      <c r="C90" s="450" t="s">
        <v>1564</v>
      </c>
      <c r="D90" s="906"/>
      <c r="E90" s="904">
        <f>'Schedule 16'!C45</f>
        <v>13.990384615384615</v>
      </c>
      <c r="F90" s="903" t="s">
        <v>123</v>
      </c>
    </row>
    <row r="91" spans="1:10" s="769" customFormat="1">
      <c r="A91" s="332">
        <f t="shared" si="1"/>
        <v>84</v>
      </c>
      <c r="B91" s="783" t="s">
        <v>327</v>
      </c>
      <c r="C91" s="450" t="s">
        <v>1565</v>
      </c>
      <c r="D91" s="906"/>
      <c r="E91" s="904">
        <f>'Schedule 16'!C46</f>
        <v>7.9945054945054954</v>
      </c>
      <c r="F91" s="903" t="s">
        <v>123</v>
      </c>
    </row>
    <row r="92" spans="1:10" s="769" customFormat="1">
      <c r="A92" s="332">
        <f t="shared" si="1"/>
        <v>85</v>
      </c>
      <c r="B92" s="783" t="s">
        <v>131</v>
      </c>
      <c r="C92" s="450" t="s">
        <v>1566</v>
      </c>
      <c r="D92" s="906"/>
      <c r="E92" s="904">
        <f>'Schedule 16'!C47</f>
        <v>5.82</v>
      </c>
      <c r="F92" s="903" t="s">
        <v>120</v>
      </c>
    </row>
    <row r="93" spans="1:10" s="769" customFormat="1">
      <c r="A93" s="332">
        <f t="shared" si="1"/>
        <v>86</v>
      </c>
      <c r="B93" s="783" t="s">
        <v>1246</v>
      </c>
      <c r="C93" s="450" t="s">
        <v>1567</v>
      </c>
      <c r="D93" s="906"/>
      <c r="E93" s="904">
        <f>'Schedule 16'!C48</f>
        <v>5.82</v>
      </c>
      <c r="F93" s="903" t="s">
        <v>120</v>
      </c>
    </row>
    <row r="94" spans="1:10" s="769" customFormat="1">
      <c r="A94" s="332">
        <f t="shared" si="1"/>
        <v>87</v>
      </c>
      <c r="B94" s="768"/>
      <c r="C94" s="332"/>
      <c r="D94" s="332"/>
      <c r="E94" s="755"/>
    </row>
    <row r="95" spans="1:10" s="769" customFormat="1" ht="27.75" customHeight="1">
      <c r="B95" s="1212" t="s">
        <v>321</v>
      </c>
      <c r="C95" s="1212"/>
      <c r="D95" s="1212"/>
      <c r="E95" s="1212"/>
      <c r="F95" s="1212"/>
    </row>
    <row r="96" spans="1:10" s="769" customFormat="1" ht="41.25" customHeight="1">
      <c r="B96" s="1212" t="s">
        <v>918</v>
      </c>
      <c r="C96" s="1212"/>
      <c r="D96" s="1212"/>
      <c r="E96" s="1212"/>
      <c r="F96" s="1212"/>
    </row>
    <row r="97" spans="2:6" s="769" customFormat="1">
      <c r="B97" s="769" t="s">
        <v>1217</v>
      </c>
      <c r="C97" s="332"/>
      <c r="D97" s="332"/>
      <c r="E97" s="332"/>
    </row>
    <row r="105" spans="2:6">
      <c r="F105" s="506"/>
    </row>
    <row r="106" spans="2:6">
      <c r="F106" s="630"/>
    </row>
    <row r="107" spans="2:6">
      <c r="E107" s="630"/>
    </row>
    <row r="108" spans="2:6">
      <c r="E108" s="630"/>
    </row>
    <row r="109" spans="2:6">
      <c r="F109" s="630"/>
    </row>
    <row r="110" spans="2:6">
      <c r="F110" s="506"/>
    </row>
    <row r="116" spans="5:5">
      <c r="E116" s="621"/>
    </row>
    <row r="117" spans="5:5">
      <c r="E117" s="621"/>
    </row>
    <row r="118" spans="5:5">
      <c r="E118" s="621"/>
    </row>
    <row r="119" spans="5:5">
      <c r="E119" s="621"/>
    </row>
  </sheetData>
  <mergeCells count="3">
    <mergeCell ref="B31:F31"/>
    <mergeCell ref="B96:F96"/>
    <mergeCell ref="B95:F95"/>
  </mergeCells>
  <phoneticPr fontId="2" type="noConversion"/>
  <printOptions horizontalCentered="1"/>
  <pageMargins left="0.75" right="0.75" top="1" bottom="1" header="0.5" footer="0.5"/>
  <pageSetup scale="49" orientation="portrait" r:id="rId1"/>
  <headerFooter alignWithMargins="0">
    <oddHeader>&amp;RPage &amp;P of &amp;N</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T309"/>
  <sheetViews>
    <sheetView view="pageBreakPreview" zoomScale="60" zoomScaleNormal="100" workbookViewId="0">
      <selection activeCell="Z34" sqref="Z34"/>
    </sheetView>
  </sheetViews>
  <sheetFormatPr defaultColWidth="10.28515625" defaultRowHeight="12"/>
  <cols>
    <col min="1" max="1" width="7.42578125" style="374" customWidth="1"/>
    <col min="2" max="2" width="3.5703125" style="374" customWidth="1"/>
    <col min="3" max="3" width="4.85546875" style="374" customWidth="1"/>
    <col min="4" max="4" width="13.5703125" style="374" customWidth="1"/>
    <col min="5" max="5" width="36.5703125" style="374" customWidth="1"/>
    <col min="6" max="6" width="15" style="374" customWidth="1"/>
    <col min="7" max="7" width="12.7109375" style="374" customWidth="1"/>
    <col min="8" max="8" width="16" style="374" customWidth="1"/>
    <col min="9" max="9" width="20.42578125" style="378" bestFit="1" customWidth="1"/>
    <col min="10" max="10" width="17.28515625" style="374" customWidth="1"/>
    <col min="11" max="16384" width="10.28515625" style="374"/>
  </cols>
  <sheetData>
    <row r="1" spans="1:20" ht="15.75">
      <c r="A1" s="478" t="str">
        <f>'Cover Page'!A5</f>
        <v>Public Service Company of Colorado</v>
      </c>
      <c r="G1" s="375"/>
      <c r="I1" s="477" t="str">
        <f>'Table of Contents'!A40</f>
        <v>Table 32</v>
      </c>
      <c r="T1" s="376"/>
    </row>
    <row r="2" spans="1:20" ht="15">
      <c r="A2" s="478" t="str">
        <f>'Cover Page'!A6</f>
        <v>Transmission Formula Rate Template</v>
      </c>
      <c r="I2" s="133" t="str">
        <f ca="1">MID(CELL("filename",$A$1),FIND("]",CELL("filename",$A$1))+1,LEN(CELL("filename",$A$1))-FIND("]",CELL("filename",$A$1)))</f>
        <v>WP_FCR</v>
      </c>
      <c r="T2" s="379"/>
    </row>
    <row r="3" spans="1:20" ht="12.75">
      <c r="A3" s="478" t="s">
        <v>224</v>
      </c>
    </row>
    <row r="4" spans="1:20" ht="12.75">
      <c r="A4" s="976" t="str">
        <f>'Cover Page'!A7</f>
        <v>Twelve Months Ended December 31, 2017</v>
      </c>
    </row>
    <row r="5" spans="1:20">
      <c r="F5" s="380"/>
    </row>
    <row r="6" spans="1:20">
      <c r="A6" s="381" t="s">
        <v>862</v>
      </c>
      <c r="E6" s="380"/>
      <c r="F6" s="381" t="s">
        <v>1376</v>
      </c>
      <c r="G6" s="380"/>
      <c r="H6" s="381" t="s">
        <v>864</v>
      </c>
    </row>
    <row r="7" spans="1:20">
      <c r="A7" s="380"/>
      <c r="F7" s="380"/>
      <c r="H7" s="380"/>
    </row>
    <row r="8" spans="1:20" ht="12.75">
      <c r="A8" s="411">
        <v>1</v>
      </c>
      <c r="B8" s="374" t="s">
        <v>225</v>
      </c>
      <c r="F8" s="638">
        <f>H63</f>
        <v>3.9423521797829132E-2</v>
      </c>
      <c r="G8" s="382"/>
      <c r="H8" s="374" t="str">
        <f>"Line "&amp;A63</f>
        <v>Line 56</v>
      </c>
    </row>
    <row r="9" spans="1:20" ht="12.75">
      <c r="A9" s="411">
        <f>A8+1</f>
        <v>2</v>
      </c>
      <c r="F9" s="639"/>
    </row>
    <row r="10" spans="1:20" ht="12.75">
      <c r="A10" s="411">
        <f t="shared" ref="A10:A39" si="0">A9+1</f>
        <v>3</v>
      </c>
      <c r="B10" s="374" t="s">
        <v>226</v>
      </c>
      <c r="F10" s="638">
        <f>H76</f>
        <v>1.0526743202349184E-2</v>
      </c>
      <c r="H10" s="374" t="str">
        <f>"Line "&amp;A76</f>
        <v>Line 69</v>
      </c>
    </row>
    <row r="11" spans="1:20" ht="12.75">
      <c r="A11" s="411">
        <f t="shared" si="0"/>
        <v>4</v>
      </c>
      <c r="F11" s="639"/>
    </row>
    <row r="12" spans="1:20" ht="12.75">
      <c r="A12" s="411">
        <f t="shared" si="0"/>
        <v>5</v>
      </c>
      <c r="B12" s="374" t="s">
        <v>227</v>
      </c>
      <c r="F12" s="638">
        <f>H90</f>
        <v>1.5348219140792443E-2</v>
      </c>
      <c r="H12" s="374" t="str">
        <f>"Line "&amp;A90</f>
        <v>Line 83</v>
      </c>
    </row>
    <row r="13" spans="1:20" ht="12.75">
      <c r="A13" s="411">
        <f t="shared" si="0"/>
        <v>6</v>
      </c>
      <c r="F13" s="639"/>
    </row>
    <row r="14" spans="1:20" ht="12.75">
      <c r="A14" s="411">
        <f t="shared" si="0"/>
        <v>7</v>
      </c>
      <c r="B14" s="387" t="s">
        <v>586</v>
      </c>
      <c r="C14" s="387"/>
      <c r="D14" s="387"/>
      <c r="E14" s="387"/>
      <c r="F14" s="820">
        <f>H139</f>
        <v>7.3800000000000004E-2</v>
      </c>
      <c r="G14" s="387"/>
      <c r="H14" s="387" t="str">
        <f>"Line "&amp;A139</f>
        <v>Line 132</v>
      </c>
    </row>
    <row r="15" spans="1:20" ht="12.75">
      <c r="A15" s="411">
        <f t="shared" si="0"/>
        <v>8</v>
      </c>
      <c r="B15" s="387"/>
      <c r="C15" s="387"/>
      <c r="D15" s="387"/>
      <c r="E15" s="387"/>
      <c r="F15" s="821"/>
      <c r="G15" s="387"/>
      <c r="H15" s="387"/>
    </row>
    <row r="16" spans="1:20" ht="12.75">
      <c r="A16" s="411">
        <f t="shared" si="0"/>
        <v>9</v>
      </c>
      <c r="B16" s="387" t="s">
        <v>587</v>
      </c>
      <c r="C16" s="387"/>
      <c r="D16" s="387"/>
      <c r="E16" s="387"/>
      <c r="F16" s="820">
        <f>H154</f>
        <v>4.6560651987965296E-3</v>
      </c>
      <c r="G16" s="387"/>
      <c r="H16" s="387" t="str">
        <f>"Line "&amp;A154</f>
        <v>Line 147</v>
      </c>
    </row>
    <row r="17" spans="1:20" ht="12.75">
      <c r="A17" s="411">
        <f t="shared" si="0"/>
        <v>10</v>
      </c>
      <c r="F17" s="639"/>
    </row>
    <row r="18" spans="1:20" ht="12.75">
      <c r="A18" s="411">
        <f t="shared" si="0"/>
        <v>11</v>
      </c>
      <c r="B18" s="374" t="s">
        <v>645</v>
      </c>
      <c r="F18" s="638">
        <f>H158</f>
        <v>2.4279852863790051E-2</v>
      </c>
      <c r="H18" s="374" t="str">
        <f>"Line "&amp;A158</f>
        <v>Line 151</v>
      </c>
    </row>
    <row r="19" spans="1:20" ht="12.75">
      <c r="A19" s="411">
        <f t="shared" si="0"/>
        <v>12</v>
      </c>
      <c r="F19" s="640"/>
      <c r="G19" s="382"/>
    </row>
    <row r="20" spans="1:20" ht="12.75">
      <c r="A20" s="411">
        <f t="shared" si="0"/>
        <v>13</v>
      </c>
      <c r="B20" s="374" t="s">
        <v>1282</v>
      </c>
      <c r="F20" s="638">
        <f>H179</f>
        <v>2.5980600702669317E-3</v>
      </c>
      <c r="H20" s="374" t="str">
        <f>"Line "&amp;A179</f>
        <v>Line 172</v>
      </c>
    </row>
    <row r="21" spans="1:20" ht="12.75">
      <c r="A21" s="411">
        <f t="shared" si="0"/>
        <v>14</v>
      </c>
      <c r="F21" s="639"/>
    </row>
    <row r="22" spans="1:20" ht="12.75">
      <c r="A22" s="411">
        <f t="shared" si="0"/>
        <v>15</v>
      </c>
      <c r="B22" s="374" t="s">
        <v>646</v>
      </c>
      <c r="F22" s="638">
        <v>0</v>
      </c>
      <c r="G22" s="383"/>
      <c r="H22" s="643" t="str">
        <f>"Line "&amp;A185</f>
        <v>Line 178</v>
      </c>
    </row>
    <row r="23" spans="1:20" ht="12.75">
      <c r="A23" s="411">
        <f t="shared" si="0"/>
        <v>16</v>
      </c>
      <c r="F23" s="639"/>
    </row>
    <row r="24" spans="1:20" ht="12.75">
      <c r="A24" s="411">
        <f t="shared" si="0"/>
        <v>17</v>
      </c>
      <c r="B24" s="374" t="s">
        <v>395</v>
      </c>
      <c r="F24" s="638">
        <f>H206</f>
        <v>-1.5870841417012366E-2</v>
      </c>
      <c r="G24" s="384"/>
      <c r="H24" s="374" t="str">
        <f>"Line "&amp;A206</f>
        <v>Line 199</v>
      </c>
    </row>
    <row r="25" spans="1:20" ht="12.75">
      <c r="A25" s="411">
        <f t="shared" si="0"/>
        <v>18</v>
      </c>
      <c r="F25" s="638"/>
    </row>
    <row r="26" spans="1:20" ht="13.5" thickBot="1">
      <c r="A26" s="411">
        <f t="shared" si="0"/>
        <v>19</v>
      </c>
      <c r="B26" s="374" t="s">
        <v>332</v>
      </c>
      <c r="F26" s="641">
        <f>H219</f>
        <v>1.9264355653502807E-4</v>
      </c>
      <c r="H26" s="643" t="str">
        <f>"Line "&amp;A219</f>
        <v>Line 212</v>
      </c>
    </row>
    <row r="27" spans="1:20" ht="13.5" thickBot="1">
      <c r="A27" s="411">
        <f t="shared" si="0"/>
        <v>20</v>
      </c>
      <c r="E27" s="380" t="s">
        <v>228</v>
      </c>
      <c r="F27" s="642"/>
      <c r="G27" s="380"/>
    </row>
    <row r="28" spans="1:20" ht="13.5" thickBot="1">
      <c r="A28" s="411">
        <f t="shared" si="0"/>
        <v>21</v>
      </c>
      <c r="B28" s="385" t="s">
        <v>229</v>
      </c>
      <c r="E28" s="380"/>
      <c r="F28" s="867">
        <f>ROUND(SUM(F8:F26),5)</f>
        <v>0.15495</v>
      </c>
      <c r="G28" s="380"/>
    </row>
    <row r="29" spans="1:20">
      <c r="A29" s="411">
        <f t="shared" si="0"/>
        <v>22</v>
      </c>
      <c r="F29" s="380"/>
    </row>
    <row r="30" spans="1:20">
      <c r="A30" s="411">
        <f t="shared" si="0"/>
        <v>23</v>
      </c>
      <c r="B30" s="517" t="s">
        <v>1710</v>
      </c>
      <c r="C30" s="387"/>
      <c r="D30" s="387"/>
      <c r="E30" s="387"/>
      <c r="F30" s="387"/>
      <c r="G30" s="387"/>
      <c r="T30" s="386"/>
    </row>
    <row r="31" spans="1:20">
      <c r="A31" s="411">
        <f t="shared" si="0"/>
        <v>24</v>
      </c>
      <c r="H31" s="387"/>
      <c r="I31" s="389"/>
      <c r="J31" s="388"/>
      <c r="K31" s="388"/>
      <c r="L31" s="388"/>
      <c r="M31" s="380"/>
      <c r="T31" s="380"/>
    </row>
    <row r="32" spans="1:20">
      <c r="A32" s="411">
        <f t="shared" si="0"/>
        <v>25</v>
      </c>
      <c r="B32" s="392" t="s">
        <v>793</v>
      </c>
      <c r="C32" s="391" t="s">
        <v>230</v>
      </c>
      <c r="F32" s="651" t="s">
        <v>864</v>
      </c>
      <c r="H32" s="1056" t="s">
        <v>231</v>
      </c>
      <c r="I32" s="394"/>
      <c r="J32" s="388"/>
      <c r="K32" s="388"/>
      <c r="L32" s="388"/>
      <c r="M32" s="380"/>
      <c r="S32" s="378"/>
      <c r="T32" s="380"/>
    </row>
    <row r="33" spans="1:13">
      <c r="A33" s="411">
        <f t="shared" si="0"/>
        <v>26</v>
      </c>
      <c r="F33" s="1135" t="s">
        <v>794</v>
      </c>
      <c r="G33" s="377"/>
      <c r="H33" s="1135" t="s">
        <v>794</v>
      </c>
      <c r="I33" s="389"/>
      <c r="J33" s="388"/>
      <c r="K33" s="388"/>
      <c r="L33" s="388"/>
      <c r="M33" s="380"/>
    </row>
    <row r="34" spans="1:13">
      <c r="A34" s="411">
        <f t="shared" si="0"/>
        <v>27</v>
      </c>
      <c r="D34" s="374" t="s">
        <v>232</v>
      </c>
      <c r="F34" s="400" t="s">
        <v>240</v>
      </c>
      <c r="G34" s="380"/>
      <c r="H34" s="864">
        <v>1437773152</v>
      </c>
      <c r="I34" s="389"/>
      <c r="J34" s="395"/>
      <c r="K34" s="388"/>
      <c r="L34" s="388"/>
      <c r="M34" s="380"/>
    </row>
    <row r="35" spans="1:13">
      <c r="A35" s="411">
        <f t="shared" si="0"/>
        <v>28</v>
      </c>
      <c r="E35" s="396"/>
      <c r="H35" s="519"/>
      <c r="I35" s="389"/>
      <c r="J35" s="388"/>
      <c r="K35" s="388"/>
      <c r="L35" s="388"/>
      <c r="M35" s="380"/>
    </row>
    <row r="36" spans="1:13">
      <c r="A36" s="411">
        <f t="shared" si="0"/>
        <v>29</v>
      </c>
      <c r="H36" s="518"/>
      <c r="I36" s="389"/>
      <c r="J36" s="397"/>
      <c r="K36" s="388"/>
      <c r="L36" s="388"/>
      <c r="M36" s="380"/>
    </row>
    <row r="37" spans="1:13">
      <c r="A37" s="411">
        <f t="shared" si="0"/>
        <v>30</v>
      </c>
      <c r="D37" s="374" t="s">
        <v>242</v>
      </c>
      <c r="F37" s="374" t="s">
        <v>241</v>
      </c>
      <c r="H37" s="864">
        <v>655348137</v>
      </c>
      <c r="I37" s="389"/>
      <c r="J37" s="398"/>
      <c r="K37" s="388"/>
      <c r="L37" s="388"/>
      <c r="M37" s="380"/>
    </row>
    <row r="38" spans="1:13">
      <c r="A38" s="411">
        <f t="shared" si="0"/>
        <v>31</v>
      </c>
      <c r="D38" s="652"/>
      <c r="E38" s="396"/>
      <c r="G38" s="380"/>
      <c r="I38" s="388"/>
      <c r="J38" s="395"/>
      <c r="K38" s="388"/>
      <c r="L38" s="388"/>
      <c r="M38" s="380"/>
    </row>
    <row r="39" spans="1:13">
      <c r="A39" s="411">
        <f t="shared" si="0"/>
        <v>32</v>
      </c>
      <c r="H39" s="517"/>
      <c r="I39" s="389"/>
      <c r="J39" s="388"/>
      <c r="K39" s="388"/>
      <c r="L39" s="388"/>
      <c r="M39" s="380"/>
    </row>
    <row r="40" spans="1:13">
      <c r="A40" s="411">
        <f t="shared" ref="A40:A94" si="1">A39+1</f>
        <v>33</v>
      </c>
      <c r="D40" s="374" t="s">
        <v>233</v>
      </c>
      <c r="H40" s="519"/>
      <c r="I40" s="389"/>
      <c r="J40" s="388"/>
      <c r="K40" s="388"/>
      <c r="L40" s="388"/>
      <c r="M40" s="380"/>
    </row>
    <row r="41" spans="1:13">
      <c r="A41" s="411">
        <f t="shared" si="1"/>
        <v>34</v>
      </c>
      <c r="D41" s="653" t="s">
        <v>243</v>
      </c>
      <c r="F41" s="400" t="s">
        <v>255</v>
      </c>
      <c r="G41" s="380"/>
      <c r="H41" s="864">
        <v>327539167</v>
      </c>
      <c r="I41" s="388"/>
      <c r="J41" s="395"/>
      <c r="K41" s="388"/>
      <c r="L41" s="388"/>
      <c r="M41" s="380"/>
    </row>
    <row r="42" spans="1:13">
      <c r="A42" s="411">
        <f t="shared" si="1"/>
        <v>35</v>
      </c>
      <c r="D42" s="653" t="s">
        <v>244</v>
      </c>
      <c r="F42" s="400" t="s">
        <v>261</v>
      </c>
      <c r="G42" s="380"/>
      <c r="H42" s="864">
        <v>0</v>
      </c>
      <c r="I42" s="388"/>
      <c r="J42" s="388"/>
      <c r="K42" s="388"/>
      <c r="L42" s="388"/>
      <c r="M42" s="380"/>
    </row>
    <row r="43" spans="1:13">
      <c r="A43" s="411">
        <f t="shared" si="1"/>
        <v>36</v>
      </c>
      <c r="D43" s="653" t="s">
        <v>245</v>
      </c>
      <c r="F43" s="400" t="s">
        <v>262</v>
      </c>
      <c r="G43" s="380"/>
      <c r="H43" s="864">
        <v>0</v>
      </c>
      <c r="I43" s="388"/>
      <c r="J43" s="388"/>
      <c r="K43" s="388"/>
      <c r="L43" s="388"/>
      <c r="M43" s="380"/>
    </row>
    <row r="44" spans="1:13">
      <c r="A44" s="411">
        <f t="shared" si="1"/>
        <v>37</v>
      </c>
      <c r="D44" s="849" t="s">
        <v>260</v>
      </c>
      <c r="E44" s="374" t="s">
        <v>788</v>
      </c>
      <c r="F44" s="1036" t="s">
        <v>797</v>
      </c>
      <c r="G44" s="380" t="s">
        <v>788</v>
      </c>
      <c r="H44" s="864">
        <v>0</v>
      </c>
      <c r="I44" s="388"/>
      <c r="J44" s="388"/>
      <c r="K44" s="388"/>
      <c r="L44" s="388"/>
      <c r="M44" s="380"/>
    </row>
    <row r="45" spans="1:13">
      <c r="A45" s="411">
        <f t="shared" si="1"/>
        <v>38</v>
      </c>
      <c r="D45" s="653" t="s">
        <v>246</v>
      </c>
      <c r="F45" s="400" t="s">
        <v>256</v>
      </c>
      <c r="G45" s="380"/>
      <c r="H45" s="864">
        <v>3985900</v>
      </c>
      <c r="I45" s="388"/>
      <c r="J45" s="395"/>
      <c r="K45" s="388"/>
      <c r="L45" s="388"/>
      <c r="M45" s="380"/>
    </row>
    <row r="46" spans="1:13">
      <c r="A46" s="411">
        <f t="shared" si="1"/>
        <v>39</v>
      </c>
      <c r="D46" s="653" t="s">
        <v>247</v>
      </c>
      <c r="F46" s="400" t="s">
        <v>257</v>
      </c>
      <c r="G46" s="380"/>
      <c r="H46" s="864">
        <v>27325651</v>
      </c>
      <c r="I46" s="388"/>
      <c r="J46" s="395"/>
      <c r="K46" s="388"/>
      <c r="L46" s="388"/>
      <c r="M46" s="380"/>
    </row>
    <row r="47" spans="1:13">
      <c r="A47" s="411">
        <f t="shared" si="1"/>
        <v>40</v>
      </c>
      <c r="D47" s="653" t="s">
        <v>248</v>
      </c>
      <c r="F47" s="400" t="s">
        <v>258</v>
      </c>
      <c r="G47" s="380"/>
      <c r="H47" s="864">
        <v>6541540</v>
      </c>
      <c r="I47" s="388"/>
      <c r="J47" s="395"/>
      <c r="K47" s="388"/>
      <c r="L47" s="388"/>
      <c r="M47" s="380"/>
    </row>
    <row r="48" spans="1:13">
      <c r="A48" s="411">
        <f t="shared" si="1"/>
        <v>41</v>
      </c>
      <c r="D48" s="653" t="s">
        <v>249</v>
      </c>
      <c r="F48" s="400" t="s">
        <v>263</v>
      </c>
      <c r="G48" s="380"/>
      <c r="H48" s="864">
        <v>0</v>
      </c>
      <c r="I48" s="388"/>
      <c r="J48" s="388"/>
      <c r="K48" s="388"/>
      <c r="L48" s="388"/>
      <c r="M48" s="380"/>
    </row>
    <row r="49" spans="1:13">
      <c r="A49" s="411">
        <f t="shared" si="1"/>
        <v>42</v>
      </c>
      <c r="D49" s="653" t="s">
        <v>250</v>
      </c>
      <c r="F49" s="400" t="s">
        <v>264</v>
      </c>
      <c r="G49" s="380"/>
      <c r="H49" s="864">
        <v>0</v>
      </c>
      <c r="I49" s="388"/>
      <c r="J49" s="388"/>
      <c r="K49" s="388"/>
      <c r="L49" s="388"/>
      <c r="M49" s="380"/>
    </row>
    <row r="50" spans="1:13">
      <c r="A50" s="411">
        <f t="shared" si="1"/>
        <v>43</v>
      </c>
      <c r="D50" s="653" t="s">
        <v>251</v>
      </c>
      <c r="F50" s="400" t="s">
        <v>265</v>
      </c>
      <c r="G50" s="380"/>
      <c r="H50" s="864">
        <v>0</v>
      </c>
      <c r="I50" s="388"/>
      <c r="J50" s="388"/>
      <c r="K50" s="388"/>
      <c r="L50" s="388"/>
      <c r="M50" s="380"/>
    </row>
    <row r="51" spans="1:13">
      <c r="A51" s="411">
        <f t="shared" si="1"/>
        <v>44</v>
      </c>
      <c r="D51" s="653" t="s">
        <v>252</v>
      </c>
      <c r="F51" s="400" t="s">
        <v>266</v>
      </c>
      <c r="G51" s="380"/>
      <c r="H51" s="864">
        <v>0</v>
      </c>
      <c r="I51" s="388"/>
      <c r="J51" s="388"/>
      <c r="K51" s="388"/>
      <c r="L51" s="388"/>
      <c r="M51" s="380"/>
    </row>
    <row r="52" spans="1:13">
      <c r="A52" s="411">
        <f t="shared" si="1"/>
        <v>45</v>
      </c>
      <c r="D52" s="653" t="s">
        <v>253</v>
      </c>
      <c r="F52" s="673" t="s">
        <v>208</v>
      </c>
      <c r="G52" s="380"/>
      <c r="H52" s="864">
        <v>633440</v>
      </c>
      <c r="I52" s="388"/>
      <c r="J52" s="395"/>
      <c r="K52" s="388"/>
      <c r="L52" s="388"/>
      <c r="M52" s="380"/>
    </row>
    <row r="53" spans="1:13">
      <c r="A53" s="411">
        <f t="shared" si="1"/>
        <v>46</v>
      </c>
      <c r="D53" s="653" t="s">
        <v>254</v>
      </c>
      <c r="F53" s="400" t="s">
        <v>259</v>
      </c>
      <c r="G53" s="380"/>
      <c r="H53" s="865">
        <v>207476945</v>
      </c>
      <c r="I53" s="388"/>
      <c r="J53" s="395"/>
      <c r="K53" s="388"/>
      <c r="L53" s="388"/>
      <c r="M53" s="380"/>
    </row>
    <row r="54" spans="1:13">
      <c r="A54" s="411">
        <f t="shared" si="1"/>
        <v>47</v>
      </c>
      <c r="D54" s="387" t="s">
        <v>234</v>
      </c>
      <c r="F54" s="374" t="str">
        <f>"Sum Line "&amp;A41&amp;" - Line "&amp;A53</f>
        <v>Sum Line 34 - Line 46</v>
      </c>
      <c r="H54" s="401">
        <f>SUM(H41:H53)</f>
        <v>573502643</v>
      </c>
      <c r="I54" s="389"/>
      <c r="J54" s="395"/>
      <c r="K54" s="388"/>
      <c r="L54" s="388"/>
      <c r="M54" s="380"/>
    </row>
    <row r="55" spans="1:13">
      <c r="A55" s="411">
        <f t="shared" si="1"/>
        <v>48</v>
      </c>
      <c r="H55" s="388"/>
      <c r="I55" s="389"/>
      <c r="J55" s="388"/>
      <c r="K55" s="388"/>
      <c r="L55" s="388"/>
      <c r="M55" s="380"/>
    </row>
    <row r="56" spans="1:13">
      <c r="A56" s="411">
        <f t="shared" si="1"/>
        <v>49</v>
      </c>
      <c r="D56" s="374" t="s">
        <v>1263</v>
      </c>
      <c r="H56" s="388"/>
      <c r="I56" s="389"/>
      <c r="J56" s="388"/>
      <c r="K56" s="388"/>
      <c r="L56" s="388"/>
      <c r="M56" s="380"/>
    </row>
    <row r="57" spans="1:13">
      <c r="A57" s="411">
        <f t="shared" si="1"/>
        <v>50</v>
      </c>
      <c r="D57" s="652" t="s">
        <v>267</v>
      </c>
      <c r="E57" s="396"/>
      <c r="F57" s="400" t="s">
        <v>269</v>
      </c>
      <c r="G57" s="380"/>
      <c r="H57" s="864">
        <v>5303075656</v>
      </c>
      <c r="I57" s="388"/>
      <c r="J57" s="395"/>
      <c r="K57" s="388"/>
      <c r="L57" s="388"/>
      <c r="M57" s="380"/>
    </row>
    <row r="58" spans="1:13">
      <c r="A58" s="411">
        <f t="shared" si="1"/>
        <v>51</v>
      </c>
      <c r="D58" s="652" t="s">
        <v>1265</v>
      </c>
      <c r="E58" s="396"/>
      <c r="F58" s="400" t="s">
        <v>1264</v>
      </c>
      <c r="G58" s="380"/>
      <c r="H58" s="865">
        <v>-64298854</v>
      </c>
      <c r="I58" s="388"/>
      <c r="J58" s="395"/>
      <c r="K58" s="388"/>
      <c r="L58" s="388"/>
      <c r="M58" s="380"/>
    </row>
    <row r="59" spans="1:13">
      <c r="A59" s="411">
        <f t="shared" si="1"/>
        <v>52</v>
      </c>
      <c r="D59" s="652" t="s">
        <v>268</v>
      </c>
      <c r="E59" s="396"/>
      <c r="F59" s="374" t="str">
        <f ca="1">'Schedule 2'!I2&amp;" Line "&amp;'Schedule 2'!A20</f>
        <v>Schedule 2 Line 7</v>
      </c>
      <c r="G59" s="380"/>
      <c r="H59" s="525">
        <f>'Schedule 2'!H20</f>
        <v>60657710</v>
      </c>
      <c r="I59" s="388"/>
      <c r="J59" s="395"/>
      <c r="K59" s="388"/>
      <c r="L59" s="388"/>
      <c r="M59" s="380"/>
    </row>
    <row r="60" spans="1:13">
      <c r="A60" s="736">
        <f t="shared" si="1"/>
        <v>53</v>
      </c>
      <c r="B60" s="387"/>
      <c r="C60" s="387"/>
      <c r="D60" s="822"/>
      <c r="E60" s="672"/>
      <c r="F60" s="387"/>
      <c r="G60" s="388"/>
      <c r="H60" s="823"/>
      <c r="I60" s="388"/>
      <c r="J60" s="395"/>
      <c r="K60" s="388"/>
      <c r="L60" s="388"/>
      <c r="M60" s="380"/>
    </row>
    <row r="61" spans="1:13">
      <c r="A61" s="411">
        <f t="shared" si="1"/>
        <v>54</v>
      </c>
      <c r="D61" s="400" t="s">
        <v>1276</v>
      </c>
      <c r="E61" s="396"/>
      <c r="F61" s="374" t="str">
        <f>"Sum Line "&amp;A57&amp;" - Line "&amp;A59</f>
        <v>Sum Line 50 - Line 52</v>
      </c>
      <c r="G61" s="380"/>
      <c r="H61" s="525">
        <f>SUM(H57:H60)</f>
        <v>5299434512</v>
      </c>
      <c r="I61" s="388"/>
      <c r="J61" s="395"/>
      <c r="K61" s="388"/>
      <c r="L61" s="388"/>
      <c r="M61" s="380"/>
    </row>
    <row r="62" spans="1:13">
      <c r="A62" s="411">
        <f t="shared" si="1"/>
        <v>55</v>
      </c>
      <c r="D62" s="400"/>
      <c r="E62" s="396"/>
      <c r="G62" s="380"/>
      <c r="H62" s="525"/>
      <c r="I62" s="388"/>
      <c r="J62" s="395"/>
      <c r="K62" s="388"/>
      <c r="L62" s="388"/>
      <c r="M62" s="380"/>
    </row>
    <row r="63" spans="1:13">
      <c r="A63" s="411">
        <f t="shared" si="1"/>
        <v>56</v>
      </c>
      <c r="D63" s="402" t="s">
        <v>276</v>
      </c>
      <c r="E63" s="402"/>
      <c r="F63" s="402" t="s">
        <v>1262</v>
      </c>
      <c r="G63" s="402"/>
      <c r="H63" s="403">
        <f>IF(H61=0,0,(H34-H37-H54)/H61)</f>
        <v>3.9423521797829132E-2</v>
      </c>
      <c r="I63" s="404"/>
      <c r="J63" s="405"/>
      <c r="K63" s="388"/>
      <c r="L63" s="388"/>
      <c r="M63" s="380"/>
    </row>
    <row r="64" spans="1:13">
      <c r="A64" s="411">
        <f t="shared" si="1"/>
        <v>57</v>
      </c>
      <c r="D64" s="380"/>
      <c r="E64" s="380"/>
      <c r="F64" s="380"/>
      <c r="G64" s="380"/>
      <c r="H64" s="388"/>
      <c r="I64" s="389"/>
      <c r="J64" s="388"/>
      <c r="K64" s="388"/>
      <c r="L64" s="388"/>
      <c r="M64" s="380"/>
    </row>
    <row r="65" spans="1:12">
      <c r="A65" s="411">
        <f t="shared" si="1"/>
        <v>58</v>
      </c>
      <c r="B65" s="392" t="s">
        <v>794</v>
      </c>
      <c r="C65" s="385" t="s">
        <v>236</v>
      </c>
      <c r="H65" s="387"/>
      <c r="I65" s="390"/>
      <c r="J65" s="388"/>
      <c r="K65" s="380"/>
      <c r="L65" s="380"/>
    </row>
    <row r="66" spans="1:12">
      <c r="A66" s="411">
        <f t="shared" si="1"/>
        <v>59</v>
      </c>
      <c r="H66" s="387"/>
      <c r="I66" s="390"/>
      <c r="J66" s="387"/>
    </row>
    <row r="67" spans="1:12">
      <c r="A67" s="411">
        <f t="shared" si="1"/>
        <v>60</v>
      </c>
      <c r="D67" s="374" t="s">
        <v>272</v>
      </c>
      <c r="E67" s="396"/>
      <c r="F67" s="400" t="s">
        <v>270</v>
      </c>
      <c r="G67" s="380"/>
      <c r="H67" s="864">
        <v>132493198</v>
      </c>
      <c r="I67" s="388"/>
      <c r="J67" s="387"/>
    </row>
    <row r="68" spans="1:12">
      <c r="A68" s="411">
        <f t="shared" si="1"/>
        <v>61</v>
      </c>
      <c r="H68" s="389"/>
      <c r="I68" s="387"/>
      <c r="J68" s="387"/>
    </row>
    <row r="69" spans="1:12">
      <c r="A69" s="411">
        <f t="shared" si="1"/>
        <v>62</v>
      </c>
      <c r="D69" s="374" t="s">
        <v>273</v>
      </c>
      <c r="E69" s="396"/>
      <c r="F69" s="400"/>
      <c r="G69" s="380"/>
      <c r="I69" s="388"/>
      <c r="J69" s="387"/>
    </row>
    <row r="70" spans="1:12">
      <c r="A70" s="411">
        <f t="shared" si="1"/>
        <v>63</v>
      </c>
      <c r="D70" s="671" t="s">
        <v>1266</v>
      </c>
      <c r="E70" s="672"/>
      <c r="F70" s="673" t="s">
        <v>1268</v>
      </c>
      <c r="G70" s="388"/>
      <c r="H70" s="864">
        <v>11918749273</v>
      </c>
      <c r="I70" s="655"/>
      <c r="J70" s="387"/>
    </row>
    <row r="71" spans="1:12" ht="25.5" customHeight="1">
      <c r="A71" s="832">
        <f t="shared" si="1"/>
        <v>64</v>
      </c>
      <c r="B71" s="833"/>
      <c r="C71" s="833"/>
      <c r="D71" s="834" t="s">
        <v>1267</v>
      </c>
      <c r="E71" s="672"/>
      <c r="F71" s="1260" t="s">
        <v>1322</v>
      </c>
      <c r="G71" s="1261"/>
      <c r="H71" s="866">
        <f>-64298854-734812-5507420-63393-315343-0-0</f>
        <v>-70919822</v>
      </c>
      <c r="I71" s="655"/>
      <c r="J71" s="387"/>
    </row>
    <row r="72" spans="1:12">
      <c r="A72" s="411">
        <f t="shared" si="1"/>
        <v>65</v>
      </c>
      <c r="D72" s="652" t="s">
        <v>271</v>
      </c>
      <c r="E72" s="396"/>
      <c r="F72" s="400" t="s">
        <v>274</v>
      </c>
      <c r="G72" s="380"/>
      <c r="H72" s="864">
        <v>512956178</v>
      </c>
      <c r="I72" s="388"/>
      <c r="J72" s="387"/>
    </row>
    <row r="73" spans="1:12">
      <c r="A73" s="736">
        <f t="shared" si="1"/>
        <v>66</v>
      </c>
      <c r="B73" s="387"/>
      <c r="C73" s="387"/>
      <c r="D73" s="671" t="s">
        <v>1269</v>
      </c>
      <c r="E73" s="672"/>
      <c r="F73" s="673" t="str">
        <f ca="1">'WP_B-4'!U2&amp;" Line "&amp;'WP_B-4'!A25&amp;" "&amp;",Col. (d)"</f>
        <v>WP_B-4 Line 15 ,Col. (d)</v>
      </c>
      <c r="G73" s="388"/>
      <c r="H73" s="737">
        <f>'WP_B-4'!F25</f>
        <v>225557122.32999995</v>
      </c>
      <c r="I73" s="388"/>
      <c r="J73" s="387"/>
    </row>
    <row r="74" spans="1:12">
      <c r="A74" s="411">
        <f t="shared" si="1"/>
        <v>67</v>
      </c>
      <c r="D74" s="374" t="s">
        <v>1388</v>
      </c>
      <c r="F74" s="374" t="str">
        <f>"Sum Line "&amp;A70&amp;" - Line "&amp;A73</f>
        <v>Sum Line 63 - Line 66</v>
      </c>
      <c r="H74" s="654">
        <f>SUM(H70:H73)</f>
        <v>12586342751.33</v>
      </c>
      <c r="I74" s="390"/>
      <c r="J74" s="387"/>
    </row>
    <row r="75" spans="1:12">
      <c r="A75" s="411">
        <f t="shared" si="1"/>
        <v>68</v>
      </c>
      <c r="H75" s="388"/>
      <c r="I75" s="390"/>
      <c r="J75" s="387"/>
    </row>
    <row r="76" spans="1:12">
      <c r="A76" s="411">
        <f t="shared" si="1"/>
        <v>69</v>
      </c>
      <c r="B76" s="380"/>
      <c r="C76" s="380"/>
      <c r="D76" s="402" t="s">
        <v>277</v>
      </c>
      <c r="E76" s="402"/>
      <c r="F76" s="402" t="s">
        <v>275</v>
      </c>
      <c r="G76" s="402"/>
      <c r="H76" s="403">
        <f>IF(H74=0,0,(H67/H74))</f>
        <v>1.0526743202349184E-2</v>
      </c>
      <c r="I76" s="406"/>
      <c r="J76" s="388"/>
    </row>
    <row r="77" spans="1:12">
      <c r="A77" s="411">
        <f t="shared" si="1"/>
        <v>70</v>
      </c>
      <c r="B77" s="380"/>
      <c r="C77" s="380"/>
      <c r="D77" s="380"/>
      <c r="E77" s="380"/>
      <c r="F77" s="380"/>
      <c r="G77" s="380"/>
      <c r="H77" s="388"/>
      <c r="I77" s="389"/>
      <c r="J77" s="388"/>
      <c r="K77" s="380"/>
      <c r="L77" s="380"/>
    </row>
    <row r="78" spans="1:12">
      <c r="A78" s="411">
        <f t="shared" si="1"/>
        <v>71</v>
      </c>
      <c r="B78" s="392" t="s">
        <v>795</v>
      </c>
      <c r="C78" s="385" t="s">
        <v>237</v>
      </c>
      <c r="H78" s="387"/>
      <c r="I78" s="390"/>
      <c r="J78" s="387"/>
    </row>
    <row r="79" spans="1:12">
      <c r="A79" s="411">
        <f t="shared" si="1"/>
        <v>72</v>
      </c>
      <c r="H79" s="388"/>
      <c r="I79" s="390"/>
      <c r="J79" s="387"/>
    </row>
    <row r="80" spans="1:12">
      <c r="A80" s="411">
        <f t="shared" si="1"/>
        <v>73</v>
      </c>
      <c r="D80" s="374" t="s">
        <v>278</v>
      </c>
      <c r="F80" s="400" t="s">
        <v>279</v>
      </c>
      <c r="G80" s="520"/>
      <c r="H80" s="864">
        <v>72449712</v>
      </c>
      <c r="I80" s="388"/>
      <c r="J80" s="387"/>
    </row>
    <row r="81" spans="1:10">
      <c r="A81" s="411">
        <f t="shared" si="1"/>
        <v>74</v>
      </c>
      <c r="F81" s="377"/>
      <c r="G81" s="407"/>
      <c r="H81" s="525"/>
      <c r="I81" s="387"/>
      <c r="J81" s="387"/>
    </row>
    <row r="82" spans="1:10">
      <c r="A82" s="411">
        <f t="shared" si="1"/>
        <v>75</v>
      </c>
      <c r="D82" s="374" t="s">
        <v>1270</v>
      </c>
      <c r="F82" s="400" t="s">
        <v>280</v>
      </c>
      <c r="G82" s="380"/>
      <c r="H82" s="864">
        <v>43107645</v>
      </c>
      <c r="I82" s="521"/>
      <c r="J82" s="387"/>
    </row>
    <row r="83" spans="1:10">
      <c r="A83" s="411">
        <f t="shared" si="1"/>
        <v>76</v>
      </c>
      <c r="H83" s="525"/>
      <c r="I83" s="387"/>
      <c r="J83" s="387"/>
    </row>
    <row r="84" spans="1:10">
      <c r="A84" s="411">
        <f t="shared" si="1"/>
        <v>77</v>
      </c>
      <c r="D84" s="374" t="s">
        <v>1271</v>
      </c>
      <c r="F84" s="400" t="s">
        <v>281</v>
      </c>
      <c r="G84" s="380"/>
      <c r="H84" s="864">
        <v>191307895</v>
      </c>
      <c r="I84" s="388"/>
      <c r="J84" s="387"/>
    </row>
    <row r="85" spans="1:10">
      <c r="A85" s="411">
        <f t="shared" si="1"/>
        <v>78</v>
      </c>
      <c r="H85" s="525"/>
      <c r="I85" s="387"/>
      <c r="J85" s="387"/>
    </row>
    <row r="86" spans="1:10">
      <c r="A86" s="411">
        <f t="shared" si="1"/>
        <v>79</v>
      </c>
      <c r="D86" s="374" t="s">
        <v>1272</v>
      </c>
      <c r="F86" s="400" t="s">
        <v>283</v>
      </c>
      <c r="G86" s="380"/>
      <c r="H86" s="864">
        <v>166379492</v>
      </c>
      <c r="I86" s="521"/>
      <c r="J86" s="387"/>
    </row>
    <row r="87" spans="1:10">
      <c r="A87" s="411">
        <f t="shared" si="1"/>
        <v>80</v>
      </c>
      <c r="H87" s="525"/>
      <c r="I87" s="387"/>
      <c r="J87" s="387"/>
    </row>
    <row r="88" spans="1:10">
      <c r="A88" s="411">
        <f t="shared" si="1"/>
        <v>81</v>
      </c>
      <c r="D88" s="374" t="s">
        <v>235</v>
      </c>
      <c r="F88" s="400" t="str">
        <f>"Line "&amp;A61</f>
        <v>Line 54</v>
      </c>
      <c r="G88" s="380"/>
      <c r="H88" s="525">
        <f>H61</f>
        <v>5299434512</v>
      </c>
      <c r="I88" s="522"/>
      <c r="J88" s="387"/>
    </row>
    <row r="89" spans="1:10">
      <c r="A89" s="411">
        <f t="shared" si="1"/>
        <v>82</v>
      </c>
      <c r="H89" s="388"/>
      <c r="I89" s="390"/>
      <c r="J89" s="387"/>
    </row>
    <row r="90" spans="1:10">
      <c r="A90" s="411">
        <f t="shared" si="1"/>
        <v>83</v>
      </c>
      <c r="D90" s="402" t="s">
        <v>282</v>
      </c>
      <c r="E90" s="402"/>
      <c r="F90" s="402" t="s">
        <v>1273</v>
      </c>
      <c r="G90" s="656"/>
      <c r="H90" s="403">
        <f>IF(H88=0,0,(H80/(H84-H82))*(H86/H88))</f>
        <v>1.5348219140792443E-2</v>
      </c>
      <c r="I90" s="404"/>
      <c r="J90" s="387"/>
    </row>
    <row r="91" spans="1:10">
      <c r="A91" s="411">
        <f t="shared" si="1"/>
        <v>84</v>
      </c>
      <c r="D91" s="380"/>
      <c r="E91" s="380"/>
      <c r="F91" s="380"/>
      <c r="G91" s="380"/>
      <c r="H91" s="408"/>
      <c r="I91" s="390"/>
      <c r="J91" s="387"/>
    </row>
    <row r="92" spans="1:10">
      <c r="A92" s="411">
        <f t="shared" si="1"/>
        <v>85</v>
      </c>
      <c r="B92" s="392" t="s">
        <v>798</v>
      </c>
      <c r="C92" s="385" t="s">
        <v>333</v>
      </c>
      <c r="F92" s="651" t="s">
        <v>864</v>
      </c>
      <c r="H92" s="393" t="s">
        <v>231</v>
      </c>
      <c r="I92" s="390"/>
      <c r="J92" s="387"/>
    </row>
    <row r="93" spans="1:10">
      <c r="A93" s="411">
        <f t="shared" si="1"/>
        <v>86</v>
      </c>
      <c r="F93" s="1135" t="s">
        <v>794</v>
      </c>
      <c r="G93" s="377"/>
      <c r="H93" s="1135" t="s">
        <v>794</v>
      </c>
      <c r="I93" s="390"/>
      <c r="J93" s="387"/>
    </row>
    <row r="94" spans="1:10">
      <c r="A94" s="411">
        <f t="shared" si="1"/>
        <v>87</v>
      </c>
      <c r="H94" s="387"/>
      <c r="I94" s="390"/>
      <c r="J94" s="387"/>
    </row>
    <row r="95" spans="1:10">
      <c r="A95" s="411">
        <f t="shared" ref="A95:A145" si="2">A94+1</f>
        <v>88</v>
      </c>
      <c r="D95" s="374" t="s">
        <v>1285</v>
      </c>
      <c r="I95" s="390"/>
      <c r="J95" s="387"/>
    </row>
    <row r="96" spans="1:10">
      <c r="A96" s="411">
        <f t="shared" si="2"/>
        <v>89</v>
      </c>
      <c r="H96" s="388"/>
      <c r="I96" s="390"/>
      <c r="J96" s="387"/>
    </row>
    <row r="97" spans="1:10">
      <c r="A97" s="411">
        <f t="shared" si="2"/>
        <v>90</v>
      </c>
      <c r="D97" s="652" t="s">
        <v>334</v>
      </c>
      <c r="F97" s="374" t="s">
        <v>284</v>
      </c>
      <c r="G97" s="380"/>
      <c r="H97" s="864">
        <v>5120151933</v>
      </c>
      <c r="I97" s="389"/>
      <c r="J97" s="387"/>
    </row>
    <row r="98" spans="1:10">
      <c r="A98" s="411">
        <f t="shared" si="2"/>
        <v>91</v>
      </c>
      <c r="D98" s="652"/>
      <c r="H98" s="525"/>
      <c r="I98" s="390"/>
      <c r="J98" s="387"/>
    </row>
    <row r="99" spans="1:10">
      <c r="A99" s="411">
        <f t="shared" si="2"/>
        <v>92</v>
      </c>
      <c r="D99" s="652" t="s">
        <v>285</v>
      </c>
      <c r="F99" s="374" t="s">
        <v>289</v>
      </c>
      <c r="G99" s="380"/>
      <c r="H99" s="864">
        <v>0</v>
      </c>
      <c r="I99" s="389"/>
      <c r="J99" s="387"/>
    </row>
    <row r="100" spans="1:10">
      <c r="A100" s="411">
        <f t="shared" si="2"/>
        <v>93</v>
      </c>
      <c r="D100" s="652"/>
      <c r="H100" s="525"/>
      <c r="I100" s="390"/>
      <c r="J100" s="387"/>
    </row>
    <row r="101" spans="1:10">
      <c r="A101" s="411">
        <f t="shared" si="2"/>
        <v>94</v>
      </c>
      <c r="D101" s="652" t="s">
        <v>286</v>
      </c>
      <c r="F101" s="374" t="s">
        <v>290</v>
      </c>
      <c r="G101" s="380"/>
      <c r="H101" s="864">
        <v>-6162253</v>
      </c>
      <c r="I101" s="389"/>
      <c r="J101" s="387"/>
    </row>
    <row r="102" spans="1:10">
      <c r="A102" s="411">
        <f t="shared" si="2"/>
        <v>95</v>
      </c>
      <c r="D102" s="652"/>
      <c r="H102" s="525"/>
      <c r="I102" s="390"/>
      <c r="J102" s="387"/>
    </row>
    <row r="103" spans="1:10">
      <c r="A103" s="411">
        <f t="shared" si="2"/>
        <v>96</v>
      </c>
      <c r="D103" s="652" t="s">
        <v>287</v>
      </c>
      <c r="F103" s="374" t="s">
        <v>291</v>
      </c>
      <c r="G103" s="380"/>
      <c r="H103" s="864">
        <v>-23835704</v>
      </c>
      <c r="I103" s="389"/>
      <c r="J103" s="387"/>
    </row>
    <row r="104" spans="1:10">
      <c r="A104" s="411">
        <f t="shared" si="2"/>
        <v>97</v>
      </c>
      <c r="H104" s="389"/>
      <c r="I104" s="390"/>
      <c r="J104" s="387"/>
    </row>
    <row r="105" spans="1:10">
      <c r="A105" s="411">
        <f t="shared" si="2"/>
        <v>98</v>
      </c>
      <c r="D105" s="374" t="s">
        <v>288</v>
      </c>
      <c r="F105" s="374" t="str">
        <f>"Line "&amp;A97&amp;" - "&amp;A99&amp;" - "&amp;A101&amp;" - "&amp;A103</f>
        <v>Line 90 - 92 - 94 - 96</v>
      </c>
      <c r="H105" s="390">
        <f>H97-H99-H101-H103</f>
        <v>5150149890</v>
      </c>
      <c r="I105" s="390"/>
      <c r="J105" s="387"/>
    </row>
    <row r="106" spans="1:10">
      <c r="A106" s="411">
        <f t="shared" si="2"/>
        <v>99</v>
      </c>
      <c r="H106" s="390"/>
      <c r="I106" s="390"/>
      <c r="J106" s="387"/>
    </row>
    <row r="107" spans="1:10">
      <c r="A107" s="411">
        <f t="shared" si="2"/>
        <v>100</v>
      </c>
      <c r="D107" s="374" t="s">
        <v>1286</v>
      </c>
      <c r="H107" s="390"/>
      <c r="I107" s="390"/>
      <c r="J107" s="387"/>
    </row>
    <row r="108" spans="1:10">
      <c r="A108" s="411">
        <f t="shared" si="2"/>
        <v>101</v>
      </c>
      <c r="H108" s="389"/>
      <c r="I108" s="390"/>
      <c r="J108" s="387"/>
    </row>
    <row r="109" spans="1:10">
      <c r="A109" s="411">
        <f t="shared" si="2"/>
        <v>102</v>
      </c>
      <c r="D109" s="652" t="s">
        <v>292</v>
      </c>
      <c r="F109" s="387" t="s">
        <v>554</v>
      </c>
      <c r="G109" s="388"/>
      <c r="H109" s="864">
        <f>3979500000</f>
        <v>3979500000</v>
      </c>
      <c r="I109" s="389"/>
      <c r="J109" s="387"/>
    </row>
    <row r="110" spans="1:10">
      <c r="A110" s="411">
        <f t="shared" si="2"/>
        <v>103</v>
      </c>
      <c r="D110" s="652"/>
      <c r="H110" s="525"/>
      <c r="I110" s="390"/>
      <c r="J110" s="387"/>
    </row>
    <row r="111" spans="1:10">
      <c r="A111" s="411">
        <f t="shared" si="2"/>
        <v>104</v>
      </c>
      <c r="D111" s="652" t="s">
        <v>660</v>
      </c>
      <c r="F111" s="374" t="s">
        <v>946</v>
      </c>
      <c r="G111" s="380"/>
      <c r="H111" s="864">
        <v>0</v>
      </c>
      <c r="I111" s="389"/>
      <c r="J111" s="387"/>
    </row>
    <row r="112" spans="1:10">
      <c r="A112" s="411">
        <f t="shared" si="2"/>
        <v>105</v>
      </c>
      <c r="D112" s="652"/>
      <c r="H112" s="389"/>
      <c r="I112" s="390"/>
      <c r="J112" s="387"/>
    </row>
    <row r="113" spans="1:10">
      <c r="A113" s="411">
        <f t="shared" si="2"/>
        <v>106</v>
      </c>
      <c r="D113" s="652" t="s">
        <v>293</v>
      </c>
      <c r="F113" s="374" t="str">
        <f>"Line "&amp;A105</f>
        <v>Line 98</v>
      </c>
      <c r="H113" s="390">
        <f>H105</f>
        <v>5150149890</v>
      </c>
      <c r="I113" s="390"/>
      <c r="J113" s="387"/>
    </row>
    <row r="114" spans="1:10">
      <c r="A114" s="411">
        <f t="shared" si="2"/>
        <v>107</v>
      </c>
      <c r="D114" s="652"/>
      <c r="H114" s="390"/>
      <c r="I114" s="390"/>
      <c r="J114" s="387"/>
    </row>
    <row r="115" spans="1:10">
      <c r="A115" s="411">
        <f t="shared" si="2"/>
        <v>108</v>
      </c>
      <c r="D115" s="652" t="s">
        <v>336</v>
      </c>
      <c r="F115" s="374" t="str">
        <f>"Line "&amp;A109&amp;" + "&amp;A111&amp;" + "&amp;A113</f>
        <v>Line 102 + 104 + 106</v>
      </c>
      <c r="H115" s="390">
        <f>H113+H111+H109</f>
        <v>9129649890</v>
      </c>
      <c r="I115" s="390"/>
      <c r="J115" s="387"/>
    </row>
    <row r="116" spans="1:10">
      <c r="A116" s="411">
        <f t="shared" si="2"/>
        <v>109</v>
      </c>
      <c r="H116" s="390"/>
      <c r="I116" s="390"/>
      <c r="J116" s="387"/>
    </row>
    <row r="117" spans="1:10">
      <c r="A117" s="411">
        <f t="shared" si="2"/>
        <v>110</v>
      </c>
      <c r="D117" s="674" t="s">
        <v>1287</v>
      </c>
      <c r="E117" s="674"/>
      <c r="F117" s="377"/>
      <c r="H117" s="389"/>
      <c r="I117" s="390"/>
      <c r="J117" s="387"/>
    </row>
    <row r="118" spans="1:10">
      <c r="A118" s="411">
        <f t="shared" si="2"/>
        <v>111</v>
      </c>
      <c r="D118" s="675" t="s">
        <v>669</v>
      </c>
      <c r="E118" s="377"/>
      <c r="F118" s="676" t="s">
        <v>295</v>
      </c>
      <c r="G118" s="380"/>
      <c r="H118" s="864">
        <v>168055725</v>
      </c>
      <c r="I118" s="389"/>
      <c r="J118" s="387"/>
    </row>
    <row r="119" spans="1:10">
      <c r="A119" s="411">
        <f t="shared" si="2"/>
        <v>112</v>
      </c>
      <c r="D119" s="675" t="s">
        <v>294</v>
      </c>
      <c r="E119" s="377"/>
      <c r="F119" s="676" t="s">
        <v>296</v>
      </c>
      <c r="G119" s="380"/>
      <c r="H119" s="864">
        <v>210797</v>
      </c>
      <c r="I119" s="389"/>
      <c r="J119" s="387"/>
    </row>
    <row r="120" spans="1:10">
      <c r="A120" s="411">
        <f t="shared" si="2"/>
        <v>113</v>
      </c>
      <c r="D120" s="675" t="s">
        <v>671</v>
      </c>
      <c r="E120" s="377"/>
      <c r="F120" s="676" t="s">
        <v>297</v>
      </c>
      <c r="G120" s="380"/>
      <c r="H120" s="864">
        <v>3333972</v>
      </c>
      <c r="I120" s="389"/>
      <c r="J120" s="387"/>
    </row>
    <row r="121" spans="1:10">
      <c r="A121" s="411">
        <f t="shared" si="2"/>
        <v>114</v>
      </c>
      <c r="D121" s="675" t="s">
        <v>673</v>
      </c>
      <c r="E121" s="377"/>
      <c r="F121" s="676" t="s">
        <v>298</v>
      </c>
      <c r="G121" s="380"/>
      <c r="H121" s="864">
        <v>1425895</v>
      </c>
      <c r="I121" s="389"/>
      <c r="J121" s="387"/>
    </row>
    <row r="122" spans="1:10">
      <c r="A122" s="411">
        <f t="shared" si="2"/>
        <v>115</v>
      </c>
      <c r="D122" s="677" t="s">
        <v>675</v>
      </c>
      <c r="E122" s="377"/>
      <c r="F122" s="676" t="s">
        <v>299</v>
      </c>
      <c r="G122" s="380"/>
      <c r="H122" s="864">
        <v>0</v>
      </c>
      <c r="I122" s="389"/>
      <c r="J122" s="387"/>
    </row>
    <row r="123" spans="1:10">
      <c r="A123" s="411">
        <f t="shared" si="2"/>
        <v>116</v>
      </c>
      <c r="D123" s="677" t="s">
        <v>676</v>
      </c>
      <c r="E123" s="377"/>
      <c r="F123" s="676" t="s">
        <v>300</v>
      </c>
      <c r="G123" s="380"/>
      <c r="H123" s="865">
        <v>0</v>
      </c>
      <c r="I123" s="389"/>
      <c r="J123" s="387"/>
    </row>
    <row r="124" spans="1:10">
      <c r="A124" s="411">
        <f t="shared" si="2"/>
        <v>117</v>
      </c>
      <c r="D124" s="675" t="s">
        <v>677</v>
      </c>
      <c r="E124" s="674"/>
      <c r="F124" s="377"/>
      <c r="H124" s="835">
        <f>SUM(H118:H123)</f>
        <v>173026389</v>
      </c>
      <c r="I124" s="390"/>
      <c r="J124" s="387"/>
    </row>
    <row r="125" spans="1:10">
      <c r="A125" s="411">
        <f t="shared" si="2"/>
        <v>118</v>
      </c>
      <c r="D125" s="675"/>
      <c r="E125" s="674"/>
      <c r="F125" s="377"/>
      <c r="H125" s="390"/>
      <c r="I125" s="390"/>
      <c r="J125" s="387"/>
    </row>
    <row r="126" spans="1:10">
      <c r="A126" s="411">
        <f t="shared" si="2"/>
        <v>119</v>
      </c>
      <c r="D126" s="675" t="str">
        <f>"Average Cost of Debt (Line "&amp;A124&amp;" / Line "&amp;A109&amp;")"</f>
        <v>Average Cost of Debt (Line 117 / Line 102)</v>
      </c>
      <c r="E126" s="674"/>
      <c r="F126" s="377"/>
      <c r="H126" s="657">
        <f>IF(H124=0,0,ROUND(H124/H109,4))</f>
        <v>4.3499999999999997E-2</v>
      </c>
      <c r="I126" s="390"/>
      <c r="J126" s="387"/>
    </row>
    <row r="127" spans="1:10">
      <c r="A127" s="411">
        <f t="shared" si="2"/>
        <v>120</v>
      </c>
      <c r="D127" s="377"/>
      <c r="E127" s="377"/>
      <c r="F127" s="377"/>
      <c r="H127" s="390"/>
      <c r="I127" s="390"/>
      <c r="J127" s="387"/>
    </row>
    <row r="128" spans="1:10">
      <c r="A128" s="411">
        <f t="shared" si="2"/>
        <v>121</v>
      </c>
      <c r="D128" s="674" t="s">
        <v>1288</v>
      </c>
      <c r="E128" s="678"/>
      <c r="F128" s="377"/>
      <c r="H128" s="389"/>
      <c r="I128" s="390"/>
      <c r="J128" s="387"/>
    </row>
    <row r="129" spans="1:11">
      <c r="A129" s="411">
        <f t="shared" si="2"/>
        <v>122</v>
      </c>
      <c r="D129" s="675" t="s">
        <v>679</v>
      </c>
      <c r="E129" s="377"/>
      <c r="F129" s="679" t="s">
        <v>301</v>
      </c>
      <c r="G129" s="380"/>
      <c r="H129" s="864">
        <v>0</v>
      </c>
      <c r="I129" s="389"/>
      <c r="J129" s="387"/>
    </row>
    <row r="130" spans="1:11">
      <c r="A130" s="411">
        <f t="shared" si="2"/>
        <v>123</v>
      </c>
      <c r="D130" s="675"/>
      <c r="E130" s="678"/>
      <c r="F130" s="377"/>
      <c r="H130" s="380"/>
    </row>
    <row r="131" spans="1:11">
      <c r="A131" s="411">
        <f t="shared" si="2"/>
        <v>124</v>
      </c>
      <c r="D131" s="675" t="str">
        <f>"Average Cost of Preferred Stock (Line "&amp;A129&amp;" / Line "&amp;A111&amp;")"</f>
        <v>Average Cost of Preferred Stock (Line 122 / Line 104)</v>
      </c>
      <c r="E131" s="678"/>
      <c r="F131" s="377"/>
      <c r="H131" s="374">
        <f>IF(H111=0,0,H129/H111)</f>
        <v>0</v>
      </c>
    </row>
    <row r="132" spans="1:11">
      <c r="A132" s="411">
        <f t="shared" si="2"/>
        <v>125</v>
      </c>
    </row>
    <row r="133" spans="1:11">
      <c r="A133" s="411">
        <f t="shared" si="2"/>
        <v>126</v>
      </c>
      <c r="G133" s="410" t="s">
        <v>337</v>
      </c>
    </row>
    <row r="134" spans="1:11">
      <c r="A134" s="411">
        <f t="shared" si="2"/>
        <v>127</v>
      </c>
      <c r="G134" s="410"/>
      <c r="H134" s="411" t="s">
        <v>338</v>
      </c>
      <c r="I134" s="374"/>
    </row>
    <row r="135" spans="1:11">
      <c r="A135" s="411">
        <f t="shared" si="2"/>
        <v>128</v>
      </c>
      <c r="E135" s="668" t="s">
        <v>913</v>
      </c>
      <c r="F135" s="413" t="s">
        <v>822</v>
      </c>
      <c r="G135" s="413" t="s">
        <v>822</v>
      </c>
      <c r="H135" s="412" t="s">
        <v>339</v>
      </c>
      <c r="I135" s="374"/>
    </row>
    <row r="136" spans="1:11">
      <c r="A136" s="411">
        <f t="shared" si="2"/>
        <v>129</v>
      </c>
      <c r="D136" s="374" t="s">
        <v>292</v>
      </c>
      <c r="E136" s="414">
        <f>H109</f>
        <v>3979500000</v>
      </c>
      <c r="F136" s="663">
        <f>IF(E139=0,0,ROUND((E136)/E139,4))</f>
        <v>0.43590000000000001</v>
      </c>
      <c r="G136" s="664">
        <f>H126</f>
        <v>4.3499999999999997E-2</v>
      </c>
      <c r="H136" s="665">
        <f>ROUND(F136*G136,4)</f>
        <v>1.9E-2</v>
      </c>
      <c r="I136" s="380"/>
    </row>
    <row r="137" spans="1:11">
      <c r="A137" s="411">
        <f t="shared" si="2"/>
        <v>130</v>
      </c>
      <c r="D137" s="400" t="s">
        <v>660</v>
      </c>
      <c r="E137" s="414">
        <f>H111</f>
        <v>0</v>
      </c>
      <c r="F137" s="664">
        <f>IF(E139=0,0,ROUND((E137)/E139,4))</f>
        <v>0</v>
      </c>
      <c r="G137" s="663">
        <f>H131</f>
        <v>0</v>
      </c>
      <c r="H137" s="665">
        <f>ROUND(F137*G137,4)</f>
        <v>0</v>
      </c>
      <c r="I137" s="374"/>
      <c r="K137" s="380"/>
    </row>
    <row r="138" spans="1:11">
      <c r="A138" s="411">
        <f t="shared" si="2"/>
        <v>131</v>
      </c>
      <c r="D138" s="829" t="s">
        <v>1195</v>
      </c>
      <c r="E138" s="415">
        <f>H105</f>
        <v>5150149890</v>
      </c>
      <c r="F138" s="666">
        <f>IF(E139=0,0,ROUND(E138/E139,4))</f>
        <v>0.56410000000000005</v>
      </c>
      <c r="G138" s="667">
        <f>'ATRR Est.'!F178</f>
        <v>9.7199999999999995E-2</v>
      </c>
      <c r="H138" s="666">
        <f>ROUND(F138*G138,4)</f>
        <v>5.4800000000000001E-2</v>
      </c>
      <c r="I138" s="374"/>
    </row>
    <row r="139" spans="1:11">
      <c r="A139" s="411">
        <f t="shared" si="2"/>
        <v>132</v>
      </c>
      <c r="D139" s="399" t="s">
        <v>790</v>
      </c>
      <c r="E139" s="414">
        <f>SUM(E136:E138)</f>
        <v>9129649890</v>
      </c>
      <c r="F139" s="845">
        <f>SUM(F136:F138)</f>
        <v>1</v>
      </c>
      <c r="G139" s="659" t="s">
        <v>1398</v>
      </c>
      <c r="H139" s="846">
        <f>ROUND(SUM(H136:H138),4)</f>
        <v>7.3800000000000004E-2</v>
      </c>
      <c r="I139" s="374"/>
      <c r="K139" s="380"/>
    </row>
    <row r="140" spans="1:11">
      <c r="A140" s="411">
        <f t="shared" si="2"/>
        <v>133</v>
      </c>
      <c r="D140" s="399"/>
      <c r="E140" s="414"/>
      <c r="F140" s="669"/>
      <c r="G140" s="659"/>
      <c r="H140" s="658"/>
      <c r="I140" s="374"/>
      <c r="K140" s="380"/>
    </row>
    <row r="141" spans="1:11">
      <c r="A141" s="411">
        <f t="shared" si="2"/>
        <v>134</v>
      </c>
      <c r="D141" s="422"/>
      <c r="E141" s="681"/>
      <c r="F141" s="682"/>
      <c r="G141" s="683"/>
      <c r="H141" s="670"/>
      <c r="I141" s="402"/>
      <c r="K141" s="380"/>
    </row>
    <row r="142" spans="1:11">
      <c r="A142" s="411">
        <f t="shared" si="2"/>
        <v>135</v>
      </c>
      <c r="D142" s="423"/>
      <c r="E142" s="680"/>
      <c r="F142" s="669"/>
      <c r="G142" s="659"/>
      <c r="H142" s="658"/>
      <c r="I142" s="380"/>
      <c r="K142" s="380"/>
    </row>
    <row r="143" spans="1:11">
      <c r="A143" s="411">
        <f t="shared" si="2"/>
        <v>136</v>
      </c>
      <c r="C143" s="380"/>
      <c r="D143" s="380"/>
      <c r="E143" s="380"/>
      <c r="F143" s="380"/>
      <c r="G143" s="659"/>
      <c r="H143" s="380"/>
      <c r="I143" s="419"/>
      <c r="J143" s="380"/>
    </row>
    <row r="144" spans="1:11">
      <c r="A144" s="411">
        <f t="shared" si="2"/>
        <v>137</v>
      </c>
      <c r="B144" s="392" t="s">
        <v>799</v>
      </c>
      <c r="C144" s="385" t="s">
        <v>340</v>
      </c>
      <c r="D144" s="380"/>
      <c r="E144" s="380"/>
      <c r="F144" s="651" t="s">
        <v>864</v>
      </c>
      <c r="G144" s="380"/>
      <c r="H144" s="393" t="s">
        <v>231</v>
      </c>
      <c r="I144" s="419"/>
    </row>
    <row r="145" spans="1:11">
      <c r="A145" s="411">
        <f t="shared" si="2"/>
        <v>138</v>
      </c>
      <c r="F145" s="1135" t="s">
        <v>794</v>
      </c>
      <c r="G145" s="377"/>
      <c r="H145" s="1135" t="s">
        <v>794</v>
      </c>
    </row>
    <row r="146" spans="1:11">
      <c r="A146" s="411">
        <f t="shared" ref="A146:A218" si="3">A145+1</f>
        <v>139</v>
      </c>
      <c r="D146" s="374" t="s">
        <v>341</v>
      </c>
      <c r="F146" s="400" t="s">
        <v>302</v>
      </c>
      <c r="G146" s="387"/>
      <c r="H146" s="864">
        <f>94053577+956773+695663+37422957</f>
        <v>133128970</v>
      </c>
    </row>
    <row r="147" spans="1:11">
      <c r="A147" s="411">
        <f t="shared" si="3"/>
        <v>140</v>
      </c>
      <c r="G147" s="387"/>
      <c r="H147" s="388"/>
    </row>
    <row r="148" spans="1:11">
      <c r="A148" s="411">
        <f t="shared" si="3"/>
        <v>141</v>
      </c>
      <c r="D148" s="374" t="s">
        <v>342</v>
      </c>
      <c r="E148" s="396"/>
      <c r="F148" s="374" t="str">
        <f>"Line "&amp;A61</f>
        <v>Line 54</v>
      </c>
      <c r="G148" s="388"/>
      <c r="H148" s="525">
        <f>H61</f>
        <v>5299434512</v>
      </c>
      <c r="I148" s="419"/>
    </row>
    <row r="149" spans="1:11">
      <c r="A149" s="411">
        <f t="shared" si="3"/>
        <v>142</v>
      </c>
      <c r="G149" s="387"/>
      <c r="H149" s="387"/>
    </row>
    <row r="150" spans="1:11">
      <c r="A150" s="411">
        <f t="shared" si="3"/>
        <v>143</v>
      </c>
      <c r="D150" s="374" t="s">
        <v>343</v>
      </c>
      <c r="F150" s="374" t="str">
        <f>"Line "&amp;A146&amp;" / "&amp;A148</f>
        <v>Line 139 / 141</v>
      </c>
      <c r="G150" s="387"/>
      <c r="H150" s="417">
        <f>IF(H148=0,0,(H146/H148))</f>
        <v>2.5121353929092576E-2</v>
      </c>
    </row>
    <row r="151" spans="1:11">
      <c r="A151" s="411">
        <f t="shared" si="3"/>
        <v>144</v>
      </c>
      <c r="G151" s="387"/>
      <c r="H151" s="387"/>
    </row>
    <row r="152" spans="1:11">
      <c r="A152" s="411">
        <f t="shared" si="3"/>
        <v>145</v>
      </c>
      <c r="D152" s="374" t="s">
        <v>344</v>
      </c>
      <c r="F152" s="382" t="str">
        <f>"1 / Line "&amp;A150</f>
        <v>1 / Line 143</v>
      </c>
      <c r="G152" s="387"/>
      <c r="H152" s="418">
        <f>IF(H150=0,0,1/H150)</f>
        <v>39.806771674114209</v>
      </c>
    </row>
    <row r="153" spans="1:11">
      <c r="A153" s="411">
        <f t="shared" si="3"/>
        <v>146</v>
      </c>
      <c r="B153" s="380"/>
      <c r="C153" s="380"/>
      <c r="D153" s="380"/>
      <c r="E153" s="380"/>
      <c r="F153" s="380"/>
      <c r="G153" s="388"/>
      <c r="H153" s="388"/>
      <c r="I153" s="419"/>
      <c r="J153" s="380"/>
    </row>
    <row r="154" spans="1:11">
      <c r="A154" s="411">
        <f t="shared" si="3"/>
        <v>147</v>
      </c>
      <c r="B154" s="380"/>
      <c r="C154" s="380"/>
      <c r="D154" s="402" t="s">
        <v>345</v>
      </c>
      <c r="E154" s="402"/>
      <c r="F154" s="402" t="s">
        <v>474</v>
      </c>
      <c r="G154" s="420"/>
      <c r="H154" s="403">
        <f>(H139)/((1+H139)^(H152-1))</f>
        <v>4.6560651987965296E-3</v>
      </c>
      <c r="I154" s="421"/>
      <c r="J154" s="380"/>
      <c r="K154" s="380"/>
    </row>
    <row r="155" spans="1:11">
      <c r="A155" s="411">
        <f t="shared" si="3"/>
        <v>148</v>
      </c>
      <c r="B155" s="380"/>
      <c r="C155" s="380"/>
      <c r="D155" s="380"/>
      <c r="E155" s="380"/>
      <c r="F155" s="380"/>
      <c r="G155" s="388"/>
      <c r="H155" s="388"/>
      <c r="I155" s="419"/>
      <c r="J155" s="380"/>
    </row>
    <row r="156" spans="1:11">
      <c r="A156" s="411">
        <f t="shared" si="3"/>
        <v>149</v>
      </c>
      <c r="B156" s="392" t="s">
        <v>346</v>
      </c>
      <c r="C156" s="391" t="s">
        <v>347</v>
      </c>
      <c r="G156" s="387"/>
      <c r="H156" s="387"/>
    </row>
    <row r="157" spans="1:11">
      <c r="A157" s="411">
        <f t="shared" si="3"/>
        <v>150</v>
      </c>
      <c r="G157" s="387"/>
      <c r="H157" s="388"/>
    </row>
    <row r="158" spans="1:11">
      <c r="A158" s="411">
        <f t="shared" si="3"/>
        <v>151</v>
      </c>
      <c r="D158" s="374" t="s">
        <v>348</v>
      </c>
      <c r="G158" s="388"/>
      <c r="H158" s="403">
        <f>IF(F160=0,0,(((35/65)+F160)/(1-F160))*(+H139+H154-H150)*(1-(H136/H139)))</f>
        <v>2.4279852863790051E-2</v>
      </c>
      <c r="I158" s="389"/>
    </row>
    <row r="159" spans="1:11">
      <c r="A159" s="411">
        <f t="shared" si="3"/>
        <v>152</v>
      </c>
      <c r="D159" s="374" t="s">
        <v>349</v>
      </c>
      <c r="E159" s="380"/>
      <c r="G159" s="387"/>
      <c r="H159" s="388"/>
    </row>
    <row r="160" spans="1:11">
      <c r="A160" s="411">
        <f t="shared" si="3"/>
        <v>153</v>
      </c>
      <c r="D160" s="380" t="s">
        <v>304</v>
      </c>
      <c r="F160" s="523">
        <v>4.6254000000000003E-2</v>
      </c>
      <c r="G160" s="387"/>
      <c r="H160" s="387"/>
    </row>
    <row r="161" spans="1:11">
      <c r="A161" s="411">
        <f t="shared" si="3"/>
        <v>154</v>
      </c>
      <c r="E161" s="380"/>
      <c r="G161" s="387"/>
      <c r="H161" s="387"/>
    </row>
    <row r="162" spans="1:11">
      <c r="A162" s="411">
        <f t="shared" si="3"/>
        <v>155</v>
      </c>
      <c r="G162" s="387"/>
      <c r="H162" s="387"/>
    </row>
    <row r="163" spans="1:11">
      <c r="A163" s="411">
        <f t="shared" si="3"/>
        <v>156</v>
      </c>
      <c r="G163" s="387"/>
      <c r="H163" s="387"/>
    </row>
    <row r="164" spans="1:11">
      <c r="A164" s="411">
        <f t="shared" si="3"/>
        <v>157</v>
      </c>
    </row>
    <row r="165" spans="1:11">
      <c r="A165" s="411">
        <f t="shared" si="3"/>
        <v>158</v>
      </c>
      <c r="H165" s="688"/>
      <c r="I165" s="419"/>
    </row>
    <row r="166" spans="1:11">
      <c r="A166" s="411">
        <f t="shared" si="3"/>
        <v>159</v>
      </c>
      <c r="B166" s="380"/>
      <c r="C166" s="380"/>
      <c r="H166" s="685"/>
      <c r="I166" s="380"/>
      <c r="J166" s="380"/>
    </row>
    <row r="167" spans="1:11">
      <c r="A167" s="411">
        <f t="shared" si="3"/>
        <v>160</v>
      </c>
      <c r="B167" s="380"/>
      <c r="C167" s="380"/>
      <c r="D167" s="402"/>
      <c r="E167" s="402"/>
      <c r="F167" s="402"/>
      <c r="G167" s="402"/>
      <c r="H167" s="402"/>
      <c r="I167" s="402"/>
      <c r="J167" s="380"/>
      <c r="K167" s="380"/>
    </row>
    <row r="168" spans="1:11">
      <c r="A168" s="411">
        <f t="shared" si="3"/>
        <v>161</v>
      </c>
      <c r="B168" s="380"/>
      <c r="C168" s="380"/>
      <c r="D168" s="380"/>
      <c r="E168" s="380"/>
      <c r="F168" s="380"/>
      <c r="G168" s="423"/>
      <c r="H168" s="660"/>
      <c r="I168" s="380"/>
      <c r="J168" s="380"/>
      <c r="K168" s="380"/>
    </row>
    <row r="169" spans="1:11">
      <c r="A169" s="411">
        <f t="shared" si="3"/>
        <v>162</v>
      </c>
      <c r="B169" s="391" t="s">
        <v>1282</v>
      </c>
      <c r="C169" s="380"/>
      <c r="D169" s="380"/>
      <c r="E169" s="380"/>
      <c r="F169" s="380"/>
      <c r="I169" s="380"/>
      <c r="J169" s="380"/>
      <c r="K169" s="380"/>
    </row>
    <row r="170" spans="1:11">
      <c r="A170" s="411">
        <f t="shared" si="3"/>
        <v>163</v>
      </c>
      <c r="B170" s="380"/>
      <c r="C170" s="380"/>
      <c r="D170" s="380"/>
      <c r="E170" s="380"/>
      <c r="F170" s="380"/>
      <c r="G170" s="423"/>
      <c r="I170" s="380"/>
      <c r="J170" s="380"/>
      <c r="K170" s="380"/>
    </row>
    <row r="171" spans="1:11">
      <c r="A171" s="411">
        <f t="shared" si="3"/>
        <v>164</v>
      </c>
      <c r="B171" s="380"/>
      <c r="C171" s="380"/>
      <c r="D171" s="374" t="s">
        <v>1277</v>
      </c>
      <c r="E171" s="380"/>
      <c r="F171" s="380" t="str">
        <f>"Line "&amp;A80</f>
        <v>Line 73</v>
      </c>
      <c r="G171" s="423"/>
      <c r="H171" s="660">
        <f>H80</f>
        <v>72449712</v>
      </c>
      <c r="I171" s="380"/>
      <c r="J171" s="380"/>
      <c r="K171" s="380"/>
    </row>
    <row r="172" spans="1:11">
      <c r="A172" s="411">
        <f t="shared" si="3"/>
        <v>165</v>
      </c>
      <c r="B172" s="380"/>
      <c r="C172" s="380"/>
      <c r="D172" s="380" t="s">
        <v>1278</v>
      </c>
      <c r="E172" s="380"/>
      <c r="F172" s="380" t="str">
        <f>"Line "&amp;A84&amp;" - Line "&amp;A82</f>
        <v>Line 77 - Line 75</v>
      </c>
      <c r="G172" s="423"/>
      <c r="H172" s="524">
        <f>H84-H82</f>
        <v>148200250</v>
      </c>
      <c r="I172" s="380"/>
      <c r="J172" s="380"/>
      <c r="K172" s="380"/>
    </row>
    <row r="173" spans="1:11">
      <c r="A173" s="411">
        <f t="shared" si="3"/>
        <v>166</v>
      </c>
      <c r="B173" s="380"/>
      <c r="C173" s="380"/>
      <c r="D173" s="689" t="s">
        <v>1279</v>
      </c>
      <c r="E173" s="380"/>
      <c r="F173" s="380" t="str">
        <f>"Line "&amp;A171&amp;" /  Line "&amp;A172</f>
        <v>Line 164 /  Line 165</v>
      </c>
      <c r="G173" s="423"/>
      <c r="H173" s="684">
        <f>IF(H172=0,0,H171/H172)</f>
        <v>0.48886362877255607</v>
      </c>
      <c r="I173" s="380"/>
      <c r="J173" s="380"/>
      <c r="K173" s="380"/>
    </row>
    <row r="174" spans="1:11">
      <c r="A174" s="411">
        <f t="shared" si="3"/>
        <v>167</v>
      </c>
      <c r="B174" s="380"/>
      <c r="C174" s="380"/>
      <c r="D174" s="374" t="s">
        <v>303</v>
      </c>
      <c r="E174" s="380"/>
      <c r="F174" s="400" t="s">
        <v>1275</v>
      </c>
      <c r="G174" s="423"/>
      <c r="H174" s="871">
        <f>91665879+196943415</f>
        <v>288609294</v>
      </c>
      <c r="I174" s="686"/>
      <c r="J174" s="380"/>
      <c r="K174" s="380"/>
    </row>
    <row r="175" spans="1:11">
      <c r="A175" s="411">
        <f t="shared" si="3"/>
        <v>168</v>
      </c>
      <c r="B175" s="380"/>
      <c r="C175" s="380"/>
      <c r="D175" s="387" t="s">
        <v>1280</v>
      </c>
      <c r="E175" s="380"/>
      <c r="F175" s="380" t="str">
        <f>"Line "&amp;A173&amp;" * Line "&amp;A174</f>
        <v>Line 166 * Line 167</v>
      </c>
      <c r="G175" s="423"/>
      <c r="H175" s="660">
        <f>H173*H174</f>
        <v>141090586.7623255</v>
      </c>
      <c r="I175" s="686"/>
      <c r="J175" s="380"/>
      <c r="K175" s="380"/>
    </row>
    <row r="176" spans="1:11">
      <c r="A176" s="411">
        <f t="shared" si="3"/>
        <v>169</v>
      </c>
      <c r="B176" s="380"/>
      <c r="C176" s="380"/>
      <c r="D176" s="388" t="s">
        <v>1284</v>
      </c>
      <c r="E176" s="380"/>
      <c r="F176" s="690" t="str">
        <f>"Line "&amp;A10&amp;" + "&amp;A14&amp;" + "&amp;A16&amp;" + "&amp;A18&amp;" + "&amp;A24&amp;" + "&amp;A26</f>
        <v>Line 3 + 7 + 9 + 11 + 17 + 19</v>
      </c>
      <c r="G176" s="423"/>
      <c r="H176" s="687">
        <f>+F10+F14+F16+F18+F24+F26</f>
        <v>9.7584463404458449E-2</v>
      </c>
      <c r="I176" s="380"/>
      <c r="J176" s="380"/>
      <c r="K176" s="380"/>
    </row>
    <row r="177" spans="1:11">
      <c r="A177" s="411">
        <f t="shared" si="3"/>
        <v>170</v>
      </c>
      <c r="B177" s="380"/>
      <c r="C177" s="380"/>
      <c r="D177" s="388" t="s">
        <v>1283</v>
      </c>
      <c r="E177" s="380"/>
      <c r="F177" s="380" t="str">
        <f>"Line "&amp;A175&amp;" * Line "&amp;A176</f>
        <v>Line 168 * Line 169</v>
      </c>
      <c r="G177" s="423"/>
      <c r="H177" s="660">
        <f>H175*H176</f>
        <v>13768249.200621722</v>
      </c>
      <c r="I177" s="380"/>
      <c r="J177" s="380"/>
      <c r="K177" s="380"/>
    </row>
    <row r="178" spans="1:11" ht="12.75" thickBot="1">
      <c r="A178" s="411">
        <f t="shared" si="3"/>
        <v>171</v>
      </c>
      <c r="B178" s="380"/>
      <c r="C178" s="380"/>
      <c r="D178" s="374" t="s">
        <v>342</v>
      </c>
      <c r="E178" s="380"/>
      <c r="F178" s="380" t="str">
        <f>"Line "&amp;A57</f>
        <v>Line 50</v>
      </c>
      <c r="G178" s="423"/>
      <c r="H178" s="660">
        <f>H61</f>
        <v>5299434512</v>
      </c>
      <c r="I178" s="380"/>
      <c r="J178" s="380"/>
      <c r="K178" s="380"/>
    </row>
    <row r="179" spans="1:11" ht="12.75" thickBot="1">
      <c r="A179" s="411">
        <f t="shared" si="3"/>
        <v>172</v>
      </c>
      <c r="B179" s="380"/>
      <c r="C179" s="380"/>
      <c r="D179" s="388" t="s">
        <v>1281</v>
      </c>
      <c r="E179" s="380"/>
      <c r="F179" s="380" t="str">
        <f>"Line "&amp;A177&amp;" /  Line "&amp;A178</f>
        <v>Line 170 /  Line 171</v>
      </c>
      <c r="G179" s="423"/>
      <c r="H179" s="824">
        <f>IF(H178=0,0,H177/H178)</f>
        <v>2.5980600702669317E-3</v>
      </c>
      <c r="I179" s="380"/>
      <c r="J179" s="380"/>
      <c r="K179" s="380"/>
    </row>
    <row r="180" spans="1:11">
      <c r="A180" s="411">
        <f t="shared" si="3"/>
        <v>173</v>
      </c>
      <c r="B180" s="380"/>
      <c r="C180" s="380"/>
      <c r="D180" s="388"/>
      <c r="E180" s="380"/>
      <c r="F180" s="380"/>
      <c r="G180" s="423"/>
      <c r="H180" s="660"/>
      <c r="I180" s="380"/>
      <c r="J180" s="380"/>
      <c r="K180" s="380"/>
    </row>
    <row r="181" spans="1:11">
      <c r="A181" s="411">
        <f t="shared" si="3"/>
        <v>174</v>
      </c>
      <c r="B181" s="380"/>
      <c r="C181" s="380"/>
      <c r="D181" s="402"/>
      <c r="E181" s="402"/>
      <c r="F181" s="402"/>
      <c r="G181" s="422"/>
      <c r="H181" s="404"/>
      <c r="I181" s="402"/>
      <c r="J181" s="380"/>
    </row>
    <row r="182" spans="1:11">
      <c r="A182" s="411">
        <f t="shared" si="3"/>
        <v>175</v>
      </c>
      <c r="B182" s="380"/>
      <c r="C182" s="380"/>
      <c r="D182" s="380"/>
      <c r="E182" s="380"/>
      <c r="F182" s="380"/>
      <c r="G182" s="423"/>
      <c r="H182" s="389"/>
      <c r="I182" s="380"/>
      <c r="J182" s="380"/>
    </row>
    <row r="183" spans="1:11">
      <c r="A183" s="411">
        <f t="shared" si="3"/>
        <v>176</v>
      </c>
      <c r="B183" s="391" t="s">
        <v>646</v>
      </c>
      <c r="C183" s="380"/>
      <c r="D183" s="380"/>
      <c r="E183" s="380"/>
      <c r="F183" s="380"/>
      <c r="G183" s="423"/>
      <c r="H183" s="389"/>
      <c r="I183" s="380"/>
      <c r="J183" s="380"/>
    </row>
    <row r="184" spans="1:11">
      <c r="A184" s="411">
        <f t="shared" si="3"/>
        <v>177</v>
      </c>
      <c r="C184" s="380"/>
      <c r="D184" s="380"/>
      <c r="E184" s="380"/>
      <c r="F184" s="380"/>
      <c r="G184" s="423"/>
      <c r="H184" s="389"/>
      <c r="I184" s="380"/>
      <c r="J184" s="380"/>
    </row>
    <row r="185" spans="1:11" ht="12.75">
      <c r="A185" s="411">
        <f t="shared" si="3"/>
        <v>178</v>
      </c>
      <c r="C185" s="380"/>
      <c r="D185" s="26" t="s">
        <v>1399</v>
      </c>
      <c r="E185" s="380"/>
      <c r="F185" s="380"/>
      <c r="G185" s="423"/>
      <c r="H185" s="389"/>
      <c r="I185" s="380"/>
      <c r="J185" s="380"/>
    </row>
    <row r="186" spans="1:11">
      <c r="A186" s="411">
        <f t="shared" si="3"/>
        <v>179</v>
      </c>
      <c r="C186" s="380"/>
      <c r="D186" s="402"/>
      <c r="E186" s="402"/>
      <c r="F186" s="402"/>
      <c r="G186" s="422"/>
      <c r="H186" s="404"/>
      <c r="I186" s="402"/>
      <c r="J186" s="380"/>
    </row>
    <row r="187" spans="1:11">
      <c r="A187" s="411">
        <f t="shared" si="3"/>
        <v>180</v>
      </c>
      <c r="D187" s="380"/>
      <c r="E187" s="380"/>
      <c r="F187" s="380"/>
      <c r="G187" s="380"/>
      <c r="H187" s="380"/>
      <c r="I187" s="380"/>
    </row>
    <row r="188" spans="1:11">
      <c r="A188" s="411">
        <f t="shared" si="3"/>
        <v>181</v>
      </c>
      <c r="B188" s="392" t="s">
        <v>397</v>
      </c>
      <c r="C188" s="391" t="s">
        <v>398</v>
      </c>
      <c r="F188" s="380"/>
      <c r="G188" s="409"/>
      <c r="I188" s="374"/>
    </row>
    <row r="189" spans="1:11">
      <c r="A189" s="411">
        <f t="shared" si="3"/>
        <v>182</v>
      </c>
      <c r="F189" s="380"/>
      <c r="G189" s="409"/>
      <c r="I189" s="374"/>
    </row>
    <row r="190" spans="1:11">
      <c r="A190" s="411">
        <f t="shared" si="3"/>
        <v>183</v>
      </c>
      <c r="C190" s="387"/>
      <c r="D190" s="377" t="s">
        <v>399</v>
      </c>
      <c r="F190" s="387" t="str">
        <f>"Line "&amp;A61</f>
        <v>Line 54</v>
      </c>
      <c r="G190" s="405"/>
      <c r="H190" s="525">
        <f>H61</f>
        <v>5299434512</v>
      </c>
      <c r="I190" s="374"/>
    </row>
    <row r="191" spans="1:11">
      <c r="A191" s="411">
        <f t="shared" si="3"/>
        <v>184</v>
      </c>
      <c r="D191" s="377" t="s">
        <v>400</v>
      </c>
      <c r="F191" s="387" t="str">
        <f>"Line "&amp;A74</f>
        <v>Line 67</v>
      </c>
      <c r="G191" s="409"/>
      <c r="H191" s="525">
        <f>H74</f>
        <v>12586342751.33</v>
      </c>
      <c r="I191" s="374"/>
    </row>
    <row r="192" spans="1:11">
      <c r="A192" s="411">
        <f t="shared" si="3"/>
        <v>185</v>
      </c>
      <c r="D192" s="377" t="s">
        <v>305</v>
      </c>
      <c r="E192" s="387"/>
      <c r="G192" s="405"/>
      <c r="I192" s="374"/>
    </row>
    <row r="193" spans="1:11">
      <c r="A193" s="411">
        <f t="shared" si="3"/>
        <v>186</v>
      </c>
      <c r="D193" s="1042" t="s">
        <v>1637</v>
      </c>
      <c r="E193" s="387"/>
      <c r="F193" s="387" t="s">
        <v>796</v>
      </c>
      <c r="G193" s="847" t="s">
        <v>788</v>
      </c>
      <c r="H193" s="872">
        <f>180293499+336016733</f>
        <v>516310232</v>
      </c>
      <c r="I193" s="374"/>
    </row>
    <row r="194" spans="1:11">
      <c r="A194" s="411">
        <f t="shared" si="3"/>
        <v>187</v>
      </c>
      <c r="D194" s="1042" t="s">
        <v>1638</v>
      </c>
      <c r="E194" s="387"/>
      <c r="F194" s="374" t="s">
        <v>311</v>
      </c>
      <c r="G194" s="405"/>
      <c r="H194" s="864">
        <v>-120832084</v>
      </c>
      <c r="I194" s="374"/>
    </row>
    <row r="195" spans="1:11">
      <c r="A195" s="411">
        <f t="shared" si="3"/>
        <v>188</v>
      </c>
      <c r="D195" s="1042" t="s">
        <v>1639</v>
      </c>
      <c r="E195" s="387"/>
      <c r="F195" s="374" t="s">
        <v>310</v>
      </c>
      <c r="G195" s="405"/>
      <c r="H195" s="864">
        <v>-2282657448</v>
      </c>
      <c r="I195" s="374"/>
    </row>
    <row r="196" spans="1:11">
      <c r="A196" s="411">
        <f t="shared" si="3"/>
        <v>189</v>
      </c>
      <c r="D196" s="1042" t="s">
        <v>1640</v>
      </c>
      <c r="E196" s="387"/>
      <c r="F196" s="374" t="s">
        <v>312</v>
      </c>
      <c r="G196" s="405"/>
      <c r="H196" s="865">
        <v>-149486172</v>
      </c>
      <c r="I196" s="374"/>
    </row>
    <row r="197" spans="1:11">
      <c r="A197" s="411">
        <f t="shared" si="3"/>
        <v>190</v>
      </c>
      <c r="D197" s="374" t="s">
        <v>306</v>
      </c>
      <c r="E197" s="387"/>
      <c r="G197" s="405"/>
      <c r="H197" s="525">
        <f>SUM(H193:H196)</f>
        <v>-2036665472</v>
      </c>
      <c r="I197" s="374"/>
    </row>
    <row r="198" spans="1:11">
      <c r="A198" s="411">
        <f t="shared" si="3"/>
        <v>191</v>
      </c>
      <c r="E198" s="387"/>
      <c r="G198" s="405"/>
      <c r="H198" s="525"/>
      <c r="I198" s="374"/>
    </row>
    <row r="199" spans="1:11" ht="15.75">
      <c r="A199" s="411">
        <f t="shared" si="3"/>
        <v>192</v>
      </c>
      <c r="C199" s="387"/>
      <c r="D199" s="374" t="s">
        <v>309</v>
      </c>
      <c r="F199" s="380" t="str">
        <f>"(Line "&amp;A190&amp;" / "&amp;A191&amp;") * Line "&amp;A197</f>
        <v>(Line 183 / 184) * Line 190</v>
      </c>
      <c r="H199" s="401">
        <f>IF(H190=0,0,H190/H191*H197)</f>
        <v>-857530698.54823828</v>
      </c>
      <c r="J199" s="376"/>
    </row>
    <row r="200" spans="1:11">
      <c r="A200" s="411">
        <f t="shared" si="3"/>
        <v>193</v>
      </c>
      <c r="C200" s="400"/>
      <c r="D200" s="396"/>
      <c r="F200" s="380"/>
      <c r="G200" s="387"/>
    </row>
    <row r="201" spans="1:11">
      <c r="A201" s="411">
        <f t="shared" si="3"/>
        <v>194</v>
      </c>
      <c r="F201" s="380"/>
      <c r="G201" s="405"/>
      <c r="J201" s="380"/>
    </row>
    <row r="202" spans="1:11">
      <c r="A202" s="411">
        <f t="shared" si="3"/>
        <v>195</v>
      </c>
      <c r="D202" s="387" t="s">
        <v>307</v>
      </c>
      <c r="F202" s="374" t="str">
        <f>"Line "&amp;A14&amp;" + "&amp;A18</f>
        <v>Line 7 + 11</v>
      </c>
      <c r="H202" s="424">
        <f>+F14+F18</f>
        <v>9.8079852863790062E-2</v>
      </c>
      <c r="J202" s="380"/>
      <c r="K202" s="380"/>
    </row>
    <row r="203" spans="1:11">
      <c r="A203" s="411">
        <f t="shared" si="3"/>
        <v>196</v>
      </c>
      <c r="D203" s="396"/>
      <c r="H203" s="387"/>
      <c r="J203" s="380"/>
    </row>
    <row r="204" spans="1:11">
      <c r="A204" s="411">
        <f t="shared" si="3"/>
        <v>197</v>
      </c>
      <c r="B204" s="411"/>
      <c r="D204" s="374" t="s">
        <v>308</v>
      </c>
      <c r="H204" s="425">
        <f>H61</f>
        <v>5299434512</v>
      </c>
      <c r="J204" s="380"/>
    </row>
    <row r="205" spans="1:11">
      <c r="A205" s="411">
        <f t="shared" si="3"/>
        <v>198</v>
      </c>
      <c r="B205" s="380"/>
      <c r="C205" s="380"/>
      <c r="F205" s="380"/>
      <c r="H205" s="405"/>
    </row>
    <row r="206" spans="1:11">
      <c r="A206" s="411">
        <f t="shared" si="3"/>
        <v>199</v>
      </c>
      <c r="B206" s="380"/>
      <c r="C206" s="380"/>
      <c r="D206" s="402" t="s">
        <v>404</v>
      </c>
      <c r="E206" s="402"/>
      <c r="F206" s="402"/>
      <c r="G206" s="656"/>
      <c r="H206" s="426">
        <f>IF(H204=0,0,+H199*H202/H204)</f>
        <v>-1.5870841417012366E-2</v>
      </c>
      <c r="I206" s="421"/>
    </row>
    <row r="207" spans="1:11">
      <c r="A207" s="411">
        <f t="shared" si="3"/>
        <v>200</v>
      </c>
      <c r="G207" s="388"/>
      <c r="I207" s="374"/>
      <c r="J207" s="556"/>
    </row>
    <row r="208" spans="1:11">
      <c r="A208" s="411">
        <f t="shared" si="3"/>
        <v>201</v>
      </c>
      <c r="B208" s="391" t="s">
        <v>314</v>
      </c>
      <c r="I208" s="374"/>
    </row>
    <row r="209" spans="1:9">
      <c r="A209" s="411">
        <f t="shared" si="3"/>
        <v>202</v>
      </c>
      <c r="I209" s="374"/>
    </row>
    <row r="210" spans="1:9">
      <c r="A210" s="411">
        <f t="shared" si="3"/>
        <v>203</v>
      </c>
      <c r="H210" s="644"/>
    </row>
    <row r="211" spans="1:9">
      <c r="A211" s="411">
        <f t="shared" si="3"/>
        <v>204</v>
      </c>
      <c r="H211" s="419"/>
    </row>
    <row r="212" spans="1:9">
      <c r="A212" s="411">
        <f t="shared" si="3"/>
        <v>205</v>
      </c>
      <c r="D212" s="374" t="s">
        <v>315</v>
      </c>
      <c r="F212" s="374" t="s">
        <v>313</v>
      </c>
      <c r="G212" s="388"/>
      <c r="H212" s="864">
        <v>31112063</v>
      </c>
    </row>
    <row r="213" spans="1:9">
      <c r="A213" s="411">
        <f t="shared" si="3"/>
        <v>206</v>
      </c>
      <c r="D213" s="374" t="s">
        <v>316</v>
      </c>
      <c r="F213" s="374" t="str">
        <f>"Line "&amp;A139</f>
        <v>Line 132</v>
      </c>
      <c r="G213" s="387"/>
      <c r="H213" s="691">
        <f>H139</f>
        <v>7.3800000000000004E-2</v>
      </c>
    </row>
    <row r="214" spans="1:9">
      <c r="A214" s="411">
        <f t="shared" si="3"/>
        <v>207</v>
      </c>
      <c r="D214" s="374" t="s">
        <v>317</v>
      </c>
      <c r="F214" s="374" t="str">
        <f>"Line "&amp;A212&amp;" * "&amp;A213</f>
        <v>Line 205 * 206</v>
      </c>
      <c r="G214" s="388"/>
      <c r="H214" s="525">
        <f>H212*H213</f>
        <v>2296070.2494000001</v>
      </c>
    </row>
    <row r="215" spans="1:9">
      <c r="A215" s="411">
        <f t="shared" si="3"/>
        <v>208</v>
      </c>
      <c r="D215" s="374" t="s">
        <v>318</v>
      </c>
      <c r="F215" s="374" t="str">
        <f>"Line "&amp;A57</f>
        <v>Line 50</v>
      </c>
      <c r="G215" s="387"/>
      <c r="H215" s="389">
        <f>H57</f>
        <v>5303075656</v>
      </c>
    </row>
    <row r="216" spans="1:9">
      <c r="A216" s="411">
        <f t="shared" si="3"/>
        <v>209</v>
      </c>
      <c r="G216" s="387"/>
      <c r="H216" s="389"/>
    </row>
    <row r="217" spans="1:9">
      <c r="A217" s="411">
        <f t="shared" si="3"/>
        <v>210</v>
      </c>
      <c r="D217" s="374" t="s">
        <v>319</v>
      </c>
      <c r="F217" s="374" t="str">
        <f>"Line "&amp;A70</f>
        <v>Line 63</v>
      </c>
      <c r="G217" s="387"/>
      <c r="H217" s="389">
        <f>H70</f>
        <v>11918749273</v>
      </c>
    </row>
    <row r="218" spans="1:9" ht="12.75" thickBot="1">
      <c r="A218" s="411">
        <f t="shared" si="3"/>
        <v>211</v>
      </c>
      <c r="D218" s="374" t="s">
        <v>1274</v>
      </c>
      <c r="F218" s="374" t="str">
        <f>"Line "&amp;A215&amp;" / "&amp;A217</f>
        <v>Line 208 / 210</v>
      </c>
      <c r="G218" s="387"/>
      <c r="H218" s="733">
        <f>IF(H217=0,0,H215/H217)</f>
        <v>0.44493558296534191</v>
      </c>
    </row>
    <row r="219" spans="1:9" ht="12.75" thickBot="1">
      <c r="A219" s="411">
        <f>A218+1</f>
        <v>212</v>
      </c>
      <c r="D219" s="377" t="s">
        <v>320</v>
      </c>
      <c r="F219" s="374" t="str">
        <f>"(Line "&amp;A214&amp;" * "&amp;A218&amp;") / Line "&amp;A215</f>
        <v>(Line 207 * 211) / Line 208</v>
      </c>
      <c r="G219" s="388"/>
      <c r="H219" s="825">
        <f>IF(H218=0,0,(H214*H218)/(H215))</f>
        <v>1.9264355653502807E-4</v>
      </c>
      <c r="I219" s="419"/>
    </row>
    <row r="220" spans="1:9">
      <c r="A220" s="411"/>
      <c r="G220" s="387"/>
      <c r="H220" s="389"/>
    </row>
    <row r="221" spans="1:9">
      <c r="B221" s="377" t="s">
        <v>1711</v>
      </c>
    </row>
    <row r="223" spans="1:9">
      <c r="I223" s="374"/>
    </row>
    <row r="224" spans="1:9">
      <c r="I224" s="374"/>
    </row>
    <row r="225" spans="9:9">
      <c r="I225" s="374"/>
    </row>
    <row r="226" spans="9:9">
      <c r="I226" s="374"/>
    </row>
    <row r="227" spans="9:9">
      <c r="I227" s="374"/>
    </row>
    <row r="228" spans="9:9">
      <c r="I228" s="374"/>
    </row>
    <row r="229" spans="9:9">
      <c r="I229" s="374"/>
    </row>
    <row r="230" spans="9:9">
      <c r="I230" s="374"/>
    </row>
    <row r="231" spans="9:9">
      <c r="I231" s="374"/>
    </row>
    <row r="232" spans="9:9">
      <c r="I232" s="374"/>
    </row>
    <row r="233" spans="9:9">
      <c r="I233" s="374"/>
    </row>
    <row r="234" spans="9:9">
      <c r="I234" s="374"/>
    </row>
    <row r="235" spans="9:9">
      <c r="I235" s="374"/>
    </row>
    <row r="236" spans="9:9">
      <c r="I236" s="374"/>
    </row>
    <row r="237" spans="9:9">
      <c r="I237" s="374"/>
    </row>
    <row r="238" spans="9:9">
      <c r="I238" s="374"/>
    </row>
    <row r="239" spans="9:9">
      <c r="I239" s="374"/>
    </row>
    <row r="240" spans="9:9">
      <c r="I240" s="374"/>
    </row>
    <row r="241" spans="5:9">
      <c r="I241" s="374"/>
    </row>
    <row r="242" spans="5:9">
      <c r="I242" s="374"/>
    </row>
    <row r="243" spans="5:9">
      <c r="I243" s="374"/>
    </row>
    <row r="244" spans="5:9">
      <c r="I244" s="374"/>
    </row>
    <row r="245" spans="5:9">
      <c r="I245" s="374"/>
    </row>
    <row r="246" spans="5:9">
      <c r="I246" s="374"/>
    </row>
    <row r="247" spans="5:9">
      <c r="I247" s="374"/>
    </row>
    <row r="248" spans="5:9">
      <c r="I248" s="374"/>
    </row>
    <row r="249" spans="5:9">
      <c r="I249" s="374"/>
    </row>
    <row r="250" spans="5:9">
      <c r="I250" s="374"/>
    </row>
    <row r="251" spans="5:9">
      <c r="I251" s="374"/>
    </row>
    <row r="252" spans="5:9">
      <c r="I252" s="374"/>
    </row>
    <row r="253" spans="5:9">
      <c r="I253" s="374"/>
    </row>
    <row r="255" spans="5:9">
      <c r="E255" s="416"/>
    </row>
    <row r="256" spans="5:9">
      <c r="E256" s="410"/>
    </row>
    <row r="257" spans="9:9">
      <c r="I257" s="374"/>
    </row>
    <row r="258" spans="9:9">
      <c r="I258" s="374"/>
    </row>
    <row r="259" spans="9:9">
      <c r="I259" s="374"/>
    </row>
    <row r="260" spans="9:9">
      <c r="I260" s="374"/>
    </row>
    <row r="261" spans="9:9">
      <c r="I261" s="374"/>
    </row>
    <row r="262" spans="9:9">
      <c r="I262" s="374"/>
    </row>
    <row r="263" spans="9:9">
      <c r="I263" s="374"/>
    </row>
    <row r="264" spans="9:9">
      <c r="I264" s="374"/>
    </row>
    <row r="265" spans="9:9">
      <c r="I265" s="374"/>
    </row>
    <row r="266" spans="9:9">
      <c r="I266" s="374"/>
    </row>
    <row r="267" spans="9:9">
      <c r="I267" s="374"/>
    </row>
    <row r="268" spans="9:9">
      <c r="I268" s="374"/>
    </row>
    <row r="269" spans="9:9" ht="13.5" customHeight="1">
      <c r="I269" s="374"/>
    </row>
    <row r="270" spans="9:9">
      <c r="I270" s="374"/>
    </row>
    <row r="271" spans="9:9">
      <c r="I271" s="374"/>
    </row>
    <row r="272" spans="9:9">
      <c r="I272" s="374"/>
    </row>
    <row r="273" spans="9:9">
      <c r="I273" s="374"/>
    </row>
    <row r="274" spans="9:9">
      <c r="I274" s="374"/>
    </row>
    <row r="275" spans="9:9">
      <c r="I275" s="374"/>
    </row>
    <row r="276" spans="9:9">
      <c r="I276" s="374"/>
    </row>
    <row r="277" spans="9:9">
      <c r="I277" s="374"/>
    </row>
    <row r="278" spans="9:9">
      <c r="I278" s="374"/>
    </row>
    <row r="279" spans="9:9">
      <c r="I279" s="374"/>
    </row>
    <row r="280" spans="9:9">
      <c r="I280" s="374"/>
    </row>
    <row r="281" spans="9:9">
      <c r="I281" s="374"/>
    </row>
    <row r="282" spans="9:9">
      <c r="I282" s="374"/>
    </row>
    <row r="283" spans="9:9">
      <c r="I283" s="374"/>
    </row>
    <row r="284" spans="9:9">
      <c r="I284" s="374"/>
    </row>
    <row r="285" spans="9:9">
      <c r="I285" s="374"/>
    </row>
    <row r="286" spans="9:9">
      <c r="I286" s="374"/>
    </row>
    <row r="287" spans="9:9">
      <c r="I287" s="374"/>
    </row>
    <row r="289" spans="9:11">
      <c r="I289" s="374"/>
    </row>
    <row r="291" spans="9:11">
      <c r="I291" s="374"/>
    </row>
    <row r="292" spans="9:11">
      <c r="I292" s="374"/>
    </row>
    <row r="293" spans="9:11">
      <c r="I293" s="374"/>
    </row>
    <row r="294" spans="9:11">
      <c r="I294" s="374"/>
    </row>
    <row r="295" spans="9:11">
      <c r="I295" s="374"/>
    </row>
    <row r="296" spans="9:11">
      <c r="I296" s="374"/>
    </row>
    <row r="297" spans="9:11">
      <c r="I297" s="374"/>
      <c r="K297" s="380"/>
    </row>
    <row r="298" spans="9:11">
      <c r="I298" s="374"/>
      <c r="K298" s="380"/>
    </row>
    <row r="299" spans="9:11">
      <c r="I299" s="374"/>
      <c r="K299" s="380"/>
    </row>
    <row r="300" spans="9:11">
      <c r="I300" s="374"/>
      <c r="K300" s="380"/>
    </row>
    <row r="301" spans="9:11">
      <c r="I301" s="374"/>
      <c r="K301" s="380"/>
    </row>
    <row r="302" spans="9:11">
      <c r="I302" s="374"/>
      <c r="K302" s="380"/>
    </row>
    <row r="303" spans="9:11">
      <c r="I303" s="374"/>
      <c r="K303" s="380"/>
    </row>
    <row r="304" spans="9:11">
      <c r="I304" s="374"/>
      <c r="K304" s="380"/>
    </row>
    <row r="305" spans="9:11">
      <c r="I305" s="374"/>
      <c r="K305" s="380"/>
    </row>
    <row r="306" spans="9:11">
      <c r="I306" s="374"/>
      <c r="K306" s="380"/>
    </row>
    <row r="307" spans="9:11">
      <c r="I307" s="374"/>
      <c r="K307" s="380"/>
    </row>
    <row r="308" spans="9:11">
      <c r="I308" s="374"/>
      <c r="K308" s="380"/>
    </row>
    <row r="309" spans="9:11">
      <c r="I309" s="374"/>
    </row>
  </sheetData>
  <mergeCells count="1">
    <mergeCell ref="F71:G71"/>
  </mergeCells>
  <phoneticPr fontId="28" type="noConversion"/>
  <printOptions horizontalCentered="1"/>
  <pageMargins left="0.75" right="0.75" top="1" bottom="1" header="0.5" footer="0.5"/>
  <pageSetup scale="65" orientation="portrait" r:id="rId1"/>
  <headerFooter alignWithMargins="0">
    <oddHeader>&amp;RPage &amp;P of &amp;N</oddHeader>
  </headerFooter>
  <rowBreaks count="3" manualBreakCount="3">
    <brk id="30" max="8" man="1"/>
    <brk id="91" max="8" man="1"/>
    <brk id="14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pageSetUpPr fitToPage="1"/>
  </sheetPr>
  <dimension ref="A1:R56"/>
  <sheetViews>
    <sheetView view="pageBreakPreview" zoomScale="60" zoomScaleNormal="100" workbookViewId="0">
      <selection activeCell="Z34" sqref="Z34"/>
    </sheetView>
  </sheetViews>
  <sheetFormatPr defaultRowHeight="12.75"/>
  <cols>
    <col min="2" max="2" width="22.7109375" customWidth="1"/>
    <col min="3" max="3" width="2.5703125" customWidth="1"/>
    <col min="4" max="4" width="14.85546875" customWidth="1"/>
    <col min="5" max="5" width="1.7109375" customWidth="1"/>
    <col min="6" max="6" width="11.85546875" bestFit="1" customWidth="1"/>
    <col min="7" max="7" width="2.5703125" customWidth="1"/>
    <col min="8" max="8" width="12.140625" bestFit="1" customWidth="1"/>
    <col min="9" max="9" width="3.42578125" customWidth="1"/>
    <col min="10" max="10" width="14.140625" bestFit="1" customWidth="1"/>
    <col min="11" max="11" width="3.42578125" customWidth="1"/>
    <col min="12" max="12" width="16.85546875" bestFit="1" customWidth="1"/>
    <col min="13" max="13" width="23.28515625" customWidth="1"/>
    <col min="15" max="15" width="8.5703125" customWidth="1"/>
  </cols>
  <sheetData>
    <row r="1" spans="1:13">
      <c r="A1" s="99" t="str">
        <f>'Cover Page'!A5</f>
        <v>Public Service Company of Colorado</v>
      </c>
      <c r="L1" s="133" t="str">
        <f>'Table of Contents'!A41</f>
        <v>Table 33</v>
      </c>
      <c r="M1" s="133"/>
    </row>
    <row r="2" spans="1:13">
      <c r="A2" s="99" t="str">
        <f>'Cover Page'!A6</f>
        <v>Transmission Formula Rate Template</v>
      </c>
      <c r="L2" s="133" t="str">
        <f ca="1">MID(CELL("filename",$A$1),FIND("]",CELL("filename",$A$1))+1,LEN(CELL("filename",$A$1))-FIND("]",CELL("filename",$A$1)))</f>
        <v>WP_Cost per Unit</v>
      </c>
      <c r="M2" s="133"/>
    </row>
    <row r="3" spans="1:13">
      <c r="A3" s="99" t="s">
        <v>500</v>
      </c>
    </row>
    <row r="6" spans="1:13">
      <c r="J6" s="173" t="s">
        <v>425</v>
      </c>
      <c r="L6" s="173" t="s">
        <v>426</v>
      </c>
    </row>
    <row r="7" spans="1:13">
      <c r="A7" s="173"/>
      <c r="B7" s="173"/>
      <c r="C7" s="173"/>
      <c r="D7" s="173"/>
      <c r="E7" s="173"/>
      <c r="F7" s="173" t="s">
        <v>424</v>
      </c>
      <c r="G7" s="173"/>
      <c r="H7" s="173" t="s">
        <v>648</v>
      </c>
      <c r="I7" s="173"/>
      <c r="J7" s="194" t="s">
        <v>428</v>
      </c>
      <c r="K7" s="173"/>
      <c r="L7" s="194" t="s">
        <v>429</v>
      </c>
      <c r="M7" s="173"/>
    </row>
    <row r="8" spans="1:13">
      <c r="A8" s="2" t="s">
        <v>1375</v>
      </c>
      <c r="B8" s="2" t="s">
        <v>461</v>
      </c>
      <c r="C8" s="2"/>
      <c r="D8" s="2" t="s">
        <v>423</v>
      </c>
      <c r="E8" s="2"/>
      <c r="F8" s="2" t="s">
        <v>647</v>
      </c>
      <c r="G8" s="2"/>
      <c r="H8" s="2" t="s">
        <v>427</v>
      </c>
      <c r="I8" s="2"/>
      <c r="J8" s="2" t="s">
        <v>1104</v>
      </c>
      <c r="K8" s="2"/>
      <c r="L8" s="2" t="s">
        <v>1105</v>
      </c>
      <c r="M8" s="194"/>
    </row>
    <row r="9" spans="1:13">
      <c r="B9" s="111" t="s">
        <v>358</v>
      </c>
      <c r="C9" s="111"/>
      <c r="D9" s="111" t="s">
        <v>357</v>
      </c>
      <c r="E9" s="111"/>
      <c r="F9" s="111" t="s">
        <v>359</v>
      </c>
      <c r="G9" s="111"/>
      <c r="H9" s="111" t="s">
        <v>360</v>
      </c>
      <c r="I9" s="111"/>
      <c r="J9" s="111" t="s">
        <v>361</v>
      </c>
      <c r="K9" s="111"/>
      <c r="L9" s="111" t="s">
        <v>362</v>
      </c>
      <c r="M9" s="106"/>
    </row>
    <row r="10" spans="1:13">
      <c r="B10" s="106"/>
      <c r="C10" s="106"/>
      <c r="D10" s="106"/>
      <c r="E10" s="106"/>
      <c r="F10" s="106"/>
      <c r="G10" s="106"/>
      <c r="H10" s="106"/>
      <c r="I10" s="106"/>
      <c r="J10" s="106"/>
      <c r="K10" s="106"/>
      <c r="L10" s="106"/>
      <c r="M10" s="106"/>
    </row>
    <row r="11" spans="1:13">
      <c r="A11" s="106">
        <v>1</v>
      </c>
      <c r="B11" s="1143" t="s">
        <v>430</v>
      </c>
      <c r="D11" s="868">
        <v>4422869</v>
      </c>
      <c r="E11" s="869"/>
      <c r="F11" s="1144">
        <v>0</v>
      </c>
      <c r="H11" s="434">
        <f>IF(F11=0,0,ROUND(F11/F$47,5))</f>
        <v>0</v>
      </c>
      <c r="J11" s="219">
        <f>H11*$J$53</f>
        <v>0</v>
      </c>
      <c r="L11" s="428">
        <f>D11+J11</f>
        <v>4422869</v>
      </c>
      <c r="M11" s="848"/>
    </row>
    <row r="12" spans="1:13">
      <c r="A12" s="106"/>
      <c r="B12" s="431"/>
      <c r="D12" s="870"/>
      <c r="E12" s="869"/>
      <c r="F12" s="1145"/>
      <c r="J12" s="219"/>
      <c r="L12" s="428"/>
      <c r="M12" s="428"/>
    </row>
    <row r="13" spans="1:13">
      <c r="A13" s="106">
        <f>A11+1</f>
        <v>2</v>
      </c>
      <c r="B13" s="1143" t="s">
        <v>1721</v>
      </c>
      <c r="D13" s="868">
        <v>273151476</v>
      </c>
      <c r="E13" s="869"/>
      <c r="F13" s="1146">
        <v>505800</v>
      </c>
      <c r="H13" s="434">
        <f>IF(F13=0,0,ROUND(F13/F$47,5))</f>
        <v>7.3209999999999997E-2</v>
      </c>
      <c r="J13" s="219">
        <f>H13*$J$53</f>
        <v>0</v>
      </c>
      <c r="L13" s="428">
        <f>D13+J13</f>
        <v>273151476</v>
      </c>
      <c r="M13" s="428"/>
    </row>
    <row r="14" spans="1:13">
      <c r="B14" s="110"/>
      <c r="D14" s="870"/>
      <c r="E14" s="869"/>
      <c r="F14" s="1145"/>
      <c r="J14" s="219"/>
      <c r="L14" s="428"/>
      <c r="M14" s="428"/>
    </row>
    <row r="15" spans="1:13">
      <c r="A15" s="106">
        <f>A13+1</f>
        <v>3</v>
      </c>
      <c r="B15" s="1143" t="s">
        <v>1722</v>
      </c>
      <c r="C15" s="106"/>
      <c r="D15" s="868">
        <v>583578463</v>
      </c>
      <c r="E15" s="869"/>
      <c r="F15" s="1144">
        <v>625600</v>
      </c>
      <c r="H15" s="434">
        <f>IF(F15=0,0,ROUND(F15/F$47,5))</f>
        <v>9.0550000000000005E-2</v>
      </c>
      <c r="J15" s="219">
        <f>H15*$J$53</f>
        <v>0</v>
      </c>
      <c r="L15" s="428">
        <f>D15+J15</f>
        <v>583578463</v>
      </c>
      <c r="M15" s="428"/>
    </row>
    <row r="16" spans="1:13">
      <c r="B16" s="110"/>
      <c r="C16" s="106"/>
      <c r="D16" s="870"/>
      <c r="E16" s="869"/>
      <c r="F16" s="1145"/>
      <c r="J16" s="219"/>
      <c r="L16" s="428"/>
      <c r="M16" s="428"/>
    </row>
    <row r="17" spans="1:13">
      <c r="A17" s="106">
        <f>A15+1</f>
        <v>4</v>
      </c>
      <c r="B17" s="1143" t="s">
        <v>432</v>
      </c>
      <c r="C17" s="106"/>
      <c r="D17" s="868">
        <v>1546185463</v>
      </c>
      <c r="E17" s="869"/>
      <c r="F17" s="1144">
        <v>1635300</v>
      </c>
      <c r="H17" s="434">
        <f>IF(F17=0,0,ROUND(F17/F$47,5))</f>
        <v>0.23668</v>
      </c>
      <c r="J17" s="219">
        <f>H17*$J$53</f>
        <v>0</v>
      </c>
      <c r="L17" s="428">
        <f>D17+J17</f>
        <v>1546185463</v>
      </c>
      <c r="M17" s="428"/>
    </row>
    <row r="18" spans="1:13">
      <c r="B18" s="431"/>
      <c r="C18" s="106"/>
      <c r="D18" s="870"/>
      <c r="E18" s="869"/>
      <c r="F18" s="1145"/>
      <c r="J18" s="219"/>
      <c r="L18" s="428"/>
      <c r="M18" s="428"/>
    </row>
    <row r="19" spans="1:13">
      <c r="A19" s="106">
        <f>A17+1</f>
        <v>5</v>
      </c>
      <c r="B19" s="1143" t="s">
        <v>433</v>
      </c>
      <c r="C19" s="106"/>
      <c r="D19" s="868">
        <v>97482671</v>
      </c>
      <c r="E19" s="869"/>
      <c r="F19" s="1144">
        <v>86900</v>
      </c>
      <c r="H19" s="434">
        <f>IF(F19=0,0,ROUND(F19/F$47,5))</f>
        <v>1.2579999999999999E-2</v>
      </c>
      <c r="J19" s="219">
        <f>H19*$J$53</f>
        <v>0</v>
      </c>
      <c r="L19" s="428">
        <f>D19+J19</f>
        <v>97482671</v>
      </c>
      <c r="M19" s="428"/>
    </row>
    <row r="20" spans="1:13">
      <c r="B20" s="431"/>
      <c r="C20" s="106"/>
      <c r="D20" s="870"/>
      <c r="E20" s="869"/>
      <c r="F20" s="1145"/>
      <c r="J20" s="219"/>
      <c r="L20" s="428"/>
      <c r="M20" s="428"/>
    </row>
    <row r="21" spans="1:13">
      <c r="A21" s="106">
        <f>A19+1</f>
        <v>6</v>
      </c>
      <c r="B21" s="1143" t="s">
        <v>441</v>
      </c>
      <c r="C21" s="106"/>
      <c r="D21" s="868">
        <v>314127434</v>
      </c>
      <c r="E21" s="869"/>
      <c r="F21" s="1144">
        <v>465390</v>
      </c>
      <c r="H21" s="434">
        <f>IF(F21=0,0,ROUND(F21/F$47,5))</f>
        <v>6.7360000000000003E-2</v>
      </c>
      <c r="J21" s="219">
        <f>H21*$J$53</f>
        <v>0</v>
      </c>
      <c r="L21" s="428">
        <f>D21+J21</f>
        <v>314127434</v>
      </c>
      <c r="M21" s="428"/>
    </row>
    <row r="22" spans="1:13">
      <c r="B22" s="431"/>
      <c r="C22" s="106"/>
      <c r="D22" s="870"/>
      <c r="E22" s="869"/>
      <c r="F22" s="1145"/>
      <c r="J22" s="219"/>
      <c r="L22" s="428"/>
      <c r="M22" s="428"/>
    </row>
    <row r="23" spans="1:13">
      <c r="A23" s="106">
        <f>A21+1</f>
        <v>7</v>
      </c>
      <c r="B23" s="1143" t="s">
        <v>442</v>
      </c>
      <c r="C23" s="106"/>
      <c r="D23" s="868">
        <v>918152433</v>
      </c>
      <c r="E23" s="869"/>
      <c r="F23" s="1144">
        <v>552330</v>
      </c>
      <c r="H23" s="434">
        <f>IF(F23=0,0,ROUND(F23/F$47,5))</f>
        <v>7.9939999999999997E-2</v>
      </c>
      <c r="J23" s="219">
        <f>H23*$J$53</f>
        <v>0</v>
      </c>
      <c r="L23" s="428">
        <f>D23+J23</f>
        <v>918152433</v>
      </c>
      <c r="M23" s="428"/>
    </row>
    <row r="24" spans="1:13">
      <c r="B24" s="431"/>
      <c r="C24" s="106"/>
      <c r="D24" s="870"/>
      <c r="E24" s="869"/>
      <c r="F24" s="1145"/>
      <c r="J24" s="219"/>
      <c r="L24" s="428"/>
      <c r="M24" s="428"/>
    </row>
    <row r="25" spans="1:13">
      <c r="A25" s="106">
        <f>A23+1</f>
        <v>8</v>
      </c>
      <c r="B25" s="1143" t="s">
        <v>635</v>
      </c>
      <c r="C25" s="106"/>
      <c r="D25" s="868">
        <v>141947225</v>
      </c>
      <c r="E25" s="869"/>
      <c r="F25" s="1144">
        <v>191680</v>
      </c>
      <c r="H25" s="434">
        <f>IF(F25=0,0,ROUND(F25/F$47,5))</f>
        <v>2.7740000000000001E-2</v>
      </c>
      <c r="J25" s="219">
        <f>H25*$J$53</f>
        <v>0</v>
      </c>
      <c r="L25" s="428">
        <f>D25+J25</f>
        <v>141947225</v>
      </c>
      <c r="M25" s="428"/>
    </row>
    <row r="26" spans="1:13">
      <c r="B26" s="110"/>
      <c r="C26" s="106"/>
      <c r="D26" s="870"/>
      <c r="E26" s="869"/>
      <c r="F26" s="1145"/>
      <c r="J26" s="219"/>
      <c r="L26" s="428"/>
      <c r="M26" s="428"/>
    </row>
    <row r="27" spans="1:13">
      <c r="A27" s="106">
        <f>A25+1</f>
        <v>9</v>
      </c>
      <c r="B27" s="1143" t="s">
        <v>443</v>
      </c>
      <c r="C27" s="106"/>
      <c r="D27" s="868">
        <v>26466027</v>
      </c>
      <c r="E27" s="869"/>
      <c r="F27" s="1144">
        <v>75000</v>
      </c>
      <c r="H27" s="434">
        <f>IF(F27=0,0,ROUND(F27/F$47,5))</f>
        <v>1.085E-2</v>
      </c>
      <c r="J27" s="219">
        <f>H27*$J$53</f>
        <v>0</v>
      </c>
      <c r="L27" s="428">
        <f>D27+J27</f>
        <v>26466027</v>
      </c>
      <c r="M27" s="428"/>
    </row>
    <row r="28" spans="1:13">
      <c r="B28" s="431"/>
      <c r="C28" s="106"/>
      <c r="D28" s="870"/>
      <c r="E28" s="869"/>
      <c r="F28" s="1145"/>
      <c r="J28" s="219"/>
      <c r="L28" s="428"/>
      <c r="M28" s="428"/>
    </row>
    <row r="29" spans="1:13">
      <c r="A29" s="106">
        <f>A27+1</f>
        <v>10</v>
      </c>
      <c r="B29" s="1143" t="s">
        <v>444</v>
      </c>
      <c r="C29" s="106"/>
      <c r="D29" s="868">
        <v>9655556</v>
      </c>
      <c r="E29" s="869"/>
      <c r="F29" s="1144">
        <v>53280</v>
      </c>
      <c r="H29" s="434">
        <f>IF(F29=0,0,ROUND(F29/F$47,5))</f>
        <v>7.7099999999999998E-3</v>
      </c>
      <c r="J29" s="219">
        <f>H29*$J$53</f>
        <v>0</v>
      </c>
      <c r="L29" s="428">
        <f>D29+J29</f>
        <v>9655556</v>
      </c>
      <c r="M29" s="428"/>
    </row>
    <row r="30" spans="1:13">
      <c r="B30" s="431"/>
      <c r="C30" s="106"/>
      <c r="D30" s="870"/>
      <c r="E30" s="869"/>
      <c r="F30" s="1145"/>
      <c r="J30" s="219"/>
      <c r="L30" s="428"/>
      <c r="M30" s="428"/>
    </row>
    <row r="31" spans="1:13">
      <c r="A31" s="106">
        <f>A29+1</f>
        <v>11</v>
      </c>
      <c r="B31" s="1143" t="s">
        <v>445</v>
      </c>
      <c r="C31" s="106"/>
      <c r="D31" s="868">
        <v>13725060</v>
      </c>
      <c r="E31" s="869"/>
      <c r="F31" s="1144">
        <v>100800</v>
      </c>
      <c r="H31" s="434">
        <f>IF(F31=0,0,ROUND(F31/F$47,5))</f>
        <v>1.4590000000000001E-2</v>
      </c>
      <c r="J31" s="219">
        <f>H31*$J$53</f>
        <v>0</v>
      </c>
      <c r="L31" s="428">
        <f>D31+J31</f>
        <v>13725060</v>
      </c>
      <c r="M31" s="428"/>
    </row>
    <row r="32" spans="1:13">
      <c r="B32" s="431"/>
      <c r="C32" s="106"/>
      <c r="D32" s="870"/>
      <c r="E32" s="869"/>
      <c r="F32" s="1145"/>
      <c r="J32" s="219"/>
      <c r="L32" s="428"/>
      <c r="M32" s="428"/>
    </row>
    <row r="33" spans="1:13">
      <c r="A33" s="106">
        <f>A31+1</f>
        <v>12</v>
      </c>
      <c r="B33" s="1143" t="s">
        <v>446</v>
      </c>
      <c r="C33" s="106"/>
      <c r="D33" s="868">
        <v>3463907</v>
      </c>
      <c r="E33" s="869"/>
      <c r="F33" s="1144">
        <v>26640</v>
      </c>
      <c r="H33" s="434">
        <f>IF(F33=0,0,ROUND(F33/F$47,5))</f>
        <v>3.8600000000000001E-3</v>
      </c>
      <c r="J33" s="219">
        <f>H33*$J$53</f>
        <v>0</v>
      </c>
      <c r="L33" s="428">
        <f>D33+J33</f>
        <v>3463907</v>
      </c>
      <c r="M33" s="428"/>
    </row>
    <row r="34" spans="1:13">
      <c r="B34" s="431"/>
      <c r="C34" s="106"/>
      <c r="D34" s="870"/>
      <c r="E34" s="869"/>
      <c r="F34" s="1145"/>
      <c r="J34" s="219"/>
      <c r="L34" s="428"/>
      <c r="M34" s="428"/>
    </row>
    <row r="35" spans="1:13">
      <c r="A35" s="106">
        <f>A33+1</f>
        <v>13</v>
      </c>
      <c r="B35" s="1143" t="s">
        <v>447</v>
      </c>
      <c r="C35" s="106"/>
      <c r="D35" s="868">
        <v>9413482</v>
      </c>
      <c r="E35" s="869"/>
      <c r="F35" s="1144">
        <v>59300</v>
      </c>
      <c r="H35" s="434">
        <f>IF(F35=0,0,ROUND(F35/F$47,5))</f>
        <v>8.5800000000000008E-3</v>
      </c>
      <c r="J35" s="219">
        <f>H35*$J$53</f>
        <v>0</v>
      </c>
      <c r="L35" s="428">
        <f>D35+J35</f>
        <v>9413482</v>
      </c>
      <c r="M35" s="428"/>
    </row>
    <row r="36" spans="1:13">
      <c r="B36" s="431"/>
      <c r="C36" s="106"/>
      <c r="D36" s="870"/>
      <c r="E36" s="869"/>
      <c r="F36" s="1145"/>
      <c r="J36" s="219"/>
      <c r="L36" s="428"/>
      <c r="M36" s="428"/>
    </row>
    <row r="37" spans="1:13">
      <c r="A37" s="106">
        <f>A35+1</f>
        <v>14</v>
      </c>
      <c r="B37" s="1143" t="s">
        <v>636</v>
      </c>
      <c r="C37" s="106"/>
      <c r="D37" s="868">
        <v>428426635</v>
      </c>
      <c r="E37" s="869"/>
      <c r="F37" s="1144">
        <v>867850</v>
      </c>
      <c r="H37" s="434">
        <f>IF(F37=0,0,ROUND(F37/F$47,5))</f>
        <v>0.12561</v>
      </c>
      <c r="J37" s="219">
        <f>H37*$J$53</f>
        <v>0</v>
      </c>
      <c r="L37" s="428">
        <f>D37+J37</f>
        <v>428426635</v>
      </c>
      <c r="M37" s="428"/>
    </row>
    <row r="38" spans="1:13">
      <c r="B38" s="431"/>
      <c r="C38" s="106"/>
      <c r="D38" s="870"/>
      <c r="E38" s="869"/>
      <c r="F38" s="1145"/>
      <c r="J38" s="219"/>
      <c r="L38" s="428"/>
      <c r="M38" s="428"/>
    </row>
    <row r="39" spans="1:13">
      <c r="A39" s="106">
        <f>A37+1</f>
        <v>15</v>
      </c>
      <c r="B39" s="1143" t="s">
        <v>742</v>
      </c>
      <c r="C39" s="106"/>
      <c r="D39" s="868">
        <v>164907064</v>
      </c>
      <c r="E39" s="869"/>
      <c r="F39" s="1144">
        <v>280500</v>
      </c>
      <c r="H39" s="434">
        <f>IF(F39=0,0,ROUND(F39/F$47,5))</f>
        <v>4.0599999999999997E-2</v>
      </c>
      <c r="J39" s="219">
        <f>H39*$J$53</f>
        <v>0</v>
      </c>
      <c r="L39" s="428">
        <f>D39+J39</f>
        <v>164907064</v>
      </c>
      <c r="M39" s="428"/>
    </row>
    <row r="40" spans="1:13">
      <c r="B40" s="431"/>
      <c r="C40" s="106"/>
      <c r="D40" s="870"/>
      <c r="E40" s="869"/>
      <c r="F40" s="1145"/>
      <c r="J40" s="219"/>
      <c r="L40" s="428"/>
      <c r="M40" s="428"/>
    </row>
    <row r="41" spans="1:13">
      <c r="A41" s="106">
        <f>A39+1</f>
        <v>16</v>
      </c>
      <c r="B41" s="1143" t="s">
        <v>1197</v>
      </c>
      <c r="C41" s="106"/>
      <c r="D41" s="868">
        <v>218060654</v>
      </c>
      <c r="E41" s="869"/>
      <c r="F41" s="1144">
        <v>397800</v>
      </c>
      <c r="H41" s="434">
        <f>IF(F41=0,0,ROUND(F41/F$47,5))</f>
        <v>5.7570000000000003E-2</v>
      </c>
      <c r="J41" s="219">
        <f>H41*$J$53</f>
        <v>0</v>
      </c>
      <c r="L41" s="428">
        <f>D41+J41</f>
        <v>218060654</v>
      </c>
      <c r="M41" s="428"/>
    </row>
    <row r="42" spans="1:13">
      <c r="B42" s="431"/>
      <c r="C42" s="106"/>
      <c r="D42" s="870"/>
      <c r="E42" s="869"/>
      <c r="F42" s="1145"/>
      <c r="J42" s="219"/>
      <c r="L42" s="428"/>
      <c r="M42" s="428"/>
    </row>
    <row r="43" spans="1:13">
      <c r="A43" s="106">
        <f>A41+1</f>
        <v>17</v>
      </c>
      <c r="B43" s="1143" t="s">
        <v>743</v>
      </c>
      <c r="C43" s="106"/>
      <c r="D43" s="868">
        <v>396556016</v>
      </c>
      <c r="E43" s="869"/>
      <c r="F43" s="1144">
        <v>685100</v>
      </c>
      <c r="H43" s="434">
        <f>IF(F43=0,0,ROUND(F43/F$47,5))</f>
        <v>9.9159999999999998E-2</v>
      </c>
      <c r="J43" s="219">
        <f>H43*$J$53</f>
        <v>0</v>
      </c>
      <c r="L43" s="428">
        <f>D43+J43</f>
        <v>396556016</v>
      </c>
      <c r="M43" s="428"/>
    </row>
    <row r="44" spans="1:13">
      <c r="B44" s="431"/>
      <c r="C44" s="106"/>
      <c r="D44" s="431"/>
      <c r="E44" s="110"/>
      <c r="F44" s="110"/>
      <c r="J44" s="219"/>
      <c r="L44" s="428"/>
      <c r="M44" s="428"/>
    </row>
    <row r="45" spans="1:13">
      <c r="A45" s="106">
        <f>A43+1</f>
        <v>18</v>
      </c>
      <c r="B45" s="1143" t="s">
        <v>448</v>
      </c>
      <c r="C45" s="106"/>
      <c r="D45" s="868">
        <v>60091367</v>
      </c>
      <c r="E45" s="110"/>
      <c r="F45" s="1144">
        <v>300000</v>
      </c>
      <c r="H45" s="434">
        <f>IF(F45=0,0,ROUND(F45/F$47,5))</f>
        <v>4.342E-2</v>
      </c>
      <c r="J45" s="219">
        <f>H45*$J$53</f>
        <v>0</v>
      </c>
      <c r="L45" s="428">
        <f>D45+J45</f>
        <v>60091367</v>
      </c>
      <c r="M45" s="428"/>
    </row>
    <row r="47" spans="1:13">
      <c r="A47" s="106">
        <f>A45+1</f>
        <v>19</v>
      </c>
      <c r="B47" t="s">
        <v>790</v>
      </c>
      <c r="D47" s="704">
        <f>SUM(D11:D45)</f>
        <v>5209813802</v>
      </c>
      <c r="F47" s="705">
        <f>SUM(F11:F45)</f>
        <v>6909270</v>
      </c>
      <c r="H47" s="706">
        <f>ROUND(SUM(H11:H45),4)</f>
        <v>1</v>
      </c>
      <c r="J47" s="707">
        <f>SUM(J11:J45)</f>
        <v>0</v>
      </c>
      <c r="K47" s="529"/>
      <c r="L47" s="707">
        <f>SUM(L11:L45)</f>
        <v>5209813802</v>
      </c>
      <c r="M47" s="1"/>
    </row>
    <row r="48" spans="1:13">
      <c r="A48" s="106"/>
      <c r="H48" s="434"/>
    </row>
    <row r="49" spans="1:18">
      <c r="A49" s="106">
        <f>A47+1</f>
        <v>20</v>
      </c>
      <c r="I49" s="1030" t="s">
        <v>1593</v>
      </c>
      <c r="J49" s="1052">
        <v>0</v>
      </c>
      <c r="M49" s="1"/>
    </row>
    <row r="50" spans="1:18">
      <c r="I50" s="73"/>
    </row>
    <row r="51" spans="1:18">
      <c r="A51" s="106">
        <f>A49+1</f>
        <v>21</v>
      </c>
      <c r="F51" s="110"/>
      <c r="G51" s="110"/>
      <c r="H51" s="110"/>
      <c r="I51" s="1136" t="s">
        <v>955</v>
      </c>
      <c r="J51" s="144">
        <f>'Schedule 2'!H20</f>
        <v>60657710</v>
      </c>
      <c r="M51" s="1"/>
    </row>
    <row r="52" spans="1:18">
      <c r="I52" s="73"/>
      <c r="J52" s="435"/>
    </row>
    <row r="53" spans="1:18">
      <c r="A53" s="106">
        <f>A51+1</f>
        <v>22</v>
      </c>
      <c r="I53" s="1030" t="s">
        <v>1641</v>
      </c>
      <c r="J53" s="134">
        <f>J49*J51</f>
        <v>0</v>
      </c>
      <c r="R53" s="73"/>
    </row>
    <row r="54" spans="1:18">
      <c r="A54" s="106"/>
      <c r="J54" s="134"/>
      <c r="L54" s="433"/>
    </row>
    <row r="55" spans="1:18">
      <c r="B55" s="79" t="s">
        <v>922</v>
      </c>
    </row>
    <row r="56" spans="1:18">
      <c r="B56" s="79" t="s">
        <v>923</v>
      </c>
    </row>
  </sheetData>
  <phoneticPr fontId="2" type="noConversion"/>
  <printOptions horizontalCentered="1"/>
  <pageMargins left="0.75" right="0.75" top="1" bottom="1" header="0.5" footer="0.5"/>
  <pageSetup scale="78" orientation="portrait" r:id="rId1"/>
  <headerFooter alignWithMargins="0">
    <oddHeader>&amp;RPage &amp;P of &amp;N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BA379"/>
  <sheetViews>
    <sheetView view="pageBreakPreview" topLeftCell="A85" zoomScale="60" zoomScaleNormal="100" workbookViewId="0">
      <selection activeCell="Z34" sqref="Z34"/>
    </sheetView>
  </sheetViews>
  <sheetFormatPr defaultRowHeight="12.75"/>
  <cols>
    <col min="1" max="1" width="5.42578125" customWidth="1"/>
    <col min="2" max="2" width="10.140625" customWidth="1"/>
    <col min="3" max="3" width="5.5703125" customWidth="1"/>
    <col min="4" max="4" width="7.5703125" bestFit="1" customWidth="1"/>
    <col min="5" max="6" width="7.7109375" bestFit="1" customWidth="1"/>
    <col min="7" max="7" width="51.140625" bestFit="1" customWidth="1"/>
    <col min="8" max="8" width="7.5703125" bestFit="1" customWidth="1"/>
    <col min="9" max="9" width="7.7109375" bestFit="1" customWidth="1"/>
    <col min="10" max="10" width="7.5703125" bestFit="1" customWidth="1"/>
    <col min="11" max="12" width="7.7109375" bestFit="1" customWidth="1"/>
    <col min="13" max="22" width="7.5703125" bestFit="1" customWidth="1"/>
    <col min="23" max="23" width="7.7109375" bestFit="1" customWidth="1"/>
    <col min="24" max="24" width="7.5703125" bestFit="1" customWidth="1"/>
    <col min="25" max="27" width="7.7109375" bestFit="1" customWidth="1"/>
    <col min="28" max="28" width="8.5703125" customWidth="1"/>
    <col min="29" max="29" width="6.85546875" customWidth="1"/>
    <col min="30" max="30" width="5" customWidth="1"/>
    <col min="31" max="31" width="5.140625" bestFit="1" customWidth="1"/>
    <col min="32" max="33" width="5.7109375" bestFit="1" customWidth="1"/>
    <col min="34" max="34" width="5.85546875" customWidth="1"/>
    <col min="35" max="53" width="5.140625" bestFit="1" customWidth="1"/>
  </cols>
  <sheetData>
    <row r="1" spans="1:53">
      <c r="A1" s="99" t="str">
        <f>'Cover Page'!A5</f>
        <v>Public Service Company of Colorado</v>
      </c>
      <c r="Z1" s="110"/>
      <c r="AA1" s="110"/>
      <c r="AB1" s="577" t="str">
        <f>'Table of Contents'!A42</f>
        <v>Table 34</v>
      </c>
      <c r="AC1" s="99" t="str">
        <f>A1</f>
        <v>Public Service Company of Colorado</v>
      </c>
      <c r="AY1" s="110"/>
      <c r="AZ1" s="110"/>
      <c r="BA1" s="577" t="str">
        <f>AB1</f>
        <v>Table 34</v>
      </c>
    </row>
    <row r="2" spans="1:53">
      <c r="A2" s="99" t="str">
        <f>'Cover Page'!A6</f>
        <v>Transmission Formula Rate Template</v>
      </c>
      <c r="Z2" s="110"/>
      <c r="AA2" s="110"/>
      <c r="AB2" s="577" t="str">
        <f ca="1">MID(CELL("filename",$A$1),FIND("]",CELL("filename",$A$1))+1,LEN(CELL("filename",$A$1))-FIND("]",CELL("filename",$A$1)))</f>
        <v>WP_Load Factor</v>
      </c>
      <c r="AC2" s="99" t="str">
        <f>A2</f>
        <v>Transmission Formula Rate Template</v>
      </c>
      <c r="AY2" s="110"/>
      <c r="AZ2" s="110"/>
      <c r="BA2" s="577" t="str">
        <f ca="1">AB2</f>
        <v>WP_Load Factor</v>
      </c>
    </row>
    <row r="3" spans="1:53">
      <c r="A3" s="99" t="s">
        <v>1048</v>
      </c>
      <c r="AC3" s="99" t="str">
        <f>A3</f>
        <v>Hourly Demand Data from Form 714 page 9a</v>
      </c>
    </row>
    <row r="5" spans="1:53">
      <c r="G5" s="147" t="s">
        <v>1049</v>
      </c>
      <c r="H5" s="711">
        <f>AVERAGE(AB12:AB346)</f>
        <v>6630</v>
      </c>
    </row>
    <row r="6" spans="1:53" ht="13.5" thickBot="1">
      <c r="C6" s="147"/>
      <c r="G6" s="147" t="s">
        <v>1050</v>
      </c>
      <c r="H6" s="724">
        <f>AVERAGE(AD12:BA376)/2</f>
        <v>76.952563077976933</v>
      </c>
    </row>
    <row r="7" spans="1:53" ht="13.5" thickBot="1">
      <c r="G7" s="147" t="s">
        <v>323</v>
      </c>
      <c r="H7" s="725">
        <f>H6/H5</f>
        <v>1.1606721429559114E-2</v>
      </c>
    </row>
    <row r="9" spans="1:53" ht="13.5" thickBot="1"/>
    <row r="10" spans="1:53" ht="26.25" thickBot="1">
      <c r="A10" s="721" t="s">
        <v>1375</v>
      </c>
      <c r="B10" s="720" t="s">
        <v>928</v>
      </c>
      <c r="C10" s="716" t="s">
        <v>1008</v>
      </c>
      <c r="D10" s="717" t="s">
        <v>1009</v>
      </c>
      <c r="E10" s="718" t="s">
        <v>1010</v>
      </c>
      <c r="F10" s="717" t="s">
        <v>1011</v>
      </c>
      <c r="G10" s="718" t="s">
        <v>1012</v>
      </c>
      <c r="H10" s="717" t="s">
        <v>1013</v>
      </c>
      <c r="I10" s="718" t="s">
        <v>1014</v>
      </c>
      <c r="J10" s="717" t="s">
        <v>1015</v>
      </c>
      <c r="K10" s="718" t="s">
        <v>1016</v>
      </c>
      <c r="L10" s="717" t="s">
        <v>1017</v>
      </c>
      <c r="M10" s="718" t="s">
        <v>1018</v>
      </c>
      <c r="N10" s="717" t="s">
        <v>1019</v>
      </c>
      <c r="O10" s="718" t="s">
        <v>1020</v>
      </c>
      <c r="P10" s="717" t="s">
        <v>1021</v>
      </c>
      <c r="Q10" s="718" t="s">
        <v>1022</v>
      </c>
      <c r="R10" s="717" t="s">
        <v>1023</v>
      </c>
      <c r="S10" s="718" t="s">
        <v>1024</v>
      </c>
      <c r="T10" s="717" t="s">
        <v>1025</v>
      </c>
      <c r="U10" s="718" t="s">
        <v>1041</v>
      </c>
      <c r="V10" s="717" t="s">
        <v>1042</v>
      </c>
      <c r="W10" s="718" t="s">
        <v>1043</v>
      </c>
      <c r="X10" s="717" t="s">
        <v>1044</v>
      </c>
      <c r="Y10" s="718" t="s">
        <v>1045</v>
      </c>
      <c r="Z10" s="717" t="s">
        <v>1046</v>
      </c>
      <c r="AA10" s="719" t="s">
        <v>1047</v>
      </c>
      <c r="AB10" s="715" t="s">
        <v>1007</v>
      </c>
      <c r="AC10" s="721" t="str">
        <f>A10</f>
        <v>Line No</v>
      </c>
      <c r="AD10" s="713" t="s">
        <v>1009</v>
      </c>
      <c r="AE10" s="714" t="s">
        <v>1010</v>
      </c>
      <c r="AF10" s="713" t="s">
        <v>1011</v>
      </c>
      <c r="AG10" s="714" t="s">
        <v>1012</v>
      </c>
      <c r="AH10" s="713" t="s">
        <v>1013</v>
      </c>
      <c r="AI10" s="714" t="s">
        <v>1014</v>
      </c>
      <c r="AJ10" s="713" t="s">
        <v>1015</v>
      </c>
      <c r="AK10" s="714" t="s">
        <v>1016</v>
      </c>
      <c r="AL10" s="713" t="s">
        <v>1017</v>
      </c>
      <c r="AM10" s="714" t="s">
        <v>1018</v>
      </c>
      <c r="AN10" s="713" t="s">
        <v>1019</v>
      </c>
      <c r="AO10" s="714" t="s">
        <v>1020</v>
      </c>
      <c r="AP10" s="713" t="s">
        <v>1021</v>
      </c>
      <c r="AQ10" s="714" t="s">
        <v>1022</v>
      </c>
      <c r="AR10" s="713" t="s">
        <v>1023</v>
      </c>
      <c r="AS10" s="714" t="s">
        <v>1024</v>
      </c>
      <c r="AT10" s="713" t="s">
        <v>1025</v>
      </c>
      <c r="AU10" s="714" t="s">
        <v>1041</v>
      </c>
      <c r="AV10" s="713" t="s">
        <v>1042</v>
      </c>
      <c r="AW10" s="714" t="s">
        <v>1043</v>
      </c>
      <c r="AX10" s="713" t="s">
        <v>1044</v>
      </c>
      <c r="AY10" s="714" t="s">
        <v>1045</v>
      </c>
      <c r="AZ10" s="713" t="s">
        <v>1046</v>
      </c>
      <c r="BA10" s="714" t="s">
        <v>1047</v>
      </c>
    </row>
    <row r="11" spans="1:53">
      <c r="A11" s="722"/>
      <c r="B11" s="723">
        <v>-1</v>
      </c>
      <c r="C11" s="723">
        <v>-2</v>
      </c>
      <c r="D11" s="723">
        <v>-3</v>
      </c>
      <c r="E11" s="723">
        <v>-4</v>
      </c>
      <c r="F11" s="723">
        <v>-5</v>
      </c>
      <c r="G11" s="723">
        <v>-6</v>
      </c>
      <c r="H11" s="723">
        <v>-7</v>
      </c>
      <c r="I11" s="723">
        <v>-8</v>
      </c>
      <c r="J11" s="723">
        <v>-9</v>
      </c>
      <c r="K11" s="723">
        <v>-10</v>
      </c>
      <c r="L11" s="723">
        <v>-11</v>
      </c>
      <c r="M11" s="723">
        <v>-12</v>
      </c>
      <c r="N11" s="723">
        <v>-13</v>
      </c>
      <c r="O11" s="723">
        <v>-14</v>
      </c>
      <c r="P11" s="723">
        <v>-15</v>
      </c>
      <c r="Q11" s="723">
        <v>-16</v>
      </c>
      <c r="R11" s="723">
        <v>-17</v>
      </c>
      <c r="S11" s="723">
        <v>-18</v>
      </c>
      <c r="T11" s="723">
        <v>-19</v>
      </c>
      <c r="U11" s="723">
        <v>-20</v>
      </c>
      <c r="V11" s="723">
        <v>-21</v>
      </c>
      <c r="W11" s="723">
        <v>-22</v>
      </c>
      <c r="X11" s="723">
        <v>-23</v>
      </c>
      <c r="Y11" s="723">
        <v>-24</v>
      </c>
      <c r="Z11" s="723">
        <v>-25</v>
      </c>
      <c r="AA11" s="723">
        <v>-26</v>
      </c>
      <c r="AB11" s="723">
        <v>-27</v>
      </c>
      <c r="AC11" s="723"/>
      <c r="AD11" s="723">
        <v>-28</v>
      </c>
      <c r="AE11" s="723">
        <v>-29</v>
      </c>
      <c r="AF11" s="723">
        <v>-30</v>
      </c>
      <c r="AG11" s="723">
        <v>-31</v>
      </c>
      <c r="AH11" s="723">
        <v>-32</v>
      </c>
      <c r="AI11" s="723">
        <v>-33</v>
      </c>
      <c r="AJ11" s="723">
        <v>-34</v>
      </c>
      <c r="AK11" s="723">
        <v>-35</v>
      </c>
      <c r="AL11" s="723">
        <v>-36</v>
      </c>
      <c r="AM11" s="723">
        <v>-37</v>
      </c>
      <c r="AN11" s="723">
        <v>-38</v>
      </c>
      <c r="AO11" s="723">
        <v>-39</v>
      </c>
      <c r="AP11" s="723">
        <v>-40</v>
      </c>
      <c r="AQ11" s="723">
        <v>-41</v>
      </c>
      <c r="AR11" s="723">
        <v>-42</v>
      </c>
      <c r="AS11" s="723">
        <v>-43</v>
      </c>
      <c r="AT11" s="723">
        <v>-44</v>
      </c>
      <c r="AU11" s="723">
        <v>-45</v>
      </c>
      <c r="AV11" s="723">
        <v>-46</v>
      </c>
      <c r="AW11" s="723">
        <v>-47</v>
      </c>
      <c r="AX11" s="723">
        <v>-48</v>
      </c>
      <c r="AY11" s="723">
        <v>-49</v>
      </c>
      <c r="AZ11" s="723">
        <v>-50</v>
      </c>
      <c r="BA11" s="723">
        <v>-51</v>
      </c>
    </row>
    <row r="12" spans="1:53">
      <c r="A12" s="106">
        <v>1</v>
      </c>
      <c r="B12" s="858">
        <v>42005</v>
      </c>
      <c r="C12" s="859" t="s">
        <v>1724</v>
      </c>
      <c r="D12" s="860">
        <v>5258</v>
      </c>
      <c r="E12" s="860">
        <v>5230</v>
      </c>
      <c r="F12" s="860">
        <v>5237</v>
      </c>
      <c r="G12" s="860">
        <v>5138</v>
      </c>
      <c r="H12" s="860">
        <v>5201</v>
      </c>
      <c r="I12" s="860">
        <v>5276</v>
      </c>
      <c r="J12" s="860">
        <v>5301</v>
      </c>
      <c r="K12" s="860">
        <v>5332</v>
      </c>
      <c r="L12" s="860">
        <v>5326</v>
      </c>
      <c r="M12" s="860">
        <v>5376</v>
      </c>
      <c r="N12" s="860">
        <v>5399</v>
      </c>
      <c r="O12" s="860">
        <v>5408</v>
      </c>
      <c r="P12" s="860">
        <v>5414</v>
      </c>
      <c r="Q12" s="860">
        <v>5393</v>
      </c>
      <c r="R12" s="860">
        <v>5455</v>
      </c>
      <c r="S12" s="860">
        <v>5509</v>
      </c>
      <c r="T12" s="860">
        <v>5723</v>
      </c>
      <c r="U12" s="860">
        <v>6278</v>
      </c>
      <c r="V12" s="860">
        <v>6289</v>
      </c>
      <c r="W12" s="860">
        <v>6126</v>
      </c>
      <c r="X12" s="860">
        <v>5986</v>
      </c>
      <c r="Y12" s="860">
        <v>5763</v>
      </c>
      <c r="Z12" s="860">
        <v>5405</v>
      </c>
      <c r="AA12" s="860">
        <v>5087</v>
      </c>
      <c r="AB12" s="711">
        <f>MAX(D12:AA42)</f>
        <v>6357</v>
      </c>
      <c r="AC12" s="712">
        <v>1</v>
      </c>
      <c r="AE12" s="711">
        <f t="shared" ref="AE12:AE43" si="0">ABS(E12-D12)</f>
        <v>28</v>
      </c>
      <c r="AF12" s="711">
        <f t="shared" ref="AF12:AZ24" si="1">ABS(F12-E12)</f>
        <v>7</v>
      </c>
      <c r="AG12" s="711">
        <f t="shared" si="1"/>
        <v>99</v>
      </c>
      <c r="AH12" s="711">
        <f t="shared" si="1"/>
        <v>63</v>
      </c>
      <c r="AI12" s="711">
        <f t="shared" si="1"/>
        <v>75</v>
      </c>
      <c r="AJ12" s="711">
        <f t="shared" si="1"/>
        <v>25</v>
      </c>
      <c r="AK12" s="711">
        <f t="shared" si="1"/>
        <v>31</v>
      </c>
      <c r="AL12" s="711">
        <f t="shared" si="1"/>
        <v>6</v>
      </c>
      <c r="AM12" s="711">
        <f t="shared" si="1"/>
        <v>50</v>
      </c>
      <c r="AN12" s="711">
        <f t="shared" si="1"/>
        <v>23</v>
      </c>
      <c r="AO12" s="711">
        <f t="shared" si="1"/>
        <v>9</v>
      </c>
      <c r="AP12" s="711">
        <f t="shared" si="1"/>
        <v>6</v>
      </c>
      <c r="AQ12" s="711">
        <f t="shared" si="1"/>
        <v>21</v>
      </c>
      <c r="AR12" s="711">
        <f t="shared" si="1"/>
        <v>62</v>
      </c>
      <c r="AS12" s="711">
        <f t="shared" si="1"/>
        <v>54</v>
      </c>
      <c r="AT12" s="711">
        <f t="shared" si="1"/>
        <v>214</v>
      </c>
      <c r="AU12" s="711">
        <f t="shared" si="1"/>
        <v>555</v>
      </c>
      <c r="AV12" s="711">
        <f t="shared" si="1"/>
        <v>11</v>
      </c>
      <c r="AW12" s="711">
        <f t="shared" si="1"/>
        <v>163</v>
      </c>
      <c r="AX12" s="711">
        <f t="shared" si="1"/>
        <v>140</v>
      </c>
      <c r="AY12" s="711">
        <f t="shared" si="1"/>
        <v>223</v>
      </c>
      <c r="AZ12" s="711">
        <f t="shared" si="1"/>
        <v>358</v>
      </c>
      <c r="BA12" s="711">
        <f>ABS(AA12-Z12)</f>
        <v>318</v>
      </c>
    </row>
    <row r="13" spans="1:53">
      <c r="A13" s="106">
        <f>A12+1</f>
        <v>2</v>
      </c>
      <c r="B13" s="858">
        <v>42006</v>
      </c>
      <c r="C13" s="859" t="s">
        <v>1724</v>
      </c>
      <c r="D13" s="860">
        <v>4986</v>
      </c>
      <c r="E13" s="860">
        <v>4972</v>
      </c>
      <c r="F13" s="860">
        <v>4940</v>
      </c>
      <c r="G13" s="860">
        <v>4952</v>
      </c>
      <c r="H13" s="860">
        <v>5045</v>
      </c>
      <c r="I13" s="860">
        <v>5126</v>
      </c>
      <c r="J13" s="860">
        <v>5415</v>
      </c>
      <c r="K13" s="860">
        <v>5488</v>
      </c>
      <c r="L13" s="860">
        <v>5577</v>
      </c>
      <c r="M13" s="860">
        <v>5601</v>
      </c>
      <c r="N13" s="860">
        <v>5579</v>
      </c>
      <c r="O13" s="860">
        <v>5478</v>
      </c>
      <c r="P13" s="860">
        <v>5374</v>
      </c>
      <c r="Q13" s="860">
        <v>5294</v>
      </c>
      <c r="R13" s="860">
        <v>5249</v>
      </c>
      <c r="S13" s="860">
        <v>5264</v>
      </c>
      <c r="T13" s="860">
        <v>5528</v>
      </c>
      <c r="U13" s="860">
        <v>6065</v>
      </c>
      <c r="V13" s="860">
        <v>6155</v>
      </c>
      <c r="W13" s="860">
        <v>6024</v>
      </c>
      <c r="X13" s="860">
        <v>5904</v>
      </c>
      <c r="Y13" s="860">
        <v>5681</v>
      </c>
      <c r="Z13" s="860">
        <v>5359</v>
      </c>
      <c r="AA13" s="860">
        <v>5026</v>
      </c>
      <c r="AC13" s="712">
        <f>AC12+1</f>
        <v>2</v>
      </c>
      <c r="AD13" s="711">
        <f>ABS(D13-AA12)</f>
        <v>101</v>
      </c>
      <c r="AE13" s="711">
        <f t="shared" si="0"/>
        <v>14</v>
      </c>
      <c r="AF13" s="711">
        <f t="shared" si="1"/>
        <v>32</v>
      </c>
      <c r="AG13" s="711">
        <f t="shared" si="1"/>
        <v>12</v>
      </c>
      <c r="AH13" s="711">
        <f t="shared" si="1"/>
        <v>93</v>
      </c>
      <c r="AI13" s="711">
        <f t="shared" si="1"/>
        <v>81</v>
      </c>
      <c r="AJ13" s="711">
        <f t="shared" si="1"/>
        <v>289</v>
      </c>
      <c r="AK13" s="711">
        <f t="shared" si="1"/>
        <v>73</v>
      </c>
      <c r="AL13" s="711">
        <f t="shared" si="1"/>
        <v>89</v>
      </c>
      <c r="AM13" s="711">
        <f t="shared" si="1"/>
        <v>24</v>
      </c>
      <c r="AN13" s="711">
        <f t="shared" si="1"/>
        <v>22</v>
      </c>
      <c r="AO13" s="711">
        <f t="shared" si="1"/>
        <v>101</v>
      </c>
      <c r="AP13" s="711">
        <f t="shared" si="1"/>
        <v>104</v>
      </c>
      <c r="AQ13" s="711">
        <f t="shared" si="1"/>
        <v>80</v>
      </c>
      <c r="AR13" s="711">
        <f t="shared" si="1"/>
        <v>45</v>
      </c>
      <c r="AS13" s="711">
        <f t="shared" si="1"/>
        <v>15</v>
      </c>
      <c r="AT13" s="711">
        <f t="shared" si="1"/>
        <v>264</v>
      </c>
      <c r="AU13" s="711">
        <f t="shared" si="1"/>
        <v>537</v>
      </c>
      <c r="AV13" s="711">
        <f t="shared" si="1"/>
        <v>90</v>
      </c>
      <c r="AW13" s="711">
        <f t="shared" si="1"/>
        <v>131</v>
      </c>
      <c r="AX13" s="711">
        <f t="shared" si="1"/>
        <v>120</v>
      </c>
      <c r="AY13" s="711">
        <f t="shared" si="1"/>
        <v>223</v>
      </c>
      <c r="AZ13" s="711">
        <f t="shared" si="1"/>
        <v>322</v>
      </c>
      <c r="BA13" s="711">
        <f>ABS(AA13-Z13)</f>
        <v>333</v>
      </c>
    </row>
    <row r="14" spans="1:53">
      <c r="A14" s="106">
        <f t="shared" ref="A14:A77" si="2">A13+1</f>
        <v>3</v>
      </c>
      <c r="B14" s="858">
        <v>42007</v>
      </c>
      <c r="C14" s="859" t="s">
        <v>1724</v>
      </c>
      <c r="D14" s="860">
        <v>4834</v>
      </c>
      <c r="E14" s="860">
        <v>4738</v>
      </c>
      <c r="F14" s="860">
        <v>4779</v>
      </c>
      <c r="G14" s="860">
        <v>4663</v>
      </c>
      <c r="H14" s="860">
        <v>4781</v>
      </c>
      <c r="I14" s="860">
        <v>4986</v>
      </c>
      <c r="J14" s="860">
        <v>5182</v>
      </c>
      <c r="K14" s="860">
        <v>5201</v>
      </c>
      <c r="L14" s="860">
        <v>5283</v>
      </c>
      <c r="M14" s="860">
        <v>5390</v>
      </c>
      <c r="N14" s="860">
        <v>5482</v>
      </c>
      <c r="O14" s="860">
        <v>5525</v>
      </c>
      <c r="P14" s="860">
        <v>5577</v>
      </c>
      <c r="Q14" s="860">
        <v>5483</v>
      </c>
      <c r="R14" s="860">
        <v>5547</v>
      </c>
      <c r="S14" s="860">
        <v>5634</v>
      </c>
      <c r="T14" s="860">
        <v>5840</v>
      </c>
      <c r="U14" s="860">
        <v>6331</v>
      </c>
      <c r="V14" s="860">
        <v>6327</v>
      </c>
      <c r="W14" s="860">
        <v>6202</v>
      </c>
      <c r="X14" s="860">
        <v>6086</v>
      </c>
      <c r="Y14" s="860">
        <v>5834</v>
      </c>
      <c r="Z14" s="860">
        <v>5488</v>
      </c>
      <c r="AA14" s="860">
        <v>5192</v>
      </c>
      <c r="AC14" s="712">
        <f t="shared" ref="AC14:AC77" si="3">AC13+1</f>
        <v>3</v>
      </c>
      <c r="AD14" s="711">
        <f t="shared" ref="AD14:AD77" si="4">ABS(D14-AA13)</f>
        <v>192</v>
      </c>
      <c r="AE14" s="711">
        <f t="shared" si="0"/>
        <v>96</v>
      </c>
      <c r="AF14" s="711">
        <f t="shared" si="1"/>
        <v>41</v>
      </c>
      <c r="AG14" s="711">
        <f t="shared" si="1"/>
        <v>116</v>
      </c>
      <c r="AH14" s="711">
        <f t="shared" si="1"/>
        <v>118</v>
      </c>
      <c r="AI14" s="711">
        <f t="shared" si="1"/>
        <v>205</v>
      </c>
      <c r="AJ14" s="711">
        <f t="shared" si="1"/>
        <v>196</v>
      </c>
      <c r="AK14" s="711">
        <f t="shared" si="1"/>
        <v>19</v>
      </c>
      <c r="AL14" s="711">
        <f t="shared" si="1"/>
        <v>82</v>
      </c>
      <c r="AM14" s="711">
        <f t="shared" si="1"/>
        <v>107</v>
      </c>
      <c r="AN14" s="711">
        <f t="shared" si="1"/>
        <v>92</v>
      </c>
      <c r="AO14" s="711">
        <f t="shared" si="1"/>
        <v>43</v>
      </c>
      <c r="AP14" s="711">
        <f t="shared" si="1"/>
        <v>52</v>
      </c>
      <c r="AQ14" s="711">
        <f t="shared" si="1"/>
        <v>94</v>
      </c>
      <c r="AR14" s="711">
        <f t="shared" si="1"/>
        <v>64</v>
      </c>
      <c r="AS14" s="711">
        <f t="shared" si="1"/>
        <v>87</v>
      </c>
      <c r="AT14" s="711">
        <f t="shared" si="1"/>
        <v>206</v>
      </c>
      <c r="AU14" s="711">
        <f t="shared" si="1"/>
        <v>491</v>
      </c>
      <c r="AV14" s="711">
        <f t="shared" si="1"/>
        <v>4</v>
      </c>
      <c r="AW14" s="711">
        <f t="shared" si="1"/>
        <v>125</v>
      </c>
      <c r="AX14" s="711">
        <f t="shared" si="1"/>
        <v>116</v>
      </c>
      <c r="AY14" s="711">
        <f t="shared" si="1"/>
        <v>252</v>
      </c>
      <c r="AZ14" s="711">
        <f t="shared" si="1"/>
        <v>346</v>
      </c>
      <c r="BA14" s="711">
        <f t="shared" ref="BA14:BA77" si="5">ABS(AA14-Z14)</f>
        <v>296</v>
      </c>
    </row>
    <row r="15" spans="1:53">
      <c r="A15" s="106">
        <f t="shared" si="2"/>
        <v>4</v>
      </c>
      <c r="B15" s="858">
        <v>42008</v>
      </c>
      <c r="C15" s="859" t="s">
        <v>1724</v>
      </c>
      <c r="D15" s="860">
        <v>4980</v>
      </c>
      <c r="E15" s="860">
        <v>4856</v>
      </c>
      <c r="F15" s="860">
        <v>4804</v>
      </c>
      <c r="G15" s="860">
        <v>4774</v>
      </c>
      <c r="H15" s="860">
        <v>4820</v>
      </c>
      <c r="I15" s="860">
        <v>4899</v>
      </c>
      <c r="J15" s="860">
        <v>5084</v>
      </c>
      <c r="K15" s="860">
        <v>5185</v>
      </c>
      <c r="L15" s="860">
        <v>5277</v>
      </c>
      <c r="M15" s="860">
        <v>5450</v>
      </c>
      <c r="N15" s="860">
        <v>5523</v>
      </c>
      <c r="O15" s="860">
        <v>5570</v>
      </c>
      <c r="P15" s="860">
        <v>5512</v>
      </c>
      <c r="Q15" s="860">
        <v>5362</v>
      </c>
      <c r="R15" s="860">
        <v>5292</v>
      </c>
      <c r="S15" s="860">
        <v>5409</v>
      </c>
      <c r="T15" s="860">
        <v>5651</v>
      </c>
      <c r="U15" s="860">
        <v>6246</v>
      </c>
      <c r="V15" s="860">
        <v>6264</v>
      </c>
      <c r="W15" s="860">
        <v>6105</v>
      </c>
      <c r="X15" s="860">
        <v>5911</v>
      </c>
      <c r="Y15" s="860">
        <v>5605</v>
      </c>
      <c r="Z15" s="860">
        <v>5215</v>
      </c>
      <c r="AA15" s="860">
        <v>4915</v>
      </c>
      <c r="AC15" s="712">
        <f t="shared" si="3"/>
        <v>4</v>
      </c>
      <c r="AD15" s="711">
        <f t="shared" si="4"/>
        <v>212</v>
      </c>
      <c r="AE15" s="711">
        <f t="shared" si="0"/>
        <v>124</v>
      </c>
      <c r="AF15" s="711">
        <f t="shared" si="1"/>
        <v>52</v>
      </c>
      <c r="AG15" s="711">
        <f t="shared" si="1"/>
        <v>30</v>
      </c>
      <c r="AH15" s="711">
        <f t="shared" si="1"/>
        <v>46</v>
      </c>
      <c r="AI15" s="711">
        <f t="shared" si="1"/>
        <v>79</v>
      </c>
      <c r="AJ15" s="711">
        <f t="shared" si="1"/>
        <v>185</v>
      </c>
      <c r="AK15" s="711">
        <f t="shared" si="1"/>
        <v>101</v>
      </c>
      <c r="AL15" s="711">
        <f t="shared" si="1"/>
        <v>92</v>
      </c>
      <c r="AM15" s="711">
        <f t="shared" si="1"/>
        <v>173</v>
      </c>
      <c r="AN15" s="711">
        <f t="shared" si="1"/>
        <v>73</v>
      </c>
      <c r="AO15" s="711">
        <f t="shared" si="1"/>
        <v>47</v>
      </c>
      <c r="AP15" s="711">
        <f t="shared" si="1"/>
        <v>58</v>
      </c>
      <c r="AQ15" s="711">
        <f t="shared" si="1"/>
        <v>150</v>
      </c>
      <c r="AR15" s="711">
        <f t="shared" si="1"/>
        <v>70</v>
      </c>
      <c r="AS15" s="711">
        <f t="shared" si="1"/>
        <v>117</v>
      </c>
      <c r="AT15" s="711">
        <f t="shared" si="1"/>
        <v>242</v>
      </c>
      <c r="AU15" s="711">
        <f t="shared" si="1"/>
        <v>595</v>
      </c>
      <c r="AV15" s="711">
        <f t="shared" si="1"/>
        <v>18</v>
      </c>
      <c r="AW15" s="711">
        <f t="shared" si="1"/>
        <v>159</v>
      </c>
      <c r="AX15" s="711">
        <f t="shared" si="1"/>
        <v>194</v>
      </c>
      <c r="AY15" s="711">
        <f t="shared" si="1"/>
        <v>306</v>
      </c>
      <c r="AZ15" s="711">
        <f t="shared" si="1"/>
        <v>390</v>
      </c>
      <c r="BA15" s="711">
        <f t="shared" si="5"/>
        <v>300</v>
      </c>
    </row>
    <row r="16" spans="1:53">
      <c r="A16" s="106">
        <f t="shared" si="2"/>
        <v>5</v>
      </c>
      <c r="B16" s="858">
        <v>42009</v>
      </c>
      <c r="C16" s="859" t="s">
        <v>1724</v>
      </c>
      <c r="D16" s="860">
        <v>4763</v>
      </c>
      <c r="E16" s="860">
        <v>4661</v>
      </c>
      <c r="F16" s="860">
        <v>4697</v>
      </c>
      <c r="G16" s="860">
        <v>4709</v>
      </c>
      <c r="H16" s="860">
        <v>4808</v>
      </c>
      <c r="I16" s="860">
        <v>5146</v>
      </c>
      <c r="J16" s="860">
        <v>5659</v>
      </c>
      <c r="K16" s="860">
        <v>5810</v>
      </c>
      <c r="L16" s="860">
        <v>5853</v>
      </c>
      <c r="M16" s="860">
        <v>5806</v>
      </c>
      <c r="N16" s="860">
        <v>5733</v>
      </c>
      <c r="O16" s="860">
        <v>5735</v>
      </c>
      <c r="P16" s="860">
        <v>5719</v>
      </c>
      <c r="Q16" s="860">
        <v>5663</v>
      </c>
      <c r="R16" s="860">
        <v>5664</v>
      </c>
      <c r="S16" s="860">
        <v>5631</v>
      </c>
      <c r="T16" s="860">
        <v>5656</v>
      </c>
      <c r="U16" s="860">
        <v>6120</v>
      </c>
      <c r="V16" s="860">
        <v>6124</v>
      </c>
      <c r="W16" s="860">
        <v>5985</v>
      </c>
      <c r="X16" s="860">
        <v>5753</v>
      </c>
      <c r="Y16" s="860">
        <v>5416</v>
      </c>
      <c r="Z16" s="860">
        <v>5078</v>
      </c>
      <c r="AA16" s="860">
        <v>4832</v>
      </c>
      <c r="AC16" s="712">
        <f t="shared" si="3"/>
        <v>5</v>
      </c>
      <c r="AD16" s="711">
        <f t="shared" si="4"/>
        <v>152</v>
      </c>
      <c r="AE16" s="711">
        <f t="shared" si="0"/>
        <v>102</v>
      </c>
      <c r="AF16" s="711">
        <f t="shared" si="1"/>
        <v>36</v>
      </c>
      <c r="AG16" s="711">
        <f t="shared" si="1"/>
        <v>12</v>
      </c>
      <c r="AH16" s="711">
        <f t="shared" si="1"/>
        <v>99</v>
      </c>
      <c r="AI16" s="711">
        <f t="shared" si="1"/>
        <v>338</v>
      </c>
      <c r="AJ16" s="711">
        <f t="shared" si="1"/>
        <v>513</v>
      </c>
      <c r="AK16" s="711">
        <f t="shared" si="1"/>
        <v>151</v>
      </c>
      <c r="AL16" s="711">
        <f t="shared" si="1"/>
        <v>43</v>
      </c>
      <c r="AM16" s="711">
        <f t="shared" si="1"/>
        <v>47</v>
      </c>
      <c r="AN16" s="711">
        <f t="shared" si="1"/>
        <v>73</v>
      </c>
      <c r="AO16" s="711">
        <f t="shared" si="1"/>
        <v>2</v>
      </c>
      <c r="AP16" s="711">
        <f t="shared" si="1"/>
        <v>16</v>
      </c>
      <c r="AQ16" s="711">
        <f t="shared" si="1"/>
        <v>56</v>
      </c>
      <c r="AR16" s="711">
        <f t="shared" si="1"/>
        <v>1</v>
      </c>
      <c r="AS16" s="711">
        <f t="shared" si="1"/>
        <v>33</v>
      </c>
      <c r="AT16" s="711">
        <f t="shared" si="1"/>
        <v>25</v>
      </c>
      <c r="AU16" s="711">
        <f t="shared" si="1"/>
        <v>464</v>
      </c>
      <c r="AV16" s="711">
        <f t="shared" si="1"/>
        <v>4</v>
      </c>
      <c r="AW16" s="711">
        <f t="shared" si="1"/>
        <v>139</v>
      </c>
      <c r="AX16" s="711">
        <f t="shared" si="1"/>
        <v>232</v>
      </c>
      <c r="AY16" s="711">
        <f t="shared" si="1"/>
        <v>337</v>
      </c>
      <c r="AZ16" s="711">
        <f t="shared" si="1"/>
        <v>338</v>
      </c>
      <c r="BA16" s="711">
        <f t="shared" si="5"/>
        <v>246</v>
      </c>
    </row>
    <row r="17" spans="1:53">
      <c r="A17" s="106">
        <f t="shared" si="2"/>
        <v>6</v>
      </c>
      <c r="B17" s="858">
        <v>42010</v>
      </c>
      <c r="C17" s="859" t="s">
        <v>1724</v>
      </c>
      <c r="D17" s="860">
        <v>4567</v>
      </c>
      <c r="E17" s="860">
        <v>4292</v>
      </c>
      <c r="F17" s="860">
        <v>4263</v>
      </c>
      <c r="G17" s="860">
        <v>4382</v>
      </c>
      <c r="H17" s="860">
        <v>4659</v>
      </c>
      <c r="I17" s="860">
        <v>4953</v>
      </c>
      <c r="J17" s="860">
        <v>5375</v>
      </c>
      <c r="K17" s="860">
        <v>5554</v>
      </c>
      <c r="L17" s="860">
        <v>5402</v>
      </c>
      <c r="M17" s="860">
        <v>5286</v>
      </c>
      <c r="N17" s="860">
        <v>5287</v>
      </c>
      <c r="O17" s="860">
        <v>5219</v>
      </c>
      <c r="P17" s="860">
        <v>5175</v>
      </c>
      <c r="Q17" s="860">
        <v>5273</v>
      </c>
      <c r="R17" s="860">
        <v>5205</v>
      </c>
      <c r="S17" s="860">
        <v>5162</v>
      </c>
      <c r="T17" s="860">
        <v>5386</v>
      </c>
      <c r="U17" s="860">
        <v>5874</v>
      </c>
      <c r="V17" s="860">
        <v>5905</v>
      </c>
      <c r="W17" s="860">
        <v>5797</v>
      </c>
      <c r="X17" s="860">
        <v>5643</v>
      </c>
      <c r="Y17" s="860">
        <v>5326</v>
      </c>
      <c r="Z17" s="860">
        <v>5144</v>
      </c>
      <c r="AA17" s="860">
        <v>4874</v>
      </c>
      <c r="AC17" s="712">
        <f t="shared" si="3"/>
        <v>6</v>
      </c>
      <c r="AD17" s="711">
        <f t="shared" si="4"/>
        <v>265</v>
      </c>
      <c r="AE17" s="711">
        <f t="shared" si="0"/>
        <v>275</v>
      </c>
      <c r="AF17" s="711">
        <f t="shared" si="1"/>
        <v>29</v>
      </c>
      <c r="AG17" s="711">
        <f t="shared" si="1"/>
        <v>119</v>
      </c>
      <c r="AH17" s="711">
        <f t="shared" si="1"/>
        <v>277</v>
      </c>
      <c r="AI17" s="711">
        <f t="shared" si="1"/>
        <v>294</v>
      </c>
      <c r="AJ17" s="711">
        <f t="shared" si="1"/>
        <v>422</v>
      </c>
      <c r="AK17" s="711">
        <f t="shared" si="1"/>
        <v>179</v>
      </c>
      <c r="AL17" s="711">
        <f t="shared" si="1"/>
        <v>152</v>
      </c>
      <c r="AM17" s="711">
        <f t="shared" si="1"/>
        <v>116</v>
      </c>
      <c r="AN17" s="711">
        <f t="shared" si="1"/>
        <v>1</v>
      </c>
      <c r="AO17" s="711">
        <f t="shared" si="1"/>
        <v>68</v>
      </c>
      <c r="AP17" s="711">
        <f t="shared" si="1"/>
        <v>44</v>
      </c>
      <c r="AQ17" s="711">
        <f t="shared" si="1"/>
        <v>98</v>
      </c>
      <c r="AR17" s="711">
        <f t="shared" si="1"/>
        <v>68</v>
      </c>
      <c r="AS17" s="711">
        <f t="shared" si="1"/>
        <v>43</v>
      </c>
      <c r="AT17" s="711">
        <f t="shared" si="1"/>
        <v>224</v>
      </c>
      <c r="AU17" s="711">
        <f t="shared" si="1"/>
        <v>488</v>
      </c>
      <c r="AV17" s="711">
        <f t="shared" si="1"/>
        <v>31</v>
      </c>
      <c r="AW17" s="711">
        <f t="shared" si="1"/>
        <v>108</v>
      </c>
      <c r="AX17" s="711">
        <f t="shared" si="1"/>
        <v>154</v>
      </c>
      <c r="AY17" s="711">
        <f t="shared" si="1"/>
        <v>317</v>
      </c>
      <c r="AZ17" s="711">
        <f t="shared" si="1"/>
        <v>182</v>
      </c>
      <c r="BA17" s="711">
        <f t="shared" si="5"/>
        <v>270</v>
      </c>
    </row>
    <row r="18" spans="1:53">
      <c r="A18" s="106">
        <f t="shared" si="2"/>
        <v>7</v>
      </c>
      <c r="B18" s="858">
        <v>42011</v>
      </c>
      <c r="C18" s="859" t="s">
        <v>1724</v>
      </c>
      <c r="D18" s="860">
        <v>4713</v>
      </c>
      <c r="E18" s="860">
        <v>4646</v>
      </c>
      <c r="F18" s="860">
        <v>4587</v>
      </c>
      <c r="G18" s="860">
        <v>4531</v>
      </c>
      <c r="H18" s="860">
        <v>4595</v>
      </c>
      <c r="I18" s="860">
        <v>4912</v>
      </c>
      <c r="J18" s="860">
        <v>5442</v>
      </c>
      <c r="K18" s="860">
        <v>5749</v>
      </c>
      <c r="L18" s="860">
        <v>5829</v>
      </c>
      <c r="M18" s="860">
        <v>5902</v>
      </c>
      <c r="N18" s="860">
        <v>5913</v>
      </c>
      <c r="O18" s="860">
        <v>5868</v>
      </c>
      <c r="P18" s="860">
        <v>5820</v>
      </c>
      <c r="Q18" s="860">
        <v>5716</v>
      </c>
      <c r="R18" s="860">
        <v>5620</v>
      </c>
      <c r="S18" s="860">
        <v>5618</v>
      </c>
      <c r="T18" s="860">
        <v>5832</v>
      </c>
      <c r="U18" s="860">
        <v>6337</v>
      </c>
      <c r="V18" s="860">
        <v>6357</v>
      </c>
      <c r="W18" s="860">
        <v>6230</v>
      </c>
      <c r="X18" s="860">
        <v>6073</v>
      </c>
      <c r="Y18" s="860">
        <v>5731</v>
      </c>
      <c r="Z18" s="860">
        <v>5250</v>
      </c>
      <c r="AA18" s="860">
        <v>4858</v>
      </c>
      <c r="AC18" s="712">
        <f t="shared" si="3"/>
        <v>7</v>
      </c>
      <c r="AD18" s="711">
        <f t="shared" si="4"/>
        <v>161</v>
      </c>
      <c r="AE18" s="711">
        <f t="shared" si="0"/>
        <v>67</v>
      </c>
      <c r="AF18" s="711">
        <f t="shared" si="1"/>
        <v>59</v>
      </c>
      <c r="AG18" s="711">
        <f t="shared" si="1"/>
        <v>56</v>
      </c>
      <c r="AH18" s="711">
        <f t="shared" si="1"/>
        <v>64</v>
      </c>
      <c r="AI18" s="711">
        <f t="shared" si="1"/>
        <v>317</v>
      </c>
      <c r="AJ18" s="711">
        <f t="shared" si="1"/>
        <v>530</v>
      </c>
      <c r="AK18" s="711">
        <f t="shared" si="1"/>
        <v>307</v>
      </c>
      <c r="AL18" s="711">
        <f t="shared" si="1"/>
        <v>80</v>
      </c>
      <c r="AM18" s="711">
        <f t="shared" si="1"/>
        <v>73</v>
      </c>
      <c r="AN18" s="711">
        <f t="shared" si="1"/>
        <v>11</v>
      </c>
      <c r="AO18" s="711">
        <f t="shared" si="1"/>
        <v>45</v>
      </c>
      <c r="AP18" s="711">
        <f t="shared" si="1"/>
        <v>48</v>
      </c>
      <c r="AQ18" s="711">
        <f t="shared" si="1"/>
        <v>104</v>
      </c>
      <c r="AR18" s="711">
        <f t="shared" si="1"/>
        <v>96</v>
      </c>
      <c r="AS18" s="711">
        <f t="shared" si="1"/>
        <v>2</v>
      </c>
      <c r="AT18" s="711">
        <f t="shared" si="1"/>
        <v>214</v>
      </c>
      <c r="AU18" s="711">
        <f t="shared" si="1"/>
        <v>505</v>
      </c>
      <c r="AV18" s="711">
        <f t="shared" si="1"/>
        <v>20</v>
      </c>
      <c r="AW18" s="711">
        <f t="shared" si="1"/>
        <v>127</v>
      </c>
      <c r="AX18" s="711">
        <f t="shared" si="1"/>
        <v>157</v>
      </c>
      <c r="AY18" s="711">
        <f t="shared" si="1"/>
        <v>342</v>
      </c>
      <c r="AZ18" s="711">
        <f t="shared" si="1"/>
        <v>481</v>
      </c>
      <c r="BA18" s="711">
        <f t="shared" si="5"/>
        <v>392</v>
      </c>
    </row>
    <row r="19" spans="1:53">
      <c r="A19" s="106">
        <f t="shared" si="2"/>
        <v>8</v>
      </c>
      <c r="B19" s="858">
        <v>42012</v>
      </c>
      <c r="C19" s="859" t="s">
        <v>1724</v>
      </c>
      <c r="D19" s="860">
        <v>4729</v>
      </c>
      <c r="E19" s="860">
        <v>4587</v>
      </c>
      <c r="F19" s="860">
        <v>4577</v>
      </c>
      <c r="G19" s="860">
        <v>4637</v>
      </c>
      <c r="H19" s="860">
        <v>4762</v>
      </c>
      <c r="I19" s="860">
        <v>4985</v>
      </c>
      <c r="J19" s="860">
        <v>5331</v>
      </c>
      <c r="K19" s="860">
        <v>5423</v>
      </c>
      <c r="L19" s="860">
        <v>5423</v>
      </c>
      <c r="M19" s="860">
        <v>5313</v>
      </c>
      <c r="N19" s="860">
        <v>5173</v>
      </c>
      <c r="O19" s="860">
        <v>5129</v>
      </c>
      <c r="P19" s="860">
        <v>5057</v>
      </c>
      <c r="Q19" s="860">
        <v>5029</v>
      </c>
      <c r="R19" s="860">
        <v>4949</v>
      </c>
      <c r="S19" s="860">
        <v>5066</v>
      </c>
      <c r="T19" s="860">
        <v>5335</v>
      </c>
      <c r="U19" s="860">
        <v>5879</v>
      </c>
      <c r="V19" s="860">
        <v>5960</v>
      </c>
      <c r="W19" s="860">
        <v>5878</v>
      </c>
      <c r="X19" s="860">
        <v>5790</v>
      </c>
      <c r="Y19" s="860">
        <v>5518</v>
      </c>
      <c r="Z19" s="860">
        <v>5224</v>
      </c>
      <c r="AA19" s="860">
        <v>5036</v>
      </c>
      <c r="AC19" s="712">
        <f t="shared" si="3"/>
        <v>8</v>
      </c>
      <c r="AD19" s="711">
        <f t="shared" si="4"/>
        <v>129</v>
      </c>
      <c r="AE19" s="711">
        <f t="shared" si="0"/>
        <v>142</v>
      </c>
      <c r="AF19" s="711">
        <f t="shared" si="1"/>
        <v>10</v>
      </c>
      <c r="AG19" s="711">
        <f t="shared" si="1"/>
        <v>60</v>
      </c>
      <c r="AH19" s="711">
        <f t="shared" si="1"/>
        <v>125</v>
      </c>
      <c r="AI19" s="711">
        <f t="shared" si="1"/>
        <v>223</v>
      </c>
      <c r="AJ19" s="711">
        <f t="shared" si="1"/>
        <v>346</v>
      </c>
      <c r="AK19" s="711">
        <f t="shared" si="1"/>
        <v>92</v>
      </c>
      <c r="AL19" s="711">
        <f t="shared" si="1"/>
        <v>0</v>
      </c>
      <c r="AM19" s="711">
        <f t="shared" si="1"/>
        <v>110</v>
      </c>
      <c r="AN19" s="711">
        <f t="shared" si="1"/>
        <v>140</v>
      </c>
      <c r="AO19" s="711">
        <f t="shared" si="1"/>
        <v>44</v>
      </c>
      <c r="AP19" s="711">
        <f t="shared" si="1"/>
        <v>72</v>
      </c>
      <c r="AQ19" s="711">
        <f t="shared" si="1"/>
        <v>28</v>
      </c>
      <c r="AR19" s="711">
        <f t="shared" si="1"/>
        <v>80</v>
      </c>
      <c r="AS19" s="711">
        <f t="shared" si="1"/>
        <v>117</v>
      </c>
      <c r="AT19" s="711">
        <f t="shared" si="1"/>
        <v>269</v>
      </c>
      <c r="AU19" s="711">
        <f t="shared" si="1"/>
        <v>544</v>
      </c>
      <c r="AV19" s="711">
        <f t="shared" si="1"/>
        <v>81</v>
      </c>
      <c r="AW19" s="711">
        <f t="shared" si="1"/>
        <v>82</v>
      </c>
      <c r="AX19" s="711">
        <f t="shared" si="1"/>
        <v>88</v>
      </c>
      <c r="AY19" s="711">
        <f t="shared" si="1"/>
        <v>272</v>
      </c>
      <c r="AZ19" s="711">
        <f t="shared" si="1"/>
        <v>294</v>
      </c>
      <c r="BA19" s="711">
        <f t="shared" si="5"/>
        <v>188</v>
      </c>
    </row>
    <row r="20" spans="1:53">
      <c r="A20" s="106">
        <f t="shared" si="2"/>
        <v>9</v>
      </c>
      <c r="B20" s="858">
        <v>42013</v>
      </c>
      <c r="C20" s="859" t="s">
        <v>1724</v>
      </c>
      <c r="D20" s="860">
        <v>4849</v>
      </c>
      <c r="E20" s="860">
        <v>4773</v>
      </c>
      <c r="F20" s="860">
        <v>4626</v>
      </c>
      <c r="G20" s="860">
        <v>4648</v>
      </c>
      <c r="H20" s="860">
        <v>4668</v>
      </c>
      <c r="I20" s="860">
        <v>4940</v>
      </c>
      <c r="J20" s="860">
        <v>5417</v>
      </c>
      <c r="K20" s="860">
        <v>5665</v>
      </c>
      <c r="L20" s="860">
        <v>5740</v>
      </c>
      <c r="M20" s="860">
        <v>5786</v>
      </c>
      <c r="N20" s="860">
        <v>5800</v>
      </c>
      <c r="O20" s="860">
        <v>5721</v>
      </c>
      <c r="P20" s="860">
        <v>5635</v>
      </c>
      <c r="Q20" s="860">
        <v>5604</v>
      </c>
      <c r="R20" s="860">
        <v>5587</v>
      </c>
      <c r="S20" s="860">
        <v>5597</v>
      </c>
      <c r="T20" s="860">
        <v>5854</v>
      </c>
      <c r="U20" s="860">
        <v>6249</v>
      </c>
      <c r="V20" s="860">
        <v>6207</v>
      </c>
      <c r="W20" s="860">
        <v>6066</v>
      </c>
      <c r="X20" s="860">
        <v>5884</v>
      </c>
      <c r="Y20" s="860">
        <v>5660</v>
      </c>
      <c r="Z20" s="860">
        <v>5396</v>
      </c>
      <c r="AA20" s="860">
        <v>5288</v>
      </c>
      <c r="AC20" s="712">
        <f t="shared" si="3"/>
        <v>9</v>
      </c>
      <c r="AD20" s="711">
        <f t="shared" si="4"/>
        <v>187</v>
      </c>
      <c r="AE20" s="711">
        <f t="shared" si="0"/>
        <v>76</v>
      </c>
      <c r="AF20" s="711">
        <f t="shared" si="1"/>
        <v>147</v>
      </c>
      <c r="AG20" s="711">
        <f t="shared" si="1"/>
        <v>22</v>
      </c>
      <c r="AH20" s="711">
        <f t="shared" si="1"/>
        <v>20</v>
      </c>
      <c r="AI20" s="711">
        <f t="shared" si="1"/>
        <v>272</v>
      </c>
      <c r="AJ20" s="711">
        <f t="shared" si="1"/>
        <v>477</v>
      </c>
      <c r="AK20" s="711">
        <f t="shared" si="1"/>
        <v>248</v>
      </c>
      <c r="AL20" s="711">
        <f t="shared" si="1"/>
        <v>75</v>
      </c>
      <c r="AM20" s="711">
        <f t="shared" si="1"/>
        <v>46</v>
      </c>
      <c r="AN20" s="711">
        <f t="shared" si="1"/>
        <v>14</v>
      </c>
      <c r="AO20" s="711">
        <f t="shared" si="1"/>
        <v>79</v>
      </c>
      <c r="AP20" s="711">
        <f t="shared" si="1"/>
        <v>86</v>
      </c>
      <c r="AQ20" s="711">
        <f t="shared" si="1"/>
        <v>31</v>
      </c>
      <c r="AR20" s="711">
        <f t="shared" si="1"/>
        <v>17</v>
      </c>
      <c r="AS20" s="711">
        <f t="shared" si="1"/>
        <v>10</v>
      </c>
      <c r="AT20" s="711">
        <f t="shared" si="1"/>
        <v>257</v>
      </c>
      <c r="AU20" s="711">
        <f t="shared" si="1"/>
        <v>395</v>
      </c>
      <c r="AV20" s="711">
        <f t="shared" si="1"/>
        <v>42</v>
      </c>
      <c r="AW20" s="711">
        <f t="shared" si="1"/>
        <v>141</v>
      </c>
      <c r="AX20" s="711">
        <f t="shared" si="1"/>
        <v>182</v>
      </c>
      <c r="AY20" s="711">
        <f t="shared" si="1"/>
        <v>224</v>
      </c>
      <c r="AZ20" s="711">
        <f t="shared" si="1"/>
        <v>264</v>
      </c>
      <c r="BA20" s="711">
        <f t="shared" si="5"/>
        <v>108</v>
      </c>
    </row>
    <row r="21" spans="1:53">
      <c r="A21" s="106">
        <f t="shared" si="2"/>
        <v>10</v>
      </c>
      <c r="B21" s="858">
        <v>42014</v>
      </c>
      <c r="C21" s="859" t="s">
        <v>1724</v>
      </c>
      <c r="D21" s="860">
        <v>5065</v>
      </c>
      <c r="E21" s="860">
        <v>4919</v>
      </c>
      <c r="F21" s="860">
        <v>4863</v>
      </c>
      <c r="G21" s="860">
        <v>4785</v>
      </c>
      <c r="H21" s="860">
        <v>4730</v>
      </c>
      <c r="I21" s="860">
        <v>4843</v>
      </c>
      <c r="J21" s="860">
        <v>4840</v>
      </c>
      <c r="K21" s="860">
        <v>4980</v>
      </c>
      <c r="L21" s="860">
        <v>5136</v>
      </c>
      <c r="M21" s="860">
        <v>5233</v>
      </c>
      <c r="N21" s="860">
        <v>5129</v>
      </c>
      <c r="O21" s="860">
        <v>5015</v>
      </c>
      <c r="P21" s="860">
        <v>4921</v>
      </c>
      <c r="Q21" s="860">
        <v>4828</v>
      </c>
      <c r="R21" s="860">
        <v>4780</v>
      </c>
      <c r="S21" s="860">
        <v>4806</v>
      </c>
      <c r="T21" s="860">
        <v>5017</v>
      </c>
      <c r="U21" s="860">
        <v>5514</v>
      </c>
      <c r="V21" s="860">
        <v>5588</v>
      </c>
      <c r="W21" s="860">
        <v>5507</v>
      </c>
      <c r="X21" s="860">
        <v>5393</v>
      </c>
      <c r="Y21" s="860">
        <v>5158</v>
      </c>
      <c r="Z21" s="860">
        <v>5057</v>
      </c>
      <c r="AA21" s="860">
        <v>4939</v>
      </c>
      <c r="AC21" s="712">
        <f t="shared" si="3"/>
        <v>10</v>
      </c>
      <c r="AD21" s="711">
        <f t="shared" si="4"/>
        <v>223</v>
      </c>
      <c r="AE21" s="711">
        <f t="shared" si="0"/>
        <v>146</v>
      </c>
      <c r="AF21" s="711">
        <f t="shared" si="1"/>
        <v>56</v>
      </c>
      <c r="AG21" s="711">
        <f t="shared" si="1"/>
        <v>78</v>
      </c>
      <c r="AH21" s="711">
        <f t="shared" si="1"/>
        <v>55</v>
      </c>
      <c r="AI21" s="711">
        <f t="shared" si="1"/>
        <v>113</v>
      </c>
      <c r="AJ21" s="711">
        <f t="shared" si="1"/>
        <v>3</v>
      </c>
      <c r="AK21" s="711">
        <f t="shared" si="1"/>
        <v>140</v>
      </c>
      <c r="AL21" s="711">
        <f t="shared" si="1"/>
        <v>156</v>
      </c>
      <c r="AM21" s="711">
        <f t="shared" si="1"/>
        <v>97</v>
      </c>
      <c r="AN21" s="711">
        <f t="shared" si="1"/>
        <v>104</v>
      </c>
      <c r="AO21" s="711">
        <f t="shared" si="1"/>
        <v>114</v>
      </c>
      <c r="AP21" s="711">
        <f t="shared" si="1"/>
        <v>94</v>
      </c>
      <c r="AQ21" s="711">
        <f t="shared" si="1"/>
        <v>93</v>
      </c>
      <c r="AR21" s="711">
        <f t="shared" si="1"/>
        <v>48</v>
      </c>
      <c r="AS21" s="711">
        <f t="shared" si="1"/>
        <v>26</v>
      </c>
      <c r="AT21" s="711">
        <f t="shared" si="1"/>
        <v>211</v>
      </c>
      <c r="AU21" s="711">
        <f t="shared" si="1"/>
        <v>497</v>
      </c>
      <c r="AV21" s="711">
        <f t="shared" si="1"/>
        <v>74</v>
      </c>
      <c r="AW21" s="711">
        <f t="shared" si="1"/>
        <v>81</v>
      </c>
      <c r="AX21" s="711">
        <f t="shared" si="1"/>
        <v>114</v>
      </c>
      <c r="AY21" s="711">
        <f t="shared" si="1"/>
        <v>235</v>
      </c>
      <c r="AZ21" s="711">
        <f t="shared" si="1"/>
        <v>101</v>
      </c>
      <c r="BA21" s="711">
        <f t="shared" si="5"/>
        <v>118</v>
      </c>
    </row>
    <row r="22" spans="1:53">
      <c r="A22" s="106">
        <f t="shared" si="2"/>
        <v>11</v>
      </c>
      <c r="B22" s="858">
        <v>42015</v>
      </c>
      <c r="C22" s="859" t="s">
        <v>1724</v>
      </c>
      <c r="D22" s="860">
        <v>4732</v>
      </c>
      <c r="E22" s="860">
        <v>4533</v>
      </c>
      <c r="F22" s="860">
        <v>4471</v>
      </c>
      <c r="G22" s="860">
        <v>4386</v>
      </c>
      <c r="H22" s="860">
        <v>4335</v>
      </c>
      <c r="I22" s="860">
        <v>4360</v>
      </c>
      <c r="J22" s="860">
        <v>4531</v>
      </c>
      <c r="K22" s="860">
        <v>4673</v>
      </c>
      <c r="L22" s="860">
        <v>4892</v>
      </c>
      <c r="M22" s="860">
        <v>5072</v>
      </c>
      <c r="N22" s="860">
        <v>5174</v>
      </c>
      <c r="O22" s="860">
        <v>5151</v>
      </c>
      <c r="P22" s="860">
        <v>5118</v>
      </c>
      <c r="Q22" s="860">
        <v>5122</v>
      </c>
      <c r="R22" s="860">
        <v>5197</v>
      </c>
      <c r="S22" s="860">
        <v>5236</v>
      </c>
      <c r="T22" s="860">
        <v>5424</v>
      </c>
      <c r="U22" s="860">
        <v>5747</v>
      </c>
      <c r="V22" s="860">
        <v>5810</v>
      </c>
      <c r="W22" s="860">
        <v>5681</v>
      </c>
      <c r="X22" s="860">
        <v>5534</v>
      </c>
      <c r="Y22" s="860">
        <v>5248</v>
      </c>
      <c r="Z22" s="860">
        <v>4850</v>
      </c>
      <c r="AA22" s="860">
        <v>4522</v>
      </c>
      <c r="AC22" s="712">
        <f t="shared" si="3"/>
        <v>11</v>
      </c>
      <c r="AD22" s="711">
        <f t="shared" si="4"/>
        <v>207</v>
      </c>
      <c r="AE22" s="711">
        <f t="shared" si="0"/>
        <v>199</v>
      </c>
      <c r="AF22" s="711">
        <f t="shared" si="1"/>
        <v>62</v>
      </c>
      <c r="AG22" s="711">
        <f t="shared" si="1"/>
        <v>85</v>
      </c>
      <c r="AH22" s="711">
        <f t="shared" si="1"/>
        <v>51</v>
      </c>
      <c r="AI22" s="711">
        <f t="shared" si="1"/>
        <v>25</v>
      </c>
      <c r="AJ22" s="711">
        <f t="shared" si="1"/>
        <v>171</v>
      </c>
      <c r="AK22" s="711">
        <f t="shared" si="1"/>
        <v>142</v>
      </c>
      <c r="AL22" s="711">
        <f t="shared" si="1"/>
        <v>219</v>
      </c>
      <c r="AM22" s="711">
        <f t="shared" si="1"/>
        <v>180</v>
      </c>
      <c r="AN22" s="711">
        <f t="shared" si="1"/>
        <v>102</v>
      </c>
      <c r="AO22" s="711">
        <f t="shared" si="1"/>
        <v>23</v>
      </c>
      <c r="AP22" s="711">
        <f t="shared" si="1"/>
        <v>33</v>
      </c>
      <c r="AQ22" s="711">
        <f t="shared" si="1"/>
        <v>4</v>
      </c>
      <c r="AR22" s="711">
        <f t="shared" si="1"/>
        <v>75</v>
      </c>
      <c r="AS22" s="711">
        <f t="shared" si="1"/>
        <v>39</v>
      </c>
      <c r="AT22" s="711">
        <f t="shared" si="1"/>
        <v>188</v>
      </c>
      <c r="AU22" s="711">
        <f t="shared" si="1"/>
        <v>323</v>
      </c>
      <c r="AV22" s="711">
        <f t="shared" si="1"/>
        <v>63</v>
      </c>
      <c r="AW22" s="711">
        <f t="shared" si="1"/>
        <v>129</v>
      </c>
      <c r="AX22" s="711">
        <f t="shared" si="1"/>
        <v>147</v>
      </c>
      <c r="AY22" s="711">
        <f t="shared" si="1"/>
        <v>286</v>
      </c>
      <c r="AZ22" s="711">
        <f t="shared" si="1"/>
        <v>398</v>
      </c>
      <c r="BA22" s="711">
        <f t="shared" si="5"/>
        <v>328</v>
      </c>
    </row>
    <row r="23" spans="1:53">
      <c r="A23" s="106">
        <f t="shared" si="2"/>
        <v>12</v>
      </c>
      <c r="B23" s="858">
        <v>42016</v>
      </c>
      <c r="C23" s="859" t="s">
        <v>1724</v>
      </c>
      <c r="D23" s="860">
        <v>4502</v>
      </c>
      <c r="E23" s="860">
        <v>4501</v>
      </c>
      <c r="F23" s="860">
        <v>4460</v>
      </c>
      <c r="G23" s="860">
        <v>4518</v>
      </c>
      <c r="H23" s="860">
        <v>4550</v>
      </c>
      <c r="I23" s="860">
        <v>4763</v>
      </c>
      <c r="J23" s="860">
        <v>5300</v>
      </c>
      <c r="K23" s="860">
        <v>5595</v>
      </c>
      <c r="L23" s="860">
        <v>5647</v>
      </c>
      <c r="M23" s="860">
        <v>5696</v>
      </c>
      <c r="N23" s="860">
        <v>5754</v>
      </c>
      <c r="O23" s="860">
        <v>5764</v>
      </c>
      <c r="P23" s="860">
        <v>5771</v>
      </c>
      <c r="Q23" s="860">
        <v>5771</v>
      </c>
      <c r="R23" s="860">
        <v>5736</v>
      </c>
      <c r="S23" s="860">
        <v>5791</v>
      </c>
      <c r="T23" s="860">
        <v>5989</v>
      </c>
      <c r="U23" s="860">
        <v>6340</v>
      </c>
      <c r="V23" s="860">
        <v>6302</v>
      </c>
      <c r="W23" s="860">
        <v>6217</v>
      </c>
      <c r="X23" s="860">
        <v>5986</v>
      </c>
      <c r="Y23" s="860">
        <v>5649</v>
      </c>
      <c r="Z23" s="860">
        <v>5230</v>
      </c>
      <c r="AA23" s="860">
        <v>4979</v>
      </c>
      <c r="AC23" s="712">
        <f t="shared" si="3"/>
        <v>12</v>
      </c>
      <c r="AD23" s="711">
        <f t="shared" si="4"/>
        <v>20</v>
      </c>
      <c r="AE23" s="711">
        <f t="shared" si="0"/>
        <v>1</v>
      </c>
      <c r="AF23" s="711">
        <f t="shared" si="1"/>
        <v>41</v>
      </c>
      <c r="AG23" s="711">
        <f t="shared" si="1"/>
        <v>58</v>
      </c>
      <c r="AH23" s="711">
        <f t="shared" si="1"/>
        <v>32</v>
      </c>
      <c r="AI23" s="711">
        <f t="shared" si="1"/>
        <v>213</v>
      </c>
      <c r="AJ23" s="711">
        <f t="shared" si="1"/>
        <v>537</v>
      </c>
      <c r="AK23" s="711">
        <f t="shared" si="1"/>
        <v>295</v>
      </c>
      <c r="AL23" s="711">
        <f t="shared" si="1"/>
        <v>52</v>
      </c>
      <c r="AM23" s="711">
        <f t="shared" si="1"/>
        <v>49</v>
      </c>
      <c r="AN23" s="711">
        <f t="shared" si="1"/>
        <v>58</v>
      </c>
      <c r="AO23" s="711">
        <f t="shared" si="1"/>
        <v>10</v>
      </c>
      <c r="AP23" s="711">
        <f t="shared" si="1"/>
        <v>7</v>
      </c>
      <c r="AQ23" s="711">
        <f t="shared" si="1"/>
        <v>0</v>
      </c>
      <c r="AR23" s="711">
        <f t="shared" si="1"/>
        <v>35</v>
      </c>
      <c r="AS23" s="711">
        <f t="shared" si="1"/>
        <v>55</v>
      </c>
      <c r="AT23" s="711">
        <f t="shared" si="1"/>
        <v>198</v>
      </c>
      <c r="AU23" s="711">
        <f t="shared" si="1"/>
        <v>351</v>
      </c>
      <c r="AV23" s="711">
        <f t="shared" si="1"/>
        <v>38</v>
      </c>
      <c r="AW23" s="711">
        <f t="shared" si="1"/>
        <v>85</v>
      </c>
      <c r="AX23" s="711">
        <f t="shared" si="1"/>
        <v>231</v>
      </c>
      <c r="AY23" s="711">
        <f t="shared" si="1"/>
        <v>337</v>
      </c>
      <c r="AZ23" s="711">
        <f t="shared" si="1"/>
        <v>419</v>
      </c>
      <c r="BA23" s="711">
        <f t="shared" si="5"/>
        <v>251</v>
      </c>
    </row>
    <row r="24" spans="1:53">
      <c r="A24" s="106">
        <f t="shared" si="2"/>
        <v>13</v>
      </c>
      <c r="B24" s="858">
        <v>42017</v>
      </c>
      <c r="C24" s="859" t="s">
        <v>1724</v>
      </c>
      <c r="D24" s="860">
        <v>4867</v>
      </c>
      <c r="E24" s="860">
        <v>4752</v>
      </c>
      <c r="F24" s="860">
        <v>4716</v>
      </c>
      <c r="G24" s="860">
        <v>4733</v>
      </c>
      <c r="H24" s="860">
        <v>4738</v>
      </c>
      <c r="I24" s="860">
        <v>5021</v>
      </c>
      <c r="J24" s="860">
        <v>5483</v>
      </c>
      <c r="K24" s="860">
        <v>5717</v>
      </c>
      <c r="L24" s="860">
        <v>5688</v>
      </c>
      <c r="M24" s="860">
        <v>5732</v>
      </c>
      <c r="N24" s="860">
        <v>5669</v>
      </c>
      <c r="O24" s="860">
        <v>5611</v>
      </c>
      <c r="P24" s="860">
        <v>5546</v>
      </c>
      <c r="Q24" s="860">
        <v>5620</v>
      </c>
      <c r="R24" s="860">
        <v>5782</v>
      </c>
      <c r="S24" s="860">
        <v>5924</v>
      </c>
      <c r="T24" s="860">
        <v>6000</v>
      </c>
      <c r="U24" s="860">
        <v>6249</v>
      </c>
      <c r="V24" s="860">
        <v>6230</v>
      </c>
      <c r="W24" s="860">
        <v>6063</v>
      </c>
      <c r="X24" s="860">
        <v>5886</v>
      </c>
      <c r="Y24" s="860">
        <v>5547</v>
      </c>
      <c r="Z24" s="860">
        <v>5148</v>
      </c>
      <c r="AA24" s="860">
        <v>4886</v>
      </c>
      <c r="AC24" s="712">
        <f t="shared" si="3"/>
        <v>13</v>
      </c>
      <c r="AD24" s="711">
        <f t="shared" si="4"/>
        <v>112</v>
      </c>
      <c r="AE24" s="711">
        <f t="shared" si="0"/>
        <v>115</v>
      </c>
      <c r="AF24" s="711">
        <f t="shared" si="1"/>
        <v>36</v>
      </c>
      <c r="AG24" s="711">
        <f t="shared" si="1"/>
        <v>17</v>
      </c>
      <c r="AH24" s="711">
        <f t="shared" si="1"/>
        <v>5</v>
      </c>
      <c r="AI24" s="711">
        <f t="shared" ref="AI24:AI55" si="6">ABS(I24-H24)</f>
        <v>283</v>
      </c>
      <c r="AJ24" s="711">
        <f t="shared" ref="AJ24:AJ55" si="7">ABS(J24-I24)</f>
        <v>462</v>
      </c>
      <c r="AK24" s="711">
        <f t="shared" ref="AK24:AK55" si="8">ABS(K24-J24)</f>
        <v>234</v>
      </c>
      <c r="AL24" s="711">
        <f t="shared" ref="AL24:AL55" si="9">ABS(L24-K24)</f>
        <v>29</v>
      </c>
      <c r="AM24" s="711">
        <f t="shared" ref="AM24:AM55" si="10">ABS(M24-L24)</f>
        <v>44</v>
      </c>
      <c r="AN24" s="711">
        <f t="shared" ref="AN24:AN55" si="11">ABS(N24-M24)</f>
        <v>63</v>
      </c>
      <c r="AO24" s="711">
        <f t="shared" ref="AO24:AO55" si="12">ABS(O24-N24)</f>
        <v>58</v>
      </c>
      <c r="AP24" s="711">
        <f t="shared" ref="AP24:AP55" si="13">ABS(P24-O24)</f>
        <v>65</v>
      </c>
      <c r="AQ24" s="711">
        <f t="shared" ref="AQ24:AQ55" si="14">ABS(Q24-P24)</f>
        <v>74</v>
      </c>
      <c r="AR24" s="711">
        <f t="shared" ref="AR24:AR55" si="15">ABS(R24-Q24)</f>
        <v>162</v>
      </c>
      <c r="AS24" s="711">
        <f t="shared" ref="AS24:AS55" si="16">ABS(S24-R24)</f>
        <v>142</v>
      </c>
      <c r="AT24" s="711">
        <f t="shared" ref="AT24:AT55" si="17">ABS(T24-S24)</f>
        <v>76</v>
      </c>
      <c r="AU24" s="711">
        <f t="shared" ref="AU24:AU55" si="18">ABS(U24-T24)</f>
        <v>249</v>
      </c>
      <c r="AV24" s="711">
        <f t="shared" ref="AV24:AV55" si="19">ABS(V24-U24)</f>
        <v>19</v>
      </c>
      <c r="AW24" s="711">
        <f t="shared" ref="AW24:AW55" si="20">ABS(W24-V24)</f>
        <v>167</v>
      </c>
      <c r="AX24" s="711">
        <f t="shared" ref="AX24:AX55" si="21">ABS(X24-W24)</f>
        <v>177</v>
      </c>
      <c r="AY24" s="711">
        <f t="shared" ref="AY24:BA87" si="22">ABS(Y24-X24)</f>
        <v>339</v>
      </c>
      <c r="AZ24" s="711">
        <f t="shared" si="22"/>
        <v>399</v>
      </c>
      <c r="BA24" s="711">
        <f t="shared" si="5"/>
        <v>262</v>
      </c>
    </row>
    <row r="25" spans="1:53">
      <c r="A25" s="106">
        <f t="shared" si="2"/>
        <v>14</v>
      </c>
      <c r="B25" s="858">
        <v>42018</v>
      </c>
      <c r="C25" s="859" t="s">
        <v>1724</v>
      </c>
      <c r="D25" s="860">
        <v>4768</v>
      </c>
      <c r="E25" s="860">
        <v>4677</v>
      </c>
      <c r="F25" s="860">
        <v>4641</v>
      </c>
      <c r="G25" s="860">
        <v>4660</v>
      </c>
      <c r="H25" s="860">
        <v>4698</v>
      </c>
      <c r="I25" s="860">
        <v>4976</v>
      </c>
      <c r="J25" s="860">
        <v>5426</v>
      </c>
      <c r="K25" s="860">
        <v>5668</v>
      </c>
      <c r="L25" s="860">
        <v>5633</v>
      </c>
      <c r="M25" s="860">
        <v>5523</v>
      </c>
      <c r="N25" s="860">
        <v>5429</v>
      </c>
      <c r="O25" s="860">
        <v>5303</v>
      </c>
      <c r="P25" s="860">
        <v>5237</v>
      </c>
      <c r="Q25" s="860">
        <v>5226</v>
      </c>
      <c r="R25" s="860">
        <v>5191</v>
      </c>
      <c r="S25" s="860">
        <v>5231</v>
      </c>
      <c r="T25" s="860">
        <v>5414</v>
      </c>
      <c r="U25" s="860">
        <v>5926</v>
      </c>
      <c r="V25" s="860">
        <v>6041</v>
      </c>
      <c r="W25" s="860">
        <v>5960</v>
      </c>
      <c r="X25" s="860">
        <v>5827</v>
      </c>
      <c r="Y25" s="860">
        <v>5518</v>
      </c>
      <c r="Z25" s="860">
        <v>5112</v>
      </c>
      <c r="AA25" s="860">
        <v>4920</v>
      </c>
      <c r="AC25" s="712">
        <f t="shared" si="3"/>
        <v>14</v>
      </c>
      <c r="AD25" s="711">
        <f t="shared" si="4"/>
        <v>118</v>
      </c>
      <c r="AE25" s="711">
        <f t="shared" si="0"/>
        <v>91</v>
      </c>
      <c r="AF25" s="711">
        <f t="shared" ref="AF25:AF56" si="23">ABS(F25-E25)</f>
        <v>36</v>
      </c>
      <c r="AG25" s="711">
        <f t="shared" ref="AG25:AG56" si="24">ABS(G25-F25)</f>
        <v>19</v>
      </c>
      <c r="AH25" s="711">
        <f t="shared" ref="AH25:AH56" si="25">ABS(H25-G25)</f>
        <v>38</v>
      </c>
      <c r="AI25" s="711">
        <f t="shared" si="6"/>
        <v>278</v>
      </c>
      <c r="AJ25" s="711">
        <f t="shared" si="7"/>
        <v>450</v>
      </c>
      <c r="AK25" s="711">
        <f t="shared" si="8"/>
        <v>242</v>
      </c>
      <c r="AL25" s="711">
        <f t="shared" si="9"/>
        <v>35</v>
      </c>
      <c r="AM25" s="711">
        <f t="shared" si="10"/>
        <v>110</v>
      </c>
      <c r="AN25" s="711">
        <f t="shared" si="11"/>
        <v>94</v>
      </c>
      <c r="AO25" s="711">
        <f t="shared" si="12"/>
        <v>126</v>
      </c>
      <c r="AP25" s="711">
        <f t="shared" si="13"/>
        <v>66</v>
      </c>
      <c r="AQ25" s="711">
        <f t="shared" si="14"/>
        <v>11</v>
      </c>
      <c r="AR25" s="711">
        <f t="shared" si="15"/>
        <v>35</v>
      </c>
      <c r="AS25" s="711">
        <f t="shared" si="16"/>
        <v>40</v>
      </c>
      <c r="AT25" s="711">
        <f t="shared" si="17"/>
        <v>183</v>
      </c>
      <c r="AU25" s="711">
        <f t="shared" si="18"/>
        <v>512</v>
      </c>
      <c r="AV25" s="711">
        <f t="shared" si="19"/>
        <v>115</v>
      </c>
      <c r="AW25" s="711">
        <f t="shared" si="20"/>
        <v>81</v>
      </c>
      <c r="AX25" s="711">
        <f t="shared" si="21"/>
        <v>133</v>
      </c>
      <c r="AY25" s="711">
        <f t="shared" si="22"/>
        <v>309</v>
      </c>
      <c r="AZ25" s="711">
        <f t="shared" si="22"/>
        <v>406</v>
      </c>
      <c r="BA25" s="711">
        <f t="shared" si="5"/>
        <v>192</v>
      </c>
    </row>
    <row r="26" spans="1:53">
      <c r="A26" s="106">
        <f t="shared" si="2"/>
        <v>15</v>
      </c>
      <c r="B26" s="858">
        <v>42019</v>
      </c>
      <c r="C26" s="859" t="s">
        <v>1724</v>
      </c>
      <c r="D26" s="860">
        <v>4821</v>
      </c>
      <c r="E26" s="860">
        <v>4719</v>
      </c>
      <c r="F26" s="860">
        <v>4683</v>
      </c>
      <c r="G26" s="860">
        <v>4726</v>
      </c>
      <c r="H26" s="860">
        <v>4730</v>
      </c>
      <c r="I26" s="860">
        <v>5003</v>
      </c>
      <c r="J26" s="860">
        <v>5437</v>
      </c>
      <c r="K26" s="860">
        <v>5602</v>
      </c>
      <c r="L26" s="860">
        <v>5517</v>
      </c>
      <c r="M26" s="860">
        <v>5405</v>
      </c>
      <c r="N26" s="860">
        <v>5311</v>
      </c>
      <c r="O26" s="860">
        <v>5208</v>
      </c>
      <c r="P26" s="860">
        <v>5105</v>
      </c>
      <c r="Q26" s="860">
        <v>5085</v>
      </c>
      <c r="R26" s="860">
        <v>5070</v>
      </c>
      <c r="S26" s="860">
        <v>5082</v>
      </c>
      <c r="T26" s="860">
        <v>5250</v>
      </c>
      <c r="U26" s="860">
        <v>5764</v>
      </c>
      <c r="V26" s="860">
        <v>5799</v>
      </c>
      <c r="W26" s="860">
        <v>5801</v>
      </c>
      <c r="X26" s="860">
        <v>5691</v>
      </c>
      <c r="Y26" s="860">
        <v>5407</v>
      </c>
      <c r="Z26" s="860">
        <v>5005</v>
      </c>
      <c r="AA26" s="860">
        <v>4729</v>
      </c>
      <c r="AC26" s="712">
        <f t="shared" si="3"/>
        <v>15</v>
      </c>
      <c r="AD26" s="711">
        <f t="shared" si="4"/>
        <v>99</v>
      </c>
      <c r="AE26" s="711">
        <f t="shared" si="0"/>
        <v>102</v>
      </c>
      <c r="AF26" s="711">
        <f t="shared" si="23"/>
        <v>36</v>
      </c>
      <c r="AG26" s="711">
        <f t="shared" si="24"/>
        <v>43</v>
      </c>
      <c r="AH26" s="711">
        <f t="shared" si="25"/>
        <v>4</v>
      </c>
      <c r="AI26" s="711">
        <f t="shared" si="6"/>
        <v>273</v>
      </c>
      <c r="AJ26" s="711">
        <f t="shared" si="7"/>
        <v>434</v>
      </c>
      <c r="AK26" s="711">
        <f t="shared" si="8"/>
        <v>165</v>
      </c>
      <c r="AL26" s="711">
        <f t="shared" si="9"/>
        <v>85</v>
      </c>
      <c r="AM26" s="711">
        <f t="shared" si="10"/>
        <v>112</v>
      </c>
      <c r="AN26" s="711">
        <f t="shared" si="11"/>
        <v>94</v>
      </c>
      <c r="AO26" s="711">
        <f t="shared" si="12"/>
        <v>103</v>
      </c>
      <c r="AP26" s="711">
        <f t="shared" si="13"/>
        <v>103</v>
      </c>
      <c r="AQ26" s="711">
        <f t="shared" si="14"/>
        <v>20</v>
      </c>
      <c r="AR26" s="711">
        <f t="shared" si="15"/>
        <v>15</v>
      </c>
      <c r="AS26" s="711">
        <f t="shared" si="16"/>
        <v>12</v>
      </c>
      <c r="AT26" s="711">
        <f t="shared" si="17"/>
        <v>168</v>
      </c>
      <c r="AU26" s="711">
        <f t="shared" si="18"/>
        <v>514</v>
      </c>
      <c r="AV26" s="711">
        <f t="shared" si="19"/>
        <v>35</v>
      </c>
      <c r="AW26" s="711">
        <f t="shared" si="20"/>
        <v>2</v>
      </c>
      <c r="AX26" s="711">
        <f t="shared" si="21"/>
        <v>110</v>
      </c>
      <c r="AY26" s="711">
        <f t="shared" si="22"/>
        <v>284</v>
      </c>
      <c r="AZ26" s="711">
        <f t="shared" si="22"/>
        <v>402</v>
      </c>
      <c r="BA26" s="711">
        <f t="shared" si="5"/>
        <v>276</v>
      </c>
    </row>
    <row r="27" spans="1:53">
      <c r="A27" s="106">
        <f t="shared" si="2"/>
        <v>16</v>
      </c>
      <c r="B27" s="858">
        <v>42020</v>
      </c>
      <c r="C27" s="859" t="s">
        <v>1724</v>
      </c>
      <c r="D27" s="860">
        <v>4546</v>
      </c>
      <c r="E27" s="860">
        <v>4570</v>
      </c>
      <c r="F27" s="860">
        <v>4533</v>
      </c>
      <c r="G27" s="860">
        <v>4467</v>
      </c>
      <c r="H27" s="860">
        <v>4595</v>
      </c>
      <c r="I27" s="860">
        <v>4847</v>
      </c>
      <c r="J27" s="860">
        <v>5238</v>
      </c>
      <c r="K27" s="860">
        <v>5426</v>
      </c>
      <c r="L27" s="860">
        <v>5461</v>
      </c>
      <c r="M27" s="860">
        <v>5492</v>
      </c>
      <c r="N27" s="860">
        <v>5428</v>
      </c>
      <c r="O27" s="860">
        <v>5449</v>
      </c>
      <c r="P27" s="860">
        <v>5355</v>
      </c>
      <c r="Q27" s="860">
        <v>5137</v>
      </c>
      <c r="R27" s="860">
        <v>5067</v>
      </c>
      <c r="S27" s="860">
        <v>5063</v>
      </c>
      <c r="T27" s="860">
        <v>5189</v>
      </c>
      <c r="U27" s="860">
        <v>5603</v>
      </c>
      <c r="V27" s="860">
        <v>5593</v>
      </c>
      <c r="W27" s="860">
        <v>5464</v>
      </c>
      <c r="X27" s="860">
        <v>5314</v>
      </c>
      <c r="Y27" s="860">
        <v>5084</v>
      </c>
      <c r="Z27" s="860">
        <v>4735</v>
      </c>
      <c r="AA27" s="860">
        <v>4439</v>
      </c>
      <c r="AC27" s="712">
        <f t="shared" si="3"/>
        <v>16</v>
      </c>
      <c r="AD27" s="711">
        <f t="shared" si="4"/>
        <v>183</v>
      </c>
      <c r="AE27" s="711">
        <f t="shared" si="0"/>
        <v>24</v>
      </c>
      <c r="AF27" s="711">
        <f t="shared" si="23"/>
        <v>37</v>
      </c>
      <c r="AG27" s="711">
        <f t="shared" si="24"/>
        <v>66</v>
      </c>
      <c r="AH27" s="711">
        <f t="shared" si="25"/>
        <v>128</v>
      </c>
      <c r="AI27" s="711">
        <f t="shared" si="6"/>
        <v>252</v>
      </c>
      <c r="AJ27" s="711">
        <f t="shared" si="7"/>
        <v>391</v>
      </c>
      <c r="AK27" s="711">
        <f t="shared" si="8"/>
        <v>188</v>
      </c>
      <c r="AL27" s="711">
        <f t="shared" si="9"/>
        <v>35</v>
      </c>
      <c r="AM27" s="711">
        <f t="shared" si="10"/>
        <v>31</v>
      </c>
      <c r="AN27" s="711">
        <f t="shared" si="11"/>
        <v>64</v>
      </c>
      <c r="AO27" s="711">
        <f t="shared" si="12"/>
        <v>21</v>
      </c>
      <c r="AP27" s="711">
        <f t="shared" si="13"/>
        <v>94</v>
      </c>
      <c r="AQ27" s="711">
        <f t="shared" si="14"/>
        <v>218</v>
      </c>
      <c r="AR27" s="711">
        <f t="shared" si="15"/>
        <v>70</v>
      </c>
      <c r="AS27" s="711">
        <f t="shared" si="16"/>
        <v>4</v>
      </c>
      <c r="AT27" s="711">
        <f t="shared" si="17"/>
        <v>126</v>
      </c>
      <c r="AU27" s="711">
        <f t="shared" si="18"/>
        <v>414</v>
      </c>
      <c r="AV27" s="711">
        <f t="shared" si="19"/>
        <v>10</v>
      </c>
      <c r="AW27" s="711">
        <f t="shared" si="20"/>
        <v>129</v>
      </c>
      <c r="AX27" s="711">
        <f t="shared" si="21"/>
        <v>150</v>
      </c>
      <c r="AY27" s="711">
        <f t="shared" si="22"/>
        <v>230</v>
      </c>
      <c r="AZ27" s="711">
        <f t="shared" si="22"/>
        <v>349</v>
      </c>
      <c r="BA27" s="711">
        <f t="shared" si="5"/>
        <v>296</v>
      </c>
    </row>
    <row r="28" spans="1:53">
      <c r="A28" s="106">
        <f t="shared" si="2"/>
        <v>17</v>
      </c>
      <c r="B28" s="858">
        <v>42021</v>
      </c>
      <c r="C28" s="859" t="s">
        <v>1724</v>
      </c>
      <c r="D28" s="860">
        <v>4281</v>
      </c>
      <c r="E28" s="860">
        <v>4319</v>
      </c>
      <c r="F28" s="860">
        <v>4337</v>
      </c>
      <c r="G28" s="860">
        <v>4323</v>
      </c>
      <c r="H28" s="860">
        <v>4378</v>
      </c>
      <c r="I28" s="860">
        <v>4504</v>
      </c>
      <c r="J28" s="860">
        <v>4658</v>
      </c>
      <c r="K28" s="860">
        <v>4793</v>
      </c>
      <c r="L28" s="860">
        <v>4808</v>
      </c>
      <c r="M28" s="860">
        <v>4807</v>
      </c>
      <c r="N28" s="860">
        <v>4807</v>
      </c>
      <c r="O28" s="860">
        <v>4750</v>
      </c>
      <c r="P28" s="860">
        <v>4684</v>
      </c>
      <c r="Q28" s="860">
        <v>4662</v>
      </c>
      <c r="R28" s="860">
        <v>4675</v>
      </c>
      <c r="S28" s="860">
        <v>4718</v>
      </c>
      <c r="T28" s="860">
        <v>4859</v>
      </c>
      <c r="U28" s="860">
        <v>5327</v>
      </c>
      <c r="V28" s="860">
        <v>5436</v>
      </c>
      <c r="W28" s="860">
        <v>5357</v>
      </c>
      <c r="X28" s="860">
        <v>5215</v>
      </c>
      <c r="Y28" s="860">
        <v>5069</v>
      </c>
      <c r="Z28" s="860">
        <v>4773</v>
      </c>
      <c r="AA28" s="860">
        <v>4532</v>
      </c>
      <c r="AC28" s="712">
        <f t="shared" si="3"/>
        <v>17</v>
      </c>
      <c r="AD28" s="711">
        <f t="shared" si="4"/>
        <v>158</v>
      </c>
      <c r="AE28" s="711">
        <f t="shared" si="0"/>
        <v>38</v>
      </c>
      <c r="AF28" s="711">
        <f t="shared" si="23"/>
        <v>18</v>
      </c>
      <c r="AG28" s="711">
        <f t="shared" si="24"/>
        <v>14</v>
      </c>
      <c r="AH28" s="711">
        <f t="shared" si="25"/>
        <v>55</v>
      </c>
      <c r="AI28" s="711">
        <f t="shared" si="6"/>
        <v>126</v>
      </c>
      <c r="AJ28" s="711">
        <f t="shared" si="7"/>
        <v>154</v>
      </c>
      <c r="AK28" s="711">
        <f t="shared" si="8"/>
        <v>135</v>
      </c>
      <c r="AL28" s="711">
        <f t="shared" si="9"/>
        <v>15</v>
      </c>
      <c r="AM28" s="711">
        <f t="shared" si="10"/>
        <v>1</v>
      </c>
      <c r="AN28" s="711">
        <f t="shared" si="11"/>
        <v>0</v>
      </c>
      <c r="AO28" s="711">
        <f t="shared" si="12"/>
        <v>57</v>
      </c>
      <c r="AP28" s="711">
        <f t="shared" si="13"/>
        <v>66</v>
      </c>
      <c r="AQ28" s="711">
        <f t="shared" si="14"/>
        <v>22</v>
      </c>
      <c r="AR28" s="711">
        <f t="shared" si="15"/>
        <v>13</v>
      </c>
      <c r="AS28" s="711">
        <f t="shared" si="16"/>
        <v>43</v>
      </c>
      <c r="AT28" s="711">
        <f t="shared" si="17"/>
        <v>141</v>
      </c>
      <c r="AU28" s="711">
        <f t="shared" si="18"/>
        <v>468</v>
      </c>
      <c r="AV28" s="711">
        <f t="shared" si="19"/>
        <v>109</v>
      </c>
      <c r="AW28" s="711">
        <f t="shared" si="20"/>
        <v>79</v>
      </c>
      <c r="AX28" s="711">
        <f t="shared" si="21"/>
        <v>142</v>
      </c>
      <c r="AY28" s="711">
        <f t="shared" si="22"/>
        <v>146</v>
      </c>
      <c r="AZ28" s="711">
        <f t="shared" si="22"/>
        <v>296</v>
      </c>
      <c r="BA28" s="711">
        <f t="shared" si="5"/>
        <v>241</v>
      </c>
    </row>
    <row r="29" spans="1:53">
      <c r="A29" s="106">
        <f t="shared" si="2"/>
        <v>18</v>
      </c>
      <c r="B29" s="858">
        <v>42022</v>
      </c>
      <c r="C29" s="859" t="s">
        <v>1724</v>
      </c>
      <c r="D29" s="860">
        <v>4352</v>
      </c>
      <c r="E29" s="860">
        <v>4479</v>
      </c>
      <c r="F29" s="860">
        <v>4406</v>
      </c>
      <c r="G29" s="860">
        <v>4381</v>
      </c>
      <c r="H29" s="860">
        <v>4393</v>
      </c>
      <c r="I29" s="860">
        <v>4472</v>
      </c>
      <c r="J29" s="860">
        <v>4549</v>
      </c>
      <c r="K29" s="860">
        <v>4664</v>
      </c>
      <c r="L29" s="860">
        <v>4756</v>
      </c>
      <c r="M29" s="860">
        <v>4699</v>
      </c>
      <c r="N29" s="860">
        <v>4713</v>
      </c>
      <c r="O29" s="860">
        <v>4726</v>
      </c>
      <c r="P29" s="860">
        <v>4653</v>
      </c>
      <c r="Q29" s="860">
        <v>4655</v>
      </c>
      <c r="R29" s="860">
        <v>4653</v>
      </c>
      <c r="S29" s="860">
        <v>4772</v>
      </c>
      <c r="T29" s="860">
        <v>4831</v>
      </c>
      <c r="U29" s="860">
        <v>5315</v>
      </c>
      <c r="V29" s="860">
        <v>5431</v>
      </c>
      <c r="W29" s="860">
        <v>5287</v>
      </c>
      <c r="X29" s="860">
        <v>5145</v>
      </c>
      <c r="Y29" s="860">
        <v>4908</v>
      </c>
      <c r="Z29" s="860">
        <v>4598</v>
      </c>
      <c r="AA29" s="860">
        <v>4495</v>
      </c>
      <c r="AC29" s="712">
        <f t="shared" si="3"/>
        <v>18</v>
      </c>
      <c r="AD29" s="711">
        <f t="shared" si="4"/>
        <v>180</v>
      </c>
      <c r="AE29" s="711">
        <f t="shared" si="0"/>
        <v>127</v>
      </c>
      <c r="AF29" s="711">
        <f t="shared" si="23"/>
        <v>73</v>
      </c>
      <c r="AG29" s="711">
        <f t="shared" si="24"/>
        <v>25</v>
      </c>
      <c r="AH29" s="711">
        <f t="shared" si="25"/>
        <v>12</v>
      </c>
      <c r="AI29" s="711">
        <f t="shared" si="6"/>
        <v>79</v>
      </c>
      <c r="AJ29" s="711">
        <f t="shared" si="7"/>
        <v>77</v>
      </c>
      <c r="AK29" s="711">
        <f t="shared" si="8"/>
        <v>115</v>
      </c>
      <c r="AL29" s="711">
        <f t="shared" si="9"/>
        <v>92</v>
      </c>
      <c r="AM29" s="711">
        <f t="shared" si="10"/>
        <v>57</v>
      </c>
      <c r="AN29" s="711">
        <f t="shared" si="11"/>
        <v>14</v>
      </c>
      <c r="AO29" s="711">
        <f t="shared" si="12"/>
        <v>13</v>
      </c>
      <c r="AP29" s="711">
        <f t="shared" si="13"/>
        <v>73</v>
      </c>
      <c r="AQ29" s="711">
        <f t="shared" si="14"/>
        <v>2</v>
      </c>
      <c r="AR29" s="711">
        <f t="shared" si="15"/>
        <v>2</v>
      </c>
      <c r="AS29" s="711">
        <f t="shared" si="16"/>
        <v>119</v>
      </c>
      <c r="AT29" s="711">
        <f t="shared" si="17"/>
        <v>59</v>
      </c>
      <c r="AU29" s="711">
        <f t="shared" si="18"/>
        <v>484</v>
      </c>
      <c r="AV29" s="711">
        <f t="shared" si="19"/>
        <v>116</v>
      </c>
      <c r="AW29" s="711">
        <f t="shared" si="20"/>
        <v>144</v>
      </c>
      <c r="AX29" s="711">
        <f t="shared" si="21"/>
        <v>142</v>
      </c>
      <c r="AY29" s="711">
        <f t="shared" si="22"/>
        <v>237</v>
      </c>
      <c r="AZ29" s="711">
        <f t="shared" si="22"/>
        <v>310</v>
      </c>
      <c r="BA29" s="711">
        <f t="shared" si="5"/>
        <v>103</v>
      </c>
    </row>
    <row r="30" spans="1:53">
      <c r="A30" s="106">
        <f t="shared" si="2"/>
        <v>19</v>
      </c>
      <c r="B30" s="858">
        <v>42023</v>
      </c>
      <c r="C30" s="859" t="s">
        <v>1724</v>
      </c>
      <c r="D30" s="860">
        <v>4361</v>
      </c>
      <c r="E30" s="860">
        <v>4268</v>
      </c>
      <c r="F30" s="860">
        <v>4245</v>
      </c>
      <c r="G30" s="860">
        <v>4258</v>
      </c>
      <c r="H30" s="860">
        <v>4296</v>
      </c>
      <c r="I30" s="860">
        <v>4517</v>
      </c>
      <c r="J30" s="860">
        <v>4917</v>
      </c>
      <c r="K30" s="860">
        <v>5024</v>
      </c>
      <c r="L30" s="860">
        <v>5090</v>
      </c>
      <c r="M30" s="860">
        <v>5161</v>
      </c>
      <c r="N30" s="860">
        <v>5163</v>
      </c>
      <c r="O30" s="860">
        <v>5162</v>
      </c>
      <c r="P30" s="860">
        <v>5106</v>
      </c>
      <c r="Q30" s="860">
        <v>5054</v>
      </c>
      <c r="R30" s="860">
        <v>5012</v>
      </c>
      <c r="S30" s="860">
        <v>5084</v>
      </c>
      <c r="T30" s="860">
        <v>5325</v>
      </c>
      <c r="U30" s="860">
        <v>5782</v>
      </c>
      <c r="V30" s="860">
        <v>5813</v>
      </c>
      <c r="W30" s="860">
        <v>5662</v>
      </c>
      <c r="X30" s="860">
        <v>5504</v>
      </c>
      <c r="Y30" s="860">
        <v>5201</v>
      </c>
      <c r="Z30" s="860">
        <v>4775</v>
      </c>
      <c r="AA30" s="860">
        <v>4483</v>
      </c>
      <c r="AC30" s="712">
        <f t="shared" si="3"/>
        <v>19</v>
      </c>
      <c r="AD30" s="711">
        <f t="shared" si="4"/>
        <v>134</v>
      </c>
      <c r="AE30" s="711">
        <f t="shared" si="0"/>
        <v>93</v>
      </c>
      <c r="AF30" s="711">
        <f t="shared" si="23"/>
        <v>23</v>
      </c>
      <c r="AG30" s="711">
        <f t="shared" si="24"/>
        <v>13</v>
      </c>
      <c r="AH30" s="711">
        <f t="shared" si="25"/>
        <v>38</v>
      </c>
      <c r="AI30" s="711">
        <f t="shared" si="6"/>
        <v>221</v>
      </c>
      <c r="AJ30" s="711">
        <f t="shared" si="7"/>
        <v>400</v>
      </c>
      <c r="AK30" s="711">
        <f t="shared" si="8"/>
        <v>107</v>
      </c>
      <c r="AL30" s="711">
        <f t="shared" si="9"/>
        <v>66</v>
      </c>
      <c r="AM30" s="711">
        <f t="shared" si="10"/>
        <v>71</v>
      </c>
      <c r="AN30" s="711">
        <f t="shared" si="11"/>
        <v>2</v>
      </c>
      <c r="AO30" s="711">
        <f t="shared" si="12"/>
        <v>1</v>
      </c>
      <c r="AP30" s="711">
        <f t="shared" si="13"/>
        <v>56</v>
      </c>
      <c r="AQ30" s="711">
        <f t="shared" si="14"/>
        <v>52</v>
      </c>
      <c r="AR30" s="711">
        <f t="shared" si="15"/>
        <v>42</v>
      </c>
      <c r="AS30" s="711">
        <f t="shared" si="16"/>
        <v>72</v>
      </c>
      <c r="AT30" s="711">
        <f t="shared" si="17"/>
        <v>241</v>
      </c>
      <c r="AU30" s="711">
        <f t="shared" si="18"/>
        <v>457</v>
      </c>
      <c r="AV30" s="711">
        <f t="shared" si="19"/>
        <v>31</v>
      </c>
      <c r="AW30" s="711">
        <f t="shared" si="20"/>
        <v>151</v>
      </c>
      <c r="AX30" s="711">
        <f t="shared" si="21"/>
        <v>158</v>
      </c>
      <c r="AY30" s="711">
        <f t="shared" si="22"/>
        <v>303</v>
      </c>
      <c r="AZ30" s="711">
        <f t="shared" si="22"/>
        <v>426</v>
      </c>
      <c r="BA30" s="711">
        <f t="shared" si="5"/>
        <v>292</v>
      </c>
    </row>
    <row r="31" spans="1:53">
      <c r="A31" s="106">
        <f t="shared" si="2"/>
        <v>20</v>
      </c>
      <c r="B31" s="858">
        <v>42024</v>
      </c>
      <c r="C31" s="859" t="s">
        <v>1724</v>
      </c>
      <c r="D31" s="860">
        <v>4452</v>
      </c>
      <c r="E31" s="860">
        <v>4402</v>
      </c>
      <c r="F31" s="860">
        <v>4387</v>
      </c>
      <c r="G31" s="860">
        <v>4352</v>
      </c>
      <c r="H31" s="860">
        <v>4437</v>
      </c>
      <c r="I31" s="860">
        <v>4671</v>
      </c>
      <c r="J31" s="860">
        <v>5166</v>
      </c>
      <c r="K31" s="860">
        <v>5371</v>
      </c>
      <c r="L31" s="860">
        <v>5398</v>
      </c>
      <c r="M31" s="860">
        <v>5335</v>
      </c>
      <c r="N31" s="860">
        <v>5281</v>
      </c>
      <c r="O31" s="860">
        <v>5232</v>
      </c>
      <c r="P31" s="860">
        <v>5188</v>
      </c>
      <c r="Q31" s="860">
        <v>5182</v>
      </c>
      <c r="R31" s="860">
        <v>5160</v>
      </c>
      <c r="S31" s="860">
        <v>5192</v>
      </c>
      <c r="T31" s="860">
        <v>5413</v>
      </c>
      <c r="U31" s="860">
        <v>5888</v>
      </c>
      <c r="V31" s="860">
        <v>5980</v>
      </c>
      <c r="W31" s="860">
        <v>5877</v>
      </c>
      <c r="X31" s="860">
        <v>5675</v>
      </c>
      <c r="Y31" s="860">
        <v>5361</v>
      </c>
      <c r="Z31" s="860">
        <v>4894</v>
      </c>
      <c r="AA31" s="860">
        <v>4707</v>
      </c>
      <c r="AC31" s="712">
        <f t="shared" si="3"/>
        <v>20</v>
      </c>
      <c r="AD31" s="711">
        <f t="shared" si="4"/>
        <v>31</v>
      </c>
      <c r="AE31" s="711">
        <f t="shared" si="0"/>
        <v>50</v>
      </c>
      <c r="AF31" s="711">
        <f t="shared" si="23"/>
        <v>15</v>
      </c>
      <c r="AG31" s="711">
        <f t="shared" si="24"/>
        <v>35</v>
      </c>
      <c r="AH31" s="711">
        <f t="shared" si="25"/>
        <v>85</v>
      </c>
      <c r="AI31" s="711">
        <f t="shared" si="6"/>
        <v>234</v>
      </c>
      <c r="AJ31" s="711">
        <f t="shared" si="7"/>
        <v>495</v>
      </c>
      <c r="AK31" s="711">
        <f t="shared" si="8"/>
        <v>205</v>
      </c>
      <c r="AL31" s="711">
        <f t="shared" si="9"/>
        <v>27</v>
      </c>
      <c r="AM31" s="711">
        <f t="shared" si="10"/>
        <v>63</v>
      </c>
      <c r="AN31" s="711">
        <f t="shared" si="11"/>
        <v>54</v>
      </c>
      <c r="AO31" s="711">
        <f t="shared" si="12"/>
        <v>49</v>
      </c>
      <c r="AP31" s="711">
        <f t="shared" si="13"/>
        <v>44</v>
      </c>
      <c r="AQ31" s="711">
        <f t="shared" si="14"/>
        <v>6</v>
      </c>
      <c r="AR31" s="711">
        <f t="shared" si="15"/>
        <v>22</v>
      </c>
      <c r="AS31" s="711">
        <f t="shared" si="16"/>
        <v>32</v>
      </c>
      <c r="AT31" s="711">
        <f t="shared" si="17"/>
        <v>221</v>
      </c>
      <c r="AU31" s="711">
        <f t="shared" si="18"/>
        <v>475</v>
      </c>
      <c r="AV31" s="711">
        <f t="shared" si="19"/>
        <v>92</v>
      </c>
      <c r="AW31" s="711">
        <f t="shared" si="20"/>
        <v>103</v>
      </c>
      <c r="AX31" s="711">
        <f t="shared" si="21"/>
        <v>202</v>
      </c>
      <c r="AY31" s="711">
        <f t="shared" si="22"/>
        <v>314</v>
      </c>
      <c r="AZ31" s="711">
        <f t="shared" si="22"/>
        <v>467</v>
      </c>
      <c r="BA31" s="711">
        <f t="shared" si="5"/>
        <v>187</v>
      </c>
    </row>
    <row r="32" spans="1:53">
      <c r="A32" s="106">
        <f t="shared" si="2"/>
        <v>21</v>
      </c>
      <c r="B32" s="858">
        <v>42025</v>
      </c>
      <c r="C32" s="859" t="s">
        <v>1724</v>
      </c>
      <c r="D32" s="860">
        <v>4528</v>
      </c>
      <c r="E32" s="860">
        <v>4544</v>
      </c>
      <c r="F32" s="860">
        <v>4529</v>
      </c>
      <c r="G32" s="860">
        <v>4550</v>
      </c>
      <c r="H32" s="860">
        <v>4560</v>
      </c>
      <c r="I32" s="860">
        <v>4817</v>
      </c>
      <c r="J32" s="860">
        <v>5282</v>
      </c>
      <c r="K32" s="860">
        <v>5523</v>
      </c>
      <c r="L32" s="860">
        <v>5595</v>
      </c>
      <c r="M32" s="860">
        <v>5666</v>
      </c>
      <c r="N32" s="860">
        <v>5637</v>
      </c>
      <c r="O32" s="860">
        <v>5577</v>
      </c>
      <c r="P32" s="860">
        <v>5639</v>
      </c>
      <c r="Q32" s="860">
        <v>5618</v>
      </c>
      <c r="R32" s="860">
        <v>5592</v>
      </c>
      <c r="S32" s="860">
        <v>5662</v>
      </c>
      <c r="T32" s="860">
        <v>5820</v>
      </c>
      <c r="U32" s="860">
        <v>6209</v>
      </c>
      <c r="V32" s="860">
        <v>6253</v>
      </c>
      <c r="W32" s="860">
        <v>6128</v>
      </c>
      <c r="X32" s="860">
        <v>5938</v>
      </c>
      <c r="Y32" s="860">
        <v>5624</v>
      </c>
      <c r="Z32" s="860">
        <v>5178</v>
      </c>
      <c r="AA32" s="860">
        <v>4855</v>
      </c>
      <c r="AC32" s="712">
        <f t="shared" si="3"/>
        <v>21</v>
      </c>
      <c r="AD32" s="711">
        <f t="shared" si="4"/>
        <v>179</v>
      </c>
      <c r="AE32" s="711">
        <f t="shared" si="0"/>
        <v>16</v>
      </c>
      <c r="AF32" s="711">
        <f t="shared" si="23"/>
        <v>15</v>
      </c>
      <c r="AG32" s="711">
        <f t="shared" si="24"/>
        <v>21</v>
      </c>
      <c r="AH32" s="711">
        <f t="shared" si="25"/>
        <v>10</v>
      </c>
      <c r="AI32" s="711">
        <f t="shared" si="6"/>
        <v>257</v>
      </c>
      <c r="AJ32" s="711">
        <f t="shared" si="7"/>
        <v>465</v>
      </c>
      <c r="AK32" s="711">
        <f t="shared" si="8"/>
        <v>241</v>
      </c>
      <c r="AL32" s="711">
        <f t="shared" si="9"/>
        <v>72</v>
      </c>
      <c r="AM32" s="711">
        <f t="shared" si="10"/>
        <v>71</v>
      </c>
      <c r="AN32" s="711">
        <f t="shared" si="11"/>
        <v>29</v>
      </c>
      <c r="AO32" s="711">
        <f t="shared" si="12"/>
        <v>60</v>
      </c>
      <c r="AP32" s="711">
        <f t="shared" si="13"/>
        <v>62</v>
      </c>
      <c r="AQ32" s="711">
        <f t="shared" si="14"/>
        <v>21</v>
      </c>
      <c r="AR32" s="711">
        <f t="shared" si="15"/>
        <v>26</v>
      </c>
      <c r="AS32" s="711">
        <f t="shared" si="16"/>
        <v>70</v>
      </c>
      <c r="AT32" s="711">
        <f t="shared" si="17"/>
        <v>158</v>
      </c>
      <c r="AU32" s="711">
        <f t="shared" si="18"/>
        <v>389</v>
      </c>
      <c r="AV32" s="711">
        <f t="shared" si="19"/>
        <v>44</v>
      </c>
      <c r="AW32" s="711">
        <f t="shared" si="20"/>
        <v>125</v>
      </c>
      <c r="AX32" s="711">
        <f t="shared" si="21"/>
        <v>190</v>
      </c>
      <c r="AY32" s="711">
        <f t="shared" si="22"/>
        <v>314</v>
      </c>
      <c r="AZ32" s="711">
        <f t="shared" si="22"/>
        <v>446</v>
      </c>
      <c r="BA32" s="711">
        <f t="shared" si="5"/>
        <v>323</v>
      </c>
    </row>
    <row r="33" spans="1:53">
      <c r="A33" s="106">
        <f t="shared" si="2"/>
        <v>22</v>
      </c>
      <c r="B33" s="858">
        <v>42026</v>
      </c>
      <c r="C33" s="859" t="s">
        <v>1724</v>
      </c>
      <c r="D33" s="860">
        <v>4829</v>
      </c>
      <c r="E33" s="860">
        <v>4840</v>
      </c>
      <c r="F33" s="860">
        <v>4812</v>
      </c>
      <c r="G33" s="860">
        <v>4901</v>
      </c>
      <c r="H33" s="860">
        <v>5007</v>
      </c>
      <c r="I33" s="860">
        <v>5244</v>
      </c>
      <c r="J33" s="860">
        <v>5752</v>
      </c>
      <c r="K33" s="860">
        <v>5856</v>
      </c>
      <c r="L33" s="860">
        <v>5809</v>
      </c>
      <c r="M33" s="860">
        <v>5730</v>
      </c>
      <c r="N33" s="860">
        <v>5664</v>
      </c>
      <c r="O33" s="860">
        <v>5591</v>
      </c>
      <c r="P33" s="860">
        <v>5477</v>
      </c>
      <c r="Q33" s="860">
        <v>5369</v>
      </c>
      <c r="R33" s="860">
        <v>5306</v>
      </c>
      <c r="S33" s="860">
        <v>5298</v>
      </c>
      <c r="T33" s="860">
        <v>5471</v>
      </c>
      <c r="U33" s="860">
        <v>5910</v>
      </c>
      <c r="V33" s="860">
        <v>6112</v>
      </c>
      <c r="W33" s="860">
        <v>6049</v>
      </c>
      <c r="X33" s="860">
        <v>5910</v>
      </c>
      <c r="Y33" s="860">
        <v>5607</v>
      </c>
      <c r="Z33" s="860">
        <v>5203</v>
      </c>
      <c r="AA33" s="860">
        <v>4891</v>
      </c>
      <c r="AC33" s="712">
        <f t="shared" si="3"/>
        <v>22</v>
      </c>
      <c r="AD33" s="711">
        <f t="shared" si="4"/>
        <v>26</v>
      </c>
      <c r="AE33" s="711">
        <f t="shared" si="0"/>
        <v>11</v>
      </c>
      <c r="AF33" s="711">
        <f t="shared" si="23"/>
        <v>28</v>
      </c>
      <c r="AG33" s="711">
        <f t="shared" si="24"/>
        <v>89</v>
      </c>
      <c r="AH33" s="711">
        <f t="shared" si="25"/>
        <v>106</v>
      </c>
      <c r="AI33" s="711">
        <f t="shared" si="6"/>
        <v>237</v>
      </c>
      <c r="AJ33" s="711">
        <f t="shared" si="7"/>
        <v>508</v>
      </c>
      <c r="AK33" s="711">
        <f t="shared" si="8"/>
        <v>104</v>
      </c>
      <c r="AL33" s="711">
        <f t="shared" si="9"/>
        <v>47</v>
      </c>
      <c r="AM33" s="711">
        <f t="shared" si="10"/>
        <v>79</v>
      </c>
      <c r="AN33" s="711">
        <f t="shared" si="11"/>
        <v>66</v>
      </c>
      <c r="AO33" s="711">
        <f t="shared" si="12"/>
        <v>73</v>
      </c>
      <c r="AP33" s="711">
        <f t="shared" si="13"/>
        <v>114</v>
      </c>
      <c r="AQ33" s="711">
        <f t="shared" si="14"/>
        <v>108</v>
      </c>
      <c r="AR33" s="711">
        <f t="shared" si="15"/>
        <v>63</v>
      </c>
      <c r="AS33" s="711">
        <f t="shared" si="16"/>
        <v>8</v>
      </c>
      <c r="AT33" s="711">
        <f t="shared" si="17"/>
        <v>173</v>
      </c>
      <c r="AU33" s="711">
        <f t="shared" si="18"/>
        <v>439</v>
      </c>
      <c r="AV33" s="711">
        <f t="shared" si="19"/>
        <v>202</v>
      </c>
      <c r="AW33" s="711">
        <f t="shared" si="20"/>
        <v>63</v>
      </c>
      <c r="AX33" s="711">
        <f t="shared" si="21"/>
        <v>139</v>
      </c>
      <c r="AY33" s="711">
        <f t="shared" si="22"/>
        <v>303</v>
      </c>
      <c r="AZ33" s="711">
        <f t="shared" si="22"/>
        <v>404</v>
      </c>
      <c r="BA33" s="711">
        <f t="shared" si="5"/>
        <v>312</v>
      </c>
    </row>
    <row r="34" spans="1:53">
      <c r="A34" s="106">
        <f t="shared" si="2"/>
        <v>23</v>
      </c>
      <c r="B34" s="858">
        <v>42027</v>
      </c>
      <c r="C34" s="859" t="s">
        <v>1724</v>
      </c>
      <c r="D34" s="860">
        <v>4706</v>
      </c>
      <c r="E34" s="860">
        <v>4786</v>
      </c>
      <c r="F34" s="860">
        <v>4820</v>
      </c>
      <c r="G34" s="860">
        <v>4821</v>
      </c>
      <c r="H34" s="860">
        <v>4943</v>
      </c>
      <c r="I34" s="860">
        <v>5154</v>
      </c>
      <c r="J34" s="860">
        <v>5509</v>
      </c>
      <c r="K34" s="860">
        <v>5646</v>
      </c>
      <c r="L34" s="860">
        <v>5641</v>
      </c>
      <c r="M34" s="860">
        <v>5616</v>
      </c>
      <c r="N34" s="860">
        <v>5508</v>
      </c>
      <c r="O34" s="860">
        <v>5431</v>
      </c>
      <c r="P34" s="860">
        <v>5400</v>
      </c>
      <c r="Q34" s="860">
        <v>5318</v>
      </c>
      <c r="R34" s="860">
        <v>5236</v>
      </c>
      <c r="S34" s="860">
        <v>5169</v>
      </c>
      <c r="T34" s="860">
        <v>5340</v>
      </c>
      <c r="U34" s="860">
        <v>5735</v>
      </c>
      <c r="V34" s="860">
        <v>5774</v>
      </c>
      <c r="W34" s="860">
        <v>5633</v>
      </c>
      <c r="X34" s="860">
        <v>5498</v>
      </c>
      <c r="Y34" s="860">
        <v>5262</v>
      </c>
      <c r="Z34" s="860">
        <v>4956</v>
      </c>
      <c r="AA34" s="860">
        <v>4647</v>
      </c>
      <c r="AC34" s="712">
        <f t="shared" si="3"/>
        <v>23</v>
      </c>
      <c r="AD34" s="711">
        <f t="shared" si="4"/>
        <v>185</v>
      </c>
      <c r="AE34" s="711">
        <f t="shared" si="0"/>
        <v>80</v>
      </c>
      <c r="AF34" s="711">
        <f t="shared" si="23"/>
        <v>34</v>
      </c>
      <c r="AG34" s="711">
        <f t="shared" si="24"/>
        <v>1</v>
      </c>
      <c r="AH34" s="711">
        <f t="shared" si="25"/>
        <v>122</v>
      </c>
      <c r="AI34" s="711">
        <f t="shared" si="6"/>
        <v>211</v>
      </c>
      <c r="AJ34" s="711">
        <f t="shared" si="7"/>
        <v>355</v>
      </c>
      <c r="AK34" s="711">
        <f t="shared" si="8"/>
        <v>137</v>
      </c>
      <c r="AL34" s="711">
        <f t="shared" si="9"/>
        <v>5</v>
      </c>
      <c r="AM34" s="711">
        <f t="shared" si="10"/>
        <v>25</v>
      </c>
      <c r="AN34" s="711">
        <f t="shared" si="11"/>
        <v>108</v>
      </c>
      <c r="AO34" s="711">
        <f t="shared" si="12"/>
        <v>77</v>
      </c>
      <c r="AP34" s="711">
        <f t="shared" si="13"/>
        <v>31</v>
      </c>
      <c r="AQ34" s="711">
        <f t="shared" si="14"/>
        <v>82</v>
      </c>
      <c r="AR34" s="711">
        <f t="shared" si="15"/>
        <v>82</v>
      </c>
      <c r="AS34" s="711">
        <f t="shared" si="16"/>
        <v>67</v>
      </c>
      <c r="AT34" s="711">
        <f t="shared" si="17"/>
        <v>171</v>
      </c>
      <c r="AU34" s="711">
        <f t="shared" si="18"/>
        <v>395</v>
      </c>
      <c r="AV34" s="711">
        <f t="shared" si="19"/>
        <v>39</v>
      </c>
      <c r="AW34" s="711">
        <f t="shared" si="20"/>
        <v>141</v>
      </c>
      <c r="AX34" s="711">
        <f t="shared" si="21"/>
        <v>135</v>
      </c>
      <c r="AY34" s="711">
        <f t="shared" si="22"/>
        <v>236</v>
      </c>
      <c r="AZ34" s="711">
        <f t="shared" si="22"/>
        <v>306</v>
      </c>
      <c r="BA34" s="711">
        <f t="shared" si="5"/>
        <v>309</v>
      </c>
    </row>
    <row r="35" spans="1:53">
      <c r="A35" s="106">
        <f t="shared" si="2"/>
        <v>24</v>
      </c>
      <c r="B35" s="858">
        <v>42028</v>
      </c>
      <c r="C35" s="859" t="s">
        <v>1724</v>
      </c>
      <c r="D35" s="860">
        <v>4653</v>
      </c>
      <c r="E35" s="860">
        <v>4611</v>
      </c>
      <c r="F35" s="860">
        <v>4570</v>
      </c>
      <c r="G35" s="860">
        <v>4544</v>
      </c>
      <c r="H35" s="860">
        <v>4602</v>
      </c>
      <c r="I35" s="860">
        <v>4555</v>
      </c>
      <c r="J35" s="860">
        <v>4684</v>
      </c>
      <c r="K35" s="860">
        <v>4823</v>
      </c>
      <c r="L35" s="860">
        <v>5031</v>
      </c>
      <c r="M35" s="860">
        <v>5129</v>
      </c>
      <c r="N35" s="860">
        <v>5157</v>
      </c>
      <c r="O35" s="860">
        <v>5147</v>
      </c>
      <c r="P35" s="860">
        <v>5102</v>
      </c>
      <c r="Q35" s="860">
        <v>5192</v>
      </c>
      <c r="R35" s="860">
        <v>5195</v>
      </c>
      <c r="S35" s="860">
        <v>5174</v>
      </c>
      <c r="T35" s="860">
        <v>5264</v>
      </c>
      <c r="U35" s="860">
        <v>5512</v>
      </c>
      <c r="V35" s="860">
        <v>5518</v>
      </c>
      <c r="W35" s="860">
        <v>5442</v>
      </c>
      <c r="X35" s="860">
        <v>5291</v>
      </c>
      <c r="Y35" s="860">
        <v>5087</v>
      </c>
      <c r="Z35" s="860">
        <v>4926</v>
      </c>
      <c r="AA35" s="860">
        <v>4760</v>
      </c>
      <c r="AC35" s="712">
        <f t="shared" si="3"/>
        <v>24</v>
      </c>
      <c r="AD35" s="711">
        <f t="shared" si="4"/>
        <v>6</v>
      </c>
      <c r="AE35" s="711">
        <f t="shared" si="0"/>
        <v>42</v>
      </c>
      <c r="AF35" s="711">
        <f t="shared" si="23"/>
        <v>41</v>
      </c>
      <c r="AG35" s="711">
        <f t="shared" si="24"/>
        <v>26</v>
      </c>
      <c r="AH35" s="711">
        <f t="shared" si="25"/>
        <v>58</v>
      </c>
      <c r="AI35" s="711">
        <f t="shared" si="6"/>
        <v>47</v>
      </c>
      <c r="AJ35" s="711">
        <f t="shared" si="7"/>
        <v>129</v>
      </c>
      <c r="AK35" s="711">
        <f t="shared" si="8"/>
        <v>139</v>
      </c>
      <c r="AL35" s="711">
        <f t="shared" si="9"/>
        <v>208</v>
      </c>
      <c r="AM35" s="711">
        <f t="shared" si="10"/>
        <v>98</v>
      </c>
      <c r="AN35" s="711">
        <f t="shared" si="11"/>
        <v>28</v>
      </c>
      <c r="AO35" s="711">
        <f t="shared" si="12"/>
        <v>10</v>
      </c>
      <c r="AP35" s="711">
        <f t="shared" si="13"/>
        <v>45</v>
      </c>
      <c r="AQ35" s="711">
        <f t="shared" si="14"/>
        <v>90</v>
      </c>
      <c r="AR35" s="711">
        <f t="shared" si="15"/>
        <v>3</v>
      </c>
      <c r="AS35" s="711">
        <f t="shared" si="16"/>
        <v>21</v>
      </c>
      <c r="AT35" s="711">
        <f t="shared" si="17"/>
        <v>90</v>
      </c>
      <c r="AU35" s="711">
        <f t="shared" si="18"/>
        <v>248</v>
      </c>
      <c r="AV35" s="711">
        <f t="shared" si="19"/>
        <v>6</v>
      </c>
      <c r="AW35" s="711">
        <f t="shared" si="20"/>
        <v>76</v>
      </c>
      <c r="AX35" s="711">
        <f t="shared" si="21"/>
        <v>151</v>
      </c>
      <c r="AY35" s="711">
        <f t="shared" si="22"/>
        <v>204</v>
      </c>
      <c r="AZ35" s="711">
        <f t="shared" si="22"/>
        <v>161</v>
      </c>
      <c r="BA35" s="711">
        <f t="shared" si="5"/>
        <v>166</v>
      </c>
    </row>
    <row r="36" spans="1:53">
      <c r="A36" s="106">
        <f t="shared" si="2"/>
        <v>25</v>
      </c>
      <c r="B36" s="858">
        <v>42029</v>
      </c>
      <c r="C36" s="859" t="s">
        <v>1724</v>
      </c>
      <c r="D36" s="860">
        <v>4549</v>
      </c>
      <c r="E36" s="860">
        <v>4421</v>
      </c>
      <c r="F36" s="860">
        <v>4425</v>
      </c>
      <c r="G36" s="860">
        <v>4406</v>
      </c>
      <c r="H36" s="860">
        <v>4289</v>
      </c>
      <c r="I36" s="860">
        <v>4360</v>
      </c>
      <c r="J36" s="860">
        <v>4443</v>
      </c>
      <c r="K36" s="860">
        <v>4591</v>
      </c>
      <c r="L36" s="860">
        <v>4702</v>
      </c>
      <c r="M36" s="860">
        <v>4715</v>
      </c>
      <c r="N36" s="860">
        <v>4629</v>
      </c>
      <c r="O36" s="860">
        <v>4664</v>
      </c>
      <c r="P36" s="860">
        <v>4641</v>
      </c>
      <c r="Q36" s="860">
        <v>4572</v>
      </c>
      <c r="R36" s="860">
        <v>4570</v>
      </c>
      <c r="S36" s="860">
        <v>4613</v>
      </c>
      <c r="T36" s="860">
        <v>4819</v>
      </c>
      <c r="U36" s="860">
        <v>5325</v>
      </c>
      <c r="V36" s="860">
        <v>5496</v>
      </c>
      <c r="W36" s="860">
        <v>5407</v>
      </c>
      <c r="X36" s="860">
        <v>5256</v>
      </c>
      <c r="Y36" s="860">
        <v>4981</v>
      </c>
      <c r="Z36" s="860">
        <v>4604</v>
      </c>
      <c r="AA36" s="860">
        <v>4464</v>
      </c>
      <c r="AC36" s="712">
        <f t="shared" si="3"/>
        <v>25</v>
      </c>
      <c r="AD36" s="711">
        <f t="shared" si="4"/>
        <v>211</v>
      </c>
      <c r="AE36" s="711">
        <f t="shared" si="0"/>
        <v>128</v>
      </c>
      <c r="AF36" s="711">
        <f t="shared" si="23"/>
        <v>4</v>
      </c>
      <c r="AG36" s="711">
        <f t="shared" si="24"/>
        <v>19</v>
      </c>
      <c r="AH36" s="711">
        <f t="shared" si="25"/>
        <v>117</v>
      </c>
      <c r="AI36" s="711">
        <f t="shared" si="6"/>
        <v>71</v>
      </c>
      <c r="AJ36" s="711">
        <f t="shared" si="7"/>
        <v>83</v>
      </c>
      <c r="AK36" s="711">
        <f t="shared" si="8"/>
        <v>148</v>
      </c>
      <c r="AL36" s="711">
        <f t="shared" si="9"/>
        <v>111</v>
      </c>
      <c r="AM36" s="711">
        <f t="shared" si="10"/>
        <v>13</v>
      </c>
      <c r="AN36" s="711">
        <f t="shared" si="11"/>
        <v>86</v>
      </c>
      <c r="AO36" s="711">
        <f t="shared" si="12"/>
        <v>35</v>
      </c>
      <c r="AP36" s="711">
        <f t="shared" si="13"/>
        <v>23</v>
      </c>
      <c r="AQ36" s="711">
        <f t="shared" si="14"/>
        <v>69</v>
      </c>
      <c r="AR36" s="711">
        <f t="shared" si="15"/>
        <v>2</v>
      </c>
      <c r="AS36" s="711">
        <f t="shared" si="16"/>
        <v>43</v>
      </c>
      <c r="AT36" s="711">
        <f t="shared" si="17"/>
        <v>206</v>
      </c>
      <c r="AU36" s="711">
        <f t="shared" si="18"/>
        <v>506</v>
      </c>
      <c r="AV36" s="711">
        <f t="shared" si="19"/>
        <v>171</v>
      </c>
      <c r="AW36" s="711">
        <f t="shared" si="20"/>
        <v>89</v>
      </c>
      <c r="AX36" s="711">
        <f t="shared" si="21"/>
        <v>151</v>
      </c>
      <c r="AY36" s="711">
        <f t="shared" si="22"/>
        <v>275</v>
      </c>
      <c r="AZ36" s="711">
        <f t="shared" si="22"/>
        <v>377</v>
      </c>
      <c r="BA36" s="711">
        <f t="shared" si="5"/>
        <v>140</v>
      </c>
    </row>
    <row r="37" spans="1:53">
      <c r="A37" s="106">
        <f t="shared" si="2"/>
        <v>26</v>
      </c>
      <c r="B37" s="858">
        <v>42030</v>
      </c>
      <c r="C37" s="859" t="s">
        <v>1724</v>
      </c>
      <c r="D37" s="860">
        <v>4363</v>
      </c>
      <c r="E37" s="860">
        <v>4259</v>
      </c>
      <c r="F37" s="860">
        <v>4245</v>
      </c>
      <c r="G37" s="860">
        <v>4241</v>
      </c>
      <c r="H37" s="860">
        <v>4352</v>
      </c>
      <c r="I37" s="860">
        <v>4623</v>
      </c>
      <c r="J37" s="860">
        <v>5155</v>
      </c>
      <c r="K37" s="860">
        <v>5261</v>
      </c>
      <c r="L37" s="860">
        <v>5148</v>
      </c>
      <c r="M37" s="860">
        <v>5053</v>
      </c>
      <c r="N37" s="860">
        <v>5101</v>
      </c>
      <c r="O37" s="860">
        <v>5127</v>
      </c>
      <c r="P37" s="860">
        <v>5092</v>
      </c>
      <c r="Q37" s="860">
        <v>5081</v>
      </c>
      <c r="R37" s="860">
        <v>5075</v>
      </c>
      <c r="S37" s="860">
        <v>5089</v>
      </c>
      <c r="T37" s="860">
        <v>5151</v>
      </c>
      <c r="U37" s="860">
        <v>5519</v>
      </c>
      <c r="V37" s="860">
        <v>5629</v>
      </c>
      <c r="W37" s="860">
        <v>5495</v>
      </c>
      <c r="X37" s="860">
        <v>5321</v>
      </c>
      <c r="Y37" s="860">
        <v>5026</v>
      </c>
      <c r="Z37" s="860">
        <v>4745</v>
      </c>
      <c r="AA37" s="860">
        <v>4503</v>
      </c>
      <c r="AC37" s="712">
        <f t="shared" si="3"/>
        <v>26</v>
      </c>
      <c r="AD37" s="711">
        <f t="shared" si="4"/>
        <v>101</v>
      </c>
      <c r="AE37" s="711">
        <f t="shared" si="0"/>
        <v>104</v>
      </c>
      <c r="AF37" s="711">
        <f t="shared" si="23"/>
        <v>14</v>
      </c>
      <c r="AG37" s="711">
        <f t="shared" si="24"/>
        <v>4</v>
      </c>
      <c r="AH37" s="711">
        <f t="shared" si="25"/>
        <v>111</v>
      </c>
      <c r="AI37" s="711">
        <f t="shared" si="6"/>
        <v>271</v>
      </c>
      <c r="AJ37" s="711">
        <f t="shared" si="7"/>
        <v>532</v>
      </c>
      <c r="AK37" s="711">
        <f t="shared" si="8"/>
        <v>106</v>
      </c>
      <c r="AL37" s="711">
        <f t="shared" si="9"/>
        <v>113</v>
      </c>
      <c r="AM37" s="711">
        <f t="shared" si="10"/>
        <v>95</v>
      </c>
      <c r="AN37" s="711">
        <f t="shared" si="11"/>
        <v>48</v>
      </c>
      <c r="AO37" s="711">
        <f t="shared" si="12"/>
        <v>26</v>
      </c>
      <c r="AP37" s="711">
        <f t="shared" si="13"/>
        <v>35</v>
      </c>
      <c r="AQ37" s="711">
        <f t="shared" si="14"/>
        <v>11</v>
      </c>
      <c r="AR37" s="711">
        <f t="shared" si="15"/>
        <v>6</v>
      </c>
      <c r="AS37" s="711">
        <f t="shared" si="16"/>
        <v>14</v>
      </c>
      <c r="AT37" s="711">
        <f t="shared" si="17"/>
        <v>62</v>
      </c>
      <c r="AU37" s="711">
        <f t="shared" si="18"/>
        <v>368</v>
      </c>
      <c r="AV37" s="711">
        <f t="shared" si="19"/>
        <v>110</v>
      </c>
      <c r="AW37" s="711">
        <f t="shared" si="20"/>
        <v>134</v>
      </c>
      <c r="AX37" s="711">
        <f t="shared" si="21"/>
        <v>174</v>
      </c>
      <c r="AY37" s="711">
        <f t="shared" si="22"/>
        <v>295</v>
      </c>
      <c r="AZ37" s="711">
        <f t="shared" si="22"/>
        <v>281</v>
      </c>
      <c r="BA37" s="711">
        <f t="shared" si="5"/>
        <v>242</v>
      </c>
    </row>
    <row r="38" spans="1:53">
      <c r="A38" s="106">
        <f t="shared" si="2"/>
        <v>27</v>
      </c>
      <c r="B38" s="858">
        <v>42031</v>
      </c>
      <c r="C38" s="859" t="s">
        <v>1724</v>
      </c>
      <c r="D38" s="860">
        <v>4320</v>
      </c>
      <c r="E38" s="860">
        <v>4220</v>
      </c>
      <c r="F38" s="860">
        <v>4081</v>
      </c>
      <c r="G38" s="860">
        <v>4034</v>
      </c>
      <c r="H38" s="860">
        <v>4119</v>
      </c>
      <c r="I38" s="860">
        <v>4433</v>
      </c>
      <c r="J38" s="860">
        <v>4983</v>
      </c>
      <c r="K38" s="860">
        <v>5136</v>
      </c>
      <c r="L38" s="860">
        <v>5121</v>
      </c>
      <c r="M38" s="860">
        <v>5120</v>
      </c>
      <c r="N38" s="860">
        <v>5086</v>
      </c>
      <c r="O38" s="860">
        <v>5078</v>
      </c>
      <c r="P38" s="860">
        <v>5012</v>
      </c>
      <c r="Q38" s="860">
        <v>5012</v>
      </c>
      <c r="R38" s="860">
        <v>5018</v>
      </c>
      <c r="S38" s="860">
        <v>5019</v>
      </c>
      <c r="T38" s="860">
        <v>5094</v>
      </c>
      <c r="U38" s="860">
        <v>5469</v>
      </c>
      <c r="V38" s="860">
        <v>5564</v>
      </c>
      <c r="W38" s="860">
        <v>5430</v>
      </c>
      <c r="X38" s="860">
        <v>5267</v>
      </c>
      <c r="Y38" s="860">
        <v>4958</v>
      </c>
      <c r="Z38" s="860">
        <v>4645</v>
      </c>
      <c r="AA38" s="860">
        <v>4399</v>
      </c>
      <c r="AC38" s="712">
        <f t="shared" si="3"/>
        <v>27</v>
      </c>
      <c r="AD38" s="711">
        <f t="shared" si="4"/>
        <v>183</v>
      </c>
      <c r="AE38" s="711">
        <f t="shared" si="0"/>
        <v>100</v>
      </c>
      <c r="AF38" s="711">
        <f t="shared" si="23"/>
        <v>139</v>
      </c>
      <c r="AG38" s="711">
        <f t="shared" si="24"/>
        <v>47</v>
      </c>
      <c r="AH38" s="711">
        <f t="shared" si="25"/>
        <v>85</v>
      </c>
      <c r="AI38" s="711">
        <f t="shared" si="6"/>
        <v>314</v>
      </c>
      <c r="AJ38" s="711">
        <f t="shared" si="7"/>
        <v>550</v>
      </c>
      <c r="AK38" s="711">
        <f t="shared" si="8"/>
        <v>153</v>
      </c>
      <c r="AL38" s="711">
        <f t="shared" si="9"/>
        <v>15</v>
      </c>
      <c r="AM38" s="711">
        <f t="shared" si="10"/>
        <v>1</v>
      </c>
      <c r="AN38" s="711">
        <f t="shared" si="11"/>
        <v>34</v>
      </c>
      <c r="AO38" s="711">
        <f t="shared" si="12"/>
        <v>8</v>
      </c>
      <c r="AP38" s="711">
        <f t="shared" si="13"/>
        <v>66</v>
      </c>
      <c r="AQ38" s="711">
        <f t="shared" si="14"/>
        <v>0</v>
      </c>
      <c r="AR38" s="711">
        <f t="shared" si="15"/>
        <v>6</v>
      </c>
      <c r="AS38" s="711">
        <f t="shared" si="16"/>
        <v>1</v>
      </c>
      <c r="AT38" s="711">
        <f t="shared" si="17"/>
        <v>75</v>
      </c>
      <c r="AU38" s="711">
        <f t="shared" si="18"/>
        <v>375</v>
      </c>
      <c r="AV38" s="711">
        <f t="shared" si="19"/>
        <v>95</v>
      </c>
      <c r="AW38" s="711">
        <f t="shared" si="20"/>
        <v>134</v>
      </c>
      <c r="AX38" s="711">
        <f t="shared" si="21"/>
        <v>163</v>
      </c>
      <c r="AY38" s="711">
        <f t="shared" si="22"/>
        <v>309</v>
      </c>
      <c r="AZ38" s="711">
        <f t="shared" si="22"/>
        <v>313</v>
      </c>
      <c r="BA38" s="711">
        <f t="shared" si="5"/>
        <v>246</v>
      </c>
    </row>
    <row r="39" spans="1:53">
      <c r="A39" s="106">
        <f t="shared" si="2"/>
        <v>28</v>
      </c>
      <c r="B39" s="858">
        <v>42032</v>
      </c>
      <c r="C39" s="859" t="s">
        <v>1724</v>
      </c>
      <c r="D39" s="860">
        <v>4249</v>
      </c>
      <c r="E39" s="860">
        <v>4190</v>
      </c>
      <c r="F39" s="860">
        <v>4178</v>
      </c>
      <c r="G39" s="860">
        <v>4118</v>
      </c>
      <c r="H39" s="860">
        <v>4187</v>
      </c>
      <c r="I39" s="860">
        <v>4474</v>
      </c>
      <c r="J39" s="860">
        <v>4914</v>
      </c>
      <c r="K39" s="860">
        <v>5143</v>
      </c>
      <c r="L39" s="860">
        <v>5089</v>
      </c>
      <c r="M39" s="860">
        <v>5025</v>
      </c>
      <c r="N39" s="860">
        <v>5057</v>
      </c>
      <c r="O39" s="860">
        <v>5048</v>
      </c>
      <c r="P39" s="860">
        <v>5005</v>
      </c>
      <c r="Q39" s="860">
        <v>4993</v>
      </c>
      <c r="R39" s="860">
        <v>4954</v>
      </c>
      <c r="S39" s="860">
        <v>4983</v>
      </c>
      <c r="T39" s="860">
        <v>5089</v>
      </c>
      <c r="U39" s="860">
        <v>5470</v>
      </c>
      <c r="V39" s="860">
        <v>5636</v>
      </c>
      <c r="W39" s="860">
        <v>5526</v>
      </c>
      <c r="X39" s="860">
        <v>5365</v>
      </c>
      <c r="Y39" s="860">
        <v>5074</v>
      </c>
      <c r="Z39" s="860">
        <v>4776</v>
      </c>
      <c r="AA39" s="860">
        <v>4571</v>
      </c>
      <c r="AC39" s="712">
        <f t="shared" si="3"/>
        <v>28</v>
      </c>
      <c r="AD39" s="711">
        <f t="shared" si="4"/>
        <v>150</v>
      </c>
      <c r="AE39" s="711">
        <f t="shared" si="0"/>
        <v>59</v>
      </c>
      <c r="AF39" s="711">
        <f t="shared" si="23"/>
        <v>12</v>
      </c>
      <c r="AG39" s="711">
        <f t="shared" si="24"/>
        <v>60</v>
      </c>
      <c r="AH39" s="711">
        <f t="shared" si="25"/>
        <v>69</v>
      </c>
      <c r="AI39" s="711">
        <f t="shared" si="6"/>
        <v>287</v>
      </c>
      <c r="AJ39" s="711">
        <f t="shared" si="7"/>
        <v>440</v>
      </c>
      <c r="AK39" s="711">
        <f t="shared" si="8"/>
        <v>229</v>
      </c>
      <c r="AL39" s="711">
        <f t="shared" si="9"/>
        <v>54</v>
      </c>
      <c r="AM39" s="711">
        <f t="shared" si="10"/>
        <v>64</v>
      </c>
      <c r="AN39" s="711">
        <f t="shared" si="11"/>
        <v>32</v>
      </c>
      <c r="AO39" s="711">
        <f t="shared" si="12"/>
        <v>9</v>
      </c>
      <c r="AP39" s="711">
        <f t="shared" si="13"/>
        <v>43</v>
      </c>
      <c r="AQ39" s="711">
        <f t="shared" si="14"/>
        <v>12</v>
      </c>
      <c r="AR39" s="711">
        <f t="shared" si="15"/>
        <v>39</v>
      </c>
      <c r="AS39" s="711">
        <f t="shared" si="16"/>
        <v>29</v>
      </c>
      <c r="AT39" s="711">
        <f t="shared" si="17"/>
        <v>106</v>
      </c>
      <c r="AU39" s="711">
        <f t="shared" si="18"/>
        <v>381</v>
      </c>
      <c r="AV39" s="711">
        <f t="shared" si="19"/>
        <v>166</v>
      </c>
      <c r="AW39" s="711">
        <f t="shared" si="20"/>
        <v>110</v>
      </c>
      <c r="AX39" s="711">
        <f t="shared" si="21"/>
        <v>161</v>
      </c>
      <c r="AY39" s="711">
        <f t="shared" si="22"/>
        <v>291</v>
      </c>
      <c r="AZ39" s="711">
        <f t="shared" si="22"/>
        <v>298</v>
      </c>
      <c r="BA39" s="711">
        <f t="shared" si="5"/>
        <v>205</v>
      </c>
    </row>
    <row r="40" spans="1:53">
      <c r="A40" s="106">
        <f t="shared" si="2"/>
        <v>29</v>
      </c>
      <c r="B40" s="858">
        <v>42033</v>
      </c>
      <c r="C40" s="859" t="s">
        <v>1724</v>
      </c>
      <c r="D40" s="860">
        <v>4376</v>
      </c>
      <c r="E40" s="860">
        <v>4199</v>
      </c>
      <c r="F40" s="860">
        <v>4197</v>
      </c>
      <c r="G40" s="860">
        <v>4124</v>
      </c>
      <c r="H40" s="860">
        <v>4232</v>
      </c>
      <c r="I40" s="860">
        <v>4497</v>
      </c>
      <c r="J40" s="860">
        <v>4985</v>
      </c>
      <c r="K40" s="860">
        <v>5242</v>
      </c>
      <c r="L40" s="860">
        <v>5247</v>
      </c>
      <c r="M40" s="860">
        <v>5283</v>
      </c>
      <c r="N40" s="860">
        <v>5251</v>
      </c>
      <c r="O40" s="860">
        <v>5154</v>
      </c>
      <c r="P40" s="860">
        <v>5056</v>
      </c>
      <c r="Q40" s="860">
        <v>5017</v>
      </c>
      <c r="R40" s="860">
        <v>5000</v>
      </c>
      <c r="S40" s="860">
        <v>5047</v>
      </c>
      <c r="T40" s="860">
        <v>5189</v>
      </c>
      <c r="U40" s="860">
        <v>5622</v>
      </c>
      <c r="V40" s="860">
        <v>5731</v>
      </c>
      <c r="W40" s="860">
        <v>5643</v>
      </c>
      <c r="X40" s="860">
        <v>5466</v>
      </c>
      <c r="Y40" s="860">
        <v>5195</v>
      </c>
      <c r="Z40" s="860">
        <v>4806</v>
      </c>
      <c r="AA40" s="860">
        <v>4592</v>
      </c>
      <c r="AC40" s="712">
        <f t="shared" si="3"/>
        <v>29</v>
      </c>
      <c r="AD40" s="711">
        <f t="shared" si="4"/>
        <v>195</v>
      </c>
      <c r="AE40" s="711">
        <f t="shared" si="0"/>
        <v>177</v>
      </c>
      <c r="AF40" s="711">
        <f t="shared" si="23"/>
        <v>2</v>
      </c>
      <c r="AG40" s="711">
        <f t="shared" si="24"/>
        <v>73</v>
      </c>
      <c r="AH40" s="711">
        <f t="shared" si="25"/>
        <v>108</v>
      </c>
      <c r="AI40" s="711">
        <f t="shared" si="6"/>
        <v>265</v>
      </c>
      <c r="AJ40" s="711">
        <f t="shared" si="7"/>
        <v>488</v>
      </c>
      <c r="AK40" s="711">
        <f t="shared" si="8"/>
        <v>257</v>
      </c>
      <c r="AL40" s="711">
        <f t="shared" si="9"/>
        <v>5</v>
      </c>
      <c r="AM40" s="711">
        <f t="shared" si="10"/>
        <v>36</v>
      </c>
      <c r="AN40" s="711">
        <f t="shared" si="11"/>
        <v>32</v>
      </c>
      <c r="AO40" s="711">
        <f t="shared" si="12"/>
        <v>97</v>
      </c>
      <c r="AP40" s="711">
        <f t="shared" si="13"/>
        <v>98</v>
      </c>
      <c r="AQ40" s="711">
        <f t="shared" si="14"/>
        <v>39</v>
      </c>
      <c r="AR40" s="711">
        <f t="shared" si="15"/>
        <v>17</v>
      </c>
      <c r="AS40" s="711">
        <f t="shared" si="16"/>
        <v>47</v>
      </c>
      <c r="AT40" s="711">
        <f t="shared" si="17"/>
        <v>142</v>
      </c>
      <c r="AU40" s="711">
        <f t="shared" si="18"/>
        <v>433</v>
      </c>
      <c r="AV40" s="711">
        <f t="shared" si="19"/>
        <v>109</v>
      </c>
      <c r="AW40" s="711">
        <f t="shared" si="20"/>
        <v>88</v>
      </c>
      <c r="AX40" s="711">
        <f t="shared" si="21"/>
        <v>177</v>
      </c>
      <c r="AY40" s="711">
        <f t="shared" si="22"/>
        <v>271</v>
      </c>
      <c r="AZ40" s="711">
        <f t="shared" si="22"/>
        <v>389</v>
      </c>
      <c r="BA40" s="711">
        <f t="shared" si="5"/>
        <v>214</v>
      </c>
    </row>
    <row r="41" spans="1:53">
      <c r="A41" s="106">
        <f t="shared" si="2"/>
        <v>30</v>
      </c>
      <c r="B41" s="858">
        <v>42034</v>
      </c>
      <c r="C41" s="859" t="s">
        <v>1724</v>
      </c>
      <c r="D41" s="860">
        <v>4487</v>
      </c>
      <c r="E41" s="860">
        <v>4362</v>
      </c>
      <c r="F41" s="860">
        <v>4324</v>
      </c>
      <c r="G41" s="860">
        <v>4338</v>
      </c>
      <c r="H41" s="860">
        <v>4341</v>
      </c>
      <c r="I41" s="860">
        <v>4648</v>
      </c>
      <c r="J41" s="860">
        <v>5056</v>
      </c>
      <c r="K41" s="860">
        <v>5230</v>
      </c>
      <c r="L41" s="860">
        <v>5252</v>
      </c>
      <c r="M41" s="860">
        <v>5260</v>
      </c>
      <c r="N41" s="860">
        <v>5268</v>
      </c>
      <c r="O41" s="860">
        <v>5221</v>
      </c>
      <c r="P41" s="860">
        <v>5291</v>
      </c>
      <c r="Q41" s="860">
        <v>5241</v>
      </c>
      <c r="R41" s="860">
        <v>5154</v>
      </c>
      <c r="S41" s="860">
        <v>5186</v>
      </c>
      <c r="T41" s="860">
        <v>5293</v>
      </c>
      <c r="U41" s="860">
        <v>5588</v>
      </c>
      <c r="V41" s="860">
        <v>5580</v>
      </c>
      <c r="W41" s="860">
        <v>5447</v>
      </c>
      <c r="X41" s="860">
        <v>5276</v>
      </c>
      <c r="Y41" s="860">
        <v>5062</v>
      </c>
      <c r="Z41" s="860">
        <v>4727</v>
      </c>
      <c r="AA41" s="860">
        <v>4440</v>
      </c>
      <c r="AC41" s="712">
        <f t="shared" si="3"/>
        <v>30</v>
      </c>
      <c r="AD41" s="711">
        <f t="shared" si="4"/>
        <v>105</v>
      </c>
      <c r="AE41" s="711">
        <f t="shared" si="0"/>
        <v>125</v>
      </c>
      <c r="AF41" s="711">
        <f t="shared" si="23"/>
        <v>38</v>
      </c>
      <c r="AG41" s="711">
        <f t="shared" si="24"/>
        <v>14</v>
      </c>
      <c r="AH41" s="711">
        <f t="shared" si="25"/>
        <v>3</v>
      </c>
      <c r="AI41" s="711">
        <f t="shared" si="6"/>
        <v>307</v>
      </c>
      <c r="AJ41" s="711">
        <f t="shared" si="7"/>
        <v>408</v>
      </c>
      <c r="AK41" s="711">
        <f t="shared" si="8"/>
        <v>174</v>
      </c>
      <c r="AL41" s="711">
        <f t="shared" si="9"/>
        <v>22</v>
      </c>
      <c r="AM41" s="711">
        <f t="shared" si="10"/>
        <v>8</v>
      </c>
      <c r="AN41" s="711">
        <f t="shared" si="11"/>
        <v>8</v>
      </c>
      <c r="AO41" s="711">
        <f t="shared" si="12"/>
        <v>47</v>
      </c>
      <c r="AP41" s="711">
        <f t="shared" si="13"/>
        <v>70</v>
      </c>
      <c r="AQ41" s="711">
        <f t="shared" si="14"/>
        <v>50</v>
      </c>
      <c r="AR41" s="711">
        <f t="shared" si="15"/>
        <v>87</v>
      </c>
      <c r="AS41" s="711">
        <f t="shared" si="16"/>
        <v>32</v>
      </c>
      <c r="AT41" s="711">
        <f t="shared" si="17"/>
        <v>107</v>
      </c>
      <c r="AU41" s="711">
        <f t="shared" si="18"/>
        <v>295</v>
      </c>
      <c r="AV41" s="711">
        <f t="shared" si="19"/>
        <v>8</v>
      </c>
      <c r="AW41" s="711">
        <f t="shared" si="20"/>
        <v>133</v>
      </c>
      <c r="AX41" s="711">
        <f t="shared" si="21"/>
        <v>171</v>
      </c>
      <c r="AY41" s="711">
        <f t="shared" si="22"/>
        <v>214</v>
      </c>
      <c r="AZ41" s="711">
        <f t="shared" si="22"/>
        <v>335</v>
      </c>
      <c r="BA41" s="711">
        <f t="shared" si="5"/>
        <v>287</v>
      </c>
    </row>
    <row r="42" spans="1:53">
      <c r="A42" s="106">
        <f t="shared" si="2"/>
        <v>31</v>
      </c>
      <c r="B42" s="858">
        <v>42035</v>
      </c>
      <c r="C42" s="859" t="s">
        <v>1724</v>
      </c>
      <c r="D42" s="860">
        <v>4395</v>
      </c>
      <c r="E42" s="860">
        <v>4331</v>
      </c>
      <c r="F42" s="860">
        <v>4264</v>
      </c>
      <c r="G42" s="860">
        <v>4234</v>
      </c>
      <c r="H42" s="860">
        <v>4178</v>
      </c>
      <c r="I42" s="860">
        <v>4301</v>
      </c>
      <c r="J42" s="860">
        <v>4469</v>
      </c>
      <c r="K42" s="860">
        <v>4618</v>
      </c>
      <c r="L42" s="860">
        <v>4845</v>
      </c>
      <c r="M42" s="860">
        <v>5037</v>
      </c>
      <c r="N42" s="860">
        <v>5101</v>
      </c>
      <c r="O42" s="860">
        <v>5088</v>
      </c>
      <c r="P42" s="860">
        <v>5045</v>
      </c>
      <c r="Q42" s="860">
        <v>5018</v>
      </c>
      <c r="R42" s="860">
        <v>4948</v>
      </c>
      <c r="S42" s="860">
        <v>4988</v>
      </c>
      <c r="T42" s="860">
        <v>5073</v>
      </c>
      <c r="U42" s="860">
        <v>5400</v>
      </c>
      <c r="V42" s="860">
        <v>5524</v>
      </c>
      <c r="W42" s="860">
        <v>5447</v>
      </c>
      <c r="X42" s="860">
        <v>5296</v>
      </c>
      <c r="Y42" s="860">
        <v>5105</v>
      </c>
      <c r="Z42" s="860">
        <v>4836</v>
      </c>
      <c r="AA42" s="860">
        <v>4692</v>
      </c>
      <c r="AC42" s="712">
        <f t="shared" si="3"/>
        <v>31</v>
      </c>
      <c r="AD42" s="711">
        <f t="shared" si="4"/>
        <v>45</v>
      </c>
      <c r="AE42" s="711">
        <f t="shared" si="0"/>
        <v>64</v>
      </c>
      <c r="AF42" s="711">
        <f t="shared" si="23"/>
        <v>67</v>
      </c>
      <c r="AG42" s="711">
        <f t="shared" si="24"/>
        <v>30</v>
      </c>
      <c r="AH42" s="711">
        <f t="shared" si="25"/>
        <v>56</v>
      </c>
      <c r="AI42" s="711">
        <f t="shared" si="6"/>
        <v>123</v>
      </c>
      <c r="AJ42" s="711">
        <f t="shared" si="7"/>
        <v>168</v>
      </c>
      <c r="AK42" s="711">
        <f t="shared" si="8"/>
        <v>149</v>
      </c>
      <c r="AL42" s="711">
        <f t="shared" si="9"/>
        <v>227</v>
      </c>
      <c r="AM42" s="711">
        <f t="shared" si="10"/>
        <v>192</v>
      </c>
      <c r="AN42" s="711">
        <f t="shared" si="11"/>
        <v>64</v>
      </c>
      <c r="AO42" s="711">
        <f t="shared" si="12"/>
        <v>13</v>
      </c>
      <c r="AP42" s="711">
        <f t="shared" si="13"/>
        <v>43</v>
      </c>
      <c r="AQ42" s="711">
        <f t="shared" si="14"/>
        <v>27</v>
      </c>
      <c r="AR42" s="711">
        <f t="shared" si="15"/>
        <v>70</v>
      </c>
      <c r="AS42" s="711">
        <f t="shared" si="16"/>
        <v>40</v>
      </c>
      <c r="AT42" s="711">
        <f t="shared" si="17"/>
        <v>85</v>
      </c>
      <c r="AU42" s="711">
        <f t="shared" si="18"/>
        <v>327</v>
      </c>
      <c r="AV42" s="711">
        <f t="shared" si="19"/>
        <v>124</v>
      </c>
      <c r="AW42" s="711">
        <f t="shared" si="20"/>
        <v>77</v>
      </c>
      <c r="AX42" s="711">
        <f t="shared" si="21"/>
        <v>151</v>
      </c>
      <c r="AY42" s="711">
        <f t="shared" si="22"/>
        <v>191</v>
      </c>
      <c r="AZ42" s="711">
        <f t="shared" si="22"/>
        <v>269</v>
      </c>
      <c r="BA42" s="711">
        <f t="shared" si="5"/>
        <v>144</v>
      </c>
    </row>
    <row r="43" spans="1:53">
      <c r="A43" s="106">
        <f t="shared" si="2"/>
        <v>32</v>
      </c>
      <c r="B43" s="858">
        <v>42036</v>
      </c>
      <c r="C43" s="859" t="s">
        <v>1724</v>
      </c>
      <c r="D43" s="860">
        <v>4587</v>
      </c>
      <c r="E43" s="860">
        <v>4525</v>
      </c>
      <c r="F43" s="860">
        <v>4482</v>
      </c>
      <c r="G43" s="860">
        <v>4440</v>
      </c>
      <c r="H43" s="860">
        <v>4490</v>
      </c>
      <c r="I43" s="860">
        <v>4518</v>
      </c>
      <c r="J43" s="860">
        <v>4657</v>
      </c>
      <c r="K43" s="860">
        <v>4729</v>
      </c>
      <c r="L43" s="860">
        <v>4889</v>
      </c>
      <c r="M43" s="860">
        <v>5029</v>
      </c>
      <c r="N43" s="860">
        <v>5078</v>
      </c>
      <c r="O43" s="860">
        <v>5112</v>
      </c>
      <c r="P43" s="860">
        <v>5093</v>
      </c>
      <c r="Q43" s="860">
        <v>5085</v>
      </c>
      <c r="R43" s="860">
        <v>5128</v>
      </c>
      <c r="S43" s="860">
        <v>5150</v>
      </c>
      <c r="T43" s="860">
        <v>5213</v>
      </c>
      <c r="U43" s="860">
        <v>5506</v>
      </c>
      <c r="V43" s="860">
        <v>5662</v>
      </c>
      <c r="W43" s="860">
        <v>5589</v>
      </c>
      <c r="X43" s="860">
        <v>5542</v>
      </c>
      <c r="Y43" s="860">
        <v>5308</v>
      </c>
      <c r="Z43" s="860">
        <v>4960</v>
      </c>
      <c r="AA43" s="860">
        <v>4721</v>
      </c>
      <c r="AB43" s="711">
        <f>MAX(D43:AA70)</f>
        <v>6355</v>
      </c>
      <c r="AC43" s="712">
        <f t="shared" si="3"/>
        <v>32</v>
      </c>
      <c r="AD43" s="711">
        <f t="shared" si="4"/>
        <v>105</v>
      </c>
      <c r="AE43" s="711">
        <f t="shared" si="0"/>
        <v>62</v>
      </c>
      <c r="AF43" s="711">
        <f t="shared" si="23"/>
        <v>43</v>
      </c>
      <c r="AG43" s="711">
        <f t="shared" si="24"/>
        <v>42</v>
      </c>
      <c r="AH43" s="711">
        <f t="shared" si="25"/>
        <v>50</v>
      </c>
      <c r="AI43" s="711">
        <f t="shared" si="6"/>
        <v>28</v>
      </c>
      <c r="AJ43" s="711">
        <f t="shared" si="7"/>
        <v>139</v>
      </c>
      <c r="AK43" s="711">
        <f t="shared" si="8"/>
        <v>72</v>
      </c>
      <c r="AL43" s="711">
        <f t="shared" si="9"/>
        <v>160</v>
      </c>
      <c r="AM43" s="711">
        <f t="shared" si="10"/>
        <v>140</v>
      </c>
      <c r="AN43" s="711">
        <f t="shared" si="11"/>
        <v>49</v>
      </c>
      <c r="AO43" s="711">
        <f t="shared" si="12"/>
        <v>34</v>
      </c>
      <c r="AP43" s="711">
        <f t="shared" si="13"/>
        <v>19</v>
      </c>
      <c r="AQ43" s="711">
        <f t="shared" si="14"/>
        <v>8</v>
      </c>
      <c r="AR43" s="711">
        <f t="shared" si="15"/>
        <v>43</v>
      </c>
      <c r="AS43" s="711">
        <f t="shared" si="16"/>
        <v>22</v>
      </c>
      <c r="AT43" s="711">
        <f t="shared" si="17"/>
        <v>63</v>
      </c>
      <c r="AU43" s="711">
        <f t="shared" si="18"/>
        <v>293</v>
      </c>
      <c r="AV43" s="711">
        <f t="shared" si="19"/>
        <v>156</v>
      </c>
      <c r="AW43" s="711">
        <f t="shared" si="20"/>
        <v>73</v>
      </c>
      <c r="AX43" s="711">
        <f t="shared" si="21"/>
        <v>47</v>
      </c>
      <c r="AY43" s="711">
        <f t="shared" si="22"/>
        <v>234</v>
      </c>
      <c r="AZ43" s="711">
        <f t="shared" si="22"/>
        <v>348</v>
      </c>
      <c r="BA43" s="711">
        <f t="shared" si="5"/>
        <v>239</v>
      </c>
    </row>
    <row r="44" spans="1:53">
      <c r="A44" s="106">
        <f t="shared" si="2"/>
        <v>33</v>
      </c>
      <c r="B44" s="858">
        <v>42037</v>
      </c>
      <c r="C44" s="859" t="s">
        <v>1724</v>
      </c>
      <c r="D44" s="860">
        <v>4587</v>
      </c>
      <c r="E44" s="860">
        <v>4561</v>
      </c>
      <c r="F44" s="860">
        <v>4566</v>
      </c>
      <c r="G44" s="860">
        <v>4579</v>
      </c>
      <c r="H44" s="860">
        <v>4586</v>
      </c>
      <c r="I44" s="860">
        <v>4897</v>
      </c>
      <c r="J44" s="860">
        <v>5318</v>
      </c>
      <c r="K44" s="860">
        <v>5435</v>
      </c>
      <c r="L44" s="860">
        <v>5452</v>
      </c>
      <c r="M44" s="860">
        <v>5366</v>
      </c>
      <c r="N44" s="860">
        <v>5282</v>
      </c>
      <c r="O44" s="860">
        <v>5205</v>
      </c>
      <c r="P44" s="860">
        <v>5124</v>
      </c>
      <c r="Q44" s="860">
        <v>5058</v>
      </c>
      <c r="R44" s="860">
        <v>4994</v>
      </c>
      <c r="S44" s="860">
        <v>4989</v>
      </c>
      <c r="T44" s="860">
        <v>5095</v>
      </c>
      <c r="U44" s="860">
        <v>5568</v>
      </c>
      <c r="V44" s="860">
        <v>5828</v>
      </c>
      <c r="W44" s="860">
        <v>5704</v>
      </c>
      <c r="X44" s="860">
        <v>5504</v>
      </c>
      <c r="Y44" s="860">
        <v>5180</v>
      </c>
      <c r="Z44" s="860">
        <v>4907</v>
      </c>
      <c r="AA44" s="860">
        <v>4593</v>
      </c>
      <c r="AC44" s="712">
        <f t="shared" si="3"/>
        <v>33</v>
      </c>
      <c r="AD44" s="711">
        <f t="shared" si="4"/>
        <v>134</v>
      </c>
      <c r="AE44" s="711">
        <f t="shared" ref="AE44:AE75" si="26">ABS(E44-D44)</f>
        <v>26</v>
      </c>
      <c r="AF44" s="711">
        <f t="shared" si="23"/>
        <v>5</v>
      </c>
      <c r="AG44" s="711">
        <f t="shared" si="24"/>
        <v>13</v>
      </c>
      <c r="AH44" s="711">
        <f t="shared" si="25"/>
        <v>7</v>
      </c>
      <c r="AI44" s="711">
        <f t="shared" si="6"/>
        <v>311</v>
      </c>
      <c r="AJ44" s="711">
        <f t="shared" si="7"/>
        <v>421</v>
      </c>
      <c r="AK44" s="711">
        <f t="shared" si="8"/>
        <v>117</v>
      </c>
      <c r="AL44" s="711">
        <f t="shared" si="9"/>
        <v>17</v>
      </c>
      <c r="AM44" s="711">
        <f t="shared" si="10"/>
        <v>86</v>
      </c>
      <c r="AN44" s="711">
        <f t="shared" si="11"/>
        <v>84</v>
      </c>
      <c r="AO44" s="711">
        <f t="shared" si="12"/>
        <v>77</v>
      </c>
      <c r="AP44" s="711">
        <f t="shared" si="13"/>
        <v>81</v>
      </c>
      <c r="AQ44" s="711">
        <f t="shared" si="14"/>
        <v>66</v>
      </c>
      <c r="AR44" s="711">
        <f t="shared" si="15"/>
        <v>64</v>
      </c>
      <c r="AS44" s="711">
        <f t="shared" si="16"/>
        <v>5</v>
      </c>
      <c r="AT44" s="711">
        <f t="shared" si="17"/>
        <v>106</v>
      </c>
      <c r="AU44" s="711">
        <f t="shared" si="18"/>
        <v>473</v>
      </c>
      <c r="AV44" s="711">
        <f t="shared" si="19"/>
        <v>260</v>
      </c>
      <c r="AW44" s="711">
        <f t="shared" si="20"/>
        <v>124</v>
      </c>
      <c r="AX44" s="711">
        <f t="shared" si="21"/>
        <v>200</v>
      </c>
      <c r="AY44" s="711">
        <f t="shared" si="22"/>
        <v>324</v>
      </c>
      <c r="AZ44" s="711">
        <f t="shared" si="22"/>
        <v>273</v>
      </c>
      <c r="BA44" s="711">
        <f t="shared" si="5"/>
        <v>314</v>
      </c>
    </row>
    <row r="45" spans="1:53">
      <c r="A45" s="106">
        <f t="shared" si="2"/>
        <v>34</v>
      </c>
      <c r="B45" s="858">
        <v>42038</v>
      </c>
      <c r="C45" s="859" t="s">
        <v>1724</v>
      </c>
      <c r="D45" s="860">
        <v>4486</v>
      </c>
      <c r="E45" s="860">
        <v>4433</v>
      </c>
      <c r="F45" s="860">
        <v>4390</v>
      </c>
      <c r="G45" s="860">
        <v>4404</v>
      </c>
      <c r="H45" s="860">
        <v>4434</v>
      </c>
      <c r="I45" s="860">
        <v>4729</v>
      </c>
      <c r="J45" s="860">
        <v>5151</v>
      </c>
      <c r="K45" s="860">
        <v>5310</v>
      </c>
      <c r="L45" s="860">
        <v>5239</v>
      </c>
      <c r="M45" s="860">
        <v>5153</v>
      </c>
      <c r="N45" s="860">
        <v>5111</v>
      </c>
      <c r="O45" s="860">
        <v>5057</v>
      </c>
      <c r="P45" s="860">
        <v>4993</v>
      </c>
      <c r="Q45" s="860">
        <v>4976</v>
      </c>
      <c r="R45" s="860">
        <v>4966</v>
      </c>
      <c r="S45" s="860">
        <v>4966</v>
      </c>
      <c r="T45" s="860">
        <v>5069</v>
      </c>
      <c r="U45" s="860">
        <v>5441</v>
      </c>
      <c r="V45" s="860">
        <v>5622</v>
      </c>
      <c r="W45" s="860">
        <v>5528</v>
      </c>
      <c r="X45" s="860">
        <v>5386</v>
      </c>
      <c r="Y45" s="860">
        <v>5059</v>
      </c>
      <c r="Z45" s="860">
        <v>4648</v>
      </c>
      <c r="AA45" s="860">
        <v>4323</v>
      </c>
      <c r="AC45" s="712">
        <f t="shared" si="3"/>
        <v>34</v>
      </c>
      <c r="AD45" s="711">
        <f t="shared" si="4"/>
        <v>107</v>
      </c>
      <c r="AE45" s="711">
        <f t="shared" si="26"/>
        <v>53</v>
      </c>
      <c r="AF45" s="711">
        <f t="shared" si="23"/>
        <v>43</v>
      </c>
      <c r="AG45" s="711">
        <f t="shared" si="24"/>
        <v>14</v>
      </c>
      <c r="AH45" s="711">
        <f t="shared" si="25"/>
        <v>30</v>
      </c>
      <c r="AI45" s="711">
        <f t="shared" si="6"/>
        <v>295</v>
      </c>
      <c r="AJ45" s="711">
        <f t="shared" si="7"/>
        <v>422</v>
      </c>
      <c r="AK45" s="711">
        <f t="shared" si="8"/>
        <v>159</v>
      </c>
      <c r="AL45" s="711">
        <f t="shared" si="9"/>
        <v>71</v>
      </c>
      <c r="AM45" s="711">
        <f t="shared" si="10"/>
        <v>86</v>
      </c>
      <c r="AN45" s="711">
        <f t="shared" si="11"/>
        <v>42</v>
      </c>
      <c r="AO45" s="711">
        <f t="shared" si="12"/>
        <v>54</v>
      </c>
      <c r="AP45" s="711">
        <f t="shared" si="13"/>
        <v>64</v>
      </c>
      <c r="AQ45" s="711">
        <f t="shared" si="14"/>
        <v>17</v>
      </c>
      <c r="AR45" s="711">
        <f t="shared" si="15"/>
        <v>10</v>
      </c>
      <c r="AS45" s="711">
        <f t="shared" si="16"/>
        <v>0</v>
      </c>
      <c r="AT45" s="711">
        <f t="shared" si="17"/>
        <v>103</v>
      </c>
      <c r="AU45" s="711">
        <f t="shared" si="18"/>
        <v>372</v>
      </c>
      <c r="AV45" s="711">
        <f t="shared" si="19"/>
        <v>181</v>
      </c>
      <c r="AW45" s="711">
        <f t="shared" si="20"/>
        <v>94</v>
      </c>
      <c r="AX45" s="711">
        <f t="shared" si="21"/>
        <v>142</v>
      </c>
      <c r="AY45" s="711">
        <f t="shared" si="22"/>
        <v>327</v>
      </c>
      <c r="AZ45" s="711">
        <f t="shared" si="22"/>
        <v>411</v>
      </c>
      <c r="BA45" s="711">
        <f t="shared" si="5"/>
        <v>325</v>
      </c>
    </row>
    <row r="46" spans="1:53">
      <c r="A46" s="106">
        <f t="shared" si="2"/>
        <v>35</v>
      </c>
      <c r="B46" s="858">
        <v>42039</v>
      </c>
      <c r="C46" s="859" t="s">
        <v>1724</v>
      </c>
      <c r="D46" s="860">
        <v>4192</v>
      </c>
      <c r="E46" s="860">
        <v>4172</v>
      </c>
      <c r="F46" s="860">
        <v>4169</v>
      </c>
      <c r="G46" s="860">
        <v>4292</v>
      </c>
      <c r="H46" s="860">
        <v>4432</v>
      </c>
      <c r="I46" s="860">
        <v>4770</v>
      </c>
      <c r="J46" s="860">
        <v>5136</v>
      </c>
      <c r="K46" s="860">
        <v>5455</v>
      </c>
      <c r="L46" s="860">
        <v>5453</v>
      </c>
      <c r="M46" s="860">
        <v>5538</v>
      </c>
      <c r="N46" s="860">
        <v>5534</v>
      </c>
      <c r="O46" s="860">
        <v>5524</v>
      </c>
      <c r="P46" s="860">
        <v>5453</v>
      </c>
      <c r="Q46" s="860">
        <v>5449</v>
      </c>
      <c r="R46" s="860">
        <v>5429</v>
      </c>
      <c r="S46" s="860">
        <v>5465</v>
      </c>
      <c r="T46" s="860">
        <v>5563</v>
      </c>
      <c r="U46" s="860">
        <v>5929</v>
      </c>
      <c r="V46" s="860">
        <v>6020</v>
      </c>
      <c r="W46" s="860">
        <v>5880</v>
      </c>
      <c r="X46" s="860">
        <v>5728</v>
      </c>
      <c r="Y46" s="860">
        <v>5413</v>
      </c>
      <c r="Z46" s="860">
        <v>4975</v>
      </c>
      <c r="AA46" s="860">
        <v>4665</v>
      </c>
      <c r="AC46" s="712">
        <f t="shared" si="3"/>
        <v>35</v>
      </c>
      <c r="AD46" s="711">
        <f t="shared" si="4"/>
        <v>131</v>
      </c>
      <c r="AE46" s="711">
        <f t="shared" si="26"/>
        <v>20</v>
      </c>
      <c r="AF46" s="711">
        <f t="shared" si="23"/>
        <v>3</v>
      </c>
      <c r="AG46" s="711">
        <f t="shared" si="24"/>
        <v>123</v>
      </c>
      <c r="AH46" s="711">
        <f t="shared" si="25"/>
        <v>140</v>
      </c>
      <c r="AI46" s="711">
        <f t="shared" si="6"/>
        <v>338</v>
      </c>
      <c r="AJ46" s="711">
        <f t="shared" si="7"/>
        <v>366</v>
      </c>
      <c r="AK46" s="711">
        <f t="shared" si="8"/>
        <v>319</v>
      </c>
      <c r="AL46" s="711">
        <f t="shared" si="9"/>
        <v>2</v>
      </c>
      <c r="AM46" s="711">
        <f t="shared" si="10"/>
        <v>85</v>
      </c>
      <c r="AN46" s="711">
        <f t="shared" si="11"/>
        <v>4</v>
      </c>
      <c r="AO46" s="711">
        <f t="shared" si="12"/>
        <v>10</v>
      </c>
      <c r="AP46" s="711">
        <f t="shared" si="13"/>
        <v>71</v>
      </c>
      <c r="AQ46" s="711">
        <f t="shared" si="14"/>
        <v>4</v>
      </c>
      <c r="AR46" s="711">
        <f t="shared" si="15"/>
        <v>20</v>
      </c>
      <c r="AS46" s="711">
        <f t="shared" si="16"/>
        <v>36</v>
      </c>
      <c r="AT46" s="711">
        <f t="shared" si="17"/>
        <v>98</v>
      </c>
      <c r="AU46" s="711">
        <f t="shared" si="18"/>
        <v>366</v>
      </c>
      <c r="AV46" s="711">
        <f t="shared" si="19"/>
        <v>91</v>
      </c>
      <c r="AW46" s="711">
        <f t="shared" si="20"/>
        <v>140</v>
      </c>
      <c r="AX46" s="711">
        <f t="shared" si="21"/>
        <v>152</v>
      </c>
      <c r="AY46" s="711">
        <f t="shared" si="22"/>
        <v>315</v>
      </c>
      <c r="AZ46" s="711">
        <f t="shared" si="22"/>
        <v>438</v>
      </c>
      <c r="BA46" s="711">
        <f t="shared" si="5"/>
        <v>310</v>
      </c>
    </row>
    <row r="47" spans="1:53">
      <c r="A47" s="106">
        <f t="shared" si="2"/>
        <v>36</v>
      </c>
      <c r="B47" s="858">
        <v>42040</v>
      </c>
      <c r="C47" s="859" t="s">
        <v>1724</v>
      </c>
      <c r="D47" s="860">
        <v>4606</v>
      </c>
      <c r="E47" s="860">
        <v>4589</v>
      </c>
      <c r="F47" s="860">
        <v>4545</v>
      </c>
      <c r="G47" s="860">
        <v>4554</v>
      </c>
      <c r="H47" s="860">
        <v>4643</v>
      </c>
      <c r="I47" s="860">
        <v>4954</v>
      </c>
      <c r="J47" s="860">
        <v>5359</v>
      </c>
      <c r="K47" s="860">
        <v>5486</v>
      </c>
      <c r="L47" s="860">
        <v>5287</v>
      </c>
      <c r="M47" s="860">
        <v>5174</v>
      </c>
      <c r="N47" s="860">
        <v>5121</v>
      </c>
      <c r="O47" s="860">
        <v>5069</v>
      </c>
      <c r="P47" s="860">
        <v>5080</v>
      </c>
      <c r="Q47" s="860">
        <v>5051</v>
      </c>
      <c r="R47" s="860">
        <v>5000</v>
      </c>
      <c r="S47" s="860">
        <v>5030</v>
      </c>
      <c r="T47" s="860">
        <v>5116</v>
      </c>
      <c r="U47" s="860">
        <v>5474</v>
      </c>
      <c r="V47" s="860">
        <v>5632</v>
      </c>
      <c r="W47" s="860">
        <v>5539</v>
      </c>
      <c r="X47" s="860">
        <v>5363</v>
      </c>
      <c r="Y47" s="860">
        <v>5060</v>
      </c>
      <c r="Z47" s="860">
        <v>4657</v>
      </c>
      <c r="AA47" s="860">
        <v>4331</v>
      </c>
      <c r="AC47" s="712">
        <f t="shared" si="3"/>
        <v>36</v>
      </c>
      <c r="AD47" s="711">
        <f t="shared" si="4"/>
        <v>59</v>
      </c>
      <c r="AE47" s="711">
        <f t="shared" si="26"/>
        <v>17</v>
      </c>
      <c r="AF47" s="711">
        <f t="shared" si="23"/>
        <v>44</v>
      </c>
      <c r="AG47" s="711">
        <f t="shared" si="24"/>
        <v>9</v>
      </c>
      <c r="AH47" s="711">
        <f t="shared" si="25"/>
        <v>89</v>
      </c>
      <c r="AI47" s="711">
        <f t="shared" si="6"/>
        <v>311</v>
      </c>
      <c r="AJ47" s="711">
        <f t="shared" si="7"/>
        <v>405</v>
      </c>
      <c r="AK47" s="711">
        <f t="shared" si="8"/>
        <v>127</v>
      </c>
      <c r="AL47" s="711">
        <f t="shared" si="9"/>
        <v>199</v>
      </c>
      <c r="AM47" s="711">
        <f t="shared" si="10"/>
        <v>113</v>
      </c>
      <c r="AN47" s="711">
        <f t="shared" si="11"/>
        <v>53</v>
      </c>
      <c r="AO47" s="711">
        <f t="shared" si="12"/>
        <v>52</v>
      </c>
      <c r="AP47" s="711">
        <f t="shared" si="13"/>
        <v>11</v>
      </c>
      <c r="AQ47" s="711">
        <f t="shared" si="14"/>
        <v>29</v>
      </c>
      <c r="AR47" s="711">
        <f t="shared" si="15"/>
        <v>51</v>
      </c>
      <c r="AS47" s="711">
        <f t="shared" si="16"/>
        <v>30</v>
      </c>
      <c r="AT47" s="711">
        <f t="shared" si="17"/>
        <v>86</v>
      </c>
      <c r="AU47" s="711">
        <f t="shared" si="18"/>
        <v>358</v>
      </c>
      <c r="AV47" s="711">
        <f t="shared" si="19"/>
        <v>158</v>
      </c>
      <c r="AW47" s="711">
        <f t="shared" si="20"/>
        <v>93</v>
      </c>
      <c r="AX47" s="711">
        <f t="shared" si="21"/>
        <v>176</v>
      </c>
      <c r="AY47" s="711">
        <f t="shared" si="22"/>
        <v>303</v>
      </c>
      <c r="AZ47" s="711">
        <f t="shared" si="22"/>
        <v>403</v>
      </c>
      <c r="BA47" s="711">
        <f t="shared" si="5"/>
        <v>326</v>
      </c>
    </row>
    <row r="48" spans="1:53">
      <c r="A48" s="106">
        <f t="shared" si="2"/>
        <v>37</v>
      </c>
      <c r="B48" s="858">
        <v>42041</v>
      </c>
      <c r="C48" s="859" t="s">
        <v>1724</v>
      </c>
      <c r="D48" s="860">
        <v>4226</v>
      </c>
      <c r="E48" s="860">
        <v>4279</v>
      </c>
      <c r="F48" s="860">
        <v>4223</v>
      </c>
      <c r="G48" s="860">
        <v>4227</v>
      </c>
      <c r="H48" s="860">
        <v>4320</v>
      </c>
      <c r="I48" s="860">
        <v>4655</v>
      </c>
      <c r="J48" s="860">
        <v>5027</v>
      </c>
      <c r="K48" s="860">
        <v>5141</v>
      </c>
      <c r="L48" s="860">
        <v>5017</v>
      </c>
      <c r="M48" s="860">
        <v>4951</v>
      </c>
      <c r="N48" s="860">
        <v>4964</v>
      </c>
      <c r="O48" s="860">
        <v>4990</v>
      </c>
      <c r="P48" s="860">
        <v>4973</v>
      </c>
      <c r="Q48" s="860">
        <v>4943</v>
      </c>
      <c r="R48" s="860">
        <v>4909</v>
      </c>
      <c r="S48" s="860">
        <v>4891</v>
      </c>
      <c r="T48" s="860">
        <v>4950</v>
      </c>
      <c r="U48" s="860">
        <v>5124</v>
      </c>
      <c r="V48" s="860">
        <v>5322</v>
      </c>
      <c r="W48" s="860">
        <v>5231</v>
      </c>
      <c r="X48" s="860">
        <v>5061</v>
      </c>
      <c r="Y48" s="860">
        <v>4863</v>
      </c>
      <c r="Z48" s="860">
        <v>4677</v>
      </c>
      <c r="AA48" s="860">
        <v>4462</v>
      </c>
      <c r="AC48" s="712">
        <f t="shared" si="3"/>
        <v>37</v>
      </c>
      <c r="AD48" s="711">
        <f t="shared" si="4"/>
        <v>105</v>
      </c>
      <c r="AE48" s="711">
        <f t="shared" si="26"/>
        <v>53</v>
      </c>
      <c r="AF48" s="711">
        <f t="shared" si="23"/>
        <v>56</v>
      </c>
      <c r="AG48" s="711">
        <f t="shared" si="24"/>
        <v>4</v>
      </c>
      <c r="AH48" s="711">
        <f t="shared" si="25"/>
        <v>93</v>
      </c>
      <c r="AI48" s="711">
        <f t="shared" si="6"/>
        <v>335</v>
      </c>
      <c r="AJ48" s="711">
        <f t="shared" si="7"/>
        <v>372</v>
      </c>
      <c r="AK48" s="711">
        <f t="shared" si="8"/>
        <v>114</v>
      </c>
      <c r="AL48" s="711">
        <f t="shared" si="9"/>
        <v>124</v>
      </c>
      <c r="AM48" s="711">
        <f t="shared" si="10"/>
        <v>66</v>
      </c>
      <c r="AN48" s="711">
        <f t="shared" si="11"/>
        <v>13</v>
      </c>
      <c r="AO48" s="711">
        <f t="shared" si="12"/>
        <v>26</v>
      </c>
      <c r="AP48" s="711">
        <f t="shared" si="13"/>
        <v>17</v>
      </c>
      <c r="AQ48" s="711">
        <f t="shared" si="14"/>
        <v>30</v>
      </c>
      <c r="AR48" s="711">
        <f t="shared" si="15"/>
        <v>34</v>
      </c>
      <c r="AS48" s="711">
        <f t="shared" si="16"/>
        <v>18</v>
      </c>
      <c r="AT48" s="711">
        <f t="shared" si="17"/>
        <v>59</v>
      </c>
      <c r="AU48" s="711">
        <f t="shared" si="18"/>
        <v>174</v>
      </c>
      <c r="AV48" s="711">
        <f t="shared" si="19"/>
        <v>198</v>
      </c>
      <c r="AW48" s="711">
        <f t="shared" si="20"/>
        <v>91</v>
      </c>
      <c r="AX48" s="711">
        <f t="shared" si="21"/>
        <v>170</v>
      </c>
      <c r="AY48" s="711">
        <f t="shared" si="22"/>
        <v>198</v>
      </c>
      <c r="AZ48" s="711">
        <f t="shared" si="22"/>
        <v>186</v>
      </c>
      <c r="BA48" s="711">
        <f t="shared" si="5"/>
        <v>215</v>
      </c>
    </row>
    <row r="49" spans="1:53">
      <c r="A49" s="106">
        <f t="shared" si="2"/>
        <v>38</v>
      </c>
      <c r="B49" s="858">
        <v>42042</v>
      </c>
      <c r="C49" s="859" t="s">
        <v>1724</v>
      </c>
      <c r="D49" s="860">
        <v>4256</v>
      </c>
      <c r="E49" s="860">
        <v>4140</v>
      </c>
      <c r="F49" s="860">
        <v>4077</v>
      </c>
      <c r="G49" s="860">
        <v>3974</v>
      </c>
      <c r="H49" s="860">
        <v>3985</v>
      </c>
      <c r="I49" s="860">
        <v>4036</v>
      </c>
      <c r="J49" s="860">
        <v>4248</v>
      </c>
      <c r="K49" s="860">
        <v>4389</v>
      </c>
      <c r="L49" s="860">
        <v>4539</v>
      </c>
      <c r="M49" s="860">
        <v>4594</v>
      </c>
      <c r="N49" s="860">
        <v>4620</v>
      </c>
      <c r="O49" s="860">
        <v>4599</v>
      </c>
      <c r="P49" s="860">
        <v>4536</v>
      </c>
      <c r="Q49" s="860">
        <v>4481</v>
      </c>
      <c r="R49" s="860">
        <v>4472</v>
      </c>
      <c r="S49" s="860">
        <v>4505</v>
      </c>
      <c r="T49" s="860">
        <v>4592</v>
      </c>
      <c r="U49" s="860">
        <v>4872</v>
      </c>
      <c r="V49" s="860">
        <v>5066</v>
      </c>
      <c r="W49" s="860">
        <v>4986</v>
      </c>
      <c r="X49" s="860">
        <v>4894</v>
      </c>
      <c r="Y49" s="860">
        <v>4776</v>
      </c>
      <c r="Z49" s="860">
        <v>4532</v>
      </c>
      <c r="AA49" s="860">
        <v>4225</v>
      </c>
      <c r="AC49" s="712">
        <f t="shared" si="3"/>
        <v>38</v>
      </c>
      <c r="AD49" s="711">
        <f t="shared" si="4"/>
        <v>206</v>
      </c>
      <c r="AE49" s="711">
        <f t="shared" si="26"/>
        <v>116</v>
      </c>
      <c r="AF49" s="711">
        <f t="shared" si="23"/>
        <v>63</v>
      </c>
      <c r="AG49" s="711">
        <f t="shared" si="24"/>
        <v>103</v>
      </c>
      <c r="AH49" s="711">
        <f t="shared" si="25"/>
        <v>11</v>
      </c>
      <c r="AI49" s="711">
        <f t="shared" si="6"/>
        <v>51</v>
      </c>
      <c r="AJ49" s="711">
        <f t="shared" si="7"/>
        <v>212</v>
      </c>
      <c r="AK49" s="711">
        <f t="shared" si="8"/>
        <v>141</v>
      </c>
      <c r="AL49" s="711">
        <f t="shared" si="9"/>
        <v>150</v>
      </c>
      <c r="AM49" s="711">
        <f t="shared" si="10"/>
        <v>55</v>
      </c>
      <c r="AN49" s="711">
        <f t="shared" si="11"/>
        <v>26</v>
      </c>
      <c r="AO49" s="711">
        <f t="shared" si="12"/>
        <v>21</v>
      </c>
      <c r="AP49" s="711">
        <f t="shared" si="13"/>
        <v>63</v>
      </c>
      <c r="AQ49" s="711">
        <f t="shared" si="14"/>
        <v>55</v>
      </c>
      <c r="AR49" s="711">
        <f t="shared" si="15"/>
        <v>9</v>
      </c>
      <c r="AS49" s="711">
        <f t="shared" si="16"/>
        <v>33</v>
      </c>
      <c r="AT49" s="711">
        <f t="shared" si="17"/>
        <v>87</v>
      </c>
      <c r="AU49" s="711">
        <f t="shared" si="18"/>
        <v>280</v>
      </c>
      <c r="AV49" s="711">
        <f t="shared" si="19"/>
        <v>194</v>
      </c>
      <c r="AW49" s="711">
        <f t="shared" si="20"/>
        <v>80</v>
      </c>
      <c r="AX49" s="711">
        <f t="shared" si="21"/>
        <v>92</v>
      </c>
      <c r="AY49" s="711">
        <f t="shared" si="22"/>
        <v>118</v>
      </c>
      <c r="AZ49" s="711">
        <f t="shared" si="22"/>
        <v>244</v>
      </c>
      <c r="BA49" s="711">
        <f t="shared" si="5"/>
        <v>307</v>
      </c>
    </row>
    <row r="50" spans="1:53">
      <c r="A50" s="106">
        <f t="shared" si="2"/>
        <v>39</v>
      </c>
      <c r="B50" s="858">
        <v>42043</v>
      </c>
      <c r="C50" s="859" t="s">
        <v>1724</v>
      </c>
      <c r="D50" s="860">
        <v>4031</v>
      </c>
      <c r="E50" s="860">
        <v>3917</v>
      </c>
      <c r="F50" s="860">
        <v>3872</v>
      </c>
      <c r="G50" s="860">
        <v>3867</v>
      </c>
      <c r="H50" s="860">
        <v>3899</v>
      </c>
      <c r="I50" s="860">
        <v>3906</v>
      </c>
      <c r="J50" s="860">
        <v>4055</v>
      </c>
      <c r="K50" s="860">
        <v>4248</v>
      </c>
      <c r="L50" s="860">
        <v>4330</v>
      </c>
      <c r="M50" s="860">
        <v>4379</v>
      </c>
      <c r="N50" s="860">
        <v>4447</v>
      </c>
      <c r="O50" s="860">
        <v>4453</v>
      </c>
      <c r="P50" s="860">
        <v>4443</v>
      </c>
      <c r="Q50" s="860">
        <v>4416</v>
      </c>
      <c r="R50" s="860">
        <v>4428</v>
      </c>
      <c r="S50" s="860">
        <v>4475</v>
      </c>
      <c r="T50" s="860">
        <v>4602</v>
      </c>
      <c r="U50" s="860">
        <v>5006</v>
      </c>
      <c r="V50" s="860">
        <v>5271</v>
      </c>
      <c r="W50" s="860">
        <v>5176</v>
      </c>
      <c r="X50" s="860">
        <v>4970</v>
      </c>
      <c r="Y50" s="860">
        <v>4764</v>
      </c>
      <c r="Z50" s="860">
        <v>4392</v>
      </c>
      <c r="AA50" s="860">
        <v>4189</v>
      </c>
      <c r="AC50" s="712">
        <f t="shared" si="3"/>
        <v>39</v>
      </c>
      <c r="AD50" s="711">
        <f t="shared" si="4"/>
        <v>194</v>
      </c>
      <c r="AE50" s="711">
        <f t="shared" si="26"/>
        <v>114</v>
      </c>
      <c r="AF50" s="711">
        <f t="shared" si="23"/>
        <v>45</v>
      </c>
      <c r="AG50" s="711">
        <f t="shared" si="24"/>
        <v>5</v>
      </c>
      <c r="AH50" s="711">
        <f t="shared" si="25"/>
        <v>32</v>
      </c>
      <c r="AI50" s="711">
        <f t="shared" si="6"/>
        <v>7</v>
      </c>
      <c r="AJ50" s="711">
        <f t="shared" si="7"/>
        <v>149</v>
      </c>
      <c r="AK50" s="711">
        <f t="shared" si="8"/>
        <v>193</v>
      </c>
      <c r="AL50" s="711">
        <f t="shared" si="9"/>
        <v>82</v>
      </c>
      <c r="AM50" s="711">
        <f t="shared" si="10"/>
        <v>49</v>
      </c>
      <c r="AN50" s="711">
        <f t="shared" si="11"/>
        <v>68</v>
      </c>
      <c r="AO50" s="711">
        <f t="shared" si="12"/>
        <v>6</v>
      </c>
      <c r="AP50" s="711">
        <f t="shared" si="13"/>
        <v>10</v>
      </c>
      <c r="AQ50" s="711">
        <f t="shared" si="14"/>
        <v>27</v>
      </c>
      <c r="AR50" s="711">
        <f t="shared" si="15"/>
        <v>12</v>
      </c>
      <c r="AS50" s="711">
        <f t="shared" si="16"/>
        <v>47</v>
      </c>
      <c r="AT50" s="711">
        <f t="shared" si="17"/>
        <v>127</v>
      </c>
      <c r="AU50" s="711">
        <f t="shared" si="18"/>
        <v>404</v>
      </c>
      <c r="AV50" s="711">
        <f t="shared" si="19"/>
        <v>265</v>
      </c>
      <c r="AW50" s="711">
        <f t="shared" si="20"/>
        <v>95</v>
      </c>
      <c r="AX50" s="711">
        <f t="shared" si="21"/>
        <v>206</v>
      </c>
      <c r="AY50" s="711">
        <f t="shared" si="22"/>
        <v>206</v>
      </c>
      <c r="AZ50" s="711">
        <f t="shared" si="22"/>
        <v>372</v>
      </c>
      <c r="BA50" s="711">
        <f t="shared" si="5"/>
        <v>203</v>
      </c>
    </row>
    <row r="51" spans="1:53">
      <c r="A51" s="106">
        <f t="shared" si="2"/>
        <v>40</v>
      </c>
      <c r="B51" s="858">
        <v>42044</v>
      </c>
      <c r="C51" s="859" t="s">
        <v>1724</v>
      </c>
      <c r="D51" s="860">
        <v>4085</v>
      </c>
      <c r="E51" s="860">
        <v>4094</v>
      </c>
      <c r="F51" s="860">
        <v>4062</v>
      </c>
      <c r="G51" s="860">
        <v>4109</v>
      </c>
      <c r="H51" s="860">
        <v>4188</v>
      </c>
      <c r="I51" s="860">
        <v>4420</v>
      </c>
      <c r="J51" s="860">
        <v>4891</v>
      </c>
      <c r="K51" s="860">
        <v>5056</v>
      </c>
      <c r="L51" s="860">
        <v>5016</v>
      </c>
      <c r="M51" s="860">
        <v>4974</v>
      </c>
      <c r="N51" s="860">
        <v>4984</v>
      </c>
      <c r="O51" s="860">
        <v>4969</v>
      </c>
      <c r="P51" s="860">
        <v>4929</v>
      </c>
      <c r="Q51" s="860">
        <v>4925</v>
      </c>
      <c r="R51" s="860">
        <v>4975</v>
      </c>
      <c r="S51" s="860">
        <v>4986</v>
      </c>
      <c r="T51" s="860">
        <v>5065</v>
      </c>
      <c r="U51" s="860">
        <v>5324</v>
      </c>
      <c r="V51" s="860">
        <v>5536</v>
      </c>
      <c r="W51" s="860">
        <v>5432</v>
      </c>
      <c r="X51" s="860">
        <v>5209</v>
      </c>
      <c r="Y51" s="860">
        <v>4889</v>
      </c>
      <c r="Z51" s="860">
        <v>4518</v>
      </c>
      <c r="AA51" s="860">
        <v>4346</v>
      </c>
      <c r="AC51" s="712">
        <f t="shared" si="3"/>
        <v>40</v>
      </c>
      <c r="AD51" s="711">
        <f t="shared" si="4"/>
        <v>104</v>
      </c>
      <c r="AE51" s="711">
        <f t="shared" si="26"/>
        <v>9</v>
      </c>
      <c r="AF51" s="711">
        <f t="shared" si="23"/>
        <v>32</v>
      </c>
      <c r="AG51" s="711">
        <f t="shared" si="24"/>
        <v>47</v>
      </c>
      <c r="AH51" s="711">
        <f t="shared" si="25"/>
        <v>79</v>
      </c>
      <c r="AI51" s="711">
        <f t="shared" si="6"/>
        <v>232</v>
      </c>
      <c r="AJ51" s="711">
        <f t="shared" si="7"/>
        <v>471</v>
      </c>
      <c r="AK51" s="711">
        <f t="shared" si="8"/>
        <v>165</v>
      </c>
      <c r="AL51" s="711">
        <f t="shared" si="9"/>
        <v>40</v>
      </c>
      <c r="AM51" s="711">
        <f t="shared" si="10"/>
        <v>42</v>
      </c>
      <c r="AN51" s="711">
        <f t="shared" si="11"/>
        <v>10</v>
      </c>
      <c r="AO51" s="711">
        <f t="shared" si="12"/>
        <v>15</v>
      </c>
      <c r="AP51" s="711">
        <f t="shared" si="13"/>
        <v>40</v>
      </c>
      <c r="AQ51" s="711">
        <f t="shared" si="14"/>
        <v>4</v>
      </c>
      <c r="AR51" s="711">
        <f t="shared" si="15"/>
        <v>50</v>
      </c>
      <c r="AS51" s="711">
        <f t="shared" si="16"/>
        <v>11</v>
      </c>
      <c r="AT51" s="711">
        <f t="shared" si="17"/>
        <v>79</v>
      </c>
      <c r="AU51" s="711">
        <f t="shared" si="18"/>
        <v>259</v>
      </c>
      <c r="AV51" s="711">
        <f t="shared" si="19"/>
        <v>212</v>
      </c>
      <c r="AW51" s="711">
        <f t="shared" si="20"/>
        <v>104</v>
      </c>
      <c r="AX51" s="711">
        <f t="shared" si="21"/>
        <v>223</v>
      </c>
      <c r="AY51" s="711">
        <f t="shared" si="22"/>
        <v>320</v>
      </c>
      <c r="AZ51" s="711">
        <f t="shared" si="22"/>
        <v>371</v>
      </c>
      <c r="BA51" s="711">
        <f t="shared" si="5"/>
        <v>172</v>
      </c>
    </row>
    <row r="52" spans="1:53">
      <c r="A52" s="106">
        <f t="shared" si="2"/>
        <v>41</v>
      </c>
      <c r="B52" s="858">
        <v>42045</v>
      </c>
      <c r="C52" s="859" t="s">
        <v>1724</v>
      </c>
      <c r="D52" s="860">
        <v>4208</v>
      </c>
      <c r="E52" s="860">
        <v>4110</v>
      </c>
      <c r="F52" s="860">
        <v>4023</v>
      </c>
      <c r="G52" s="860">
        <v>4078</v>
      </c>
      <c r="H52" s="860">
        <v>4103</v>
      </c>
      <c r="I52" s="860">
        <v>4395</v>
      </c>
      <c r="J52" s="860">
        <v>4868</v>
      </c>
      <c r="K52" s="860">
        <v>4997</v>
      </c>
      <c r="L52" s="860">
        <v>4931</v>
      </c>
      <c r="M52" s="860">
        <v>4905</v>
      </c>
      <c r="N52" s="860">
        <v>5042</v>
      </c>
      <c r="O52" s="860">
        <v>5016</v>
      </c>
      <c r="P52" s="860">
        <v>4947</v>
      </c>
      <c r="Q52" s="860">
        <v>4964</v>
      </c>
      <c r="R52" s="860">
        <v>4939</v>
      </c>
      <c r="S52" s="860">
        <v>4946</v>
      </c>
      <c r="T52" s="860">
        <v>5047</v>
      </c>
      <c r="U52" s="860">
        <v>5370</v>
      </c>
      <c r="V52" s="860">
        <v>5524</v>
      </c>
      <c r="W52" s="860">
        <v>5394</v>
      </c>
      <c r="X52" s="860">
        <v>5229</v>
      </c>
      <c r="Y52" s="860">
        <v>4932</v>
      </c>
      <c r="Z52" s="860">
        <v>4680</v>
      </c>
      <c r="AA52" s="860">
        <v>4503</v>
      </c>
      <c r="AC52" s="712">
        <f t="shared" si="3"/>
        <v>41</v>
      </c>
      <c r="AD52" s="711">
        <f t="shared" si="4"/>
        <v>138</v>
      </c>
      <c r="AE52" s="711">
        <f t="shared" si="26"/>
        <v>98</v>
      </c>
      <c r="AF52" s="711">
        <f t="shared" si="23"/>
        <v>87</v>
      </c>
      <c r="AG52" s="711">
        <f t="shared" si="24"/>
        <v>55</v>
      </c>
      <c r="AH52" s="711">
        <f t="shared" si="25"/>
        <v>25</v>
      </c>
      <c r="AI52" s="711">
        <f t="shared" si="6"/>
        <v>292</v>
      </c>
      <c r="AJ52" s="711">
        <f t="shared" si="7"/>
        <v>473</v>
      </c>
      <c r="AK52" s="711">
        <f t="shared" si="8"/>
        <v>129</v>
      </c>
      <c r="AL52" s="711">
        <f t="shared" si="9"/>
        <v>66</v>
      </c>
      <c r="AM52" s="711">
        <f t="shared" si="10"/>
        <v>26</v>
      </c>
      <c r="AN52" s="711">
        <f t="shared" si="11"/>
        <v>137</v>
      </c>
      <c r="AO52" s="711">
        <f t="shared" si="12"/>
        <v>26</v>
      </c>
      <c r="AP52" s="711">
        <f t="shared" si="13"/>
        <v>69</v>
      </c>
      <c r="AQ52" s="711">
        <f t="shared" si="14"/>
        <v>17</v>
      </c>
      <c r="AR52" s="711">
        <f t="shared" si="15"/>
        <v>25</v>
      </c>
      <c r="AS52" s="711">
        <f t="shared" si="16"/>
        <v>7</v>
      </c>
      <c r="AT52" s="711">
        <f t="shared" si="17"/>
        <v>101</v>
      </c>
      <c r="AU52" s="711">
        <f t="shared" si="18"/>
        <v>323</v>
      </c>
      <c r="AV52" s="711">
        <f t="shared" si="19"/>
        <v>154</v>
      </c>
      <c r="AW52" s="711">
        <f t="shared" si="20"/>
        <v>130</v>
      </c>
      <c r="AX52" s="711">
        <f t="shared" si="21"/>
        <v>165</v>
      </c>
      <c r="AY52" s="711">
        <f t="shared" si="22"/>
        <v>297</v>
      </c>
      <c r="AZ52" s="711">
        <f t="shared" si="22"/>
        <v>252</v>
      </c>
      <c r="BA52" s="711">
        <f t="shared" si="5"/>
        <v>177</v>
      </c>
    </row>
    <row r="53" spans="1:53">
      <c r="A53" s="106">
        <f t="shared" si="2"/>
        <v>42</v>
      </c>
      <c r="B53" s="858">
        <v>42046</v>
      </c>
      <c r="C53" s="859" t="s">
        <v>1724</v>
      </c>
      <c r="D53" s="860">
        <v>4311</v>
      </c>
      <c r="E53" s="860">
        <v>4141</v>
      </c>
      <c r="F53" s="860">
        <v>4186</v>
      </c>
      <c r="G53" s="860">
        <v>4172</v>
      </c>
      <c r="H53" s="860">
        <v>4209</v>
      </c>
      <c r="I53" s="860">
        <v>4532</v>
      </c>
      <c r="J53" s="860">
        <v>4940</v>
      </c>
      <c r="K53" s="860">
        <v>5108</v>
      </c>
      <c r="L53" s="860">
        <v>5143</v>
      </c>
      <c r="M53" s="860">
        <v>5115</v>
      </c>
      <c r="N53" s="860">
        <v>5051</v>
      </c>
      <c r="O53" s="860">
        <v>5018</v>
      </c>
      <c r="P53" s="860">
        <v>4928</v>
      </c>
      <c r="Q53" s="860">
        <v>4902</v>
      </c>
      <c r="R53" s="860">
        <v>4808</v>
      </c>
      <c r="S53" s="860">
        <v>4873</v>
      </c>
      <c r="T53" s="860">
        <v>4969</v>
      </c>
      <c r="U53" s="860">
        <v>5291</v>
      </c>
      <c r="V53" s="860">
        <v>5573</v>
      </c>
      <c r="W53" s="860">
        <v>5497</v>
      </c>
      <c r="X53" s="860">
        <v>5385</v>
      </c>
      <c r="Y53" s="860">
        <v>5045</v>
      </c>
      <c r="Z53" s="860">
        <v>4703</v>
      </c>
      <c r="AA53" s="860">
        <v>4404</v>
      </c>
      <c r="AC53" s="712">
        <f t="shared" si="3"/>
        <v>42</v>
      </c>
      <c r="AD53" s="711">
        <f t="shared" si="4"/>
        <v>192</v>
      </c>
      <c r="AE53" s="711">
        <f t="shared" si="26"/>
        <v>170</v>
      </c>
      <c r="AF53" s="711">
        <f t="shared" si="23"/>
        <v>45</v>
      </c>
      <c r="AG53" s="711">
        <f t="shared" si="24"/>
        <v>14</v>
      </c>
      <c r="AH53" s="711">
        <f t="shared" si="25"/>
        <v>37</v>
      </c>
      <c r="AI53" s="711">
        <f t="shared" si="6"/>
        <v>323</v>
      </c>
      <c r="AJ53" s="711">
        <f t="shared" si="7"/>
        <v>408</v>
      </c>
      <c r="AK53" s="711">
        <f t="shared" si="8"/>
        <v>168</v>
      </c>
      <c r="AL53" s="711">
        <f t="shared" si="9"/>
        <v>35</v>
      </c>
      <c r="AM53" s="711">
        <f t="shared" si="10"/>
        <v>28</v>
      </c>
      <c r="AN53" s="711">
        <f t="shared" si="11"/>
        <v>64</v>
      </c>
      <c r="AO53" s="711">
        <f t="shared" si="12"/>
        <v>33</v>
      </c>
      <c r="AP53" s="711">
        <f t="shared" si="13"/>
        <v>90</v>
      </c>
      <c r="AQ53" s="711">
        <f t="shared" si="14"/>
        <v>26</v>
      </c>
      <c r="AR53" s="711">
        <f t="shared" si="15"/>
        <v>94</v>
      </c>
      <c r="AS53" s="711">
        <f t="shared" si="16"/>
        <v>65</v>
      </c>
      <c r="AT53" s="711">
        <f t="shared" si="17"/>
        <v>96</v>
      </c>
      <c r="AU53" s="711">
        <f t="shared" si="18"/>
        <v>322</v>
      </c>
      <c r="AV53" s="711">
        <f t="shared" si="19"/>
        <v>282</v>
      </c>
      <c r="AW53" s="711">
        <f t="shared" si="20"/>
        <v>76</v>
      </c>
      <c r="AX53" s="711">
        <f t="shared" si="21"/>
        <v>112</v>
      </c>
      <c r="AY53" s="711">
        <f t="shared" si="22"/>
        <v>340</v>
      </c>
      <c r="AZ53" s="711">
        <f t="shared" si="22"/>
        <v>342</v>
      </c>
      <c r="BA53" s="711">
        <f t="shared" si="5"/>
        <v>299</v>
      </c>
    </row>
    <row r="54" spans="1:53">
      <c r="A54" s="106">
        <f t="shared" si="2"/>
        <v>43</v>
      </c>
      <c r="B54" s="858">
        <v>42047</v>
      </c>
      <c r="C54" s="859" t="s">
        <v>1724</v>
      </c>
      <c r="D54" s="860">
        <v>4395</v>
      </c>
      <c r="E54" s="860">
        <v>4364</v>
      </c>
      <c r="F54" s="860">
        <v>4324</v>
      </c>
      <c r="G54" s="860">
        <v>4358</v>
      </c>
      <c r="H54" s="860">
        <v>4461</v>
      </c>
      <c r="I54" s="860">
        <v>4688</v>
      </c>
      <c r="J54" s="860">
        <v>5165</v>
      </c>
      <c r="K54" s="860">
        <v>5222</v>
      </c>
      <c r="L54" s="860">
        <v>5226</v>
      </c>
      <c r="M54" s="860">
        <v>5166</v>
      </c>
      <c r="N54" s="860">
        <v>5099</v>
      </c>
      <c r="O54" s="860">
        <v>5015</v>
      </c>
      <c r="P54" s="860">
        <v>4969</v>
      </c>
      <c r="Q54" s="860">
        <v>4957</v>
      </c>
      <c r="R54" s="860">
        <v>4883</v>
      </c>
      <c r="S54" s="860">
        <v>4917</v>
      </c>
      <c r="T54" s="860">
        <v>4950</v>
      </c>
      <c r="U54" s="860">
        <v>5257</v>
      </c>
      <c r="V54" s="860">
        <v>5504</v>
      </c>
      <c r="W54" s="860">
        <v>5397</v>
      </c>
      <c r="X54" s="860">
        <v>5284</v>
      </c>
      <c r="Y54" s="860">
        <v>5030</v>
      </c>
      <c r="Z54" s="860">
        <v>4641</v>
      </c>
      <c r="AA54" s="860">
        <v>4427</v>
      </c>
      <c r="AC54" s="712">
        <f t="shared" si="3"/>
        <v>43</v>
      </c>
      <c r="AD54" s="711">
        <f t="shared" si="4"/>
        <v>9</v>
      </c>
      <c r="AE54" s="711">
        <f t="shared" si="26"/>
        <v>31</v>
      </c>
      <c r="AF54" s="711">
        <f t="shared" si="23"/>
        <v>40</v>
      </c>
      <c r="AG54" s="711">
        <f t="shared" si="24"/>
        <v>34</v>
      </c>
      <c r="AH54" s="711">
        <f t="shared" si="25"/>
        <v>103</v>
      </c>
      <c r="AI54" s="711">
        <f t="shared" si="6"/>
        <v>227</v>
      </c>
      <c r="AJ54" s="711">
        <f t="shared" si="7"/>
        <v>477</v>
      </c>
      <c r="AK54" s="711">
        <f t="shared" si="8"/>
        <v>57</v>
      </c>
      <c r="AL54" s="711">
        <f t="shared" si="9"/>
        <v>4</v>
      </c>
      <c r="AM54" s="711">
        <f t="shared" si="10"/>
        <v>60</v>
      </c>
      <c r="AN54" s="711">
        <f t="shared" si="11"/>
        <v>67</v>
      </c>
      <c r="AO54" s="711">
        <f t="shared" si="12"/>
        <v>84</v>
      </c>
      <c r="AP54" s="711">
        <f t="shared" si="13"/>
        <v>46</v>
      </c>
      <c r="AQ54" s="711">
        <f t="shared" si="14"/>
        <v>12</v>
      </c>
      <c r="AR54" s="711">
        <f t="shared" si="15"/>
        <v>74</v>
      </c>
      <c r="AS54" s="711">
        <f t="shared" si="16"/>
        <v>34</v>
      </c>
      <c r="AT54" s="711">
        <f t="shared" si="17"/>
        <v>33</v>
      </c>
      <c r="AU54" s="711">
        <f t="shared" si="18"/>
        <v>307</v>
      </c>
      <c r="AV54" s="711">
        <f t="shared" si="19"/>
        <v>247</v>
      </c>
      <c r="AW54" s="711">
        <f t="shared" si="20"/>
        <v>107</v>
      </c>
      <c r="AX54" s="711">
        <f t="shared" si="21"/>
        <v>113</v>
      </c>
      <c r="AY54" s="711">
        <f t="shared" si="22"/>
        <v>254</v>
      </c>
      <c r="AZ54" s="711">
        <f t="shared" si="22"/>
        <v>389</v>
      </c>
      <c r="BA54" s="711">
        <f t="shared" si="5"/>
        <v>214</v>
      </c>
    </row>
    <row r="55" spans="1:53">
      <c r="A55" s="106">
        <f t="shared" si="2"/>
        <v>44</v>
      </c>
      <c r="B55" s="858">
        <v>42048</v>
      </c>
      <c r="C55" s="859" t="s">
        <v>1724</v>
      </c>
      <c r="D55" s="860">
        <v>4378</v>
      </c>
      <c r="E55" s="860">
        <v>4250</v>
      </c>
      <c r="F55" s="860">
        <v>4206</v>
      </c>
      <c r="G55" s="860">
        <v>4181</v>
      </c>
      <c r="H55" s="860">
        <v>4338</v>
      </c>
      <c r="I55" s="860">
        <v>4543</v>
      </c>
      <c r="J55" s="860">
        <v>4856</v>
      </c>
      <c r="K55" s="860">
        <v>4946</v>
      </c>
      <c r="L55" s="860">
        <v>4922</v>
      </c>
      <c r="M55" s="860">
        <v>4878</v>
      </c>
      <c r="N55" s="860">
        <v>4848</v>
      </c>
      <c r="O55" s="860">
        <v>4709</v>
      </c>
      <c r="P55" s="860">
        <v>4874</v>
      </c>
      <c r="Q55" s="860">
        <v>4763</v>
      </c>
      <c r="R55" s="860">
        <v>4775</v>
      </c>
      <c r="S55" s="860">
        <v>4799</v>
      </c>
      <c r="T55" s="860">
        <v>4847</v>
      </c>
      <c r="U55" s="860">
        <v>5036</v>
      </c>
      <c r="V55" s="860">
        <v>5260</v>
      </c>
      <c r="W55" s="860">
        <v>5152</v>
      </c>
      <c r="X55" s="860">
        <v>5030</v>
      </c>
      <c r="Y55" s="860">
        <v>4815</v>
      </c>
      <c r="Z55" s="860">
        <v>4508</v>
      </c>
      <c r="AA55" s="860">
        <v>4258</v>
      </c>
      <c r="AC55" s="712">
        <f t="shared" si="3"/>
        <v>44</v>
      </c>
      <c r="AD55" s="711">
        <f t="shared" si="4"/>
        <v>49</v>
      </c>
      <c r="AE55" s="711">
        <f t="shared" si="26"/>
        <v>128</v>
      </c>
      <c r="AF55" s="711">
        <f t="shared" si="23"/>
        <v>44</v>
      </c>
      <c r="AG55" s="711">
        <f t="shared" si="24"/>
        <v>25</v>
      </c>
      <c r="AH55" s="711">
        <f t="shared" si="25"/>
        <v>157</v>
      </c>
      <c r="AI55" s="711">
        <f t="shared" si="6"/>
        <v>205</v>
      </c>
      <c r="AJ55" s="711">
        <f t="shared" si="7"/>
        <v>313</v>
      </c>
      <c r="AK55" s="711">
        <f t="shared" si="8"/>
        <v>90</v>
      </c>
      <c r="AL55" s="711">
        <f t="shared" si="9"/>
        <v>24</v>
      </c>
      <c r="AM55" s="711">
        <f t="shared" si="10"/>
        <v>44</v>
      </c>
      <c r="AN55" s="711">
        <f t="shared" si="11"/>
        <v>30</v>
      </c>
      <c r="AO55" s="711">
        <f t="shared" si="12"/>
        <v>139</v>
      </c>
      <c r="AP55" s="711">
        <f t="shared" si="13"/>
        <v>165</v>
      </c>
      <c r="AQ55" s="711">
        <f t="shared" si="14"/>
        <v>111</v>
      </c>
      <c r="AR55" s="711">
        <f t="shared" si="15"/>
        <v>12</v>
      </c>
      <c r="AS55" s="711">
        <f t="shared" si="16"/>
        <v>24</v>
      </c>
      <c r="AT55" s="711">
        <f t="shared" si="17"/>
        <v>48</v>
      </c>
      <c r="AU55" s="711">
        <f t="shared" si="18"/>
        <v>189</v>
      </c>
      <c r="AV55" s="711">
        <f t="shared" si="19"/>
        <v>224</v>
      </c>
      <c r="AW55" s="711">
        <f t="shared" si="20"/>
        <v>108</v>
      </c>
      <c r="AX55" s="711">
        <f t="shared" si="21"/>
        <v>122</v>
      </c>
      <c r="AY55" s="711">
        <f t="shared" si="22"/>
        <v>215</v>
      </c>
      <c r="AZ55" s="711">
        <f t="shared" si="22"/>
        <v>307</v>
      </c>
      <c r="BA55" s="711">
        <f t="shared" si="5"/>
        <v>250</v>
      </c>
    </row>
    <row r="56" spans="1:53">
      <c r="A56" s="106">
        <f t="shared" si="2"/>
        <v>45</v>
      </c>
      <c r="B56" s="858">
        <v>42049</v>
      </c>
      <c r="C56" s="859" t="s">
        <v>1724</v>
      </c>
      <c r="D56" s="860">
        <v>4212</v>
      </c>
      <c r="E56" s="860">
        <v>4150</v>
      </c>
      <c r="F56" s="860">
        <v>4103</v>
      </c>
      <c r="G56" s="860">
        <v>4118</v>
      </c>
      <c r="H56" s="860">
        <v>4178</v>
      </c>
      <c r="I56" s="860">
        <v>4216</v>
      </c>
      <c r="J56" s="860">
        <v>4417</v>
      </c>
      <c r="K56" s="860">
        <v>4431</v>
      </c>
      <c r="L56" s="860">
        <v>4514</v>
      </c>
      <c r="M56" s="860">
        <v>4606</v>
      </c>
      <c r="N56" s="860">
        <v>4665</v>
      </c>
      <c r="O56" s="860">
        <v>4646</v>
      </c>
      <c r="P56" s="860">
        <v>4593</v>
      </c>
      <c r="Q56" s="860">
        <v>4524</v>
      </c>
      <c r="R56" s="860">
        <v>4452</v>
      </c>
      <c r="S56" s="860">
        <v>4415</v>
      </c>
      <c r="T56" s="860">
        <v>4478</v>
      </c>
      <c r="U56" s="860">
        <v>4780</v>
      </c>
      <c r="V56" s="860">
        <v>5063</v>
      </c>
      <c r="W56" s="860">
        <v>4973</v>
      </c>
      <c r="X56" s="860">
        <v>4849</v>
      </c>
      <c r="Y56" s="860">
        <v>4658</v>
      </c>
      <c r="Z56" s="860">
        <v>4373</v>
      </c>
      <c r="AA56" s="860">
        <v>4284</v>
      </c>
      <c r="AC56" s="712">
        <f t="shared" si="3"/>
        <v>45</v>
      </c>
      <c r="AD56" s="711">
        <f t="shared" si="4"/>
        <v>46</v>
      </c>
      <c r="AE56" s="711">
        <f t="shared" si="26"/>
        <v>62</v>
      </c>
      <c r="AF56" s="711">
        <f t="shared" si="23"/>
        <v>47</v>
      </c>
      <c r="AG56" s="711">
        <f t="shared" si="24"/>
        <v>15</v>
      </c>
      <c r="AH56" s="711">
        <f t="shared" si="25"/>
        <v>60</v>
      </c>
      <c r="AI56" s="711">
        <f t="shared" ref="AI56:AI82" si="27">ABS(I56-H56)</f>
        <v>38</v>
      </c>
      <c r="AJ56" s="711">
        <f t="shared" ref="AJ56:AJ82" si="28">ABS(J56-I56)</f>
        <v>201</v>
      </c>
      <c r="AK56" s="711">
        <f t="shared" ref="AK56:AK82" si="29">ABS(K56-J56)</f>
        <v>14</v>
      </c>
      <c r="AL56" s="711">
        <f t="shared" ref="AL56:AL82" si="30">ABS(L56-K56)</f>
        <v>83</v>
      </c>
      <c r="AM56" s="711">
        <f t="shared" ref="AM56:AM82" si="31">ABS(M56-L56)</f>
        <v>92</v>
      </c>
      <c r="AN56" s="711">
        <f t="shared" ref="AN56:AN82" si="32">ABS(N56-M56)</f>
        <v>59</v>
      </c>
      <c r="AO56" s="711">
        <f t="shared" ref="AO56:AO82" si="33">ABS(O56-N56)</f>
        <v>19</v>
      </c>
      <c r="AP56" s="711">
        <f t="shared" ref="AP56:AP82" si="34">ABS(P56-O56)</f>
        <v>53</v>
      </c>
      <c r="AQ56" s="711">
        <f t="shared" ref="AQ56:AQ82" si="35">ABS(Q56-P56)</f>
        <v>69</v>
      </c>
      <c r="AR56" s="711">
        <f t="shared" ref="AR56:AR82" si="36">ABS(R56-Q56)</f>
        <v>72</v>
      </c>
      <c r="AS56" s="711">
        <f t="shared" ref="AS56:AS82" si="37">ABS(S56-R56)</f>
        <v>37</v>
      </c>
      <c r="AT56" s="711">
        <f t="shared" ref="AT56:AT82" si="38">ABS(T56-S56)</f>
        <v>63</v>
      </c>
      <c r="AU56" s="711">
        <f t="shared" ref="AU56:AU82" si="39">ABS(U56-T56)</f>
        <v>302</v>
      </c>
      <c r="AV56" s="711">
        <f t="shared" ref="AV56:AV82" si="40">ABS(V56-U56)</f>
        <v>283</v>
      </c>
      <c r="AW56" s="711">
        <f t="shared" ref="AW56:AW82" si="41">ABS(W56-V56)</f>
        <v>90</v>
      </c>
      <c r="AX56" s="711">
        <f t="shared" ref="AX56:AX82" si="42">ABS(X56-W56)</f>
        <v>124</v>
      </c>
      <c r="AY56" s="711">
        <f t="shared" si="22"/>
        <v>191</v>
      </c>
      <c r="AZ56" s="711">
        <f t="shared" si="22"/>
        <v>285</v>
      </c>
      <c r="BA56" s="711">
        <f t="shared" si="5"/>
        <v>89</v>
      </c>
    </row>
    <row r="57" spans="1:53">
      <c r="A57" s="106">
        <f t="shared" si="2"/>
        <v>46</v>
      </c>
      <c r="B57" s="858">
        <v>42050</v>
      </c>
      <c r="C57" s="859" t="s">
        <v>1724</v>
      </c>
      <c r="D57" s="860">
        <v>4220</v>
      </c>
      <c r="E57" s="860">
        <v>4126</v>
      </c>
      <c r="F57" s="860">
        <v>4078</v>
      </c>
      <c r="G57" s="860">
        <v>4075</v>
      </c>
      <c r="H57" s="860">
        <v>4023</v>
      </c>
      <c r="I57" s="860">
        <v>4134</v>
      </c>
      <c r="J57" s="860">
        <v>4315</v>
      </c>
      <c r="K57" s="860">
        <v>4389</v>
      </c>
      <c r="L57" s="860">
        <v>4522</v>
      </c>
      <c r="M57" s="860">
        <v>4591</v>
      </c>
      <c r="N57" s="860">
        <v>4734</v>
      </c>
      <c r="O57" s="860">
        <v>4817</v>
      </c>
      <c r="P57" s="860">
        <v>4916</v>
      </c>
      <c r="Q57" s="860">
        <v>4943</v>
      </c>
      <c r="R57" s="860">
        <v>4948</v>
      </c>
      <c r="S57" s="860">
        <v>5011</v>
      </c>
      <c r="T57" s="860">
        <v>5177</v>
      </c>
      <c r="U57" s="860">
        <v>5507</v>
      </c>
      <c r="V57" s="860">
        <v>5660</v>
      </c>
      <c r="W57" s="860">
        <v>5542</v>
      </c>
      <c r="X57" s="860">
        <v>5359</v>
      </c>
      <c r="Y57" s="860">
        <v>5105</v>
      </c>
      <c r="Z57" s="860">
        <v>4772</v>
      </c>
      <c r="AA57" s="860">
        <v>4537</v>
      </c>
      <c r="AC57" s="712">
        <f t="shared" si="3"/>
        <v>46</v>
      </c>
      <c r="AD57" s="711">
        <f t="shared" si="4"/>
        <v>64</v>
      </c>
      <c r="AE57" s="711">
        <f t="shared" si="26"/>
        <v>94</v>
      </c>
      <c r="AF57" s="711">
        <f t="shared" ref="AF57:AF82" si="43">ABS(F57-E57)</f>
        <v>48</v>
      </c>
      <c r="AG57" s="711">
        <f t="shared" ref="AG57:AG82" si="44">ABS(G57-F57)</f>
        <v>3</v>
      </c>
      <c r="AH57" s="711">
        <f t="shared" ref="AH57:AH82" si="45">ABS(H57-G57)</f>
        <v>52</v>
      </c>
      <c r="AI57" s="711">
        <f t="shared" si="27"/>
        <v>111</v>
      </c>
      <c r="AJ57" s="711">
        <f t="shared" si="28"/>
        <v>181</v>
      </c>
      <c r="AK57" s="711">
        <f t="shared" si="29"/>
        <v>74</v>
      </c>
      <c r="AL57" s="711">
        <f t="shared" si="30"/>
        <v>133</v>
      </c>
      <c r="AM57" s="711">
        <f t="shared" si="31"/>
        <v>69</v>
      </c>
      <c r="AN57" s="711">
        <f t="shared" si="32"/>
        <v>143</v>
      </c>
      <c r="AO57" s="711">
        <f t="shared" si="33"/>
        <v>83</v>
      </c>
      <c r="AP57" s="711">
        <f t="shared" si="34"/>
        <v>99</v>
      </c>
      <c r="AQ57" s="711">
        <f t="shared" si="35"/>
        <v>27</v>
      </c>
      <c r="AR57" s="711">
        <f t="shared" si="36"/>
        <v>5</v>
      </c>
      <c r="AS57" s="711">
        <f t="shared" si="37"/>
        <v>63</v>
      </c>
      <c r="AT57" s="711">
        <f t="shared" si="38"/>
        <v>166</v>
      </c>
      <c r="AU57" s="711">
        <f t="shared" si="39"/>
        <v>330</v>
      </c>
      <c r="AV57" s="711">
        <f t="shared" si="40"/>
        <v>153</v>
      </c>
      <c r="AW57" s="711">
        <f t="shared" si="41"/>
        <v>118</v>
      </c>
      <c r="AX57" s="711">
        <f t="shared" si="42"/>
        <v>183</v>
      </c>
      <c r="AY57" s="711">
        <f t="shared" si="22"/>
        <v>254</v>
      </c>
      <c r="AZ57" s="711">
        <f t="shared" si="22"/>
        <v>333</v>
      </c>
      <c r="BA57" s="711">
        <f t="shared" si="5"/>
        <v>235</v>
      </c>
    </row>
    <row r="58" spans="1:53">
      <c r="A58" s="106">
        <f t="shared" si="2"/>
        <v>47</v>
      </c>
      <c r="B58" s="858">
        <v>42051</v>
      </c>
      <c r="C58" s="859" t="s">
        <v>1724</v>
      </c>
      <c r="D58" s="860">
        <v>4538</v>
      </c>
      <c r="E58" s="860">
        <v>4423</v>
      </c>
      <c r="F58" s="860">
        <v>4389</v>
      </c>
      <c r="G58" s="860">
        <v>4423</v>
      </c>
      <c r="H58" s="860">
        <v>4488</v>
      </c>
      <c r="I58" s="860">
        <v>4642</v>
      </c>
      <c r="J58" s="860">
        <v>5042</v>
      </c>
      <c r="K58" s="860">
        <v>5135</v>
      </c>
      <c r="L58" s="860">
        <v>5315</v>
      </c>
      <c r="M58" s="860">
        <v>5482</v>
      </c>
      <c r="N58" s="860">
        <v>5553</v>
      </c>
      <c r="O58" s="860">
        <v>5583</v>
      </c>
      <c r="P58" s="860">
        <v>5554</v>
      </c>
      <c r="Q58" s="860">
        <v>5509</v>
      </c>
      <c r="R58" s="860">
        <v>5529</v>
      </c>
      <c r="S58" s="860">
        <v>5524</v>
      </c>
      <c r="T58" s="860">
        <v>5603</v>
      </c>
      <c r="U58" s="860">
        <v>5894</v>
      </c>
      <c r="V58" s="860">
        <v>6125</v>
      </c>
      <c r="W58" s="860">
        <v>5973</v>
      </c>
      <c r="X58" s="860">
        <v>5800</v>
      </c>
      <c r="Y58" s="860">
        <v>5461</v>
      </c>
      <c r="Z58" s="860">
        <v>5009</v>
      </c>
      <c r="AA58" s="860">
        <v>4849</v>
      </c>
      <c r="AC58" s="712">
        <f t="shared" si="3"/>
        <v>47</v>
      </c>
      <c r="AD58" s="711">
        <f t="shared" si="4"/>
        <v>1</v>
      </c>
      <c r="AE58" s="711">
        <f t="shared" si="26"/>
        <v>115</v>
      </c>
      <c r="AF58" s="711">
        <f t="shared" si="43"/>
        <v>34</v>
      </c>
      <c r="AG58" s="711">
        <f t="shared" si="44"/>
        <v>34</v>
      </c>
      <c r="AH58" s="711">
        <f t="shared" si="45"/>
        <v>65</v>
      </c>
      <c r="AI58" s="711">
        <f t="shared" si="27"/>
        <v>154</v>
      </c>
      <c r="AJ58" s="711">
        <f t="shared" si="28"/>
        <v>400</v>
      </c>
      <c r="AK58" s="711">
        <f t="shared" si="29"/>
        <v>93</v>
      </c>
      <c r="AL58" s="711">
        <f t="shared" si="30"/>
        <v>180</v>
      </c>
      <c r="AM58" s="711">
        <f t="shared" si="31"/>
        <v>167</v>
      </c>
      <c r="AN58" s="711">
        <f t="shared" si="32"/>
        <v>71</v>
      </c>
      <c r="AO58" s="711">
        <f t="shared" si="33"/>
        <v>30</v>
      </c>
      <c r="AP58" s="711">
        <f t="shared" si="34"/>
        <v>29</v>
      </c>
      <c r="AQ58" s="711">
        <f t="shared" si="35"/>
        <v>45</v>
      </c>
      <c r="AR58" s="711">
        <f t="shared" si="36"/>
        <v>20</v>
      </c>
      <c r="AS58" s="711">
        <f t="shared" si="37"/>
        <v>5</v>
      </c>
      <c r="AT58" s="711">
        <f t="shared" si="38"/>
        <v>79</v>
      </c>
      <c r="AU58" s="711">
        <f t="shared" si="39"/>
        <v>291</v>
      </c>
      <c r="AV58" s="711">
        <f t="shared" si="40"/>
        <v>231</v>
      </c>
      <c r="AW58" s="711">
        <f t="shared" si="41"/>
        <v>152</v>
      </c>
      <c r="AX58" s="711">
        <f t="shared" si="42"/>
        <v>173</v>
      </c>
      <c r="AY58" s="711">
        <f t="shared" si="22"/>
        <v>339</v>
      </c>
      <c r="AZ58" s="711">
        <f t="shared" si="22"/>
        <v>452</v>
      </c>
      <c r="BA58" s="711">
        <f t="shared" si="5"/>
        <v>160</v>
      </c>
    </row>
    <row r="59" spans="1:53">
      <c r="A59" s="106">
        <f t="shared" si="2"/>
        <v>48</v>
      </c>
      <c r="B59" s="858">
        <v>42052</v>
      </c>
      <c r="C59" s="859" t="s">
        <v>1724</v>
      </c>
      <c r="D59" s="860">
        <v>4744</v>
      </c>
      <c r="E59" s="860">
        <v>4655</v>
      </c>
      <c r="F59" s="860">
        <v>4643</v>
      </c>
      <c r="G59" s="860">
        <v>4536</v>
      </c>
      <c r="H59" s="860">
        <v>4660</v>
      </c>
      <c r="I59" s="860">
        <v>4924</v>
      </c>
      <c r="J59" s="860">
        <v>5400</v>
      </c>
      <c r="K59" s="860">
        <v>5508</v>
      </c>
      <c r="L59" s="860">
        <v>5519</v>
      </c>
      <c r="M59" s="860">
        <v>5472</v>
      </c>
      <c r="N59" s="860">
        <v>5436</v>
      </c>
      <c r="O59" s="860">
        <v>5436</v>
      </c>
      <c r="P59" s="860">
        <v>5482</v>
      </c>
      <c r="Q59" s="860">
        <v>5452</v>
      </c>
      <c r="R59" s="860">
        <v>5379</v>
      </c>
      <c r="S59" s="860">
        <v>5362</v>
      </c>
      <c r="T59" s="860">
        <v>5357</v>
      </c>
      <c r="U59" s="860">
        <v>5625</v>
      </c>
      <c r="V59" s="860">
        <v>5988</v>
      </c>
      <c r="W59" s="860">
        <v>5927</v>
      </c>
      <c r="X59" s="860">
        <v>5791</v>
      </c>
      <c r="Y59" s="860">
        <v>5463</v>
      </c>
      <c r="Z59" s="860">
        <v>5021</v>
      </c>
      <c r="AA59" s="860">
        <v>4704</v>
      </c>
      <c r="AC59" s="712">
        <f t="shared" si="3"/>
        <v>48</v>
      </c>
      <c r="AD59" s="711">
        <f t="shared" si="4"/>
        <v>105</v>
      </c>
      <c r="AE59" s="711">
        <f t="shared" si="26"/>
        <v>89</v>
      </c>
      <c r="AF59" s="711">
        <f t="shared" si="43"/>
        <v>12</v>
      </c>
      <c r="AG59" s="711">
        <f t="shared" si="44"/>
        <v>107</v>
      </c>
      <c r="AH59" s="711">
        <f t="shared" si="45"/>
        <v>124</v>
      </c>
      <c r="AI59" s="711">
        <f t="shared" si="27"/>
        <v>264</v>
      </c>
      <c r="AJ59" s="711">
        <f t="shared" si="28"/>
        <v>476</v>
      </c>
      <c r="AK59" s="711">
        <f t="shared" si="29"/>
        <v>108</v>
      </c>
      <c r="AL59" s="711">
        <f t="shared" si="30"/>
        <v>11</v>
      </c>
      <c r="AM59" s="711">
        <f t="shared" si="31"/>
        <v>47</v>
      </c>
      <c r="AN59" s="711">
        <f t="shared" si="32"/>
        <v>36</v>
      </c>
      <c r="AO59" s="711">
        <f t="shared" si="33"/>
        <v>0</v>
      </c>
      <c r="AP59" s="711">
        <f t="shared" si="34"/>
        <v>46</v>
      </c>
      <c r="AQ59" s="711">
        <f t="shared" si="35"/>
        <v>30</v>
      </c>
      <c r="AR59" s="711">
        <f t="shared" si="36"/>
        <v>73</v>
      </c>
      <c r="AS59" s="711">
        <f t="shared" si="37"/>
        <v>17</v>
      </c>
      <c r="AT59" s="711">
        <f t="shared" si="38"/>
        <v>5</v>
      </c>
      <c r="AU59" s="711">
        <f t="shared" si="39"/>
        <v>268</v>
      </c>
      <c r="AV59" s="711">
        <f t="shared" si="40"/>
        <v>363</v>
      </c>
      <c r="AW59" s="711">
        <f t="shared" si="41"/>
        <v>61</v>
      </c>
      <c r="AX59" s="711">
        <f t="shared" si="42"/>
        <v>136</v>
      </c>
      <c r="AY59" s="711">
        <f t="shared" si="22"/>
        <v>328</v>
      </c>
      <c r="AZ59" s="711">
        <f t="shared" si="22"/>
        <v>442</v>
      </c>
      <c r="BA59" s="711">
        <f t="shared" si="5"/>
        <v>317</v>
      </c>
    </row>
    <row r="60" spans="1:53">
      <c r="A60" s="106">
        <f t="shared" si="2"/>
        <v>49</v>
      </c>
      <c r="B60" s="858">
        <v>42053</v>
      </c>
      <c r="C60" s="859" t="s">
        <v>1724</v>
      </c>
      <c r="D60" s="860">
        <v>4620</v>
      </c>
      <c r="E60" s="860">
        <v>4541</v>
      </c>
      <c r="F60" s="860">
        <v>4517</v>
      </c>
      <c r="G60" s="860">
        <v>4545</v>
      </c>
      <c r="H60" s="860">
        <v>4643</v>
      </c>
      <c r="I60" s="860">
        <v>4968</v>
      </c>
      <c r="J60" s="860">
        <v>5384</v>
      </c>
      <c r="K60" s="860">
        <v>5507</v>
      </c>
      <c r="L60" s="860">
        <v>5456</v>
      </c>
      <c r="M60" s="860">
        <v>5381</v>
      </c>
      <c r="N60" s="860">
        <v>5317</v>
      </c>
      <c r="O60" s="860">
        <v>5250</v>
      </c>
      <c r="P60" s="860">
        <v>5153</v>
      </c>
      <c r="Q60" s="860">
        <v>5097</v>
      </c>
      <c r="R60" s="860">
        <v>5048</v>
      </c>
      <c r="S60" s="860">
        <v>5033</v>
      </c>
      <c r="T60" s="860">
        <v>5051</v>
      </c>
      <c r="U60" s="860">
        <v>5377</v>
      </c>
      <c r="V60" s="860">
        <v>5722</v>
      </c>
      <c r="W60" s="860">
        <v>5672</v>
      </c>
      <c r="X60" s="860">
        <v>5545</v>
      </c>
      <c r="Y60" s="860">
        <v>5250</v>
      </c>
      <c r="Z60" s="860">
        <v>4987</v>
      </c>
      <c r="AA60" s="860">
        <v>4771</v>
      </c>
      <c r="AC60" s="712">
        <f t="shared" si="3"/>
        <v>49</v>
      </c>
      <c r="AD60" s="711">
        <f t="shared" si="4"/>
        <v>84</v>
      </c>
      <c r="AE60" s="711">
        <f t="shared" si="26"/>
        <v>79</v>
      </c>
      <c r="AF60" s="711">
        <f t="shared" si="43"/>
        <v>24</v>
      </c>
      <c r="AG60" s="711">
        <f t="shared" si="44"/>
        <v>28</v>
      </c>
      <c r="AH60" s="711">
        <f t="shared" si="45"/>
        <v>98</v>
      </c>
      <c r="AI60" s="711">
        <f t="shared" si="27"/>
        <v>325</v>
      </c>
      <c r="AJ60" s="711">
        <f t="shared" si="28"/>
        <v>416</v>
      </c>
      <c r="AK60" s="711">
        <f t="shared" si="29"/>
        <v>123</v>
      </c>
      <c r="AL60" s="711">
        <f t="shared" si="30"/>
        <v>51</v>
      </c>
      <c r="AM60" s="711">
        <f t="shared" si="31"/>
        <v>75</v>
      </c>
      <c r="AN60" s="711">
        <f t="shared" si="32"/>
        <v>64</v>
      </c>
      <c r="AO60" s="711">
        <f t="shared" si="33"/>
        <v>67</v>
      </c>
      <c r="AP60" s="711">
        <f t="shared" si="34"/>
        <v>97</v>
      </c>
      <c r="AQ60" s="711">
        <f t="shared" si="35"/>
        <v>56</v>
      </c>
      <c r="AR60" s="711">
        <f t="shared" si="36"/>
        <v>49</v>
      </c>
      <c r="AS60" s="711">
        <f t="shared" si="37"/>
        <v>15</v>
      </c>
      <c r="AT60" s="711">
        <f t="shared" si="38"/>
        <v>18</v>
      </c>
      <c r="AU60" s="711">
        <f t="shared" si="39"/>
        <v>326</v>
      </c>
      <c r="AV60" s="711">
        <f t="shared" si="40"/>
        <v>345</v>
      </c>
      <c r="AW60" s="711">
        <f t="shared" si="41"/>
        <v>50</v>
      </c>
      <c r="AX60" s="711">
        <f t="shared" si="42"/>
        <v>127</v>
      </c>
      <c r="AY60" s="711">
        <f t="shared" si="22"/>
        <v>295</v>
      </c>
      <c r="AZ60" s="711">
        <f t="shared" si="22"/>
        <v>263</v>
      </c>
      <c r="BA60" s="711">
        <f t="shared" si="5"/>
        <v>216</v>
      </c>
    </row>
    <row r="61" spans="1:53">
      <c r="A61" s="106">
        <f t="shared" si="2"/>
        <v>50</v>
      </c>
      <c r="B61" s="858">
        <v>42054</v>
      </c>
      <c r="C61" s="859" t="s">
        <v>1724</v>
      </c>
      <c r="D61" s="860">
        <v>4560</v>
      </c>
      <c r="E61" s="860">
        <v>4483</v>
      </c>
      <c r="F61" s="860">
        <v>4409</v>
      </c>
      <c r="G61" s="860">
        <v>4335</v>
      </c>
      <c r="H61" s="860">
        <v>4446</v>
      </c>
      <c r="I61" s="860">
        <v>4627</v>
      </c>
      <c r="J61" s="860">
        <v>5159</v>
      </c>
      <c r="K61" s="860">
        <v>5272</v>
      </c>
      <c r="L61" s="860">
        <v>5194</v>
      </c>
      <c r="M61" s="860">
        <v>5132</v>
      </c>
      <c r="N61" s="860">
        <v>5085</v>
      </c>
      <c r="O61" s="860">
        <v>5010</v>
      </c>
      <c r="P61" s="860">
        <v>4982</v>
      </c>
      <c r="Q61" s="860">
        <v>4966</v>
      </c>
      <c r="R61" s="860">
        <v>4955</v>
      </c>
      <c r="S61" s="860">
        <v>4950</v>
      </c>
      <c r="T61" s="860">
        <v>5025</v>
      </c>
      <c r="U61" s="860">
        <v>5206</v>
      </c>
      <c r="V61" s="860">
        <v>5499</v>
      </c>
      <c r="W61" s="860">
        <v>5440</v>
      </c>
      <c r="X61" s="860">
        <v>5329</v>
      </c>
      <c r="Y61" s="860">
        <v>5057</v>
      </c>
      <c r="Z61" s="860">
        <v>4861</v>
      </c>
      <c r="AA61" s="860">
        <v>4574</v>
      </c>
      <c r="AC61" s="712">
        <f t="shared" si="3"/>
        <v>50</v>
      </c>
      <c r="AD61" s="711">
        <f t="shared" si="4"/>
        <v>211</v>
      </c>
      <c r="AE61" s="711">
        <f t="shared" si="26"/>
        <v>77</v>
      </c>
      <c r="AF61" s="711">
        <f t="shared" si="43"/>
        <v>74</v>
      </c>
      <c r="AG61" s="711">
        <f t="shared" si="44"/>
        <v>74</v>
      </c>
      <c r="AH61" s="711">
        <f t="shared" si="45"/>
        <v>111</v>
      </c>
      <c r="AI61" s="711">
        <f t="shared" si="27"/>
        <v>181</v>
      </c>
      <c r="AJ61" s="711">
        <f t="shared" si="28"/>
        <v>532</v>
      </c>
      <c r="AK61" s="711">
        <f t="shared" si="29"/>
        <v>113</v>
      </c>
      <c r="AL61" s="711">
        <f t="shared" si="30"/>
        <v>78</v>
      </c>
      <c r="AM61" s="711">
        <f t="shared" si="31"/>
        <v>62</v>
      </c>
      <c r="AN61" s="711">
        <f t="shared" si="32"/>
        <v>47</v>
      </c>
      <c r="AO61" s="711">
        <f t="shared" si="33"/>
        <v>75</v>
      </c>
      <c r="AP61" s="711">
        <f t="shared" si="34"/>
        <v>28</v>
      </c>
      <c r="AQ61" s="711">
        <f t="shared" si="35"/>
        <v>16</v>
      </c>
      <c r="AR61" s="711">
        <f t="shared" si="36"/>
        <v>11</v>
      </c>
      <c r="AS61" s="711">
        <f t="shared" si="37"/>
        <v>5</v>
      </c>
      <c r="AT61" s="711">
        <f t="shared" si="38"/>
        <v>75</v>
      </c>
      <c r="AU61" s="711">
        <f t="shared" si="39"/>
        <v>181</v>
      </c>
      <c r="AV61" s="711">
        <f t="shared" si="40"/>
        <v>293</v>
      </c>
      <c r="AW61" s="711">
        <f t="shared" si="41"/>
        <v>59</v>
      </c>
      <c r="AX61" s="711">
        <f t="shared" si="42"/>
        <v>111</v>
      </c>
      <c r="AY61" s="711">
        <f t="shared" si="22"/>
        <v>272</v>
      </c>
      <c r="AZ61" s="711">
        <f t="shared" si="22"/>
        <v>196</v>
      </c>
      <c r="BA61" s="711">
        <f t="shared" si="5"/>
        <v>287</v>
      </c>
    </row>
    <row r="62" spans="1:53">
      <c r="A62" s="106">
        <f t="shared" si="2"/>
        <v>51</v>
      </c>
      <c r="B62" s="858">
        <v>42055</v>
      </c>
      <c r="C62" s="859" t="s">
        <v>1724</v>
      </c>
      <c r="D62" s="860">
        <v>4372</v>
      </c>
      <c r="E62" s="860">
        <v>4271</v>
      </c>
      <c r="F62" s="860">
        <v>4233</v>
      </c>
      <c r="G62" s="860">
        <v>4192</v>
      </c>
      <c r="H62" s="860">
        <v>4273</v>
      </c>
      <c r="I62" s="860">
        <v>4548</v>
      </c>
      <c r="J62" s="860">
        <v>4952</v>
      </c>
      <c r="K62" s="860">
        <v>5117</v>
      </c>
      <c r="L62" s="860">
        <v>5063</v>
      </c>
      <c r="M62" s="860">
        <v>5037</v>
      </c>
      <c r="N62" s="860">
        <v>5003</v>
      </c>
      <c r="O62" s="860">
        <v>5017</v>
      </c>
      <c r="P62" s="860">
        <v>5062</v>
      </c>
      <c r="Q62" s="860">
        <v>5210</v>
      </c>
      <c r="R62" s="860">
        <v>5234</v>
      </c>
      <c r="S62" s="860">
        <v>5210</v>
      </c>
      <c r="T62" s="860">
        <v>5205</v>
      </c>
      <c r="U62" s="860">
        <v>5360</v>
      </c>
      <c r="V62" s="860">
        <v>5619</v>
      </c>
      <c r="W62" s="860">
        <v>5513</v>
      </c>
      <c r="X62" s="860">
        <v>5380</v>
      </c>
      <c r="Y62" s="860">
        <v>5154</v>
      </c>
      <c r="Z62" s="860">
        <v>4839</v>
      </c>
      <c r="AA62" s="860">
        <v>4551</v>
      </c>
      <c r="AC62" s="712">
        <f t="shared" si="3"/>
        <v>51</v>
      </c>
      <c r="AD62" s="711">
        <f t="shared" si="4"/>
        <v>202</v>
      </c>
      <c r="AE62" s="711">
        <f t="shared" si="26"/>
        <v>101</v>
      </c>
      <c r="AF62" s="711">
        <f t="shared" si="43"/>
        <v>38</v>
      </c>
      <c r="AG62" s="711">
        <f t="shared" si="44"/>
        <v>41</v>
      </c>
      <c r="AH62" s="711">
        <f t="shared" si="45"/>
        <v>81</v>
      </c>
      <c r="AI62" s="711">
        <f t="shared" si="27"/>
        <v>275</v>
      </c>
      <c r="AJ62" s="711">
        <f t="shared" si="28"/>
        <v>404</v>
      </c>
      <c r="AK62" s="711">
        <f t="shared" si="29"/>
        <v>165</v>
      </c>
      <c r="AL62" s="711">
        <f t="shared" si="30"/>
        <v>54</v>
      </c>
      <c r="AM62" s="711">
        <f t="shared" si="31"/>
        <v>26</v>
      </c>
      <c r="AN62" s="711">
        <f t="shared" si="32"/>
        <v>34</v>
      </c>
      <c r="AO62" s="711">
        <f t="shared" si="33"/>
        <v>14</v>
      </c>
      <c r="AP62" s="711">
        <f t="shared" si="34"/>
        <v>45</v>
      </c>
      <c r="AQ62" s="711">
        <f t="shared" si="35"/>
        <v>148</v>
      </c>
      <c r="AR62" s="711">
        <f t="shared" si="36"/>
        <v>24</v>
      </c>
      <c r="AS62" s="711">
        <f t="shared" si="37"/>
        <v>24</v>
      </c>
      <c r="AT62" s="711">
        <f t="shared" si="38"/>
        <v>5</v>
      </c>
      <c r="AU62" s="711">
        <f t="shared" si="39"/>
        <v>155</v>
      </c>
      <c r="AV62" s="711">
        <f t="shared" si="40"/>
        <v>259</v>
      </c>
      <c r="AW62" s="711">
        <f t="shared" si="41"/>
        <v>106</v>
      </c>
      <c r="AX62" s="711">
        <f t="shared" si="42"/>
        <v>133</v>
      </c>
      <c r="AY62" s="711">
        <f t="shared" si="22"/>
        <v>226</v>
      </c>
      <c r="AZ62" s="711">
        <f t="shared" si="22"/>
        <v>315</v>
      </c>
      <c r="BA62" s="711">
        <f t="shared" si="5"/>
        <v>288</v>
      </c>
    </row>
    <row r="63" spans="1:53">
      <c r="A63" s="106">
        <f t="shared" si="2"/>
        <v>52</v>
      </c>
      <c r="B63" s="858">
        <v>42056</v>
      </c>
      <c r="C63" s="859" t="s">
        <v>1724</v>
      </c>
      <c r="D63" s="860">
        <v>4455</v>
      </c>
      <c r="E63" s="860">
        <v>4466</v>
      </c>
      <c r="F63" s="860">
        <v>4431</v>
      </c>
      <c r="G63" s="860">
        <v>4409</v>
      </c>
      <c r="H63" s="860">
        <v>4450</v>
      </c>
      <c r="I63" s="860">
        <v>4483</v>
      </c>
      <c r="J63" s="860">
        <v>4661</v>
      </c>
      <c r="K63" s="860">
        <v>4777</v>
      </c>
      <c r="L63" s="860">
        <v>4942</v>
      </c>
      <c r="M63" s="860">
        <v>5094</v>
      </c>
      <c r="N63" s="860">
        <v>5151</v>
      </c>
      <c r="O63" s="860">
        <v>5213</v>
      </c>
      <c r="P63" s="860">
        <v>5235</v>
      </c>
      <c r="Q63" s="860">
        <v>5328</v>
      </c>
      <c r="R63" s="860">
        <v>5331</v>
      </c>
      <c r="S63" s="860">
        <v>5500</v>
      </c>
      <c r="T63" s="860">
        <v>5603</v>
      </c>
      <c r="U63" s="860">
        <v>5705</v>
      </c>
      <c r="V63" s="860">
        <v>5916</v>
      </c>
      <c r="W63" s="860">
        <v>5789</v>
      </c>
      <c r="X63" s="860">
        <v>5582</v>
      </c>
      <c r="Y63" s="860">
        <v>5363</v>
      </c>
      <c r="Z63" s="860">
        <v>5057</v>
      </c>
      <c r="AA63" s="860">
        <v>4758</v>
      </c>
      <c r="AC63" s="712">
        <f t="shared" si="3"/>
        <v>52</v>
      </c>
      <c r="AD63" s="711">
        <f t="shared" si="4"/>
        <v>96</v>
      </c>
      <c r="AE63" s="711">
        <f t="shared" si="26"/>
        <v>11</v>
      </c>
      <c r="AF63" s="711">
        <f t="shared" si="43"/>
        <v>35</v>
      </c>
      <c r="AG63" s="711">
        <f t="shared" si="44"/>
        <v>22</v>
      </c>
      <c r="AH63" s="711">
        <f t="shared" si="45"/>
        <v>41</v>
      </c>
      <c r="AI63" s="711">
        <f t="shared" si="27"/>
        <v>33</v>
      </c>
      <c r="AJ63" s="711">
        <f t="shared" si="28"/>
        <v>178</v>
      </c>
      <c r="AK63" s="711">
        <f t="shared" si="29"/>
        <v>116</v>
      </c>
      <c r="AL63" s="711">
        <f t="shared" si="30"/>
        <v>165</v>
      </c>
      <c r="AM63" s="711">
        <f t="shared" si="31"/>
        <v>152</v>
      </c>
      <c r="AN63" s="711">
        <f t="shared" si="32"/>
        <v>57</v>
      </c>
      <c r="AO63" s="711">
        <f t="shared" si="33"/>
        <v>62</v>
      </c>
      <c r="AP63" s="711">
        <f t="shared" si="34"/>
        <v>22</v>
      </c>
      <c r="AQ63" s="711">
        <f t="shared" si="35"/>
        <v>93</v>
      </c>
      <c r="AR63" s="711">
        <f t="shared" si="36"/>
        <v>3</v>
      </c>
      <c r="AS63" s="711">
        <f t="shared" si="37"/>
        <v>169</v>
      </c>
      <c r="AT63" s="711">
        <f t="shared" si="38"/>
        <v>103</v>
      </c>
      <c r="AU63" s="711">
        <f t="shared" si="39"/>
        <v>102</v>
      </c>
      <c r="AV63" s="711">
        <f t="shared" si="40"/>
        <v>211</v>
      </c>
      <c r="AW63" s="711">
        <f t="shared" si="41"/>
        <v>127</v>
      </c>
      <c r="AX63" s="711">
        <f t="shared" si="42"/>
        <v>207</v>
      </c>
      <c r="AY63" s="711">
        <f t="shared" si="22"/>
        <v>219</v>
      </c>
      <c r="AZ63" s="711">
        <f t="shared" si="22"/>
        <v>306</v>
      </c>
      <c r="BA63" s="711">
        <f t="shared" si="5"/>
        <v>299</v>
      </c>
    </row>
    <row r="64" spans="1:53">
      <c r="A64" s="106">
        <f t="shared" si="2"/>
        <v>53</v>
      </c>
      <c r="B64" s="858">
        <v>42057</v>
      </c>
      <c r="C64" s="859" t="s">
        <v>1724</v>
      </c>
      <c r="D64" s="860">
        <v>4744</v>
      </c>
      <c r="E64" s="860">
        <v>4678</v>
      </c>
      <c r="F64" s="860">
        <v>4709</v>
      </c>
      <c r="G64" s="860">
        <v>4700</v>
      </c>
      <c r="H64" s="860">
        <v>4714</v>
      </c>
      <c r="I64" s="860">
        <v>4736</v>
      </c>
      <c r="J64" s="860">
        <v>4857</v>
      </c>
      <c r="K64" s="860">
        <v>4960</v>
      </c>
      <c r="L64" s="860">
        <v>5120</v>
      </c>
      <c r="M64" s="860">
        <v>5312</v>
      </c>
      <c r="N64" s="860">
        <v>5436</v>
      </c>
      <c r="O64" s="860">
        <v>5480</v>
      </c>
      <c r="P64" s="860">
        <v>5499</v>
      </c>
      <c r="Q64" s="860">
        <v>5517</v>
      </c>
      <c r="R64" s="860">
        <v>5502</v>
      </c>
      <c r="S64" s="860">
        <v>5568</v>
      </c>
      <c r="T64" s="860">
        <v>5673</v>
      </c>
      <c r="U64" s="860">
        <v>6015</v>
      </c>
      <c r="V64" s="860">
        <v>6259</v>
      </c>
      <c r="W64" s="860">
        <v>6112</v>
      </c>
      <c r="X64" s="860">
        <v>5927</v>
      </c>
      <c r="Y64" s="860">
        <v>5603</v>
      </c>
      <c r="Z64" s="860">
        <v>5229</v>
      </c>
      <c r="AA64" s="860">
        <v>4996</v>
      </c>
      <c r="AC64" s="712">
        <f t="shared" si="3"/>
        <v>53</v>
      </c>
      <c r="AD64" s="711">
        <f t="shared" si="4"/>
        <v>14</v>
      </c>
      <c r="AE64" s="711">
        <f t="shared" si="26"/>
        <v>66</v>
      </c>
      <c r="AF64" s="711">
        <f t="shared" si="43"/>
        <v>31</v>
      </c>
      <c r="AG64" s="711">
        <f t="shared" si="44"/>
        <v>9</v>
      </c>
      <c r="AH64" s="711">
        <f t="shared" si="45"/>
        <v>14</v>
      </c>
      <c r="AI64" s="711">
        <f t="shared" si="27"/>
        <v>22</v>
      </c>
      <c r="AJ64" s="711">
        <f t="shared" si="28"/>
        <v>121</v>
      </c>
      <c r="AK64" s="711">
        <f t="shared" si="29"/>
        <v>103</v>
      </c>
      <c r="AL64" s="711">
        <f t="shared" si="30"/>
        <v>160</v>
      </c>
      <c r="AM64" s="711">
        <f t="shared" si="31"/>
        <v>192</v>
      </c>
      <c r="AN64" s="711">
        <f t="shared" si="32"/>
        <v>124</v>
      </c>
      <c r="AO64" s="711">
        <f t="shared" si="33"/>
        <v>44</v>
      </c>
      <c r="AP64" s="711">
        <f t="shared" si="34"/>
        <v>19</v>
      </c>
      <c r="AQ64" s="711">
        <f t="shared" si="35"/>
        <v>18</v>
      </c>
      <c r="AR64" s="711">
        <f t="shared" si="36"/>
        <v>15</v>
      </c>
      <c r="AS64" s="711">
        <f t="shared" si="37"/>
        <v>66</v>
      </c>
      <c r="AT64" s="711">
        <f t="shared" si="38"/>
        <v>105</v>
      </c>
      <c r="AU64" s="711">
        <f t="shared" si="39"/>
        <v>342</v>
      </c>
      <c r="AV64" s="711">
        <f t="shared" si="40"/>
        <v>244</v>
      </c>
      <c r="AW64" s="711">
        <f t="shared" si="41"/>
        <v>147</v>
      </c>
      <c r="AX64" s="711">
        <f t="shared" si="42"/>
        <v>185</v>
      </c>
      <c r="AY64" s="711">
        <f t="shared" si="22"/>
        <v>324</v>
      </c>
      <c r="AZ64" s="711">
        <f t="shared" si="22"/>
        <v>374</v>
      </c>
      <c r="BA64" s="711">
        <f t="shared" si="5"/>
        <v>233</v>
      </c>
    </row>
    <row r="65" spans="1:53">
      <c r="A65" s="106">
        <f t="shared" si="2"/>
        <v>54</v>
      </c>
      <c r="B65" s="858">
        <v>42058</v>
      </c>
      <c r="C65" s="859" t="s">
        <v>1724</v>
      </c>
      <c r="D65" s="860">
        <v>4968</v>
      </c>
      <c r="E65" s="860">
        <v>4875</v>
      </c>
      <c r="F65" s="860">
        <v>4849</v>
      </c>
      <c r="G65" s="860">
        <v>4881</v>
      </c>
      <c r="H65" s="860">
        <v>4846</v>
      </c>
      <c r="I65" s="860">
        <v>5175</v>
      </c>
      <c r="J65" s="860">
        <v>5511</v>
      </c>
      <c r="K65" s="860">
        <v>5681</v>
      </c>
      <c r="L65" s="860">
        <v>5729</v>
      </c>
      <c r="M65" s="860">
        <v>5792</v>
      </c>
      <c r="N65" s="860">
        <v>5820</v>
      </c>
      <c r="O65" s="860">
        <v>5787</v>
      </c>
      <c r="P65" s="860">
        <v>5727</v>
      </c>
      <c r="Q65" s="860">
        <v>5637</v>
      </c>
      <c r="R65" s="860">
        <v>5560</v>
      </c>
      <c r="S65" s="860">
        <v>5529</v>
      </c>
      <c r="T65" s="860">
        <v>5536</v>
      </c>
      <c r="U65" s="860">
        <v>5837</v>
      </c>
      <c r="V65" s="860">
        <v>6208</v>
      </c>
      <c r="W65" s="860">
        <v>6134</v>
      </c>
      <c r="X65" s="860">
        <v>6006</v>
      </c>
      <c r="Y65" s="860">
        <v>5678</v>
      </c>
      <c r="Z65" s="860">
        <v>5234</v>
      </c>
      <c r="AA65" s="860">
        <v>4917</v>
      </c>
      <c r="AC65" s="712">
        <f t="shared" si="3"/>
        <v>54</v>
      </c>
      <c r="AD65" s="711">
        <f t="shared" si="4"/>
        <v>28</v>
      </c>
      <c r="AE65" s="711">
        <f t="shared" si="26"/>
        <v>93</v>
      </c>
      <c r="AF65" s="711">
        <f t="shared" si="43"/>
        <v>26</v>
      </c>
      <c r="AG65" s="711">
        <f t="shared" si="44"/>
        <v>32</v>
      </c>
      <c r="AH65" s="711">
        <f t="shared" si="45"/>
        <v>35</v>
      </c>
      <c r="AI65" s="711">
        <f t="shared" si="27"/>
        <v>329</v>
      </c>
      <c r="AJ65" s="711">
        <f t="shared" si="28"/>
        <v>336</v>
      </c>
      <c r="AK65" s="711">
        <f t="shared" si="29"/>
        <v>170</v>
      </c>
      <c r="AL65" s="711">
        <f t="shared" si="30"/>
        <v>48</v>
      </c>
      <c r="AM65" s="711">
        <f t="shared" si="31"/>
        <v>63</v>
      </c>
      <c r="AN65" s="711">
        <f t="shared" si="32"/>
        <v>28</v>
      </c>
      <c r="AO65" s="711">
        <f t="shared" si="33"/>
        <v>33</v>
      </c>
      <c r="AP65" s="711">
        <f t="shared" si="34"/>
        <v>60</v>
      </c>
      <c r="AQ65" s="711">
        <f t="shared" si="35"/>
        <v>90</v>
      </c>
      <c r="AR65" s="711">
        <f t="shared" si="36"/>
        <v>77</v>
      </c>
      <c r="AS65" s="711">
        <f t="shared" si="37"/>
        <v>31</v>
      </c>
      <c r="AT65" s="711">
        <f t="shared" si="38"/>
        <v>7</v>
      </c>
      <c r="AU65" s="711">
        <f t="shared" si="39"/>
        <v>301</v>
      </c>
      <c r="AV65" s="711">
        <f t="shared" si="40"/>
        <v>371</v>
      </c>
      <c r="AW65" s="711">
        <f t="shared" si="41"/>
        <v>74</v>
      </c>
      <c r="AX65" s="711">
        <f t="shared" si="42"/>
        <v>128</v>
      </c>
      <c r="AY65" s="711">
        <f t="shared" si="22"/>
        <v>328</v>
      </c>
      <c r="AZ65" s="711">
        <f t="shared" si="22"/>
        <v>444</v>
      </c>
      <c r="BA65" s="711">
        <f t="shared" si="5"/>
        <v>317</v>
      </c>
    </row>
    <row r="66" spans="1:53">
      <c r="A66" s="106">
        <f t="shared" si="2"/>
        <v>55</v>
      </c>
      <c r="B66" s="858">
        <v>42059</v>
      </c>
      <c r="C66" s="859" t="s">
        <v>1724</v>
      </c>
      <c r="D66" s="860">
        <v>4846</v>
      </c>
      <c r="E66" s="860">
        <v>4758</v>
      </c>
      <c r="F66" s="860">
        <v>4768</v>
      </c>
      <c r="G66" s="860">
        <v>4772</v>
      </c>
      <c r="H66" s="860">
        <v>4911</v>
      </c>
      <c r="I66" s="860">
        <v>5123</v>
      </c>
      <c r="J66" s="860">
        <v>5566</v>
      </c>
      <c r="K66" s="860">
        <v>5683</v>
      </c>
      <c r="L66" s="860">
        <v>5603</v>
      </c>
      <c r="M66" s="860">
        <v>5552</v>
      </c>
      <c r="N66" s="860">
        <v>5478</v>
      </c>
      <c r="O66" s="860">
        <v>5366</v>
      </c>
      <c r="P66" s="860">
        <v>5333</v>
      </c>
      <c r="Q66" s="860">
        <v>5221</v>
      </c>
      <c r="R66" s="860">
        <v>5150</v>
      </c>
      <c r="S66" s="860">
        <v>5129</v>
      </c>
      <c r="T66" s="860">
        <v>5148</v>
      </c>
      <c r="U66" s="860">
        <v>5412</v>
      </c>
      <c r="V66" s="860">
        <v>5826</v>
      </c>
      <c r="W66" s="860">
        <v>5830</v>
      </c>
      <c r="X66" s="860">
        <v>5701</v>
      </c>
      <c r="Y66" s="860">
        <v>5406</v>
      </c>
      <c r="Z66" s="860">
        <v>5004</v>
      </c>
      <c r="AA66" s="860">
        <v>4671</v>
      </c>
      <c r="AC66" s="712">
        <f t="shared" si="3"/>
        <v>55</v>
      </c>
      <c r="AD66" s="711">
        <f t="shared" si="4"/>
        <v>71</v>
      </c>
      <c r="AE66" s="711">
        <f t="shared" si="26"/>
        <v>88</v>
      </c>
      <c r="AF66" s="711">
        <f t="shared" si="43"/>
        <v>10</v>
      </c>
      <c r="AG66" s="711">
        <f t="shared" si="44"/>
        <v>4</v>
      </c>
      <c r="AH66" s="711">
        <f t="shared" si="45"/>
        <v>139</v>
      </c>
      <c r="AI66" s="711">
        <f t="shared" si="27"/>
        <v>212</v>
      </c>
      <c r="AJ66" s="711">
        <f t="shared" si="28"/>
        <v>443</v>
      </c>
      <c r="AK66" s="711">
        <f t="shared" si="29"/>
        <v>117</v>
      </c>
      <c r="AL66" s="711">
        <f t="shared" si="30"/>
        <v>80</v>
      </c>
      <c r="AM66" s="711">
        <f t="shared" si="31"/>
        <v>51</v>
      </c>
      <c r="AN66" s="711">
        <f t="shared" si="32"/>
        <v>74</v>
      </c>
      <c r="AO66" s="711">
        <f t="shared" si="33"/>
        <v>112</v>
      </c>
      <c r="AP66" s="711">
        <f t="shared" si="34"/>
        <v>33</v>
      </c>
      <c r="AQ66" s="711">
        <f t="shared" si="35"/>
        <v>112</v>
      </c>
      <c r="AR66" s="711">
        <f t="shared" si="36"/>
        <v>71</v>
      </c>
      <c r="AS66" s="711">
        <f t="shared" si="37"/>
        <v>21</v>
      </c>
      <c r="AT66" s="711">
        <f t="shared" si="38"/>
        <v>19</v>
      </c>
      <c r="AU66" s="711">
        <f t="shared" si="39"/>
        <v>264</v>
      </c>
      <c r="AV66" s="711">
        <f t="shared" si="40"/>
        <v>414</v>
      </c>
      <c r="AW66" s="711">
        <f t="shared" si="41"/>
        <v>4</v>
      </c>
      <c r="AX66" s="711">
        <f t="shared" si="42"/>
        <v>129</v>
      </c>
      <c r="AY66" s="711">
        <f t="shared" si="22"/>
        <v>295</v>
      </c>
      <c r="AZ66" s="711">
        <f t="shared" si="22"/>
        <v>402</v>
      </c>
      <c r="BA66" s="711">
        <f t="shared" si="5"/>
        <v>333</v>
      </c>
    </row>
    <row r="67" spans="1:53">
      <c r="A67" s="106">
        <f t="shared" si="2"/>
        <v>56</v>
      </c>
      <c r="B67" s="858">
        <v>42060</v>
      </c>
      <c r="C67" s="859" t="s">
        <v>1724</v>
      </c>
      <c r="D67" s="860">
        <v>4478</v>
      </c>
      <c r="E67" s="860">
        <v>4459</v>
      </c>
      <c r="F67" s="860">
        <v>4469</v>
      </c>
      <c r="G67" s="860">
        <v>4458</v>
      </c>
      <c r="H67" s="860">
        <v>4543</v>
      </c>
      <c r="I67" s="860">
        <v>4766</v>
      </c>
      <c r="J67" s="860">
        <v>5261</v>
      </c>
      <c r="K67" s="860">
        <v>5354</v>
      </c>
      <c r="L67" s="860">
        <v>5380</v>
      </c>
      <c r="M67" s="860">
        <v>5329</v>
      </c>
      <c r="N67" s="860">
        <v>5332</v>
      </c>
      <c r="O67" s="860">
        <v>5444</v>
      </c>
      <c r="P67" s="860">
        <v>5341</v>
      </c>
      <c r="Q67" s="860">
        <v>5376</v>
      </c>
      <c r="R67" s="860">
        <v>5470</v>
      </c>
      <c r="S67" s="860">
        <v>5537</v>
      </c>
      <c r="T67" s="860">
        <v>5652</v>
      </c>
      <c r="U67" s="860">
        <v>5894</v>
      </c>
      <c r="V67" s="860">
        <v>6103</v>
      </c>
      <c r="W67" s="860">
        <v>6017</v>
      </c>
      <c r="X67" s="860">
        <v>5819</v>
      </c>
      <c r="Y67" s="860">
        <v>5481</v>
      </c>
      <c r="Z67" s="860">
        <v>5162</v>
      </c>
      <c r="AA67" s="860">
        <v>5058</v>
      </c>
      <c r="AC67" s="712">
        <f t="shared" si="3"/>
        <v>56</v>
      </c>
      <c r="AD67" s="711">
        <f t="shared" si="4"/>
        <v>193</v>
      </c>
      <c r="AE67" s="711">
        <f t="shared" si="26"/>
        <v>19</v>
      </c>
      <c r="AF67" s="711">
        <f t="shared" si="43"/>
        <v>10</v>
      </c>
      <c r="AG67" s="711">
        <f t="shared" si="44"/>
        <v>11</v>
      </c>
      <c r="AH67" s="711">
        <f t="shared" si="45"/>
        <v>85</v>
      </c>
      <c r="AI67" s="711">
        <f t="shared" si="27"/>
        <v>223</v>
      </c>
      <c r="AJ67" s="711">
        <f t="shared" si="28"/>
        <v>495</v>
      </c>
      <c r="AK67" s="711">
        <f t="shared" si="29"/>
        <v>93</v>
      </c>
      <c r="AL67" s="711">
        <f t="shared" si="30"/>
        <v>26</v>
      </c>
      <c r="AM67" s="711">
        <f t="shared" si="31"/>
        <v>51</v>
      </c>
      <c r="AN67" s="711">
        <f t="shared" si="32"/>
        <v>3</v>
      </c>
      <c r="AO67" s="711">
        <f t="shared" si="33"/>
        <v>112</v>
      </c>
      <c r="AP67" s="711">
        <f t="shared" si="34"/>
        <v>103</v>
      </c>
      <c r="AQ67" s="711">
        <f t="shared" si="35"/>
        <v>35</v>
      </c>
      <c r="AR67" s="711">
        <f t="shared" si="36"/>
        <v>94</v>
      </c>
      <c r="AS67" s="711">
        <f t="shared" si="37"/>
        <v>67</v>
      </c>
      <c r="AT67" s="711">
        <f t="shared" si="38"/>
        <v>115</v>
      </c>
      <c r="AU67" s="711">
        <f t="shared" si="39"/>
        <v>242</v>
      </c>
      <c r="AV67" s="711">
        <f t="shared" si="40"/>
        <v>209</v>
      </c>
      <c r="AW67" s="711">
        <f t="shared" si="41"/>
        <v>86</v>
      </c>
      <c r="AX67" s="711">
        <f t="shared" si="42"/>
        <v>198</v>
      </c>
      <c r="AY67" s="711">
        <f t="shared" si="22"/>
        <v>338</v>
      </c>
      <c r="AZ67" s="711">
        <f t="shared" si="22"/>
        <v>319</v>
      </c>
      <c r="BA67" s="711">
        <f t="shared" si="5"/>
        <v>104</v>
      </c>
    </row>
    <row r="68" spans="1:53">
      <c r="A68" s="106">
        <f t="shared" si="2"/>
        <v>57</v>
      </c>
      <c r="B68" s="858">
        <v>42061</v>
      </c>
      <c r="C68" s="859" t="s">
        <v>1724</v>
      </c>
      <c r="D68" s="860">
        <v>4859</v>
      </c>
      <c r="E68" s="860">
        <v>4777</v>
      </c>
      <c r="F68" s="860">
        <v>4734</v>
      </c>
      <c r="G68" s="860">
        <v>4774</v>
      </c>
      <c r="H68" s="860">
        <v>4800</v>
      </c>
      <c r="I68" s="860">
        <v>5099</v>
      </c>
      <c r="J68" s="860">
        <v>5433</v>
      </c>
      <c r="K68" s="860">
        <v>5557</v>
      </c>
      <c r="L68" s="860">
        <v>5641</v>
      </c>
      <c r="M68" s="860">
        <v>5654</v>
      </c>
      <c r="N68" s="860">
        <v>5654</v>
      </c>
      <c r="O68" s="860">
        <v>5609</v>
      </c>
      <c r="P68" s="860">
        <v>5593</v>
      </c>
      <c r="Q68" s="860">
        <v>5618</v>
      </c>
      <c r="R68" s="860">
        <v>5631</v>
      </c>
      <c r="S68" s="860">
        <v>5715</v>
      </c>
      <c r="T68" s="860">
        <v>5785</v>
      </c>
      <c r="U68" s="860">
        <v>6032</v>
      </c>
      <c r="V68" s="860">
        <v>6355</v>
      </c>
      <c r="W68" s="860">
        <v>6239</v>
      </c>
      <c r="X68" s="860">
        <v>5989</v>
      </c>
      <c r="Y68" s="860">
        <v>5638</v>
      </c>
      <c r="Z68" s="860">
        <v>5272</v>
      </c>
      <c r="AA68" s="860">
        <v>4932</v>
      </c>
      <c r="AC68" s="712">
        <f t="shared" si="3"/>
        <v>57</v>
      </c>
      <c r="AD68" s="711">
        <f t="shared" si="4"/>
        <v>199</v>
      </c>
      <c r="AE68" s="711">
        <f t="shared" si="26"/>
        <v>82</v>
      </c>
      <c r="AF68" s="711">
        <f t="shared" si="43"/>
        <v>43</v>
      </c>
      <c r="AG68" s="711">
        <f t="shared" si="44"/>
        <v>40</v>
      </c>
      <c r="AH68" s="711">
        <f t="shared" si="45"/>
        <v>26</v>
      </c>
      <c r="AI68" s="711">
        <f t="shared" si="27"/>
        <v>299</v>
      </c>
      <c r="AJ68" s="711">
        <f t="shared" si="28"/>
        <v>334</v>
      </c>
      <c r="AK68" s="711">
        <f t="shared" si="29"/>
        <v>124</v>
      </c>
      <c r="AL68" s="711">
        <f t="shared" si="30"/>
        <v>84</v>
      </c>
      <c r="AM68" s="711">
        <f t="shared" si="31"/>
        <v>13</v>
      </c>
      <c r="AN68" s="711">
        <f t="shared" si="32"/>
        <v>0</v>
      </c>
      <c r="AO68" s="711">
        <f t="shared" si="33"/>
        <v>45</v>
      </c>
      <c r="AP68" s="711">
        <f t="shared" si="34"/>
        <v>16</v>
      </c>
      <c r="AQ68" s="711">
        <f t="shared" si="35"/>
        <v>25</v>
      </c>
      <c r="AR68" s="711">
        <f t="shared" si="36"/>
        <v>13</v>
      </c>
      <c r="AS68" s="711">
        <f t="shared" si="37"/>
        <v>84</v>
      </c>
      <c r="AT68" s="711">
        <f t="shared" si="38"/>
        <v>70</v>
      </c>
      <c r="AU68" s="711">
        <f t="shared" si="39"/>
        <v>247</v>
      </c>
      <c r="AV68" s="711">
        <f t="shared" si="40"/>
        <v>323</v>
      </c>
      <c r="AW68" s="711">
        <f t="shared" si="41"/>
        <v>116</v>
      </c>
      <c r="AX68" s="711">
        <f t="shared" si="42"/>
        <v>250</v>
      </c>
      <c r="AY68" s="711">
        <f t="shared" si="22"/>
        <v>351</v>
      </c>
      <c r="AZ68" s="711">
        <f t="shared" si="22"/>
        <v>366</v>
      </c>
      <c r="BA68" s="711">
        <f t="shared" si="5"/>
        <v>340</v>
      </c>
    </row>
    <row r="69" spans="1:53">
      <c r="A69" s="106">
        <f t="shared" si="2"/>
        <v>58</v>
      </c>
      <c r="B69" s="858">
        <v>42062</v>
      </c>
      <c r="C69" s="859" t="s">
        <v>1724</v>
      </c>
      <c r="D69" s="860">
        <v>4776</v>
      </c>
      <c r="E69" s="860">
        <v>4859</v>
      </c>
      <c r="F69" s="860">
        <v>4860</v>
      </c>
      <c r="G69" s="860">
        <v>4932</v>
      </c>
      <c r="H69" s="860">
        <v>5062</v>
      </c>
      <c r="I69" s="860">
        <v>5252</v>
      </c>
      <c r="J69" s="860">
        <v>5680</v>
      </c>
      <c r="K69" s="860">
        <v>5767</v>
      </c>
      <c r="L69" s="860">
        <v>5718</v>
      </c>
      <c r="M69" s="860">
        <v>5684</v>
      </c>
      <c r="N69" s="860">
        <v>5615</v>
      </c>
      <c r="O69" s="860">
        <v>5647</v>
      </c>
      <c r="P69" s="860">
        <v>5509</v>
      </c>
      <c r="Q69" s="860">
        <v>5450</v>
      </c>
      <c r="R69" s="860">
        <v>5465</v>
      </c>
      <c r="S69" s="860">
        <v>5435</v>
      </c>
      <c r="T69" s="860">
        <v>5528</v>
      </c>
      <c r="U69" s="860">
        <v>5755</v>
      </c>
      <c r="V69" s="860">
        <v>6077</v>
      </c>
      <c r="W69" s="860">
        <v>5999</v>
      </c>
      <c r="X69" s="860">
        <v>5866</v>
      </c>
      <c r="Y69" s="860">
        <v>5630</v>
      </c>
      <c r="Z69" s="860">
        <v>5288</v>
      </c>
      <c r="AA69" s="860">
        <v>5007</v>
      </c>
      <c r="AC69" s="712">
        <f t="shared" si="3"/>
        <v>58</v>
      </c>
      <c r="AD69" s="711">
        <f t="shared" si="4"/>
        <v>156</v>
      </c>
      <c r="AE69" s="711">
        <f t="shared" si="26"/>
        <v>83</v>
      </c>
      <c r="AF69" s="711">
        <f t="shared" si="43"/>
        <v>1</v>
      </c>
      <c r="AG69" s="711">
        <f t="shared" si="44"/>
        <v>72</v>
      </c>
      <c r="AH69" s="711">
        <f t="shared" si="45"/>
        <v>130</v>
      </c>
      <c r="AI69" s="711">
        <f t="shared" si="27"/>
        <v>190</v>
      </c>
      <c r="AJ69" s="711">
        <f t="shared" si="28"/>
        <v>428</v>
      </c>
      <c r="AK69" s="711">
        <f t="shared" si="29"/>
        <v>87</v>
      </c>
      <c r="AL69" s="711">
        <f t="shared" si="30"/>
        <v>49</v>
      </c>
      <c r="AM69" s="711">
        <f t="shared" si="31"/>
        <v>34</v>
      </c>
      <c r="AN69" s="711">
        <f t="shared" si="32"/>
        <v>69</v>
      </c>
      <c r="AO69" s="711">
        <f t="shared" si="33"/>
        <v>32</v>
      </c>
      <c r="AP69" s="711">
        <f t="shared" si="34"/>
        <v>138</v>
      </c>
      <c r="AQ69" s="711">
        <f t="shared" si="35"/>
        <v>59</v>
      </c>
      <c r="AR69" s="711">
        <f t="shared" si="36"/>
        <v>15</v>
      </c>
      <c r="AS69" s="711">
        <f t="shared" si="37"/>
        <v>30</v>
      </c>
      <c r="AT69" s="711">
        <f t="shared" si="38"/>
        <v>93</v>
      </c>
      <c r="AU69" s="711">
        <f t="shared" si="39"/>
        <v>227</v>
      </c>
      <c r="AV69" s="711">
        <f t="shared" si="40"/>
        <v>322</v>
      </c>
      <c r="AW69" s="711">
        <f t="shared" si="41"/>
        <v>78</v>
      </c>
      <c r="AX69" s="711">
        <f t="shared" si="42"/>
        <v>133</v>
      </c>
      <c r="AY69" s="711">
        <f t="shared" si="22"/>
        <v>236</v>
      </c>
      <c r="AZ69" s="711">
        <f t="shared" si="22"/>
        <v>342</v>
      </c>
      <c r="BA69" s="711">
        <f t="shared" si="5"/>
        <v>281</v>
      </c>
    </row>
    <row r="70" spans="1:53">
      <c r="A70" s="106">
        <f t="shared" si="2"/>
        <v>59</v>
      </c>
      <c r="B70" s="858">
        <v>42063</v>
      </c>
      <c r="C70" s="859" t="s">
        <v>1724</v>
      </c>
      <c r="D70" s="860">
        <v>4882</v>
      </c>
      <c r="E70" s="860">
        <v>4846</v>
      </c>
      <c r="F70" s="860">
        <v>4692</v>
      </c>
      <c r="G70" s="860">
        <v>4659</v>
      </c>
      <c r="H70" s="860">
        <v>4712</v>
      </c>
      <c r="I70" s="860">
        <v>4841</v>
      </c>
      <c r="J70" s="860">
        <v>5040</v>
      </c>
      <c r="K70" s="860">
        <v>5179</v>
      </c>
      <c r="L70" s="860">
        <v>5320</v>
      </c>
      <c r="M70" s="860">
        <v>5359</v>
      </c>
      <c r="N70" s="860">
        <v>5347</v>
      </c>
      <c r="O70" s="860">
        <v>5276</v>
      </c>
      <c r="P70" s="860">
        <v>5192</v>
      </c>
      <c r="Q70" s="860">
        <v>5074</v>
      </c>
      <c r="R70" s="860">
        <v>5045</v>
      </c>
      <c r="S70" s="860">
        <v>5069</v>
      </c>
      <c r="T70" s="860">
        <v>5204</v>
      </c>
      <c r="U70" s="860">
        <v>5482</v>
      </c>
      <c r="V70" s="860">
        <v>5817</v>
      </c>
      <c r="W70" s="860">
        <v>5759</v>
      </c>
      <c r="X70" s="860">
        <v>5615</v>
      </c>
      <c r="Y70" s="860">
        <v>5383</v>
      </c>
      <c r="Z70" s="860">
        <v>5065</v>
      </c>
      <c r="AA70" s="860">
        <v>4836</v>
      </c>
      <c r="AC70" s="712">
        <f t="shared" si="3"/>
        <v>59</v>
      </c>
      <c r="AD70" s="711">
        <f t="shared" si="4"/>
        <v>125</v>
      </c>
      <c r="AE70" s="711">
        <f t="shared" si="26"/>
        <v>36</v>
      </c>
      <c r="AF70" s="711">
        <f t="shared" si="43"/>
        <v>154</v>
      </c>
      <c r="AG70" s="711">
        <f t="shared" si="44"/>
        <v>33</v>
      </c>
      <c r="AH70" s="711">
        <f t="shared" si="45"/>
        <v>53</v>
      </c>
      <c r="AI70" s="711">
        <f t="shared" si="27"/>
        <v>129</v>
      </c>
      <c r="AJ70" s="711">
        <f t="shared" si="28"/>
        <v>199</v>
      </c>
      <c r="AK70" s="711">
        <f t="shared" si="29"/>
        <v>139</v>
      </c>
      <c r="AL70" s="711">
        <f t="shared" si="30"/>
        <v>141</v>
      </c>
      <c r="AM70" s="711">
        <f t="shared" si="31"/>
        <v>39</v>
      </c>
      <c r="AN70" s="711">
        <f t="shared" si="32"/>
        <v>12</v>
      </c>
      <c r="AO70" s="711">
        <f t="shared" si="33"/>
        <v>71</v>
      </c>
      <c r="AP70" s="711">
        <f t="shared" si="34"/>
        <v>84</v>
      </c>
      <c r="AQ70" s="711">
        <f t="shared" si="35"/>
        <v>118</v>
      </c>
      <c r="AR70" s="711">
        <f t="shared" si="36"/>
        <v>29</v>
      </c>
      <c r="AS70" s="711">
        <f t="shared" si="37"/>
        <v>24</v>
      </c>
      <c r="AT70" s="711">
        <f t="shared" si="38"/>
        <v>135</v>
      </c>
      <c r="AU70" s="711">
        <f t="shared" si="39"/>
        <v>278</v>
      </c>
      <c r="AV70" s="711">
        <f t="shared" si="40"/>
        <v>335</v>
      </c>
      <c r="AW70" s="711">
        <f t="shared" si="41"/>
        <v>58</v>
      </c>
      <c r="AX70" s="711">
        <f t="shared" si="42"/>
        <v>144</v>
      </c>
      <c r="AY70" s="711">
        <f t="shared" si="22"/>
        <v>232</v>
      </c>
      <c r="AZ70" s="711">
        <f t="shared" si="22"/>
        <v>318</v>
      </c>
      <c r="BA70" s="711">
        <f t="shared" si="5"/>
        <v>229</v>
      </c>
    </row>
    <row r="71" spans="1:53" s="857" customFormat="1">
      <c r="A71" s="111">
        <f t="shared" si="2"/>
        <v>60</v>
      </c>
      <c r="B71" s="858">
        <v>42064</v>
      </c>
      <c r="C71" s="859" t="s">
        <v>1724</v>
      </c>
      <c r="D71" s="860">
        <v>4691</v>
      </c>
      <c r="E71" s="860">
        <v>4805</v>
      </c>
      <c r="F71" s="860">
        <v>4769</v>
      </c>
      <c r="G71" s="860">
        <v>4732</v>
      </c>
      <c r="H71" s="860">
        <v>4756</v>
      </c>
      <c r="I71" s="860">
        <v>4773</v>
      </c>
      <c r="J71" s="860">
        <v>4851</v>
      </c>
      <c r="K71" s="860">
        <v>4905</v>
      </c>
      <c r="L71" s="860">
        <v>4990</v>
      </c>
      <c r="M71" s="860">
        <v>5051</v>
      </c>
      <c r="N71" s="860">
        <v>5074</v>
      </c>
      <c r="O71" s="860">
        <v>5100</v>
      </c>
      <c r="P71" s="860">
        <v>5090</v>
      </c>
      <c r="Q71" s="860">
        <v>5068</v>
      </c>
      <c r="R71" s="860">
        <v>5068</v>
      </c>
      <c r="S71" s="860">
        <v>5119</v>
      </c>
      <c r="T71" s="860">
        <v>5254</v>
      </c>
      <c r="U71" s="860">
        <v>5569</v>
      </c>
      <c r="V71" s="860">
        <v>5936</v>
      </c>
      <c r="W71" s="860">
        <v>5856</v>
      </c>
      <c r="X71" s="860">
        <v>5657</v>
      </c>
      <c r="Y71" s="860">
        <v>5386</v>
      </c>
      <c r="Z71" s="860">
        <v>4980</v>
      </c>
      <c r="AA71" s="860">
        <v>4701</v>
      </c>
      <c r="AB71" s="110"/>
      <c r="AC71" s="977">
        <f t="shared" si="3"/>
        <v>60</v>
      </c>
      <c r="AD71" s="978">
        <f t="shared" si="4"/>
        <v>145</v>
      </c>
      <c r="AE71" s="978">
        <f t="shared" si="26"/>
        <v>114</v>
      </c>
      <c r="AF71" s="978">
        <f t="shared" si="43"/>
        <v>36</v>
      </c>
      <c r="AG71" s="978">
        <f t="shared" si="44"/>
        <v>37</v>
      </c>
      <c r="AH71" s="978">
        <f t="shared" si="45"/>
        <v>24</v>
      </c>
      <c r="AI71" s="978">
        <f t="shared" si="27"/>
        <v>17</v>
      </c>
      <c r="AJ71" s="978">
        <f t="shared" si="28"/>
        <v>78</v>
      </c>
      <c r="AK71" s="978">
        <f t="shared" si="29"/>
        <v>54</v>
      </c>
      <c r="AL71" s="978">
        <f t="shared" si="30"/>
        <v>85</v>
      </c>
      <c r="AM71" s="978">
        <f t="shared" si="31"/>
        <v>61</v>
      </c>
      <c r="AN71" s="978">
        <f t="shared" si="32"/>
        <v>23</v>
      </c>
      <c r="AO71" s="978">
        <f t="shared" si="33"/>
        <v>26</v>
      </c>
      <c r="AP71" s="978">
        <f t="shared" si="34"/>
        <v>10</v>
      </c>
      <c r="AQ71" s="978">
        <f t="shared" si="35"/>
        <v>22</v>
      </c>
      <c r="AR71" s="978">
        <f t="shared" si="36"/>
        <v>0</v>
      </c>
      <c r="AS71" s="978">
        <f t="shared" si="37"/>
        <v>51</v>
      </c>
      <c r="AT71" s="978">
        <f t="shared" si="38"/>
        <v>135</v>
      </c>
      <c r="AU71" s="978">
        <f t="shared" si="39"/>
        <v>315</v>
      </c>
      <c r="AV71" s="978">
        <f t="shared" si="40"/>
        <v>367</v>
      </c>
      <c r="AW71" s="978">
        <f t="shared" si="41"/>
        <v>80</v>
      </c>
      <c r="AX71" s="978">
        <f t="shared" si="42"/>
        <v>199</v>
      </c>
      <c r="AY71" s="978">
        <f t="shared" si="22"/>
        <v>271</v>
      </c>
      <c r="AZ71" s="978">
        <f t="shared" si="22"/>
        <v>406</v>
      </c>
      <c r="BA71" s="978">
        <f t="shared" si="5"/>
        <v>279</v>
      </c>
    </row>
    <row r="72" spans="1:53">
      <c r="A72" s="106">
        <f t="shared" si="2"/>
        <v>61</v>
      </c>
      <c r="B72" s="858">
        <v>42065</v>
      </c>
      <c r="C72" s="859" t="s">
        <v>1724</v>
      </c>
      <c r="D72" s="860">
        <v>4706</v>
      </c>
      <c r="E72" s="860">
        <v>4679</v>
      </c>
      <c r="F72" s="860">
        <v>4592</v>
      </c>
      <c r="G72" s="860">
        <v>4614</v>
      </c>
      <c r="H72" s="860">
        <v>4783</v>
      </c>
      <c r="I72" s="860">
        <v>4991</v>
      </c>
      <c r="J72" s="860">
        <v>5454</v>
      </c>
      <c r="K72" s="860">
        <v>5480</v>
      </c>
      <c r="L72" s="860">
        <v>5443</v>
      </c>
      <c r="M72" s="860">
        <v>5395</v>
      </c>
      <c r="N72" s="860">
        <v>5349</v>
      </c>
      <c r="O72" s="860">
        <v>5279</v>
      </c>
      <c r="P72" s="860">
        <v>5192</v>
      </c>
      <c r="Q72" s="860">
        <v>5145</v>
      </c>
      <c r="R72" s="860">
        <v>5108</v>
      </c>
      <c r="S72" s="860">
        <v>5092</v>
      </c>
      <c r="T72" s="860">
        <v>5200</v>
      </c>
      <c r="U72" s="860">
        <v>5499</v>
      </c>
      <c r="V72" s="860">
        <v>5924</v>
      </c>
      <c r="W72" s="860">
        <v>5824</v>
      </c>
      <c r="X72" s="860">
        <v>5682</v>
      </c>
      <c r="Y72" s="860">
        <v>5362</v>
      </c>
      <c r="Z72" s="860">
        <v>4916</v>
      </c>
      <c r="AA72" s="860">
        <v>4585</v>
      </c>
      <c r="AB72" s="711">
        <f>MAX(D71:AA101)</f>
        <v>6280</v>
      </c>
      <c r="AC72" s="712">
        <f t="shared" si="3"/>
        <v>61</v>
      </c>
      <c r="AD72" s="711">
        <f t="shared" si="4"/>
        <v>5</v>
      </c>
      <c r="AE72" s="711">
        <f t="shared" si="26"/>
        <v>27</v>
      </c>
      <c r="AF72" s="711">
        <f t="shared" si="43"/>
        <v>87</v>
      </c>
      <c r="AG72" s="711">
        <f t="shared" si="44"/>
        <v>22</v>
      </c>
      <c r="AH72" s="711">
        <f t="shared" si="45"/>
        <v>169</v>
      </c>
      <c r="AI72" s="711">
        <f t="shared" si="27"/>
        <v>208</v>
      </c>
      <c r="AJ72" s="711">
        <f t="shared" si="28"/>
        <v>463</v>
      </c>
      <c r="AK72" s="711">
        <f t="shared" si="29"/>
        <v>26</v>
      </c>
      <c r="AL72" s="711">
        <f t="shared" si="30"/>
        <v>37</v>
      </c>
      <c r="AM72" s="711">
        <f t="shared" si="31"/>
        <v>48</v>
      </c>
      <c r="AN72" s="711">
        <f t="shared" si="32"/>
        <v>46</v>
      </c>
      <c r="AO72" s="711">
        <f t="shared" si="33"/>
        <v>70</v>
      </c>
      <c r="AP72" s="711">
        <f t="shared" si="34"/>
        <v>87</v>
      </c>
      <c r="AQ72" s="711">
        <f t="shared" si="35"/>
        <v>47</v>
      </c>
      <c r="AR72" s="711">
        <f t="shared" si="36"/>
        <v>37</v>
      </c>
      <c r="AS72" s="711">
        <f t="shared" si="37"/>
        <v>16</v>
      </c>
      <c r="AT72" s="711">
        <f t="shared" si="38"/>
        <v>108</v>
      </c>
      <c r="AU72" s="711">
        <f t="shared" si="39"/>
        <v>299</v>
      </c>
      <c r="AV72" s="711">
        <f t="shared" si="40"/>
        <v>425</v>
      </c>
      <c r="AW72" s="711">
        <f t="shared" si="41"/>
        <v>100</v>
      </c>
      <c r="AX72" s="711">
        <f t="shared" si="42"/>
        <v>142</v>
      </c>
      <c r="AY72" s="711">
        <f t="shared" si="22"/>
        <v>320</v>
      </c>
      <c r="AZ72" s="711">
        <f t="shared" si="22"/>
        <v>446</v>
      </c>
      <c r="BA72" s="711">
        <f t="shared" si="5"/>
        <v>331</v>
      </c>
    </row>
    <row r="73" spans="1:53">
      <c r="A73" s="106">
        <f t="shared" si="2"/>
        <v>62</v>
      </c>
      <c r="B73" s="858">
        <v>42066</v>
      </c>
      <c r="C73" s="859" t="s">
        <v>1724</v>
      </c>
      <c r="D73" s="860">
        <v>4491</v>
      </c>
      <c r="E73" s="860">
        <v>4513</v>
      </c>
      <c r="F73" s="860">
        <v>4518</v>
      </c>
      <c r="G73" s="860">
        <v>4508</v>
      </c>
      <c r="H73" s="860">
        <v>4650</v>
      </c>
      <c r="I73" s="860">
        <v>4960</v>
      </c>
      <c r="J73" s="860">
        <v>5323</v>
      </c>
      <c r="K73" s="860">
        <v>5411</v>
      </c>
      <c r="L73" s="860">
        <v>5599</v>
      </c>
      <c r="M73" s="860">
        <v>5654</v>
      </c>
      <c r="N73" s="860">
        <v>5723</v>
      </c>
      <c r="O73" s="860">
        <v>5698</v>
      </c>
      <c r="P73" s="860">
        <v>5676</v>
      </c>
      <c r="Q73" s="860">
        <v>5690</v>
      </c>
      <c r="R73" s="860">
        <v>5658</v>
      </c>
      <c r="S73" s="860">
        <v>5686</v>
      </c>
      <c r="T73" s="860">
        <v>5782</v>
      </c>
      <c r="U73" s="860">
        <v>6051</v>
      </c>
      <c r="V73" s="860">
        <v>6277</v>
      </c>
      <c r="W73" s="860">
        <v>6196</v>
      </c>
      <c r="X73" s="860">
        <v>5997</v>
      </c>
      <c r="Y73" s="860">
        <v>5663</v>
      </c>
      <c r="Z73" s="860">
        <v>5326</v>
      </c>
      <c r="AA73" s="860">
        <v>5097</v>
      </c>
      <c r="AC73" s="712">
        <f t="shared" si="3"/>
        <v>62</v>
      </c>
      <c r="AD73" s="711">
        <f t="shared" si="4"/>
        <v>94</v>
      </c>
      <c r="AE73" s="711">
        <f t="shared" si="26"/>
        <v>22</v>
      </c>
      <c r="AF73" s="711">
        <f t="shared" si="43"/>
        <v>5</v>
      </c>
      <c r="AG73" s="711">
        <f t="shared" si="44"/>
        <v>10</v>
      </c>
      <c r="AH73" s="711">
        <f t="shared" si="45"/>
        <v>142</v>
      </c>
      <c r="AI73" s="711">
        <f t="shared" si="27"/>
        <v>310</v>
      </c>
      <c r="AJ73" s="711">
        <f t="shared" si="28"/>
        <v>363</v>
      </c>
      <c r="AK73" s="711">
        <f t="shared" si="29"/>
        <v>88</v>
      </c>
      <c r="AL73" s="711">
        <f t="shared" si="30"/>
        <v>188</v>
      </c>
      <c r="AM73" s="711">
        <f t="shared" si="31"/>
        <v>55</v>
      </c>
      <c r="AN73" s="711">
        <f t="shared" si="32"/>
        <v>69</v>
      </c>
      <c r="AO73" s="711">
        <f t="shared" si="33"/>
        <v>25</v>
      </c>
      <c r="AP73" s="711">
        <f t="shared" si="34"/>
        <v>22</v>
      </c>
      <c r="AQ73" s="711">
        <f t="shared" si="35"/>
        <v>14</v>
      </c>
      <c r="AR73" s="711">
        <f t="shared" si="36"/>
        <v>32</v>
      </c>
      <c r="AS73" s="711">
        <f t="shared" si="37"/>
        <v>28</v>
      </c>
      <c r="AT73" s="711">
        <f t="shared" si="38"/>
        <v>96</v>
      </c>
      <c r="AU73" s="711">
        <f t="shared" si="39"/>
        <v>269</v>
      </c>
      <c r="AV73" s="711">
        <f t="shared" si="40"/>
        <v>226</v>
      </c>
      <c r="AW73" s="711">
        <f t="shared" si="41"/>
        <v>81</v>
      </c>
      <c r="AX73" s="711">
        <f t="shared" si="42"/>
        <v>199</v>
      </c>
      <c r="AY73" s="711">
        <f t="shared" si="22"/>
        <v>334</v>
      </c>
      <c r="AZ73" s="711">
        <f t="shared" si="22"/>
        <v>337</v>
      </c>
      <c r="BA73" s="711">
        <f t="shared" si="5"/>
        <v>229</v>
      </c>
    </row>
    <row r="74" spans="1:53">
      <c r="A74" s="106">
        <f t="shared" si="2"/>
        <v>63</v>
      </c>
      <c r="B74" s="858">
        <v>42067</v>
      </c>
      <c r="C74" s="859" t="s">
        <v>1724</v>
      </c>
      <c r="D74" s="860">
        <v>4998</v>
      </c>
      <c r="E74" s="860">
        <v>4924</v>
      </c>
      <c r="F74" s="860">
        <v>4839</v>
      </c>
      <c r="G74" s="860">
        <v>4859</v>
      </c>
      <c r="H74" s="860">
        <v>4905</v>
      </c>
      <c r="I74" s="860">
        <v>5169</v>
      </c>
      <c r="J74" s="860">
        <v>5526</v>
      </c>
      <c r="K74" s="860">
        <v>5730</v>
      </c>
      <c r="L74" s="860">
        <v>5782</v>
      </c>
      <c r="M74" s="860">
        <v>5752</v>
      </c>
      <c r="N74" s="860">
        <v>5734</v>
      </c>
      <c r="O74" s="860">
        <v>5712</v>
      </c>
      <c r="P74" s="860">
        <v>5671</v>
      </c>
      <c r="Q74" s="860">
        <v>5632</v>
      </c>
      <c r="R74" s="860">
        <v>5613</v>
      </c>
      <c r="S74" s="860">
        <v>5596</v>
      </c>
      <c r="T74" s="860">
        <v>5670</v>
      </c>
      <c r="U74" s="860">
        <v>5905</v>
      </c>
      <c r="V74" s="860">
        <v>6280</v>
      </c>
      <c r="W74" s="860">
        <v>6210</v>
      </c>
      <c r="X74" s="860">
        <v>6073</v>
      </c>
      <c r="Y74" s="860">
        <v>5780</v>
      </c>
      <c r="Z74" s="860">
        <v>5348</v>
      </c>
      <c r="AA74" s="860">
        <v>5023</v>
      </c>
      <c r="AC74" s="712">
        <f t="shared" si="3"/>
        <v>63</v>
      </c>
      <c r="AD74" s="711">
        <f t="shared" si="4"/>
        <v>99</v>
      </c>
      <c r="AE74" s="711">
        <f t="shared" si="26"/>
        <v>74</v>
      </c>
      <c r="AF74" s="711">
        <f t="shared" si="43"/>
        <v>85</v>
      </c>
      <c r="AG74" s="711">
        <f t="shared" si="44"/>
        <v>20</v>
      </c>
      <c r="AH74" s="711">
        <f t="shared" si="45"/>
        <v>46</v>
      </c>
      <c r="AI74" s="711">
        <f t="shared" si="27"/>
        <v>264</v>
      </c>
      <c r="AJ74" s="711">
        <f t="shared" si="28"/>
        <v>357</v>
      </c>
      <c r="AK74" s="711">
        <f t="shared" si="29"/>
        <v>204</v>
      </c>
      <c r="AL74" s="711">
        <f t="shared" si="30"/>
        <v>52</v>
      </c>
      <c r="AM74" s="711">
        <f t="shared" si="31"/>
        <v>30</v>
      </c>
      <c r="AN74" s="711">
        <f t="shared" si="32"/>
        <v>18</v>
      </c>
      <c r="AO74" s="711">
        <f t="shared" si="33"/>
        <v>22</v>
      </c>
      <c r="AP74" s="711">
        <f t="shared" si="34"/>
        <v>41</v>
      </c>
      <c r="AQ74" s="711">
        <f t="shared" si="35"/>
        <v>39</v>
      </c>
      <c r="AR74" s="711">
        <f t="shared" si="36"/>
        <v>19</v>
      </c>
      <c r="AS74" s="711">
        <f t="shared" si="37"/>
        <v>17</v>
      </c>
      <c r="AT74" s="711">
        <f t="shared" si="38"/>
        <v>74</v>
      </c>
      <c r="AU74" s="711">
        <f t="shared" si="39"/>
        <v>235</v>
      </c>
      <c r="AV74" s="711">
        <f t="shared" si="40"/>
        <v>375</v>
      </c>
      <c r="AW74" s="711">
        <f t="shared" si="41"/>
        <v>70</v>
      </c>
      <c r="AX74" s="711">
        <f t="shared" si="42"/>
        <v>137</v>
      </c>
      <c r="AY74" s="711">
        <f t="shared" si="22"/>
        <v>293</v>
      </c>
      <c r="AZ74" s="711">
        <f t="shared" si="22"/>
        <v>432</v>
      </c>
      <c r="BA74" s="711">
        <f t="shared" si="5"/>
        <v>325</v>
      </c>
    </row>
    <row r="75" spans="1:53">
      <c r="A75" s="106">
        <f t="shared" si="2"/>
        <v>64</v>
      </c>
      <c r="B75" s="858">
        <v>42068</v>
      </c>
      <c r="C75" s="859" t="s">
        <v>1724</v>
      </c>
      <c r="D75" s="860">
        <v>5000</v>
      </c>
      <c r="E75" s="860">
        <v>5040</v>
      </c>
      <c r="F75" s="860">
        <v>5035</v>
      </c>
      <c r="G75" s="860">
        <v>5045</v>
      </c>
      <c r="H75" s="860">
        <v>5095</v>
      </c>
      <c r="I75" s="860">
        <v>5353</v>
      </c>
      <c r="J75" s="860">
        <v>5702</v>
      </c>
      <c r="K75" s="860">
        <v>5685</v>
      </c>
      <c r="L75" s="860">
        <v>5613</v>
      </c>
      <c r="M75" s="860">
        <v>5563</v>
      </c>
      <c r="N75" s="860">
        <v>5516</v>
      </c>
      <c r="O75" s="860">
        <v>5387</v>
      </c>
      <c r="P75" s="860">
        <v>5370</v>
      </c>
      <c r="Q75" s="860">
        <v>5318</v>
      </c>
      <c r="R75" s="860">
        <v>5237</v>
      </c>
      <c r="S75" s="860">
        <v>5182</v>
      </c>
      <c r="T75" s="860">
        <v>5320</v>
      </c>
      <c r="U75" s="860">
        <v>5435</v>
      </c>
      <c r="V75" s="860">
        <v>5841</v>
      </c>
      <c r="W75" s="860">
        <v>5889</v>
      </c>
      <c r="X75" s="860">
        <v>5754</v>
      </c>
      <c r="Y75" s="860">
        <v>5489</v>
      </c>
      <c r="Z75" s="860">
        <v>5048</v>
      </c>
      <c r="AA75" s="860">
        <v>4742</v>
      </c>
      <c r="AC75" s="712">
        <f t="shared" si="3"/>
        <v>64</v>
      </c>
      <c r="AD75" s="711">
        <f t="shared" si="4"/>
        <v>23</v>
      </c>
      <c r="AE75" s="711">
        <f t="shared" si="26"/>
        <v>40</v>
      </c>
      <c r="AF75" s="711">
        <f t="shared" si="43"/>
        <v>5</v>
      </c>
      <c r="AG75" s="711">
        <f t="shared" si="44"/>
        <v>10</v>
      </c>
      <c r="AH75" s="711">
        <f t="shared" si="45"/>
        <v>50</v>
      </c>
      <c r="AI75" s="711">
        <f t="shared" si="27"/>
        <v>258</v>
      </c>
      <c r="AJ75" s="711">
        <f t="shared" si="28"/>
        <v>349</v>
      </c>
      <c r="AK75" s="711">
        <f t="shared" si="29"/>
        <v>17</v>
      </c>
      <c r="AL75" s="711">
        <f t="shared" si="30"/>
        <v>72</v>
      </c>
      <c r="AM75" s="711">
        <f t="shared" si="31"/>
        <v>50</v>
      </c>
      <c r="AN75" s="711">
        <f t="shared" si="32"/>
        <v>47</v>
      </c>
      <c r="AO75" s="711">
        <f t="shared" si="33"/>
        <v>129</v>
      </c>
      <c r="AP75" s="711">
        <f t="shared" si="34"/>
        <v>17</v>
      </c>
      <c r="AQ75" s="711">
        <f t="shared" si="35"/>
        <v>52</v>
      </c>
      <c r="AR75" s="711">
        <f t="shared" si="36"/>
        <v>81</v>
      </c>
      <c r="AS75" s="711">
        <f t="shared" si="37"/>
        <v>55</v>
      </c>
      <c r="AT75" s="711">
        <f t="shared" si="38"/>
        <v>138</v>
      </c>
      <c r="AU75" s="711">
        <f t="shared" si="39"/>
        <v>115</v>
      </c>
      <c r="AV75" s="711">
        <f t="shared" si="40"/>
        <v>406</v>
      </c>
      <c r="AW75" s="711">
        <f t="shared" si="41"/>
        <v>48</v>
      </c>
      <c r="AX75" s="711">
        <f t="shared" si="42"/>
        <v>135</v>
      </c>
      <c r="AY75" s="711">
        <f t="shared" si="22"/>
        <v>265</v>
      </c>
      <c r="AZ75" s="711">
        <f t="shared" si="22"/>
        <v>441</v>
      </c>
      <c r="BA75" s="711">
        <f t="shared" si="5"/>
        <v>306</v>
      </c>
    </row>
    <row r="76" spans="1:53">
      <c r="A76" s="106">
        <f t="shared" si="2"/>
        <v>65</v>
      </c>
      <c r="B76" s="858">
        <v>42069</v>
      </c>
      <c r="C76" s="859" t="s">
        <v>1724</v>
      </c>
      <c r="D76" s="860">
        <v>4738</v>
      </c>
      <c r="E76" s="860">
        <v>4711</v>
      </c>
      <c r="F76" s="860">
        <v>4675</v>
      </c>
      <c r="G76" s="860">
        <v>4678</v>
      </c>
      <c r="H76" s="860">
        <v>4823</v>
      </c>
      <c r="I76" s="860">
        <v>5098</v>
      </c>
      <c r="J76" s="860">
        <v>5382</v>
      </c>
      <c r="K76" s="860">
        <v>5463</v>
      </c>
      <c r="L76" s="860">
        <v>5337</v>
      </c>
      <c r="M76" s="860">
        <v>5287</v>
      </c>
      <c r="N76" s="860">
        <v>5190</v>
      </c>
      <c r="O76" s="860">
        <v>5122</v>
      </c>
      <c r="P76" s="860">
        <v>5044</v>
      </c>
      <c r="Q76" s="860">
        <v>5002</v>
      </c>
      <c r="R76" s="860">
        <v>4938</v>
      </c>
      <c r="S76" s="860">
        <v>4891</v>
      </c>
      <c r="T76" s="860">
        <v>4940</v>
      </c>
      <c r="U76" s="860">
        <v>5070</v>
      </c>
      <c r="V76" s="860">
        <v>5405</v>
      </c>
      <c r="W76" s="860">
        <v>5372</v>
      </c>
      <c r="X76" s="860">
        <v>5315</v>
      </c>
      <c r="Y76" s="860">
        <v>5048</v>
      </c>
      <c r="Z76" s="860">
        <v>4753</v>
      </c>
      <c r="AA76" s="860">
        <v>4596</v>
      </c>
      <c r="AC76" s="712">
        <f t="shared" si="3"/>
        <v>65</v>
      </c>
      <c r="AD76" s="711">
        <f t="shared" si="4"/>
        <v>4</v>
      </c>
      <c r="AE76" s="711">
        <f t="shared" ref="AE76:AF107" si="46">ABS(E76-D76)</f>
        <v>27</v>
      </c>
      <c r="AF76" s="711">
        <f t="shared" si="43"/>
        <v>36</v>
      </c>
      <c r="AG76" s="711">
        <f t="shared" si="44"/>
        <v>3</v>
      </c>
      <c r="AH76" s="711">
        <f t="shared" si="45"/>
        <v>145</v>
      </c>
      <c r="AI76" s="711">
        <f t="shared" si="27"/>
        <v>275</v>
      </c>
      <c r="AJ76" s="711">
        <f t="shared" si="28"/>
        <v>284</v>
      </c>
      <c r="AK76" s="711">
        <f t="shared" si="29"/>
        <v>81</v>
      </c>
      <c r="AL76" s="711">
        <f t="shared" si="30"/>
        <v>126</v>
      </c>
      <c r="AM76" s="711">
        <f t="shared" si="31"/>
        <v>50</v>
      </c>
      <c r="AN76" s="711">
        <f t="shared" si="32"/>
        <v>97</v>
      </c>
      <c r="AO76" s="711">
        <f t="shared" si="33"/>
        <v>68</v>
      </c>
      <c r="AP76" s="711">
        <f t="shared" si="34"/>
        <v>78</v>
      </c>
      <c r="AQ76" s="711">
        <f t="shared" si="35"/>
        <v>42</v>
      </c>
      <c r="AR76" s="711">
        <f t="shared" si="36"/>
        <v>64</v>
      </c>
      <c r="AS76" s="711">
        <f t="shared" si="37"/>
        <v>47</v>
      </c>
      <c r="AT76" s="711">
        <f t="shared" si="38"/>
        <v>49</v>
      </c>
      <c r="AU76" s="711">
        <f t="shared" si="39"/>
        <v>130</v>
      </c>
      <c r="AV76" s="711">
        <f t="shared" si="40"/>
        <v>335</v>
      </c>
      <c r="AW76" s="711">
        <f t="shared" si="41"/>
        <v>33</v>
      </c>
      <c r="AX76" s="711">
        <f t="shared" si="42"/>
        <v>57</v>
      </c>
      <c r="AY76" s="711">
        <f t="shared" si="22"/>
        <v>267</v>
      </c>
      <c r="AZ76" s="711">
        <f t="shared" si="22"/>
        <v>295</v>
      </c>
      <c r="BA76" s="711">
        <f t="shared" si="5"/>
        <v>157</v>
      </c>
    </row>
    <row r="77" spans="1:53">
      <c r="A77" s="106">
        <f t="shared" si="2"/>
        <v>66</v>
      </c>
      <c r="B77" s="858">
        <v>42070</v>
      </c>
      <c r="C77" s="859" t="s">
        <v>1724</v>
      </c>
      <c r="D77" s="860">
        <v>4515</v>
      </c>
      <c r="E77" s="860">
        <v>4481</v>
      </c>
      <c r="F77" s="860">
        <v>4447</v>
      </c>
      <c r="G77" s="860">
        <v>4444</v>
      </c>
      <c r="H77" s="860">
        <v>4397</v>
      </c>
      <c r="I77" s="860">
        <v>4509</v>
      </c>
      <c r="J77" s="860">
        <v>4548</v>
      </c>
      <c r="K77" s="860">
        <v>4641</v>
      </c>
      <c r="L77" s="860">
        <v>4762</v>
      </c>
      <c r="M77" s="860">
        <v>4790</v>
      </c>
      <c r="N77" s="860">
        <v>4758</v>
      </c>
      <c r="O77" s="860">
        <v>4700</v>
      </c>
      <c r="P77" s="860">
        <v>4608</v>
      </c>
      <c r="Q77" s="860">
        <v>4513</v>
      </c>
      <c r="R77" s="860">
        <v>4480</v>
      </c>
      <c r="S77" s="860">
        <v>4566</v>
      </c>
      <c r="T77" s="860">
        <v>4625</v>
      </c>
      <c r="U77" s="860">
        <v>4753</v>
      </c>
      <c r="V77" s="860">
        <v>5135</v>
      </c>
      <c r="W77" s="860">
        <v>5164</v>
      </c>
      <c r="X77" s="860">
        <v>5063</v>
      </c>
      <c r="Y77" s="860">
        <v>4879</v>
      </c>
      <c r="Z77" s="860">
        <v>4562</v>
      </c>
      <c r="AA77" s="860">
        <v>4316</v>
      </c>
      <c r="AC77" s="712">
        <f t="shared" si="3"/>
        <v>66</v>
      </c>
      <c r="AD77" s="711">
        <f t="shared" si="4"/>
        <v>81</v>
      </c>
      <c r="AE77" s="711">
        <f t="shared" si="46"/>
        <v>34</v>
      </c>
      <c r="AF77" s="711">
        <f t="shared" si="43"/>
        <v>34</v>
      </c>
      <c r="AG77" s="711">
        <f t="shared" si="44"/>
        <v>3</v>
      </c>
      <c r="AH77" s="711">
        <f t="shared" si="45"/>
        <v>47</v>
      </c>
      <c r="AI77" s="711">
        <f t="shared" si="27"/>
        <v>112</v>
      </c>
      <c r="AJ77" s="711">
        <f t="shared" si="28"/>
        <v>39</v>
      </c>
      <c r="AK77" s="711">
        <f t="shared" si="29"/>
        <v>93</v>
      </c>
      <c r="AL77" s="711">
        <f t="shared" si="30"/>
        <v>121</v>
      </c>
      <c r="AM77" s="711">
        <f t="shared" si="31"/>
        <v>28</v>
      </c>
      <c r="AN77" s="711">
        <f t="shared" si="32"/>
        <v>32</v>
      </c>
      <c r="AO77" s="711">
        <f t="shared" si="33"/>
        <v>58</v>
      </c>
      <c r="AP77" s="711">
        <f t="shared" si="34"/>
        <v>92</v>
      </c>
      <c r="AQ77" s="711">
        <f t="shared" si="35"/>
        <v>95</v>
      </c>
      <c r="AR77" s="711">
        <f t="shared" si="36"/>
        <v>33</v>
      </c>
      <c r="AS77" s="711">
        <f t="shared" si="37"/>
        <v>86</v>
      </c>
      <c r="AT77" s="711">
        <f t="shared" si="38"/>
        <v>59</v>
      </c>
      <c r="AU77" s="711">
        <f t="shared" si="39"/>
        <v>128</v>
      </c>
      <c r="AV77" s="711">
        <f t="shared" si="40"/>
        <v>382</v>
      </c>
      <c r="AW77" s="711">
        <f t="shared" si="41"/>
        <v>29</v>
      </c>
      <c r="AX77" s="711">
        <f t="shared" si="42"/>
        <v>101</v>
      </c>
      <c r="AY77" s="711">
        <f t="shared" si="22"/>
        <v>184</v>
      </c>
      <c r="AZ77" s="711">
        <f t="shared" si="22"/>
        <v>317</v>
      </c>
      <c r="BA77" s="711">
        <f t="shared" si="5"/>
        <v>246</v>
      </c>
    </row>
    <row r="78" spans="1:53">
      <c r="A78" s="106">
        <f t="shared" ref="A78:A141" si="47">A77+1</f>
        <v>67</v>
      </c>
      <c r="B78" s="858">
        <v>42071</v>
      </c>
      <c r="C78" s="859" t="s">
        <v>1724</v>
      </c>
      <c r="D78" s="860">
        <v>4226</v>
      </c>
      <c r="E78" s="860">
        <v>4297</v>
      </c>
      <c r="F78" s="860">
        <v>4295</v>
      </c>
      <c r="G78" s="860">
        <v>4292</v>
      </c>
      <c r="H78" s="860">
        <v>4308</v>
      </c>
      <c r="I78" s="860">
        <v>4368</v>
      </c>
      <c r="J78" s="860">
        <v>4430</v>
      </c>
      <c r="K78" s="860">
        <v>4501</v>
      </c>
      <c r="L78" s="860">
        <v>4546</v>
      </c>
      <c r="M78" s="860">
        <v>4571</v>
      </c>
      <c r="N78" s="860">
        <v>4583</v>
      </c>
      <c r="O78" s="860">
        <v>4575</v>
      </c>
      <c r="P78" s="860">
        <v>4535</v>
      </c>
      <c r="Q78" s="860">
        <v>4482</v>
      </c>
      <c r="R78" s="860">
        <v>4442</v>
      </c>
      <c r="S78" s="860">
        <v>4439</v>
      </c>
      <c r="T78" s="860">
        <v>4493</v>
      </c>
      <c r="U78" s="860">
        <v>4664</v>
      </c>
      <c r="V78" s="860">
        <v>4857</v>
      </c>
      <c r="W78" s="860">
        <v>5221</v>
      </c>
      <c r="X78" s="860">
        <v>5228</v>
      </c>
      <c r="Y78" s="860">
        <v>5010</v>
      </c>
      <c r="Z78" s="860">
        <v>4644</v>
      </c>
      <c r="AA78" s="860">
        <v>4359</v>
      </c>
      <c r="AC78" s="712">
        <f t="shared" ref="AC78:AC141" si="48">AC77+1</f>
        <v>67</v>
      </c>
      <c r="AD78" s="711">
        <f t="shared" ref="AD78:AD141" si="49">ABS(D78-AA77)</f>
        <v>90</v>
      </c>
      <c r="AE78" s="711">
        <f t="shared" si="46"/>
        <v>71</v>
      </c>
      <c r="AF78" s="711">
        <f t="shared" si="43"/>
        <v>2</v>
      </c>
      <c r="AG78" s="711">
        <f t="shared" si="44"/>
        <v>3</v>
      </c>
      <c r="AH78" s="711">
        <f t="shared" si="45"/>
        <v>16</v>
      </c>
      <c r="AI78" s="711">
        <f t="shared" si="27"/>
        <v>60</v>
      </c>
      <c r="AJ78" s="711">
        <f t="shared" si="28"/>
        <v>62</v>
      </c>
      <c r="AK78" s="711">
        <f t="shared" si="29"/>
        <v>71</v>
      </c>
      <c r="AL78" s="711">
        <f t="shared" si="30"/>
        <v>45</v>
      </c>
      <c r="AM78" s="711">
        <f t="shared" si="31"/>
        <v>25</v>
      </c>
      <c r="AN78" s="711">
        <f t="shared" si="32"/>
        <v>12</v>
      </c>
      <c r="AO78" s="711">
        <f t="shared" si="33"/>
        <v>8</v>
      </c>
      <c r="AP78" s="711">
        <f t="shared" si="34"/>
        <v>40</v>
      </c>
      <c r="AQ78" s="711">
        <f t="shared" si="35"/>
        <v>53</v>
      </c>
      <c r="AR78" s="711">
        <f t="shared" si="36"/>
        <v>40</v>
      </c>
      <c r="AS78" s="711">
        <f t="shared" si="37"/>
        <v>3</v>
      </c>
      <c r="AT78" s="711">
        <f t="shared" si="38"/>
        <v>54</v>
      </c>
      <c r="AU78" s="711">
        <f t="shared" si="39"/>
        <v>171</v>
      </c>
      <c r="AV78" s="711">
        <f t="shared" si="40"/>
        <v>193</v>
      </c>
      <c r="AW78" s="711">
        <f t="shared" si="41"/>
        <v>364</v>
      </c>
      <c r="AX78" s="711">
        <f t="shared" si="42"/>
        <v>7</v>
      </c>
      <c r="AY78" s="711">
        <f t="shared" si="22"/>
        <v>218</v>
      </c>
      <c r="AZ78" s="711">
        <f t="shared" si="22"/>
        <v>366</v>
      </c>
      <c r="BA78" s="711">
        <f t="shared" si="22"/>
        <v>285</v>
      </c>
    </row>
    <row r="79" spans="1:53">
      <c r="A79" s="106">
        <f t="shared" si="47"/>
        <v>68</v>
      </c>
      <c r="B79" s="858">
        <v>42072</v>
      </c>
      <c r="C79" s="859" t="s">
        <v>1725</v>
      </c>
      <c r="D79" s="860">
        <v>4314</v>
      </c>
      <c r="E79" s="860">
        <v>4253</v>
      </c>
      <c r="F79" s="860">
        <v>4226</v>
      </c>
      <c r="G79" s="860">
        <v>4226</v>
      </c>
      <c r="H79" s="860">
        <v>4274</v>
      </c>
      <c r="I79" s="860">
        <v>4537</v>
      </c>
      <c r="J79" s="860">
        <v>5004</v>
      </c>
      <c r="K79" s="860">
        <v>5318</v>
      </c>
      <c r="L79" s="860">
        <v>5253</v>
      </c>
      <c r="M79" s="860">
        <v>5180</v>
      </c>
      <c r="N79" s="860">
        <v>5119</v>
      </c>
      <c r="O79" s="860">
        <v>5050</v>
      </c>
      <c r="P79" s="860">
        <v>4994</v>
      </c>
      <c r="Q79" s="860">
        <v>4932</v>
      </c>
      <c r="R79" s="860">
        <v>4919</v>
      </c>
      <c r="S79" s="860">
        <v>4876</v>
      </c>
      <c r="T79" s="860">
        <v>4871</v>
      </c>
      <c r="U79" s="860">
        <v>4959</v>
      </c>
      <c r="V79" s="860">
        <v>5050</v>
      </c>
      <c r="W79" s="860">
        <v>5309</v>
      </c>
      <c r="X79" s="860">
        <v>5313</v>
      </c>
      <c r="Y79" s="860">
        <v>5060</v>
      </c>
      <c r="Z79" s="860">
        <v>4637</v>
      </c>
      <c r="AA79" s="860">
        <v>4362</v>
      </c>
      <c r="AC79" s="712">
        <f t="shared" si="48"/>
        <v>68</v>
      </c>
      <c r="AD79" s="711">
        <f t="shared" si="49"/>
        <v>45</v>
      </c>
      <c r="AE79" s="711">
        <f t="shared" si="46"/>
        <v>61</v>
      </c>
      <c r="AF79" s="711">
        <f t="shared" si="43"/>
        <v>27</v>
      </c>
      <c r="AG79" s="711">
        <f t="shared" si="44"/>
        <v>0</v>
      </c>
      <c r="AH79" s="711">
        <f t="shared" si="45"/>
        <v>48</v>
      </c>
      <c r="AI79" s="711">
        <f t="shared" si="27"/>
        <v>263</v>
      </c>
      <c r="AJ79" s="711">
        <f t="shared" si="28"/>
        <v>467</v>
      </c>
      <c r="AK79" s="711">
        <f t="shared" si="29"/>
        <v>314</v>
      </c>
      <c r="AL79" s="711">
        <f t="shared" si="30"/>
        <v>65</v>
      </c>
      <c r="AM79" s="711">
        <f t="shared" si="31"/>
        <v>73</v>
      </c>
      <c r="AN79" s="711">
        <f t="shared" si="32"/>
        <v>61</v>
      </c>
      <c r="AO79" s="711">
        <f t="shared" si="33"/>
        <v>69</v>
      </c>
      <c r="AP79" s="711">
        <f t="shared" si="34"/>
        <v>56</v>
      </c>
      <c r="AQ79" s="711">
        <f t="shared" si="35"/>
        <v>62</v>
      </c>
      <c r="AR79" s="711">
        <f t="shared" si="36"/>
        <v>13</v>
      </c>
      <c r="AS79" s="711">
        <f t="shared" si="37"/>
        <v>43</v>
      </c>
      <c r="AT79" s="711">
        <f t="shared" si="38"/>
        <v>5</v>
      </c>
      <c r="AU79" s="711">
        <f t="shared" si="39"/>
        <v>88</v>
      </c>
      <c r="AV79" s="711">
        <f t="shared" si="40"/>
        <v>91</v>
      </c>
      <c r="AW79" s="711">
        <f t="shared" si="41"/>
        <v>259</v>
      </c>
      <c r="AX79" s="711">
        <f t="shared" si="42"/>
        <v>4</v>
      </c>
      <c r="AY79" s="711">
        <f t="shared" si="22"/>
        <v>253</v>
      </c>
      <c r="AZ79" s="711">
        <f t="shared" si="22"/>
        <v>423</v>
      </c>
      <c r="BA79" s="711">
        <f t="shared" si="22"/>
        <v>275</v>
      </c>
    </row>
    <row r="80" spans="1:53">
      <c r="A80" s="106">
        <f t="shared" si="47"/>
        <v>69</v>
      </c>
      <c r="B80" s="858">
        <v>42073</v>
      </c>
      <c r="C80" s="859" t="s">
        <v>1725</v>
      </c>
      <c r="D80" s="860">
        <v>4225</v>
      </c>
      <c r="E80" s="860">
        <v>4130</v>
      </c>
      <c r="F80" s="860">
        <v>4103</v>
      </c>
      <c r="G80" s="860">
        <v>4117</v>
      </c>
      <c r="H80" s="860">
        <v>4283</v>
      </c>
      <c r="I80" s="860">
        <v>4554</v>
      </c>
      <c r="J80" s="860">
        <v>5027</v>
      </c>
      <c r="K80" s="860">
        <v>5254</v>
      </c>
      <c r="L80" s="860">
        <v>5156</v>
      </c>
      <c r="M80" s="860">
        <v>5057</v>
      </c>
      <c r="N80" s="860">
        <v>5000</v>
      </c>
      <c r="O80" s="860">
        <v>4933</v>
      </c>
      <c r="P80" s="860">
        <v>4856</v>
      </c>
      <c r="Q80" s="860">
        <v>4842</v>
      </c>
      <c r="R80" s="860">
        <v>4808</v>
      </c>
      <c r="S80" s="860">
        <v>4784</v>
      </c>
      <c r="T80" s="860">
        <v>4788</v>
      </c>
      <c r="U80" s="860">
        <v>4857</v>
      </c>
      <c r="V80" s="860">
        <v>4981</v>
      </c>
      <c r="W80" s="860">
        <v>5259</v>
      </c>
      <c r="X80" s="860">
        <v>5223</v>
      </c>
      <c r="Y80" s="860">
        <v>5021</v>
      </c>
      <c r="Z80" s="860">
        <v>4577</v>
      </c>
      <c r="AA80" s="860">
        <v>4351</v>
      </c>
      <c r="AC80" s="712">
        <f t="shared" si="48"/>
        <v>69</v>
      </c>
      <c r="AD80" s="711">
        <f t="shared" si="49"/>
        <v>137</v>
      </c>
      <c r="AE80" s="711">
        <f t="shared" si="46"/>
        <v>95</v>
      </c>
      <c r="AF80" s="711">
        <f t="shared" si="43"/>
        <v>27</v>
      </c>
      <c r="AG80" s="711">
        <f t="shared" si="44"/>
        <v>14</v>
      </c>
      <c r="AH80" s="711">
        <f t="shared" si="45"/>
        <v>166</v>
      </c>
      <c r="AI80" s="711">
        <f t="shared" si="27"/>
        <v>271</v>
      </c>
      <c r="AJ80" s="711">
        <f t="shared" si="28"/>
        <v>473</v>
      </c>
      <c r="AK80" s="711">
        <f t="shared" si="29"/>
        <v>227</v>
      </c>
      <c r="AL80" s="711">
        <f t="shared" si="30"/>
        <v>98</v>
      </c>
      <c r="AM80" s="711">
        <f t="shared" si="31"/>
        <v>99</v>
      </c>
      <c r="AN80" s="711">
        <f t="shared" si="32"/>
        <v>57</v>
      </c>
      <c r="AO80" s="711">
        <f t="shared" si="33"/>
        <v>67</v>
      </c>
      <c r="AP80" s="711">
        <f t="shared" si="34"/>
        <v>77</v>
      </c>
      <c r="AQ80" s="711">
        <f t="shared" si="35"/>
        <v>14</v>
      </c>
      <c r="AR80" s="711">
        <f t="shared" si="36"/>
        <v>34</v>
      </c>
      <c r="AS80" s="711">
        <f t="shared" si="37"/>
        <v>24</v>
      </c>
      <c r="AT80" s="711">
        <f t="shared" si="38"/>
        <v>4</v>
      </c>
      <c r="AU80" s="711">
        <f t="shared" si="39"/>
        <v>69</v>
      </c>
      <c r="AV80" s="711">
        <f t="shared" si="40"/>
        <v>124</v>
      </c>
      <c r="AW80" s="711">
        <f t="shared" si="41"/>
        <v>278</v>
      </c>
      <c r="AX80" s="711">
        <f t="shared" si="42"/>
        <v>36</v>
      </c>
      <c r="AY80" s="711">
        <f t="shared" si="22"/>
        <v>202</v>
      </c>
      <c r="AZ80" s="711">
        <f t="shared" si="22"/>
        <v>444</v>
      </c>
      <c r="BA80" s="711">
        <f t="shared" si="22"/>
        <v>226</v>
      </c>
    </row>
    <row r="81" spans="1:53">
      <c r="A81" s="106">
        <f t="shared" si="47"/>
        <v>70</v>
      </c>
      <c r="B81" s="858">
        <v>42074</v>
      </c>
      <c r="C81" s="859" t="s">
        <v>1725</v>
      </c>
      <c r="D81" s="860">
        <v>4155</v>
      </c>
      <c r="E81" s="860">
        <v>4076</v>
      </c>
      <c r="F81" s="860">
        <v>4065</v>
      </c>
      <c r="G81" s="860">
        <v>4095</v>
      </c>
      <c r="H81" s="860">
        <v>4204</v>
      </c>
      <c r="I81" s="860">
        <v>4503</v>
      </c>
      <c r="J81" s="860">
        <v>4981</v>
      </c>
      <c r="K81" s="860">
        <v>5212</v>
      </c>
      <c r="L81" s="860">
        <v>5196</v>
      </c>
      <c r="M81" s="860">
        <v>5112</v>
      </c>
      <c r="N81" s="860">
        <v>5037</v>
      </c>
      <c r="O81" s="860">
        <v>5011</v>
      </c>
      <c r="P81" s="860">
        <v>4983</v>
      </c>
      <c r="Q81" s="860">
        <v>4966</v>
      </c>
      <c r="R81" s="860">
        <v>4972</v>
      </c>
      <c r="S81" s="860">
        <v>4880</v>
      </c>
      <c r="T81" s="860">
        <v>4885</v>
      </c>
      <c r="U81" s="860">
        <v>4962</v>
      </c>
      <c r="V81" s="860">
        <v>5045</v>
      </c>
      <c r="W81" s="860">
        <v>5319</v>
      </c>
      <c r="X81" s="860">
        <v>5228</v>
      </c>
      <c r="Y81" s="860">
        <v>4987</v>
      </c>
      <c r="Z81" s="860">
        <v>4610</v>
      </c>
      <c r="AA81" s="860">
        <v>4325</v>
      </c>
      <c r="AC81" s="712">
        <f t="shared" si="48"/>
        <v>70</v>
      </c>
      <c r="AD81" s="711">
        <f t="shared" si="49"/>
        <v>196</v>
      </c>
      <c r="AE81" s="711">
        <f t="shared" si="46"/>
        <v>79</v>
      </c>
      <c r="AF81" s="711">
        <f t="shared" si="43"/>
        <v>11</v>
      </c>
      <c r="AG81" s="711">
        <f t="shared" si="44"/>
        <v>30</v>
      </c>
      <c r="AH81" s="711">
        <f t="shared" si="45"/>
        <v>109</v>
      </c>
      <c r="AI81" s="711">
        <f t="shared" si="27"/>
        <v>299</v>
      </c>
      <c r="AJ81" s="711">
        <f t="shared" si="28"/>
        <v>478</v>
      </c>
      <c r="AK81" s="711">
        <f t="shared" si="29"/>
        <v>231</v>
      </c>
      <c r="AL81" s="711">
        <f t="shared" si="30"/>
        <v>16</v>
      </c>
      <c r="AM81" s="711">
        <f t="shared" si="31"/>
        <v>84</v>
      </c>
      <c r="AN81" s="711">
        <f t="shared" si="32"/>
        <v>75</v>
      </c>
      <c r="AO81" s="711">
        <f t="shared" si="33"/>
        <v>26</v>
      </c>
      <c r="AP81" s="711">
        <f t="shared" si="34"/>
        <v>28</v>
      </c>
      <c r="AQ81" s="711">
        <f t="shared" si="35"/>
        <v>17</v>
      </c>
      <c r="AR81" s="711">
        <f t="shared" si="36"/>
        <v>6</v>
      </c>
      <c r="AS81" s="711">
        <f t="shared" si="37"/>
        <v>92</v>
      </c>
      <c r="AT81" s="711">
        <f t="shared" si="38"/>
        <v>5</v>
      </c>
      <c r="AU81" s="711">
        <f t="shared" si="39"/>
        <v>77</v>
      </c>
      <c r="AV81" s="711">
        <f t="shared" si="40"/>
        <v>83</v>
      </c>
      <c r="AW81" s="711">
        <f t="shared" si="41"/>
        <v>274</v>
      </c>
      <c r="AX81" s="711">
        <f t="shared" si="42"/>
        <v>91</v>
      </c>
      <c r="AY81" s="711">
        <f t="shared" si="22"/>
        <v>241</v>
      </c>
      <c r="AZ81" s="711">
        <f t="shared" si="22"/>
        <v>377</v>
      </c>
      <c r="BA81" s="711">
        <f t="shared" si="22"/>
        <v>285</v>
      </c>
    </row>
    <row r="82" spans="1:53">
      <c r="A82" s="106">
        <f t="shared" si="47"/>
        <v>71</v>
      </c>
      <c r="B82" s="858">
        <v>42075</v>
      </c>
      <c r="C82" s="859" t="s">
        <v>1725</v>
      </c>
      <c r="D82" s="860">
        <v>4099</v>
      </c>
      <c r="E82" s="860">
        <v>3998</v>
      </c>
      <c r="F82" s="860">
        <v>3955</v>
      </c>
      <c r="G82" s="860">
        <v>3954</v>
      </c>
      <c r="H82" s="860">
        <v>4039</v>
      </c>
      <c r="I82" s="860">
        <v>4211</v>
      </c>
      <c r="J82" s="860">
        <v>4790</v>
      </c>
      <c r="K82" s="860">
        <v>5071</v>
      </c>
      <c r="L82" s="860">
        <v>5097</v>
      </c>
      <c r="M82" s="860">
        <v>5062</v>
      </c>
      <c r="N82" s="860">
        <v>5060</v>
      </c>
      <c r="O82" s="860">
        <v>5025</v>
      </c>
      <c r="P82" s="860">
        <v>4961</v>
      </c>
      <c r="Q82" s="860">
        <v>4880</v>
      </c>
      <c r="R82" s="860">
        <v>4867</v>
      </c>
      <c r="S82" s="860">
        <v>4911</v>
      </c>
      <c r="T82" s="860">
        <v>4942</v>
      </c>
      <c r="U82" s="860">
        <v>5008</v>
      </c>
      <c r="V82" s="860">
        <v>5080</v>
      </c>
      <c r="W82" s="860">
        <v>5306</v>
      </c>
      <c r="X82" s="860">
        <v>5178</v>
      </c>
      <c r="Y82" s="860">
        <v>4946</v>
      </c>
      <c r="Z82" s="860">
        <v>4594</v>
      </c>
      <c r="AA82" s="860">
        <v>4334</v>
      </c>
      <c r="AC82" s="712">
        <f t="shared" si="48"/>
        <v>71</v>
      </c>
      <c r="AD82" s="711">
        <f t="shared" si="49"/>
        <v>226</v>
      </c>
      <c r="AE82" s="711">
        <f t="shared" si="46"/>
        <v>101</v>
      </c>
      <c r="AF82" s="711">
        <f t="shared" si="43"/>
        <v>43</v>
      </c>
      <c r="AG82" s="711">
        <f t="shared" si="44"/>
        <v>1</v>
      </c>
      <c r="AH82" s="711">
        <f t="shared" si="45"/>
        <v>85</v>
      </c>
      <c r="AI82" s="711">
        <f t="shared" si="27"/>
        <v>172</v>
      </c>
      <c r="AJ82" s="711">
        <f t="shared" si="28"/>
        <v>579</v>
      </c>
      <c r="AK82" s="711">
        <f t="shared" si="29"/>
        <v>281</v>
      </c>
      <c r="AL82" s="711">
        <f t="shared" si="30"/>
        <v>26</v>
      </c>
      <c r="AM82" s="711">
        <f t="shared" si="31"/>
        <v>35</v>
      </c>
      <c r="AN82" s="711">
        <f t="shared" si="32"/>
        <v>2</v>
      </c>
      <c r="AO82" s="711">
        <f t="shared" si="33"/>
        <v>35</v>
      </c>
      <c r="AP82" s="711">
        <f t="shared" si="34"/>
        <v>64</v>
      </c>
      <c r="AQ82" s="711">
        <f t="shared" si="35"/>
        <v>81</v>
      </c>
      <c r="AR82" s="711">
        <f t="shared" si="36"/>
        <v>13</v>
      </c>
      <c r="AS82" s="711">
        <f t="shared" si="37"/>
        <v>44</v>
      </c>
      <c r="AT82" s="711">
        <f t="shared" si="38"/>
        <v>31</v>
      </c>
      <c r="AU82" s="711">
        <f t="shared" si="39"/>
        <v>66</v>
      </c>
      <c r="AV82" s="711">
        <f t="shared" si="40"/>
        <v>72</v>
      </c>
      <c r="AW82" s="711">
        <f t="shared" si="41"/>
        <v>226</v>
      </c>
      <c r="AX82" s="711">
        <f t="shared" si="42"/>
        <v>128</v>
      </c>
      <c r="AY82" s="711">
        <f t="shared" si="22"/>
        <v>232</v>
      </c>
      <c r="AZ82" s="711">
        <f t="shared" si="22"/>
        <v>352</v>
      </c>
      <c r="BA82" s="711">
        <f t="shared" si="22"/>
        <v>260</v>
      </c>
    </row>
    <row r="83" spans="1:53">
      <c r="A83" s="106">
        <f t="shared" si="47"/>
        <v>72</v>
      </c>
      <c r="B83" s="858">
        <v>42076</v>
      </c>
      <c r="C83" s="859" t="s">
        <v>1725</v>
      </c>
      <c r="D83" s="860">
        <v>4026</v>
      </c>
      <c r="E83" s="860">
        <v>3854</v>
      </c>
      <c r="F83" s="860">
        <v>3773</v>
      </c>
      <c r="G83" s="860">
        <v>3784</v>
      </c>
      <c r="H83" s="860">
        <v>3884</v>
      </c>
      <c r="I83" s="860">
        <v>4164</v>
      </c>
      <c r="J83" s="860">
        <v>4661</v>
      </c>
      <c r="K83" s="860">
        <v>4905</v>
      </c>
      <c r="L83" s="860">
        <v>4956</v>
      </c>
      <c r="M83" s="860">
        <v>5004</v>
      </c>
      <c r="N83" s="860">
        <v>5050</v>
      </c>
      <c r="O83" s="860">
        <v>4952</v>
      </c>
      <c r="P83" s="860">
        <v>4904</v>
      </c>
      <c r="Q83" s="860">
        <v>4855</v>
      </c>
      <c r="R83" s="860">
        <v>4939</v>
      </c>
      <c r="S83" s="860">
        <v>4903</v>
      </c>
      <c r="T83" s="860">
        <v>4804</v>
      </c>
      <c r="U83" s="860">
        <v>4799</v>
      </c>
      <c r="V83" s="860">
        <v>4812</v>
      </c>
      <c r="W83" s="860">
        <v>5029</v>
      </c>
      <c r="X83" s="860">
        <v>5027</v>
      </c>
      <c r="Y83" s="860">
        <v>4832</v>
      </c>
      <c r="Z83" s="860">
        <v>4515</v>
      </c>
      <c r="AA83" s="860">
        <v>4206</v>
      </c>
      <c r="AC83" s="712">
        <f t="shared" si="48"/>
        <v>72</v>
      </c>
      <c r="AD83" s="711">
        <f t="shared" si="49"/>
        <v>308</v>
      </c>
      <c r="AE83" s="711">
        <f t="shared" si="46"/>
        <v>172</v>
      </c>
      <c r="AF83" s="711">
        <f t="shared" si="46"/>
        <v>81</v>
      </c>
      <c r="AG83" s="711">
        <f>ABS(G83-E83)</f>
        <v>70</v>
      </c>
      <c r="AH83" s="711">
        <f t="shared" ref="AH83:AH114" si="50">ABS(H83-G83)</f>
        <v>100</v>
      </c>
      <c r="AI83" s="711">
        <f t="shared" ref="AI83:AI114" si="51">ABS(I83-H83)</f>
        <v>280</v>
      </c>
      <c r="AJ83" s="711">
        <f t="shared" ref="AJ83:AJ114" si="52">ABS(J83-I83)</f>
        <v>497</v>
      </c>
      <c r="AK83" s="711">
        <f t="shared" ref="AK83:AK114" si="53">ABS(K83-J83)</f>
        <v>244</v>
      </c>
      <c r="AL83" s="711">
        <f t="shared" ref="AL83:AL114" si="54">ABS(L83-K83)</f>
        <v>51</v>
      </c>
      <c r="AM83" s="711">
        <f t="shared" ref="AM83:AM114" si="55">ABS(M83-L83)</f>
        <v>48</v>
      </c>
      <c r="AN83" s="711">
        <f t="shared" ref="AN83:AS125" si="56">ABS(N83-M83)</f>
        <v>46</v>
      </c>
      <c r="AO83" s="711">
        <f t="shared" si="56"/>
        <v>98</v>
      </c>
      <c r="AP83" s="711">
        <f t="shared" si="56"/>
        <v>48</v>
      </c>
      <c r="AQ83" s="711">
        <f t="shared" si="56"/>
        <v>49</v>
      </c>
      <c r="AR83" s="711">
        <f t="shared" si="56"/>
        <v>84</v>
      </c>
      <c r="AS83" s="711">
        <f t="shared" si="56"/>
        <v>36</v>
      </c>
      <c r="AT83" s="711">
        <f t="shared" ref="AT83:AT114" si="57">ABS(T83-S83)</f>
        <v>99</v>
      </c>
      <c r="AU83" s="711">
        <f t="shared" ref="AU83:AU114" si="58">ABS(U83-T83)</f>
        <v>5</v>
      </c>
      <c r="AV83" s="711">
        <f t="shared" ref="AV83:AV114" si="59">ABS(V83-U83)</f>
        <v>13</v>
      </c>
      <c r="AW83" s="711">
        <f t="shared" ref="AW83:AW114" si="60">ABS(W83-V83)</f>
        <v>217</v>
      </c>
      <c r="AX83" s="711">
        <f t="shared" ref="AX83:AX114" si="61">ABS(X83-W83)</f>
        <v>2</v>
      </c>
      <c r="AY83" s="711">
        <f t="shared" si="22"/>
        <v>195</v>
      </c>
      <c r="AZ83" s="711">
        <f t="shared" si="22"/>
        <v>317</v>
      </c>
      <c r="BA83" s="711">
        <f t="shared" si="22"/>
        <v>309</v>
      </c>
    </row>
    <row r="84" spans="1:53">
      <c r="A84" s="106">
        <f t="shared" si="47"/>
        <v>73</v>
      </c>
      <c r="B84" s="858">
        <v>42077</v>
      </c>
      <c r="C84" s="859" t="s">
        <v>1725</v>
      </c>
      <c r="D84" s="860">
        <v>3986</v>
      </c>
      <c r="E84" s="860">
        <v>3833</v>
      </c>
      <c r="F84" s="860">
        <v>3818</v>
      </c>
      <c r="G84" s="860">
        <v>3815</v>
      </c>
      <c r="H84" s="860">
        <v>3872</v>
      </c>
      <c r="I84" s="860">
        <v>3997</v>
      </c>
      <c r="J84" s="860">
        <v>4284</v>
      </c>
      <c r="K84" s="860">
        <v>4453</v>
      </c>
      <c r="L84" s="860">
        <v>4559</v>
      </c>
      <c r="M84" s="860">
        <v>4585</v>
      </c>
      <c r="N84" s="860">
        <v>4561</v>
      </c>
      <c r="O84" s="860">
        <v>4508</v>
      </c>
      <c r="P84" s="860">
        <v>4425</v>
      </c>
      <c r="Q84" s="860">
        <v>4367</v>
      </c>
      <c r="R84" s="860">
        <v>4323</v>
      </c>
      <c r="S84" s="860">
        <v>4305</v>
      </c>
      <c r="T84" s="860">
        <v>4353</v>
      </c>
      <c r="U84" s="860">
        <v>4456</v>
      </c>
      <c r="V84" s="860">
        <v>4532</v>
      </c>
      <c r="W84" s="860">
        <v>4835</v>
      </c>
      <c r="X84" s="860">
        <v>4821</v>
      </c>
      <c r="Y84" s="860">
        <v>4748</v>
      </c>
      <c r="Z84" s="860">
        <v>4483</v>
      </c>
      <c r="AA84" s="860">
        <v>4205</v>
      </c>
      <c r="AC84" s="712">
        <f t="shared" si="48"/>
        <v>73</v>
      </c>
      <c r="AD84" s="711">
        <f t="shared" si="49"/>
        <v>220</v>
      </c>
      <c r="AE84" s="711">
        <f t="shared" si="46"/>
        <v>153</v>
      </c>
      <c r="AF84" s="711">
        <f t="shared" ref="AF84:AF115" si="62">ABS(F84-E84)</f>
        <v>15</v>
      </c>
      <c r="AG84" s="711">
        <f t="shared" ref="AG84:AG115" si="63">ABS(G84-F84)</f>
        <v>3</v>
      </c>
      <c r="AH84" s="711">
        <f t="shared" si="50"/>
        <v>57</v>
      </c>
      <c r="AI84" s="711">
        <f t="shared" si="51"/>
        <v>125</v>
      </c>
      <c r="AJ84" s="711">
        <f t="shared" si="52"/>
        <v>287</v>
      </c>
      <c r="AK84" s="711">
        <f t="shared" si="53"/>
        <v>169</v>
      </c>
      <c r="AL84" s="711">
        <f t="shared" si="54"/>
        <v>106</v>
      </c>
      <c r="AM84" s="711">
        <f t="shared" si="55"/>
        <v>26</v>
      </c>
      <c r="AN84" s="711">
        <f t="shared" si="56"/>
        <v>24</v>
      </c>
      <c r="AO84" s="711">
        <f t="shared" si="56"/>
        <v>53</v>
      </c>
      <c r="AP84" s="711">
        <f t="shared" si="56"/>
        <v>83</v>
      </c>
      <c r="AQ84" s="711">
        <f t="shared" si="56"/>
        <v>58</v>
      </c>
      <c r="AR84" s="711">
        <f t="shared" si="56"/>
        <v>44</v>
      </c>
      <c r="AS84" s="711">
        <f t="shared" si="56"/>
        <v>18</v>
      </c>
      <c r="AT84" s="711">
        <f t="shared" si="57"/>
        <v>48</v>
      </c>
      <c r="AU84" s="711">
        <f t="shared" si="58"/>
        <v>103</v>
      </c>
      <c r="AV84" s="711">
        <f t="shared" si="59"/>
        <v>76</v>
      </c>
      <c r="AW84" s="711">
        <f t="shared" si="60"/>
        <v>303</v>
      </c>
      <c r="AX84" s="711">
        <f t="shared" si="61"/>
        <v>14</v>
      </c>
      <c r="AY84" s="711">
        <f t="shared" si="22"/>
        <v>73</v>
      </c>
      <c r="AZ84" s="711">
        <f t="shared" si="22"/>
        <v>265</v>
      </c>
      <c r="BA84" s="711">
        <f t="shared" si="22"/>
        <v>278</v>
      </c>
    </row>
    <row r="85" spans="1:53">
      <c r="A85" s="106">
        <f t="shared" si="47"/>
        <v>74</v>
      </c>
      <c r="B85" s="858">
        <v>42078</v>
      </c>
      <c r="C85" s="859" t="s">
        <v>1725</v>
      </c>
      <c r="D85" s="860">
        <v>4001</v>
      </c>
      <c r="E85" s="860">
        <v>3861</v>
      </c>
      <c r="F85" s="860">
        <v>3787</v>
      </c>
      <c r="G85" s="860">
        <v>3786</v>
      </c>
      <c r="H85" s="860">
        <v>3807</v>
      </c>
      <c r="I85" s="860">
        <v>3801</v>
      </c>
      <c r="J85" s="860">
        <v>3993</v>
      </c>
      <c r="K85" s="860">
        <v>4139</v>
      </c>
      <c r="L85" s="860">
        <v>4245</v>
      </c>
      <c r="M85" s="860">
        <v>4349</v>
      </c>
      <c r="N85" s="860">
        <v>4373</v>
      </c>
      <c r="O85" s="860">
        <v>4394</v>
      </c>
      <c r="P85" s="860">
        <v>4380</v>
      </c>
      <c r="Q85" s="860">
        <v>4374</v>
      </c>
      <c r="R85" s="860">
        <v>4387</v>
      </c>
      <c r="S85" s="860">
        <v>4434</v>
      </c>
      <c r="T85" s="860">
        <v>4531</v>
      </c>
      <c r="U85" s="860">
        <v>4663</v>
      </c>
      <c r="V85" s="860">
        <v>4782</v>
      </c>
      <c r="W85" s="860">
        <v>5003</v>
      </c>
      <c r="X85" s="860">
        <v>4988</v>
      </c>
      <c r="Y85" s="860">
        <v>4839</v>
      </c>
      <c r="Z85" s="860">
        <v>4428</v>
      </c>
      <c r="AA85" s="860">
        <v>4052</v>
      </c>
      <c r="AC85" s="712">
        <f t="shared" si="48"/>
        <v>74</v>
      </c>
      <c r="AD85" s="711">
        <f t="shared" si="49"/>
        <v>204</v>
      </c>
      <c r="AE85" s="711">
        <f t="shared" si="46"/>
        <v>140</v>
      </c>
      <c r="AF85" s="711">
        <f t="shared" si="62"/>
        <v>74</v>
      </c>
      <c r="AG85" s="711">
        <f t="shared" si="63"/>
        <v>1</v>
      </c>
      <c r="AH85" s="711">
        <f t="shared" si="50"/>
        <v>21</v>
      </c>
      <c r="AI85" s="711">
        <f t="shared" si="51"/>
        <v>6</v>
      </c>
      <c r="AJ85" s="711">
        <f t="shared" si="52"/>
        <v>192</v>
      </c>
      <c r="AK85" s="711">
        <f t="shared" si="53"/>
        <v>146</v>
      </c>
      <c r="AL85" s="711">
        <f t="shared" si="54"/>
        <v>106</v>
      </c>
      <c r="AM85" s="711">
        <f t="shared" si="55"/>
        <v>104</v>
      </c>
      <c r="AN85" s="711">
        <f t="shared" si="56"/>
        <v>24</v>
      </c>
      <c r="AO85" s="711">
        <f t="shared" si="56"/>
        <v>21</v>
      </c>
      <c r="AP85" s="711">
        <f t="shared" si="56"/>
        <v>14</v>
      </c>
      <c r="AQ85" s="711">
        <f t="shared" si="56"/>
        <v>6</v>
      </c>
      <c r="AR85" s="711">
        <f t="shared" si="56"/>
        <v>13</v>
      </c>
      <c r="AS85" s="711">
        <f t="shared" si="56"/>
        <v>47</v>
      </c>
      <c r="AT85" s="711">
        <f t="shared" si="57"/>
        <v>97</v>
      </c>
      <c r="AU85" s="711">
        <f t="shared" si="58"/>
        <v>132</v>
      </c>
      <c r="AV85" s="711">
        <f t="shared" si="59"/>
        <v>119</v>
      </c>
      <c r="AW85" s="711">
        <f t="shared" si="60"/>
        <v>221</v>
      </c>
      <c r="AX85" s="711">
        <f t="shared" si="61"/>
        <v>15</v>
      </c>
      <c r="AY85" s="711">
        <f t="shared" si="22"/>
        <v>149</v>
      </c>
      <c r="AZ85" s="711">
        <f t="shared" si="22"/>
        <v>411</v>
      </c>
      <c r="BA85" s="711">
        <f t="shared" si="22"/>
        <v>376</v>
      </c>
    </row>
    <row r="86" spans="1:53">
      <c r="A86" s="106">
        <f t="shared" si="47"/>
        <v>75</v>
      </c>
      <c r="B86" s="858">
        <v>42079</v>
      </c>
      <c r="C86" s="859" t="s">
        <v>1725</v>
      </c>
      <c r="D86" s="860">
        <v>3842</v>
      </c>
      <c r="E86" s="860">
        <v>3731</v>
      </c>
      <c r="F86" s="860">
        <v>3704</v>
      </c>
      <c r="G86" s="860">
        <v>3715</v>
      </c>
      <c r="H86" s="860">
        <v>3837</v>
      </c>
      <c r="I86" s="860">
        <v>4091</v>
      </c>
      <c r="J86" s="860">
        <v>4552</v>
      </c>
      <c r="K86" s="860">
        <v>4804</v>
      </c>
      <c r="L86" s="860">
        <v>4842</v>
      </c>
      <c r="M86" s="860">
        <v>4899</v>
      </c>
      <c r="N86" s="860">
        <v>4982</v>
      </c>
      <c r="O86" s="860">
        <v>5026</v>
      </c>
      <c r="P86" s="860">
        <v>5079</v>
      </c>
      <c r="Q86" s="860">
        <v>5050</v>
      </c>
      <c r="R86" s="860">
        <v>5045</v>
      </c>
      <c r="S86" s="860">
        <v>5064</v>
      </c>
      <c r="T86" s="860">
        <v>5072</v>
      </c>
      <c r="U86" s="860">
        <v>5124</v>
      </c>
      <c r="V86" s="860">
        <v>5079</v>
      </c>
      <c r="W86" s="860">
        <v>5300</v>
      </c>
      <c r="X86" s="860">
        <v>5249</v>
      </c>
      <c r="Y86" s="860">
        <v>4935</v>
      </c>
      <c r="Z86" s="860">
        <v>4554</v>
      </c>
      <c r="AA86" s="860">
        <v>4160</v>
      </c>
      <c r="AC86" s="712">
        <f t="shared" si="48"/>
        <v>75</v>
      </c>
      <c r="AD86" s="711">
        <f t="shared" si="49"/>
        <v>210</v>
      </c>
      <c r="AE86" s="711">
        <f t="shared" si="46"/>
        <v>111</v>
      </c>
      <c r="AF86" s="711">
        <f t="shared" si="62"/>
        <v>27</v>
      </c>
      <c r="AG86" s="711">
        <f t="shared" si="63"/>
        <v>11</v>
      </c>
      <c r="AH86" s="711">
        <f t="shared" si="50"/>
        <v>122</v>
      </c>
      <c r="AI86" s="711">
        <f t="shared" si="51"/>
        <v>254</v>
      </c>
      <c r="AJ86" s="711">
        <f t="shared" si="52"/>
        <v>461</v>
      </c>
      <c r="AK86" s="711">
        <f t="shared" si="53"/>
        <v>252</v>
      </c>
      <c r="AL86" s="711">
        <f t="shared" si="54"/>
        <v>38</v>
      </c>
      <c r="AM86" s="711">
        <f t="shared" si="55"/>
        <v>57</v>
      </c>
      <c r="AN86" s="711">
        <f t="shared" si="56"/>
        <v>83</v>
      </c>
      <c r="AO86" s="711">
        <f t="shared" si="56"/>
        <v>44</v>
      </c>
      <c r="AP86" s="711">
        <f t="shared" si="56"/>
        <v>53</v>
      </c>
      <c r="AQ86" s="711">
        <f t="shared" si="56"/>
        <v>29</v>
      </c>
      <c r="AR86" s="711">
        <f t="shared" si="56"/>
        <v>5</v>
      </c>
      <c r="AS86" s="711">
        <f t="shared" si="56"/>
        <v>19</v>
      </c>
      <c r="AT86" s="711">
        <f t="shared" si="57"/>
        <v>8</v>
      </c>
      <c r="AU86" s="711">
        <f t="shared" si="58"/>
        <v>52</v>
      </c>
      <c r="AV86" s="711">
        <f t="shared" si="59"/>
        <v>45</v>
      </c>
      <c r="AW86" s="711">
        <f t="shared" si="60"/>
        <v>221</v>
      </c>
      <c r="AX86" s="711">
        <f t="shared" si="61"/>
        <v>51</v>
      </c>
      <c r="AY86" s="711">
        <f t="shared" si="22"/>
        <v>314</v>
      </c>
      <c r="AZ86" s="711">
        <f t="shared" si="22"/>
        <v>381</v>
      </c>
      <c r="BA86" s="711">
        <f t="shared" si="22"/>
        <v>394</v>
      </c>
    </row>
    <row r="87" spans="1:53">
      <c r="A87" s="106">
        <f t="shared" si="47"/>
        <v>76</v>
      </c>
      <c r="B87" s="858">
        <v>42080</v>
      </c>
      <c r="C87" s="859" t="s">
        <v>1725</v>
      </c>
      <c r="D87" s="860">
        <v>3938</v>
      </c>
      <c r="E87" s="860">
        <v>3788</v>
      </c>
      <c r="F87" s="860">
        <v>3717</v>
      </c>
      <c r="G87" s="860">
        <v>3721</v>
      </c>
      <c r="H87" s="860">
        <v>3755</v>
      </c>
      <c r="I87" s="860">
        <v>4044</v>
      </c>
      <c r="J87" s="860">
        <v>4591</v>
      </c>
      <c r="K87" s="860">
        <v>4928</v>
      </c>
      <c r="L87" s="860">
        <v>5019</v>
      </c>
      <c r="M87" s="860">
        <v>5054</v>
      </c>
      <c r="N87" s="860">
        <v>4984</v>
      </c>
      <c r="O87" s="860">
        <v>4962</v>
      </c>
      <c r="P87" s="860">
        <v>4908</v>
      </c>
      <c r="Q87" s="860">
        <v>4881</v>
      </c>
      <c r="R87" s="860">
        <v>4790</v>
      </c>
      <c r="S87" s="860">
        <v>4818</v>
      </c>
      <c r="T87" s="860">
        <v>4887</v>
      </c>
      <c r="U87" s="860">
        <v>4939</v>
      </c>
      <c r="V87" s="860">
        <v>4968</v>
      </c>
      <c r="W87" s="860">
        <v>5115</v>
      </c>
      <c r="X87" s="860">
        <v>5114</v>
      </c>
      <c r="Y87" s="860">
        <v>4917</v>
      </c>
      <c r="Z87" s="860">
        <v>4578</v>
      </c>
      <c r="AA87" s="860">
        <v>4223</v>
      </c>
      <c r="AC87" s="712">
        <f t="shared" si="48"/>
        <v>76</v>
      </c>
      <c r="AD87" s="711">
        <f t="shared" si="49"/>
        <v>222</v>
      </c>
      <c r="AE87" s="711">
        <f t="shared" si="46"/>
        <v>150</v>
      </c>
      <c r="AF87" s="711">
        <f t="shared" si="62"/>
        <v>71</v>
      </c>
      <c r="AG87" s="711">
        <f t="shared" si="63"/>
        <v>4</v>
      </c>
      <c r="AH87" s="711">
        <f t="shared" si="50"/>
        <v>34</v>
      </c>
      <c r="AI87" s="711">
        <f t="shared" si="51"/>
        <v>289</v>
      </c>
      <c r="AJ87" s="711">
        <f t="shared" si="52"/>
        <v>547</v>
      </c>
      <c r="AK87" s="711">
        <f t="shared" si="53"/>
        <v>337</v>
      </c>
      <c r="AL87" s="711">
        <f t="shared" si="54"/>
        <v>91</v>
      </c>
      <c r="AM87" s="711">
        <f t="shared" si="55"/>
        <v>35</v>
      </c>
      <c r="AN87" s="711">
        <f t="shared" si="56"/>
        <v>70</v>
      </c>
      <c r="AO87" s="711">
        <f t="shared" si="56"/>
        <v>22</v>
      </c>
      <c r="AP87" s="711">
        <f t="shared" si="56"/>
        <v>54</v>
      </c>
      <c r="AQ87" s="711">
        <f t="shared" si="56"/>
        <v>27</v>
      </c>
      <c r="AR87" s="711">
        <f t="shared" si="56"/>
        <v>91</v>
      </c>
      <c r="AS87" s="711">
        <f t="shared" si="56"/>
        <v>28</v>
      </c>
      <c r="AT87" s="711">
        <f t="shared" si="57"/>
        <v>69</v>
      </c>
      <c r="AU87" s="711">
        <f t="shared" si="58"/>
        <v>52</v>
      </c>
      <c r="AV87" s="711">
        <f t="shared" si="59"/>
        <v>29</v>
      </c>
      <c r="AW87" s="711">
        <f t="shared" si="60"/>
        <v>147</v>
      </c>
      <c r="AX87" s="711">
        <f t="shared" si="61"/>
        <v>1</v>
      </c>
      <c r="AY87" s="711">
        <f t="shared" si="22"/>
        <v>197</v>
      </c>
      <c r="AZ87" s="711">
        <f t="shared" si="22"/>
        <v>339</v>
      </c>
      <c r="BA87" s="711">
        <f t="shared" si="22"/>
        <v>355</v>
      </c>
    </row>
    <row r="88" spans="1:53">
      <c r="A88" s="106">
        <f t="shared" si="47"/>
        <v>77</v>
      </c>
      <c r="B88" s="858">
        <v>42081</v>
      </c>
      <c r="C88" s="859" t="s">
        <v>1725</v>
      </c>
      <c r="D88" s="860">
        <v>3981</v>
      </c>
      <c r="E88" s="860">
        <v>3930</v>
      </c>
      <c r="F88" s="860">
        <v>3882</v>
      </c>
      <c r="G88" s="860">
        <v>3911</v>
      </c>
      <c r="H88" s="860">
        <v>3967</v>
      </c>
      <c r="I88" s="860">
        <v>4159</v>
      </c>
      <c r="J88" s="860">
        <v>4707</v>
      </c>
      <c r="K88" s="860">
        <v>4950</v>
      </c>
      <c r="L88" s="860">
        <v>5032</v>
      </c>
      <c r="M88" s="860">
        <v>5013</v>
      </c>
      <c r="N88" s="860">
        <v>4994</v>
      </c>
      <c r="O88" s="860">
        <v>4979</v>
      </c>
      <c r="P88" s="860">
        <v>4980</v>
      </c>
      <c r="Q88" s="860">
        <v>4953</v>
      </c>
      <c r="R88" s="860">
        <v>4942</v>
      </c>
      <c r="S88" s="860">
        <v>4940</v>
      </c>
      <c r="T88" s="860">
        <v>4944</v>
      </c>
      <c r="U88" s="860">
        <v>5021</v>
      </c>
      <c r="V88" s="860">
        <v>5077</v>
      </c>
      <c r="W88" s="860">
        <v>5215</v>
      </c>
      <c r="X88" s="860">
        <v>5121</v>
      </c>
      <c r="Y88" s="860">
        <v>4849</v>
      </c>
      <c r="Z88" s="860">
        <v>4561</v>
      </c>
      <c r="AA88" s="860">
        <v>4238</v>
      </c>
      <c r="AC88" s="712">
        <f t="shared" si="48"/>
        <v>77</v>
      </c>
      <c r="AD88" s="711">
        <f t="shared" si="49"/>
        <v>242</v>
      </c>
      <c r="AE88" s="711">
        <f t="shared" si="46"/>
        <v>51</v>
      </c>
      <c r="AF88" s="711">
        <f t="shared" si="62"/>
        <v>48</v>
      </c>
      <c r="AG88" s="711">
        <f t="shared" si="63"/>
        <v>29</v>
      </c>
      <c r="AH88" s="711">
        <f t="shared" si="50"/>
        <v>56</v>
      </c>
      <c r="AI88" s="711">
        <f t="shared" si="51"/>
        <v>192</v>
      </c>
      <c r="AJ88" s="711">
        <f t="shared" si="52"/>
        <v>548</v>
      </c>
      <c r="AK88" s="711">
        <f t="shared" si="53"/>
        <v>243</v>
      </c>
      <c r="AL88" s="711">
        <f t="shared" si="54"/>
        <v>82</v>
      </c>
      <c r="AM88" s="711">
        <f t="shared" si="55"/>
        <v>19</v>
      </c>
      <c r="AN88" s="711">
        <f t="shared" si="56"/>
        <v>19</v>
      </c>
      <c r="AO88" s="711">
        <f t="shared" si="56"/>
        <v>15</v>
      </c>
      <c r="AP88" s="711">
        <f t="shared" si="56"/>
        <v>1</v>
      </c>
      <c r="AQ88" s="711">
        <f t="shared" si="56"/>
        <v>27</v>
      </c>
      <c r="AR88" s="711">
        <f t="shared" si="56"/>
        <v>11</v>
      </c>
      <c r="AS88" s="711">
        <f t="shared" si="56"/>
        <v>2</v>
      </c>
      <c r="AT88" s="711">
        <f t="shared" si="57"/>
        <v>4</v>
      </c>
      <c r="AU88" s="711">
        <f t="shared" si="58"/>
        <v>77</v>
      </c>
      <c r="AV88" s="711">
        <f t="shared" si="59"/>
        <v>56</v>
      </c>
      <c r="AW88" s="711">
        <f t="shared" si="60"/>
        <v>138</v>
      </c>
      <c r="AX88" s="711">
        <f t="shared" si="61"/>
        <v>94</v>
      </c>
      <c r="AY88" s="711">
        <f t="shared" ref="AY88:AY132" si="64">ABS(Y88-X88)</f>
        <v>272</v>
      </c>
      <c r="AZ88" s="711">
        <f t="shared" ref="AZ88:AZ132" si="65">ABS(Z88-Y88)</f>
        <v>288</v>
      </c>
      <c r="BA88" s="711">
        <f t="shared" ref="BA88:BA132" si="66">ABS(AA88-Z88)</f>
        <v>323</v>
      </c>
    </row>
    <row r="89" spans="1:53">
      <c r="A89" s="106">
        <f t="shared" si="47"/>
        <v>78</v>
      </c>
      <c r="B89" s="858">
        <v>42082</v>
      </c>
      <c r="C89" s="859" t="s">
        <v>1725</v>
      </c>
      <c r="D89" s="860">
        <v>4057</v>
      </c>
      <c r="E89" s="860">
        <v>3939</v>
      </c>
      <c r="F89" s="860">
        <v>3894</v>
      </c>
      <c r="G89" s="860">
        <v>3914</v>
      </c>
      <c r="H89" s="860">
        <v>4007</v>
      </c>
      <c r="I89" s="860">
        <v>4309</v>
      </c>
      <c r="J89" s="860">
        <v>4748</v>
      </c>
      <c r="K89" s="860">
        <v>5040</v>
      </c>
      <c r="L89" s="860">
        <v>5156</v>
      </c>
      <c r="M89" s="860">
        <v>5202</v>
      </c>
      <c r="N89" s="860">
        <v>5230</v>
      </c>
      <c r="O89" s="860">
        <v>5158</v>
      </c>
      <c r="P89" s="860">
        <v>5050</v>
      </c>
      <c r="Q89" s="860">
        <v>5045</v>
      </c>
      <c r="R89" s="860">
        <v>4985</v>
      </c>
      <c r="S89" s="860">
        <v>4970</v>
      </c>
      <c r="T89" s="860">
        <v>4938</v>
      </c>
      <c r="U89" s="860">
        <v>4974</v>
      </c>
      <c r="V89" s="860">
        <v>5032</v>
      </c>
      <c r="W89" s="860">
        <v>5255</v>
      </c>
      <c r="X89" s="860">
        <v>5276</v>
      </c>
      <c r="Y89" s="860">
        <v>5034</v>
      </c>
      <c r="Z89" s="860">
        <v>4651</v>
      </c>
      <c r="AA89" s="860">
        <v>4364</v>
      </c>
      <c r="AC89" s="712">
        <f t="shared" si="48"/>
        <v>78</v>
      </c>
      <c r="AD89" s="711">
        <f t="shared" si="49"/>
        <v>181</v>
      </c>
      <c r="AE89" s="711">
        <f t="shared" si="46"/>
        <v>118</v>
      </c>
      <c r="AF89" s="711">
        <f t="shared" si="62"/>
        <v>45</v>
      </c>
      <c r="AG89" s="711">
        <f t="shared" si="63"/>
        <v>20</v>
      </c>
      <c r="AH89" s="711">
        <f t="shared" si="50"/>
        <v>93</v>
      </c>
      <c r="AI89" s="711">
        <f t="shared" si="51"/>
        <v>302</v>
      </c>
      <c r="AJ89" s="711">
        <f t="shared" si="52"/>
        <v>439</v>
      </c>
      <c r="AK89" s="711">
        <f t="shared" si="53"/>
        <v>292</v>
      </c>
      <c r="AL89" s="711">
        <f t="shared" si="54"/>
        <v>116</v>
      </c>
      <c r="AM89" s="711">
        <f t="shared" si="55"/>
        <v>46</v>
      </c>
      <c r="AN89" s="711">
        <f t="shared" si="56"/>
        <v>28</v>
      </c>
      <c r="AO89" s="711">
        <f t="shared" si="56"/>
        <v>72</v>
      </c>
      <c r="AP89" s="711">
        <f t="shared" si="56"/>
        <v>108</v>
      </c>
      <c r="AQ89" s="711">
        <f t="shared" si="56"/>
        <v>5</v>
      </c>
      <c r="AR89" s="711">
        <f t="shared" si="56"/>
        <v>60</v>
      </c>
      <c r="AS89" s="711">
        <f t="shared" si="56"/>
        <v>15</v>
      </c>
      <c r="AT89" s="711">
        <f t="shared" si="57"/>
        <v>32</v>
      </c>
      <c r="AU89" s="711">
        <f t="shared" si="58"/>
        <v>36</v>
      </c>
      <c r="AV89" s="711">
        <f t="shared" si="59"/>
        <v>58</v>
      </c>
      <c r="AW89" s="711">
        <f t="shared" si="60"/>
        <v>223</v>
      </c>
      <c r="AX89" s="711">
        <f t="shared" si="61"/>
        <v>21</v>
      </c>
      <c r="AY89" s="711">
        <f t="shared" si="64"/>
        <v>242</v>
      </c>
      <c r="AZ89" s="711">
        <f t="shared" si="65"/>
        <v>383</v>
      </c>
      <c r="BA89" s="711">
        <f t="shared" si="66"/>
        <v>287</v>
      </c>
    </row>
    <row r="90" spans="1:53">
      <c r="A90" s="106">
        <f t="shared" si="47"/>
        <v>79</v>
      </c>
      <c r="B90" s="858">
        <v>42083</v>
      </c>
      <c r="C90" s="859" t="s">
        <v>1725</v>
      </c>
      <c r="D90" s="860">
        <v>4204</v>
      </c>
      <c r="E90" s="860">
        <v>4100</v>
      </c>
      <c r="F90" s="860">
        <v>4037</v>
      </c>
      <c r="G90" s="860">
        <v>4070</v>
      </c>
      <c r="H90" s="860">
        <v>4207</v>
      </c>
      <c r="I90" s="860">
        <v>4486</v>
      </c>
      <c r="J90" s="860">
        <v>4879</v>
      </c>
      <c r="K90" s="860">
        <v>5053</v>
      </c>
      <c r="L90" s="860">
        <v>5010</v>
      </c>
      <c r="M90" s="860">
        <v>4931</v>
      </c>
      <c r="N90" s="860">
        <v>4893</v>
      </c>
      <c r="O90" s="860">
        <v>4846</v>
      </c>
      <c r="P90" s="860">
        <v>4789</v>
      </c>
      <c r="Q90" s="860">
        <v>4737</v>
      </c>
      <c r="R90" s="860">
        <v>4707</v>
      </c>
      <c r="S90" s="860">
        <v>4676</v>
      </c>
      <c r="T90" s="860">
        <v>4690</v>
      </c>
      <c r="U90" s="860">
        <v>4704</v>
      </c>
      <c r="V90" s="860">
        <v>4689</v>
      </c>
      <c r="W90" s="860">
        <v>4856</v>
      </c>
      <c r="X90" s="860">
        <v>4954</v>
      </c>
      <c r="Y90" s="860">
        <v>4754</v>
      </c>
      <c r="Z90" s="860">
        <v>4446</v>
      </c>
      <c r="AA90" s="860">
        <v>4147</v>
      </c>
      <c r="AC90" s="712">
        <f t="shared" si="48"/>
        <v>79</v>
      </c>
      <c r="AD90" s="711">
        <f t="shared" si="49"/>
        <v>160</v>
      </c>
      <c r="AE90" s="711">
        <f t="shared" si="46"/>
        <v>104</v>
      </c>
      <c r="AF90" s="711">
        <f t="shared" si="62"/>
        <v>63</v>
      </c>
      <c r="AG90" s="711">
        <f t="shared" si="63"/>
        <v>33</v>
      </c>
      <c r="AH90" s="711">
        <f t="shared" si="50"/>
        <v>137</v>
      </c>
      <c r="AI90" s="711">
        <f t="shared" si="51"/>
        <v>279</v>
      </c>
      <c r="AJ90" s="711">
        <f t="shared" si="52"/>
        <v>393</v>
      </c>
      <c r="AK90" s="711">
        <f t="shared" si="53"/>
        <v>174</v>
      </c>
      <c r="AL90" s="711">
        <f t="shared" si="54"/>
        <v>43</v>
      </c>
      <c r="AM90" s="711">
        <f t="shared" si="55"/>
        <v>79</v>
      </c>
      <c r="AN90" s="711">
        <f t="shared" si="56"/>
        <v>38</v>
      </c>
      <c r="AO90" s="711">
        <f t="shared" si="56"/>
        <v>47</v>
      </c>
      <c r="AP90" s="711">
        <f t="shared" si="56"/>
        <v>57</v>
      </c>
      <c r="AQ90" s="711">
        <f t="shared" si="56"/>
        <v>52</v>
      </c>
      <c r="AR90" s="711">
        <f t="shared" si="56"/>
        <v>30</v>
      </c>
      <c r="AS90" s="711">
        <f t="shared" si="56"/>
        <v>31</v>
      </c>
      <c r="AT90" s="711">
        <f t="shared" si="57"/>
        <v>14</v>
      </c>
      <c r="AU90" s="711">
        <f t="shared" si="58"/>
        <v>14</v>
      </c>
      <c r="AV90" s="711">
        <f t="shared" si="59"/>
        <v>15</v>
      </c>
      <c r="AW90" s="711">
        <f t="shared" si="60"/>
        <v>167</v>
      </c>
      <c r="AX90" s="711">
        <f t="shared" si="61"/>
        <v>98</v>
      </c>
      <c r="AY90" s="711">
        <f t="shared" si="64"/>
        <v>200</v>
      </c>
      <c r="AZ90" s="711">
        <f t="shared" si="65"/>
        <v>308</v>
      </c>
      <c r="BA90" s="711">
        <f t="shared" si="66"/>
        <v>299</v>
      </c>
    </row>
    <row r="91" spans="1:53">
      <c r="A91" s="106">
        <f t="shared" si="47"/>
        <v>80</v>
      </c>
      <c r="B91" s="858">
        <v>42084</v>
      </c>
      <c r="C91" s="859" t="s">
        <v>1725</v>
      </c>
      <c r="D91" s="860">
        <v>3972</v>
      </c>
      <c r="E91" s="860">
        <v>3924</v>
      </c>
      <c r="F91" s="860">
        <v>3874</v>
      </c>
      <c r="G91" s="860">
        <v>3854</v>
      </c>
      <c r="H91" s="860">
        <v>3930</v>
      </c>
      <c r="I91" s="860">
        <v>4067</v>
      </c>
      <c r="J91" s="860">
        <v>4289</v>
      </c>
      <c r="K91" s="860">
        <v>4410</v>
      </c>
      <c r="L91" s="860">
        <v>4459</v>
      </c>
      <c r="M91" s="860">
        <v>4482</v>
      </c>
      <c r="N91" s="860">
        <v>4475</v>
      </c>
      <c r="O91" s="860">
        <v>4466</v>
      </c>
      <c r="P91" s="860">
        <v>4410</v>
      </c>
      <c r="Q91" s="860">
        <v>4357</v>
      </c>
      <c r="R91" s="860">
        <v>4305</v>
      </c>
      <c r="S91" s="860">
        <v>4338</v>
      </c>
      <c r="T91" s="860">
        <v>4364</v>
      </c>
      <c r="U91" s="860">
        <v>4480</v>
      </c>
      <c r="V91" s="860">
        <v>4516</v>
      </c>
      <c r="W91" s="860">
        <v>4737</v>
      </c>
      <c r="X91" s="860">
        <v>4777</v>
      </c>
      <c r="Y91" s="860">
        <v>4613</v>
      </c>
      <c r="Z91" s="860">
        <v>4357</v>
      </c>
      <c r="AA91" s="860">
        <v>4141</v>
      </c>
      <c r="AC91" s="712">
        <f t="shared" si="48"/>
        <v>80</v>
      </c>
      <c r="AD91" s="711">
        <f t="shared" si="49"/>
        <v>175</v>
      </c>
      <c r="AE91" s="711">
        <f t="shared" si="46"/>
        <v>48</v>
      </c>
      <c r="AF91" s="711">
        <f t="shared" si="62"/>
        <v>50</v>
      </c>
      <c r="AG91" s="711">
        <f t="shared" si="63"/>
        <v>20</v>
      </c>
      <c r="AH91" s="711">
        <f t="shared" si="50"/>
        <v>76</v>
      </c>
      <c r="AI91" s="711">
        <f t="shared" si="51"/>
        <v>137</v>
      </c>
      <c r="AJ91" s="711">
        <f t="shared" si="52"/>
        <v>222</v>
      </c>
      <c r="AK91" s="711">
        <f t="shared" si="53"/>
        <v>121</v>
      </c>
      <c r="AL91" s="711">
        <f t="shared" si="54"/>
        <v>49</v>
      </c>
      <c r="AM91" s="711">
        <f t="shared" si="55"/>
        <v>23</v>
      </c>
      <c r="AN91" s="711">
        <f t="shared" si="56"/>
        <v>7</v>
      </c>
      <c r="AO91" s="711">
        <f t="shared" si="56"/>
        <v>9</v>
      </c>
      <c r="AP91" s="711">
        <f t="shared" si="56"/>
        <v>56</v>
      </c>
      <c r="AQ91" s="711">
        <f t="shared" si="56"/>
        <v>53</v>
      </c>
      <c r="AR91" s="711">
        <f t="shared" si="56"/>
        <v>52</v>
      </c>
      <c r="AS91" s="711">
        <f t="shared" si="56"/>
        <v>33</v>
      </c>
      <c r="AT91" s="711">
        <f t="shared" si="57"/>
        <v>26</v>
      </c>
      <c r="AU91" s="711">
        <f t="shared" si="58"/>
        <v>116</v>
      </c>
      <c r="AV91" s="711">
        <f t="shared" si="59"/>
        <v>36</v>
      </c>
      <c r="AW91" s="711">
        <f t="shared" si="60"/>
        <v>221</v>
      </c>
      <c r="AX91" s="711">
        <f t="shared" si="61"/>
        <v>40</v>
      </c>
      <c r="AY91" s="711">
        <f t="shared" si="64"/>
        <v>164</v>
      </c>
      <c r="AZ91" s="711">
        <f t="shared" si="65"/>
        <v>256</v>
      </c>
      <c r="BA91" s="711">
        <f t="shared" si="66"/>
        <v>216</v>
      </c>
    </row>
    <row r="92" spans="1:53">
      <c r="A92" s="106">
        <f t="shared" si="47"/>
        <v>81</v>
      </c>
      <c r="B92" s="858">
        <v>42085</v>
      </c>
      <c r="C92" s="859" t="s">
        <v>1725</v>
      </c>
      <c r="D92" s="860">
        <v>3939</v>
      </c>
      <c r="E92" s="860">
        <v>3834</v>
      </c>
      <c r="F92" s="860">
        <v>3710</v>
      </c>
      <c r="G92" s="860">
        <v>3742</v>
      </c>
      <c r="H92" s="860">
        <v>3769</v>
      </c>
      <c r="I92" s="860">
        <v>3888</v>
      </c>
      <c r="J92" s="860">
        <v>4040</v>
      </c>
      <c r="K92" s="860">
        <v>4135</v>
      </c>
      <c r="L92" s="860">
        <v>4193</v>
      </c>
      <c r="M92" s="860">
        <v>4286</v>
      </c>
      <c r="N92" s="860">
        <v>4357</v>
      </c>
      <c r="O92" s="860">
        <v>4356</v>
      </c>
      <c r="P92" s="860">
        <v>4321</v>
      </c>
      <c r="Q92" s="860">
        <v>4282</v>
      </c>
      <c r="R92" s="860">
        <v>4311</v>
      </c>
      <c r="S92" s="860">
        <v>4328</v>
      </c>
      <c r="T92" s="860">
        <v>4409</v>
      </c>
      <c r="U92" s="860">
        <v>4570</v>
      </c>
      <c r="V92" s="860">
        <v>4684</v>
      </c>
      <c r="W92" s="860">
        <v>4893</v>
      </c>
      <c r="X92" s="860">
        <v>4854</v>
      </c>
      <c r="Y92" s="860">
        <v>4613</v>
      </c>
      <c r="Z92" s="860">
        <v>4210</v>
      </c>
      <c r="AA92" s="860">
        <v>3964</v>
      </c>
      <c r="AC92" s="712">
        <f t="shared" si="48"/>
        <v>81</v>
      </c>
      <c r="AD92" s="711">
        <f t="shared" si="49"/>
        <v>202</v>
      </c>
      <c r="AE92" s="711">
        <f t="shared" si="46"/>
        <v>105</v>
      </c>
      <c r="AF92" s="711">
        <f t="shared" si="62"/>
        <v>124</v>
      </c>
      <c r="AG92" s="711">
        <f t="shared" si="63"/>
        <v>32</v>
      </c>
      <c r="AH92" s="711">
        <f t="shared" si="50"/>
        <v>27</v>
      </c>
      <c r="AI92" s="711">
        <f t="shared" si="51"/>
        <v>119</v>
      </c>
      <c r="AJ92" s="711">
        <f t="shared" si="52"/>
        <v>152</v>
      </c>
      <c r="AK92" s="711">
        <f t="shared" si="53"/>
        <v>95</v>
      </c>
      <c r="AL92" s="711">
        <f t="shared" si="54"/>
        <v>58</v>
      </c>
      <c r="AM92" s="711">
        <f t="shared" si="55"/>
        <v>93</v>
      </c>
      <c r="AN92" s="711">
        <f t="shared" si="56"/>
        <v>71</v>
      </c>
      <c r="AO92" s="711">
        <f t="shared" si="56"/>
        <v>1</v>
      </c>
      <c r="AP92" s="711">
        <f t="shared" si="56"/>
        <v>35</v>
      </c>
      <c r="AQ92" s="711">
        <f t="shared" si="56"/>
        <v>39</v>
      </c>
      <c r="AR92" s="711">
        <f t="shared" si="56"/>
        <v>29</v>
      </c>
      <c r="AS92" s="711">
        <f t="shared" si="56"/>
        <v>17</v>
      </c>
      <c r="AT92" s="711">
        <f t="shared" si="57"/>
        <v>81</v>
      </c>
      <c r="AU92" s="711">
        <f t="shared" si="58"/>
        <v>161</v>
      </c>
      <c r="AV92" s="711">
        <f t="shared" si="59"/>
        <v>114</v>
      </c>
      <c r="AW92" s="711">
        <f t="shared" si="60"/>
        <v>209</v>
      </c>
      <c r="AX92" s="711">
        <f t="shared" si="61"/>
        <v>39</v>
      </c>
      <c r="AY92" s="711">
        <f t="shared" si="64"/>
        <v>241</v>
      </c>
      <c r="AZ92" s="711">
        <f t="shared" si="65"/>
        <v>403</v>
      </c>
      <c r="BA92" s="711">
        <f t="shared" si="66"/>
        <v>246</v>
      </c>
    </row>
    <row r="93" spans="1:53">
      <c r="A93" s="106">
        <f t="shared" si="47"/>
        <v>82</v>
      </c>
      <c r="B93" s="858">
        <v>42086</v>
      </c>
      <c r="C93" s="859" t="s">
        <v>1725</v>
      </c>
      <c r="D93" s="860">
        <v>3824</v>
      </c>
      <c r="E93" s="860">
        <v>3714</v>
      </c>
      <c r="F93" s="860">
        <v>3704</v>
      </c>
      <c r="G93" s="860">
        <v>3726</v>
      </c>
      <c r="H93" s="860">
        <v>3855</v>
      </c>
      <c r="I93" s="860">
        <v>4102</v>
      </c>
      <c r="J93" s="860">
        <v>4488</v>
      </c>
      <c r="K93" s="860">
        <v>4665</v>
      </c>
      <c r="L93" s="860">
        <v>4776</v>
      </c>
      <c r="M93" s="860">
        <v>4851</v>
      </c>
      <c r="N93" s="860">
        <v>4805</v>
      </c>
      <c r="O93" s="860">
        <v>4773</v>
      </c>
      <c r="P93" s="860">
        <v>4753</v>
      </c>
      <c r="Q93" s="860">
        <v>4737</v>
      </c>
      <c r="R93" s="860">
        <v>4712</v>
      </c>
      <c r="S93" s="860">
        <v>4755</v>
      </c>
      <c r="T93" s="860">
        <v>4748</v>
      </c>
      <c r="U93" s="860">
        <v>4810</v>
      </c>
      <c r="V93" s="860">
        <v>4848</v>
      </c>
      <c r="W93" s="860">
        <v>5060</v>
      </c>
      <c r="X93" s="860">
        <v>5022</v>
      </c>
      <c r="Y93" s="860">
        <v>4719</v>
      </c>
      <c r="Z93" s="860">
        <v>4326</v>
      </c>
      <c r="AA93" s="860">
        <v>3981</v>
      </c>
      <c r="AC93" s="712">
        <f t="shared" si="48"/>
        <v>82</v>
      </c>
      <c r="AD93" s="711">
        <f t="shared" si="49"/>
        <v>140</v>
      </c>
      <c r="AE93" s="711">
        <f t="shared" si="46"/>
        <v>110</v>
      </c>
      <c r="AF93" s="711">
        <f t="shared" si="62"/>
        <v>10</v>
      </c>
      <c r="AG93" s="711">
        <f t="shared" si="63"/>
        <v>22</v>
      </c>
      <c r="AH93" s="711">
        <f t="shared" si="50"/>
        <v>129</v>
      </c>
      <c r="AI93" s="711">
        <f t="shared" si="51"/>
        <v>247</v>
      </c>
      <c r="AJ93" s="711">
        <f t="shared" si="52"/>
        <v>386</v>
      </c>
      <c r="AK93" s="711">
        <f t="shared" si="53"/>
        <v>177</v>
      </c>
      <c r="AL93" s="711">
        <f t="shared" si="54"/>
        <v>111</v>
      </c>
      <c r="AM93" s="711">
        <f t="shared" si="55"/>
        <v>75</v>
      </c>
      <c r="AN93" s="711">
        <f t="shared" si="56"/>
        <v>46</v>
      </c>
      <c r="AO93" s="711">
        <f t="shared" si="56"/>
        <v>32</v>
      </c>
      <c r="AP93" s="711">
        <f t="shared" si="56"/>
        <v>20</v>
      </c>
      <c r="AQ93" s="711">
        <f t="shared" si="56"/>
        <v>16</v>
      </c>
      <c r="AR93" s="711">
        <f t="shared" si="56"/>
        <v>25</v>
      </c>
      <c r="AS93" s="711">
        <f t="shared" si="56"/>
        <v>43</v>
      </c>
      <c r="AT93" s="711">
        <f t="shared" si="57"/>
        <v>7</v>
      </c>
      <c r="AU93" s="711">
        <f t="shared" si="58"/>
        <v>62</v>
      </c>
      <c r="AV93" s="711">
        <f t="shared" si="59"/>
        <v>38</v>
      </c>
      <c r="AW93" s="711">
        <f t="shared" si="60"/>
        <v>212</v>
      </c>
      <c r="AX93" s="711">
        <f t="shared" si="61"/>
        <v>38</v>
      </c>
      <c r="AY93" s="711">
        <f t="shared" si="64"/>
        <v>303</v>
      </c>
      <c r="AZ93" s="711">
        <f t="shared" si="65"/>
        <v>393</v>
      </c>
      <c r="BA93" s="711">
        <f t="shared" si="66"/>
        <v>345</v>
      </c>
    </row>
    <row r="94" spans="1:53">
      <c r="A94" s="106">
        <f t="shared" si="47"/>
        <v>83</v>
      </c>
      <c r="B94" s="858">
        <v>42087</v>
      </c>
      <c r="C94" s="859" t="s">
        <v>1725</v>
      </c>
      <c r="D94" s="860">
        <v>3877</v>
      </c>
      <c r="E94" s="860">
        <v>3782</v>
      </c>
      <c r="F94" s="860">
        <v>3622</v>
      </c>
      <c r="G94" s="860">
        <v>3691</v>
      </c>
      <c r="H94" s="860">
        <v>3839</v>
      </c>
      <c r="I94" s="860">
        <v>4067</v>
      </c>
      <c r="J94" s="860">
        <v>4525</v>
      </c>
      <c r="K94" s="860">
        <v>4707</v>
      </c>
      <c r="L94" s="860">
        <v>4729</v>
      </c>
      <c r="M94" s="860">
        <v>4751</v>
      </c>
      <c r="N94" s="860">
        <v>4849</v>
      </c>
      <c r="O94" s="860">
        <v>4825</v>
      </c>
      <c r="P94" s="860">
        <v>4805</v>
      </c>
      <c r="Q94" s="860">
        <v>4803</v>
      </c>
      <c r="R94" s="860">
        <v>4790</v>
      </c>
      <c r="S94" s="860">
        <v>4799</v>
      </c>
      <c r="T94" s="860">
        <v>4759</v>
      </c>
      <c r="U94" s="860">
        <v>4767</v>
      </c>
      <c r="V94" s="860">
        <v>4760</v>
      </c>
      <c r="W94" s="860">
        <v>4975</v>
      </c>
      <c r="X94" s="860">
        <v>5023</v>
      </c>
      <c r="Y94" s="860">
        <v>4755</v>
      </c>
      <c r="Z94" s="860">
        <v>4399</v>
      </c>
      <c r="AA94" s="860">
        <v>4189</v>
      </c>
      <c r="AC94" s="712">
        <f t="shared" si="48"/>
        <v>83</v>
      </c>
      <c r="AD94" s="711">
        <f t="shared" si="49"/>
        <v>104</v>
      </c>
      <c r="AE94" s="711">
        <f t="shared" si="46"/>
        <v>95</v>
      </c>
      <c r="AF94" s="711">
        <f t="shared" si="62"/>
        <v>160</v>
      </c>
      <c r="AG94" s="711">
        <f t="shared" si="63"/>
        <v>69</v>
      </c>
      <c r="AH94" s="711">
        <f t="shared" si="50"/>
        <v>148</v>
      </c>
      <c r="AI94" s="711">
        <f t="shared" si="51"/>
        <v>228</v>
      </c>
      <c r="AJ94" s="711">
        <f t="shared" si="52"/>
        <v>458</v>
      </c>
      <c r="AK94" s="711">
        <f t="shared" si="53"/>
        <v>182</v>
      </c>
      <c r="AL94" s="711">
        <f t="shared" si="54"/>
        <v>22</v>
      </c>
      <c r="AM94" s="711">
        <f t="shared" si="55"/>
        <v>22</v>
      </c>
      <c r="AN94" s="711">
        <f t="shared" si="56"/>
        <v>98</v>
      </c>
      <c r="AO94" s="711">
        <f t="shared" si="56"/>
        <v>24</v>
      </c>
      <c r="AP94" s="711">
        <f t="shared" si="56"/>
        <v>20</v>
      </c>
      <c r="AQ94" s="711">
        <f t="shared" si="56"/>
        <v>2</v>
      </c>
      <c r="AR94" s="711">
        <f t="shared" si="56"/>
        <v>13</v>
      </c>
      <c r="AS94" s="711">
        <f t="shared" si="56"/>
        <v>9</v>
      </c>
      <c r="AT94" s="711">
        <f t="shared" si="57"/>
        <v>40</v>
      </c>
      <c r="AU94" s="711">
        <f t="shared" si="58"/>
        <v>8</v>
      </c>
      <c r="AV94" s="711">
        <f t="shared" si="59"/>
        <v>7</v>
      </c>
      <c r="AW94" s="711">
        <f t="shared" si="60"/>
        <v>215</v>
      </c>
      <c r="AX94" s="711">
        <f t="shared" si="61"/>
        <v>48</v>
      </c>
      <c r="AY94" s="711">
        <f t="shared" si="64"/>
        <v>268</v>
      </c>
      <c r="AZ94" s="711">
        <f t="shared" si="65"/>
        <v>356</v>
      </c>
      <c r="BA94" s="711">
        <f t="shared" si="66"/>
        <v>210</v>
      </c>
    </row>
    <row r="95" spans="1:53">
      <c r="A95" s="106">
        <f t="shared" si="47"/>
        <v>84</v>
      </c>
      <c r="B95" s="858">
        <v>42088</v>
      </c>
      <c r="C95" s="859" t="s">
        <v>1725</v>
      </c>
      <c r="D95" s="860">
        <v>4105</v>
      </c>
      <c r="E95" s="860">
        <v>4000</v>
      </c>
      <c r="F95" s="860">
        <v>3943</v>
      </c>
      <c r="G95" s="860">
        <v>3877</v>
      </c>
      <c r="H95" s="860">
        <v>3916</v>
      </c>
      <c r="I95" s="860">
        <v>4140</v>
      </c>
      <c r="J95" s="860">
        <v>4553</v>
      </c>
      <c r="K95" s="860">
        <v>4859</v>
      </c>
      <c r="L95" s="860">
        <v>5043</v>
      </c>
      <c r="M95" s="860">
        <v>5175</v>
      </c>
      <c r="N95" s="860">
        <v>5249</v>
      </c>
      <c r="O95" s="860">
        <v>5355</v>
      </c>
      <c r="P95" s="860">
        <v>5330</v>
      </c>
      <c r="Q95" s="860">
        <v>5231</v>
      </c>
      <c r="R95" s="860">
        <v>5093</v>
      </c>
      <c r="S95" s="860">
        <v>5001</v>
      </c>
      <c r="T95" s="860">
        <v>4987</v>
      </c>
      <c r="U95" s="860">
        <v>4859</v>
      </c>
      <c r="V95" s="860">
        <v>4903</v>
      </c>
      <c r="W95" s="860">
        <v>5139</v>
      </c>
      <c r="X95" s="860">
        <v>5206</v>
      </c>
      <c r="Y95" s="860">
        <v>4976</v>
      </c>
      <c r="Z95" s="860">
        <v>4594</v>
      </c>
      <c r="AA95" s="860">
        <v>4257</v>
      </c>
      <c r="AC95" s="712">
        <f t="shared" si="48"/>
        <v>84</v>
      </c>
      <c r="AD95" s="711">
        <f t="shared" si="49"/>
        <v>84</v>
      </c>
      <c r="AE95" s="711">
        <f t="shared" si="46"/>
        <v>105</v>
      </c>
      <c r="AF95" s="711">
        <f t="shared" si="62"/>
        <v>57</v>
      </c>
      <c r="AG95" s="711">
        <f t="shared" si="63"/>
        <v>66</v>
      </c>
      <c r="AH95" s="711">
        <f t="shared" si="50"/>
        <v>39</v>
      </c>
      <c r="AI95" s="711">
        <f t="shared" si="51"/>
        <v>224</v>
      </c>
      <c r="AJ95" s="711">
        <f t="shared" si="52"/>
        <v>413</v>
      </c>
      <c r="AK95" s="711">
        <f t="shared" si="53"/>
        <v>306</v>
      </c>
      <c r="AL95" s="711">
        <f t="shared" si="54"/>
        <v>184</v>
      </c>
      <c r="AM95" s="711">
        <f t="shared" si="55"/>
        <v>132</v>
      </c>
      <c r="AN95" s="711">
        <f t="shared" si="56"/>
        <v>74</v>
      </c>
      <c r="AO95" s="711">
        <f t="shared" si="56"/>
        <v>106</v>
      </c>
      <c r="AP95" s="711">
        <f t="shared" si="56"/>
        <v>25</v>
      </c>
      <c r="AQ95" s="711">
        <f t="shared" si="56"/>
        <v>99</v>
      </c>
      <c r="AR95" s="711">
        <f t="shared" si="56"/>
        <v>138</v>
      </c>
      <c r="AS95" s="711">
        <f t="shared" si="56"/>
        <v>92</v>
      </c>
      <c r="AT95" s="711">
        <f t="shared" si="57"/>
        <v>14</v>
      </c>
      <c r="AU95" s="711">
        <f t="shared" si="58"/>
        <v>128</v>
      </c>
      <c r="AV95" s="711">
        <f t="shared" si="59"/>
        <v>44</v>
      </c>
      <c r="AW95" s="711">
        <f t="shared" si="60"/>
        <v>236</v>
      </c>
      <c r="AX95" s="711">
        <f t="shared" si="61"/>
        <v>67</v>
      </c>
      <c r="AY95" s="711">
        <f t="shared" si="64"/>
        <v>230</v>
      </c>
      <c r="AZ95" s="711">
        <f t="shared" si="65"/>
        <v>382</v>
      </c>
      <c r="BA95" s="711">
        <f t="shared" si="66"/>
        <v>337</v>
      </c>
    </row>
    <row r="96" spans="1:53">
      <c r="A96" s="106">
        <f t="shared" si="47"/>
        <v>85</v>
      </c>
      <c r="B96" s="858">
        <v>42089</v>
      </c>
      <c r="C96" s="859" t="s">
        <v>1725</v>
      </c>
      <c r="D96" s="860">
        <v>4069</v>
      </c>
      <c r="E96" s="860">
        <v>3980</v>
      </c>
      <c r="F96" s="860">
        <v>3986</v>
      </c>
      <c r="G96" s="860">
        <v>4149</v>
      </c>
      <c r="H96" s="860">
        <v>4335</v>
      </c>
      <c r="I96" s="860">
        <v>4634</v>
      </c>
      <c r="J96" s="860">
        <v>4966</v>
      </c>
      <c r="K96" s="860">
        <v>4989</v>
      </c>
      <c r="L96" s="860">
        <v>5078</v>
      </c>
      <c r="M96" s="860">
        <v>5039</v>
      </c>
      <c r="N96" s="860">
        <v>5059</v>
      </c>
      <c r="O96" s="860">
        <v>4940</v>
      </c>
      <c r="P96" s="860">
        <v>4869</v>
      </c>
      <c r="Q96" s="860">
        <v>4739</v>
      </c>
      <c r="R96" s="860">
        <v>4697</v>
      </c>
      <c r="S96" s="860">
        <v>4676</v>
      </c>
      <c r="T96" s="860">
        <v>4703</v>
      </c>
      <c r="U96" s="860">
        <v>4736</v>
      </c>
      <c r="V96" s="860">
        <v>4753</v>
      </c>
      <c r="W96" s="860">
        <v>4971</v>
      </c>
      <c r="X96" s="860">
        <v>5006</v>
      </c>
      <c r="Y96" s="860">
        <v>4771</v>
      </c>
      <c r="Z96" s="860">
        <v>4383</v>
      </c>
      <c r="AA96" s="860">
        <v>4043</v>
      </c>
      <c r="AC96" s="712">
        <f t="shared" si="48"/>
        <v>85</v>
      </c>
      <c r="AD96" s="711">
        <f t="shared" si="49"/>
        <v>188</v>
      </c>
      <c r="AE96" s="711">
        <f t="shared" si="46"/>
        <v>89</v>
      </c>
      <c r="AF96" s="711">
        <f t="shared" si="62"/>
        <v>6</v>
      </c>
      <c r="AG96" s="711">
        <f t="shared" si="63"/>
        <v>163</v>
      </c>
      <c r="AH96" s="711">
        <f t="shared" si="50"/>
        <v>186</v>
      </c>
      <c r="AI96" s="711">
        <f t="shared" si="51"/>
        <v>299</v>
      </c>
      <c r="AJ96" s="711">
        <f t="shared" si="52"/>
        <v>332</v>
      </c>
      <c r="AK96" s="711">
        <f t="shared" si="53"/>
        <v>23</v>
      </c>
      <c r="AL96" s="711">
        <f t="shared" si="54"/>
        <v>89</v>
      </c>
      <c r="AM96" s="711">
        <f t="shared" si="55"/>
        <v>39</v>
      </c>
      <c r="AN96" s="711">
        <f t="shared" si="56"/>
        <v>20</v>
      </c>
      <c r="AO96" s="711">
        <f t="shared" si="56"/>
        <v>119</v>
      </c>
      <c r="AP96" s="711">
        <f t="shared" si="56"/>
        <v>71</v>
      </c>
      <c r="AQ96" s="711">
        <f t="shared" si="56"/>
        <v>130</v>
      </c>
      <c r="AR96" s="711">
        <f t="shared" si="56"/>
        <v>42</v>
      </c>
      <c r="AS96" s="711">
        <f t="shared" si="56"/>
        <v>21</v>
      </c>
      <c r="AT96" s="711">
        <f t="shared" si="57"/>
        <v>27</v>
      </c>
      <c r="AU96" s="711">
        <f t="shared" si="58"/>
        <v>33</v>
      </c>
      <c r="AV96" s="711">
        <f t="shared" si="59"/>
        <v>17</v>
      </c>
      <c r="AW96" s="711">
        <f t="shared" si="60"/>
        <v>218</v>
      </c>
      <c r="AX96" s="711">
        <f t="shared" si="61"/>
        <v>35</v>
      </c>
      <c r="AY96" s="711">
        <f t="shared" si="64"/>
        <v>235</v>
      </c>
      <c r="AZ96" s="711">
        <f t="shared" si="65"/>
        <v>388</v>
      </c>
      <c r="BA96" s="711">
        <f t="shared" si="66"/>
        <v>340</v>
      </c>
    </row>
    <row r="97" spans="1:53">
      <c r="A97" s="106">
        <f t="shared" si="47"/>
        <v>86</v>
      </c>
      <c r="B97" s="858">
        <v>42090</v>
      </c>
      <c r="C97" s="859" t="s">
        <v>1725</v>
      </c>
      <c r="D97" s="860">
        <v>3832</v>
      </c>
      <c r="E97" s="860">
        <v>3733</v>
      </c>
      <c r="F97" s="860">
        <v>3775</v>
      </c>
      <c r="G97" s="860">
        <v>3742</v>
      </c>
      <c r="H97" s="860">
        <v>3818</v>
      </c>
      <c r="I97" s="860">
        <v>4081</v>
      </c>
      <c r="J97" s="860">
        <v>4504</v>
      </c>
      <c r="K97" s="860">
        <v>4675</v>
      </c>
      <c r="L97" s="860">
        <v>4697</v>
      </c>
      <c r="M97" s="860">
        <v>4687</v>
      </c>
      <c r="N97" s="860">
        <v>4811</v>
      </c>
      <c r="O97" s="860">
        <v>4907</v>
      </c>
      <c r="P97" s="860">
        <v>4938</v>
      </c>
      <c r="Q97" s="860">
        <v>4942</v>
      </c>
      <c r="R97" s="860">
        <v>4927</v>
      </c>
      <c r="S97" s="860">
        <v>4921</v>
      </c>
      <c r="T97" s="860">
        <v>4768</v>
      </c>
      <c r="U97" s="860">
        <v>4671</v>
      </c>
      <c r="V97" s="860">
        <v>4623</v>
      </c>
      <c r="W97" s="860">
        <v>4775</v>
      </c>
      <c r="X97" s="860">
        <v>4823</v>
      </c>
      <c r="Y97" s="860">
        <v>4610</v>
      </c>
      <c r="Z97" s="860">
        <v>4287</v>
      </c>
      <c r="AA97" s="860">
        <v>3955</v>
      </c>
      <c r="AC97" s="712">
        <f t="shared" si="48"/>
        <v>86</v>
      </c>
      <c r="AD97" s="711">
        <f t="shared" si="49"/>
        <v>211</v>
      </c>
      <c r="AE97" s="711">
        <f t="shared" si="46"/>
        <v>99</v>
      </c>
      <c r="AF97" s="711">
        <f t="shared" si="62"/>
        <v>42</v>
      </c>
      <c r="AG97" s="711">
        <f t="shared" si="63"/>
        <v>33</v>
      </c>
      <c r="AH97" s="711">
        <f t="shared" si="50"/>
        <v>76</v>
      </c>
      <c r="AI97" s="711">
        <f t="shared" si="51"/>
        <v>263</v>
      </c>
      <c r="AJ97" s="711">
        <f t="shared" si="52"/>
        <v>423</v>
      </c>
      <c r="AK97" s="711">
        <f t="shared" si="53"/>
        <v>171</v>
      </c>
      <c r="AL97" s="711">
        <f t="shared" si="54"/>
        <v>22</v>
      </c>
      <c r="AM97" s="711">
        <f t="shared" si="55"/>
        <v>10</v>
      </c>
      <c r="AN97" s="711">
        <f t="shared" si="56"/>
        <v>124</v>
      </c>
      <c r="AO97" s="711">
        <f t="shared" si="56"/>
        <v>96</v>
      </c>
      <c r="AP97" s="711">
        <f t="shared" si="56"/>
        <v>31</v>
      </c>
      <c r="AQ97" s="711">
        <f t="shared" si="56"/>
        <v>4</v>
      </c>
      <c r="AR97" s="711">
        <f t="shared" si="56"/>
        <v>15</v>
      </c>
      <c r="AS97" s="711">
        <f t="shared" si="56"/>
        <v>6</v>
      </c>
      <c r="AT97" s="711">
        <f t="shared" si="57"/>
        <v>153</v>
      </c>
      <c r="AU97" s="711">
        <f t="shared" si="58"/>
        <v>97</v>
      </c>
      <c r="AV97" s="711">
        <f t="shared" si="59"/>
        <v>48</v>
      </c>
      <c r="AW97" s="711">
        <f t="shared" si="60"/>
        <v>152</v>
      </c>
      <c r="AX97" s="711">
        <f t="shared" si="61"/>
        <v>48</v>
      </c>
      <c r="AY97" s="711">
        <f t="shared" si="64"/>
        <v>213</v>
      </c>
      <c r="AZ97" s="711">
        <f t="shared" si="65"/>
        <v>323</v>
      </c>
      <c r="BA97" s="711">
        <f t="shared" si="66"/>
        <v>332</v>
      </c>
    </row>
    <row r="98" spans="1:53">
      <c r="A98" s="106">
        <f t="shared" si="47"/>
        <v>87</v>
      </c>
      <c r="B98" s="858">
        <v>42091</v>
      </c>
      <c r="C98" s="859" t="s">
        <v>1725</v>
      </c>
      <c r="D98" s="860">
        <v>3754</v>
      </c>
      <c r="E98" s="860">
        <v>3819</v>
      </c>
      <c r="F98" s="860">
        <v>3807</v>
      </c>
      <c r="G98" s="860">
        <v>3762</v>
      </c>
      <c r="H98" s="860">
        <v>3810</v>
      </c>
      <c r="I98" s="860">
        <v>3916</v>
      </c>
      <c r="J98" s="860">
        <v>4093</v>
      </c>
      <c r="K98" s="860">
        <v>4103</v>
      </c>
      <c r="L98" s="860">
        <v>4166</v>
      </c>
      <c r="M98" s="860">
        <v>4278</v>
      </c>
      <c r="N98" s="860">
        <v>4326</v>
      </c>
      <c r="O98" s="860">
        <v>4343</v>
      </c>
      <c r="P98" s="860">
        <v>4330</v>
      </c>
      <c r="Q98" s="860">
        <v>4290</v>
      </c>
      <c r="R98" s="860">
        <v>4288</v>
      </c>
      <c r="S98" s="860">
        <v>4327</v>
      </c>
      <c r="T98" s="860">
        <v>4394</v>
      </c>
      <c r="U98" s="860">
        <v>4482</v>
      </c>
      <c r="V98" s="860">
        <v>4543</v>
      </c>
      <c r="W98" s="860">
        <v>4689</v>
      </c>
      <c r="X98" s="860">
        <v>4749</v>
      </c>
      <c r="Y98" s="860">
        <v>4567</v>
      </c>
      <c r="Z98" s="860">
        <v>4251</v>
      </c>
      <c r="AA98" s="860">
        <v>4050</v>
      </c>
      <c r="AC98" s="712">
        <f t="shared" si="48"/>
        <v>87</v>
      </c>
      <c r="AD98" s="711">
        <f t="shared" si="49"/>
        <v>201</v>
      </c>
      <c r="AE98" s="711">
        <f t="shared" si="46"/>
        <v>65</v>
      </c>
      <c r="AF98" s="711">
        <f t="shared" si="62"/>
        <v>12</v>
      </c>
      <c r="AG98" s="711">
        <f t="shared" si="63"/>
        <v>45</v>
      </c>
      <c r="AH98" s="711">
        <f t="shared" si="50"/>
        <v>48</v>
      </c>
      <c r="AI98" s="711">
        <f t="shared" si="51"/>
        <v>106</v>
      </c>
      <c r="AJ98" s="711">
        <f t="shared" si="52"/>
        <v>177</v>
      </c>
      <c r="AK98" s="711">
        <f t="shared" si="53"/>
        <v>10</v>
      </c>
      <c r="AL98" s="711">
        <f t="shared" si="54"/>
        <v>63</v>
      </c>
      <c r="AM98" s="711">
        <f t="shared" si="55"/>
        <v>112</v>
      </c>
      <c r="AN98" s="711">
        <f t="shared" si="56"/>
        <v>48</v>
      </c>
      <c r="AO98" s="711">
        <f t="shared" si="56"/>
        <v>17</v>
      </c>
      <c r="AP98" s="711">
        <f t="shared" si="56"/>
        <v>13</v>
      </c>
      <c r="AQ98" s="711">
        <f t="shared" si="56"/>
        <v>40</v>
      </c>
      <c r="AR98" s="711">
        <f t="shared" si="56"/>
        <v>2</v>
      </c>
      <c r="AS98" s="711">
        <f t="shared" si="56"/>
        <v>39</v>
      </c>
      <c r="AT98" s="711">
        <f t="shared" si="57"/>
        <v>67</v>
      </c>
      <c r="AU98" s="711">
        <f t="shared" si="58"/>
        <v>88</v>
      </c>
      <c r="AV98" s="711">
        <f t="shared" si="59"/>
        <v>61</v>
      </c>
      <c r="AW98" s="711">
        <f t="shared" si="60"/>
        <v>146</v>
      </c>
      <c r="AX98" s="711">
        <f t="shared" si="61"/>
        <v>60</v>
      </c>
      <c r="AY98" s="711">
        <f t="shared" si="64"/>
        <v>182</v>
      </c>
      <c r="AZ98" s="711">
        <f t="shared" si="65"/>
        <v>316</v>
      </c>
      <c r="BA98" s="711">
        <f t="shared" si="66"/>
        <v>201</v>
      </c>
    </row>
    <row r="99" spans="1:53">
      <c r="A99" s="106">
        <f t="shared" si="47"/>
        <v>88</v>
      </c>
      <c r="B99" s="858">
        <v>42092</v>
      </c>
      <c r="C99" s="859" t="s">
        <v>1725</v>
      </c>
      <c r="D99" s="860">
        <v>3959</v>
      </c>
      <c r="E99" s="860">
        <v>3833</v>
      </c>
      <c r="F99" s="860">
        <v>3767</v>
      </c>
      <c r="G99" s="860">
        <v>3728</v>
      </c>
      <c r="H99" s="860">
        <v>3637</v>
      </c>
      <c r="I99" s="860">
        <v>3664</v>
      </c>
      <c r="J99" s="860">
        <v>3783</v>
      </c>
      <c r="K99" s="860">
        <v>3778</v>
      </c>
      <c r="L99" s="860">
        <v>3935</v>
      </c>
      <c r="M99" s="860">
        <v>4045</v>
      </c>
      <c r="N99" s="860">
        <v>4094</v>
      </c>
      <c r="O99" s="860">
        <v>4113</v>
      </c>
      <c r="P99" s="860">
        <v>4117</v>
      </c>
      <c r="Q99" s="860">
        <v>4098</v>
      </c>
      <c r="R99" s="860">
        <v>4093</v>
      </c>
      <c r="S99" s="860">
        <v>4130</v>
      </c>
      <c r="T99" s="860">
        <v>4235</v>
      </c>
      <c r="U99" s="860">
        <v>4371</v>
      </c>
      <c r="V99" s="860">
        <v>4464</v>
      </c>
      <c r="W99" s="860">
        <v>4656</v>
      </c>
      <c r="X99" s="860">
        <v>4763</v>
      </c>
      <c r="Y99" s="860">
        <v>4540</v>
      </c>
      <c r="Z99" s="860">
        <v>4347</v>
      </c>
      <c r="AA99" s="860">
        <v>4086</v>
      </c>
      <c r="AC99" s="712">
        <f t="shared" si="48"/>
        <v>88</v>
      </c>
      <c r="AD99" s="711">
        <f t="shared" si="49"/>
        <v>91</v>
      </c>
      <c r="AE99" s="711">
        <f t="shared" si="46"/>
        <v>126</v>
      </c>
      <c r="AF99" s="711">
        <f t="shared" si="62"/>
        <v>66</v>
      </c>
      <c r="AG99" s="711">
        <f t="shared" si="63"/>
        <v>39</v>
      </c>
      <c r="AH99" s="711">
        <f t="shared" si="50"/>
        <v>91</v>
      </c>
      <c r="AI99" s="711">
        <f t="shared" si="51"/>
        <v>27</v>
      </c>
      <c r="AJ99" s="711">
        <f t="shared" si="52"/>
        <v>119</v>
      </c>
      <c r="AK99" s="711">
        <f t="shared" si="53"/>
        <v>5</v>
      </c>
      <c r="AL99" s="711">
        <f t="shared" si="54"/>
        <v>157</v>
      </c>
      <c r="AM99" s="711">
        <f t="shared" si="55"/>
        <v>110</v>
      </c>
      <c r="AN99" s="711">
        <f t="shared" si="56"/>
        <v>49</v>
      </c>
      <c r="AO99" s="711">
        <f t="shared" si="56"/>
        <v>19</v>
      </c>
      <c r="AP99" s="711">
        <f t="shared" si="56"/>
        <v>4</v>
      </c>
      <c r="AQ99" s="711">
        <f t="shared" si="56"/>
        <v>19</v>
      </c>
      <c r="AR99" s="711">
        <f t="shared" si="56"/>
        <v>5</v>
      </c>
      <c r="AS99" s="711">
        <f t="shared" si="56"/>
        <v>37</v>
      </c>
      <c r="AT99" s="711">
        <f t="shared" si="57"/>
        <v>105</v>
      </c>
      <c r="AU99" s="711">
        <f t="shared" si="58"/>
        <v>136</v>
      </c>
      <c r="AV99" s="711">
        <f t="shared" si="59"/>
        <v>93</v>
      </c>
      <c r="AW99" s="711">
        <f t="shared" si="60"/>
        <v>192</v>
      </c>
      <c r="AX99" s="711">
        <f t="shared" si="61"/>
        <v>107</v>
      </c>
      <c r="AY99" s="711">
        <f t="shared" si="64"/>
        <v>223</v>
      </c>
      <c r="AZ99" s="711">
        <f t="shared" si="65"/>
        <v>193</v>
      </c>
      <c r="BA99" s="711">
        <f t="shared" si="66"/>
        <v>261</v>
      </c>
    </row>
    <row r="100" spans="1:53">
      <c r="A100" s="106">
        <f t="shared" si="47"/>
        <v>89</v>
      </c>
      <c r="B100" s="858">
        <v>42093</v>
      </c>
      <c r="C100" s="859" t="s">
        <v>1725</v>
      </c>
      <c r="D100" s="860">
        <v>3889</v>
      </c>
      <c r="E100" s="860">
        <v>3800</v>
      </c>
      <c r="F100" s="860">
        <v>3762</v>
      </c>
      <c r="G100" s="860">
        <v>3707</v>
      </c>
      <c r="H100" s="860">
        <v>3722</v>
      </c>
      <c r="I100" s="860">
        <v>3953</v>
      </c>
      <c r="J100" s="860">
        <v>4397</v>
      </c>
      <c r="K100" s="860">
        <v>4575</v>
      </c>
      <c r="L100" s="860">
        <v>4629</v>
      </c>
      <c r="M100" s="860">
        <v>4672</v>
      </c>
      <c r="N100" s="860">
        <v>4722</v>
      </c>
      <c r="O100" s="860">
        <v>4738</v>
      </c>
      <c r="P100" s="860">
        <v>4742</v>
      </c>
      <c r="Q100" s="860">
        <v>4765</v>
      </c>
      <c r="R100" s="860">
        <v>4785</v>
      </c>
      <c r="S100" s="860">
        <v>4791</v>
      </c>
      <c r="T100" s="860">
        <v>4871</v>
      </c>
      <c r="U100" s="860">
        <v>4906</v>
      </c>
      <c r="V100" s="860">
        <v>4889</v>
      </c>
      <c r="W100" s="860">
        <v>4995</v>
      </c>
      <c r="X100" s="860">
        <v>5041</v>
      </c>
      <c r="Y100" s="860">
        <v>4741</v>
      </c>
      <c r="Z100" s="860">
        <v>4287</v>
      </c>
      <c r="AA100" s="860">
        <v>3910</v>
      </c>
      <c r="AC100" s="712">
        <f t="shared" si="48"/>
        <v>89</v>
      </c>
      <c r="AD100" s="711">
        <f t="shared" si="49"/>
        <v>197</v>
      </c>
      <c r="AE100" s="711">
        <f t="shared" si="46"/>
        <v>89</v>
      </c>
      <c r="AF100" s="711">
        <f t="shared" si="62"/>
        <v>38</v>
      </c>
      <c r="AG100" s="711">
        <f t="shared" si="63"/>
        <v>55</v>
      </c>
      <c r="AH100" s="711">
        <f t="shared" si="50"/>
        <v>15</v>
      </c>
      <c r="AI100" s="711">
        <f t="shared" si="51"/>
        <v>231</v>
      </c>
      <c r="AJ100" s="711">
        <f t="shared" si="52"/>
        <v>444</v>
      </c>
      <c r="AK100" s="711">
        <f t="shared" si="53"/>
        <v>178</v>
      </c>
      <c r="AL100" s="711">
        <f t="shared" si="54"/>
        <v>54</v>
      </c>
      <c r="AM100" s="711">
        <f t="shared" si="55"/>
        <v>43</v>
      </c>
      <c r="AN100" s="711">
        <f t="shared" si="56"/>
        <v>50</v>
      </c>
      <c r="AO100" s="711">
        <f t="shared" si="56"/>
        <v>16</v>
      </c>
      <c r="AP100" s="711">
        <f t="shared" si="56"/>
        <v>4</v>
      </c>
      <c r="AQ100" s="711">
        <f t="shared" si="56"/>
        <v>23</v>
      </c>
      <c r="AR100" s="711">
        <f t="shared" si="56"/>
        <v>20</v>
      </c>
      <c r="AS100" s="711">
        <f t="shared" si="56"/>
        <v>6</v>
      </c>
      <c r="AT100" s="711">
        <f t="shared" si="57"/>
        <v>80</v>
      </c>
      <c r="AU100" s="711">
        <f t="shared" si="58"/>
        <v>35</v>
      </c>
      <c r="AV100" s="711">
        <f t="shared" si="59"/>
        <v>17</v>
      </c>
      <c r="AW100" s="711">
        <f t="shared" si="60"/>
        <v>106</v>
      </c>
      <c r="AX100" s="711">
        <f t="shared" si="61"/>
        <v>46</v>
      </c>
      <c r="AY100" s="711">
        <f t="shared" si="64"/>
        <v>300</v>
      </c>
      <c r="AZ100" s="711">
        <f t="shared" si="65"/>
        <v>454</v>
      </c>
      <c r="BA100" s="711">
        <f t="shared" si="66"/>
        <v>377</v>
      </c>
    </row>
    <row r="101" spans="1:53">
      <c r="A101" s="106">
        <f t="shared" si="47"/>
        <v>90</v>
      </c>
      <c r="B101" s="858">
        <v>42094</v>
      </c>
      <c r="C101" s="859" t="s">
        <v>1725</v>
      </c>
      <c r="D101" s="860">
        <v>3746</v>
      </c>
      <c r="E101" s="860">
        <v>3719</v>
      </c>
      <c r="F101" s="860">
        <v>3776</v>
      </c>
      <c r="G101" s="860">
        <v>3773</v>
      </c>
      <c r="H101" s="860">
        <v>3768</v>
      </c>
      <c r="I101" s="860">
        <v>4058</v>
      </c>
      <c r="J101" s="860">
        <v>4468</v>
      </c>
      <c r="K101" s="860">
        <v>4604</v>
      </c>
      <c r="L101" s="860">
        <v>4649</v>
      </c>
      <c r="M101" s="860">
        <v>4702</v>
      </c>
      <c r="N101" s="860">
        <v>4759</v>
      </c>
      <c r="O101" s="860">
        <v>4798</v>
      </c>
      <c r="P101" s="860">
        <v>4818</v>
      </c>
      <c r="Q101" s="860">
        <v>4892</v>
      </c>
      <c r="R101" s="860">
        <v>4954</v>
      </c>
      <c r="S101" s="860">
        <v>5010</v>
      </c>
      <c r="T101" s="860">
        <v>5041</v>
      </c>
      <c r="U101" s="860">
        <v>5022</v>
      </c>
      <c r="V101" s="860">
        <v>4956</v>
      </c>
      <c r="W101" s="860">
        <v>5096</v>
      </c>
      <c r="X101" s="860">
        <v>5180</v>
      </c>
      <c r="Y101" s="860">
        <v>4894</v>
      </c>
      <c r="Z101" s="860">
        <v>4498</v>
      </c>
      <c r="AA101" s="860">
        <v>4207</v>
      </c>
      <c r="AC101" s="712">
        <f t="shared" si="48"/>
        <v>90</v>
      </c>
      <c r="AD101" s="711">
        <f t="shared" si="49"/>
        <v>164</v>
      </c>
      <c r="AE101" s="711">
        <f t="shared" si="46"/>
        <v>27</v>
      </c>
      <c r="AF101" s="711">
        <f t="shared" si="62"/>
        <v>57</v>
      </c>
      <c r="AG101" s="711">
        <f t="shared" si="63"/>
        <v>3</v>
      </c>
      <c r="AH101" s="711">
        <f t="shared" si="50"/>
        <v>5</v>
      </c>
      <c r="AI101" s="711">
        <f t="shared" si="51"/>
        <v>290</v>
      </c>
      <c r="AJ101" s="711">
        <f t="shared" si="52"/>
        <v>410</v>
      </c>
      <c r="AK101" s="711">
        <f t="shared" si="53"/>
        <v>136</v>
      </c>
      <c r="AL101" s="711">
        <f t="shared" si="54"/>
        <v>45</v>
      </c>
      <c r="AM101" s="711">
        <f t="shared" si="55"/>
        <v>53</v>
      </c>
      <c r="AN101" s="711">
        <f t="shared" si="56"/>
        <v>57</v>
      </c>
      <c r="AO101" s="711">
        <f t="shared" si="56"/>
        <v>39</v>
      </c>
      <c r="AP101" s="711">
        <f t="shared" si="56"/>
        <v>20</v>
      </c>
      <c r="AQ101" s="711">
        <f t="shared" si="56"/>
        <v>74</v>
      </c>
      <c r="AR101" s="711">
        <f t="shared" si="56"/>
        <v>62</v>
      </c>
      <c r="AS101" s="711">
        <f t="shared" si="56"/>
        <v>56</v>
      </c>
      <c r="AT101" s="711">
        <f t="shared" si="57"/>
        <v>31</v>
      </c>
      <c r="AU101" s="711">
        <f t="shared" si="58"/>
        <v>19</v>
      </c>
      <c r="AV101" s="711">
        <f t="shared" si="59"/>
        <v>66</v>
      </c>
      <c r="AW101" s="711">
        <f t="shared" si="60"/>
        <v>140</v>
      </c>
      <c r="AX101" s="711">
        <f t="shared" si="61"/>
        <v>84</v>
      </c>
      <c r="AY101" s="711">
        <f t="shared" si="64"/>
        <v>286</v>
      </c>
      <c r="AZ101" s="711">
        <f t="shared" si="65"/>
        <v>396</v>
      </c>
      <c r="BA101" s="711">
        <f t="shared" si="66"/>
        <v>291</v>
      </c>
    </row>
    <row r="102" spans="1:53">
      <c r="A102" s="106">
        <f t="shared" si="47"/>
        <v>91</v>
      </c>
      <c r="B102" s="858">
        <v>42095</v>
      </c>
      <c r="C102" s="859" t="s">
        <v>1725</v>
      </c>
      <c r="D102" s="860">
        <v>4077</v>
      </c>
      <c r="E102" s="860">
        <v>3947</v>
      </c>
      <c r="F102" s="860">
        <v>3879</v>
      </c>
      <c r="G102" s="860">
        <v>3846</v>
      </c>
      <c r="H102" s="860">
        <v>3827</v>
      </c>
      <c r="I102" s="860">
        <v>4081</v>
      </c>
      <c r="J102" s="860">
        <v>4384</v>
      </c>
      <c r="K102" s="860">
        <v>4620</v>
      </c>
      <c r="L102" s="860">
        <v>4698</v>
      </c>
      <c r="M102" s="860">
        <v>4803</v>
      </c>
      <c r="N102" s="860">
        <v>4885</v>
      </c>
      <c r="O102" s="860">
        <v>4927</v>
      </c>
      <c r="P102" s="860">
        <v>4969</v>
      </c>
      <c r="Q102" s="860">
        <v>4958</v>
      </c>
      <c r="R102" s="860">
        <v>4944</v>
      </c>
      <c r="S102" s="860">
        <v>4937</v>
      </c>
      <c r="T102" s="860">
        <v>4939</v>
      </c>
      <c r="U102" s="860">
        <v>4944</v>
      </c>
      <c r="V102" s="860">
        <v>4898</v>
      </c>
      <c r="W102" s="860">
        <v>5030</v>
      </c>
      <c r="X102" s="860">
        <v>5085</v>
      </c>
      <c r="Y102" s="860">
        <v>4819</v>
      </c>
      <c r="Z102" s="860">
        <v>4466</v>
      </c>
      <c r="AA102" s="860">
        <v>4112</v>
      </c>
      <c r="AC102" s="712">
        <f t="shared" si="48"/>
        <v>91</v>
      </c>
      <c r="AD102" s="711">
        <f t="shared" si="49"/>
        <v>130</v>
      </c>
      <c r="AE102" s="711">
        <f t="shared" si="46"/>
        <v>130</v>
      </c>
      <c r="AF102" s="711">
        <f t="shared" si="62"/>
        <v>68</v>
      </c>
      <c r="AG102" s="711">
        <f t="shared" si="63"/>
        <v>33</v>
      </c>
      <c r="AH102" s="711">
        <f t="shared" si="50"/>
        <v>19</v>
      </c>
      <c r="AI102" s="711">
        <f t="shared" si="51"/>
        <v>254</v>
      </c>
      <c r="AJ102" s="711">
        <f t="shared" si="52"/>
        <v>303</v>
      </c>
      <c r="AK102" s="711">
        <f t="shared" si="53"/>
        <v>236</v>
      </c>
      <c r="AL102" s="711">
        <f t="shared" si="54"/>
        <v>78</v>
      </c>
      <c r="AM102" s="711">
        <f t="shared" si="55"/>
        <v>105</v>
      </c>
      <c r="AN102" s="711">
        <f t="shared" si="56"/>
        <v>82</v>
      </c>
      <c r="AO102" s="711">
        <f t="shared" si="56"/>
        <v>42</v>
      </c>
      <c r="AP102" s="711">
        <f t="shared" si="56"/>
        <v>42</v>
      </c>
      <c r="AQ102" s="711">
        <f t="shared" si="56"/>
        <v>11</v>
      </c>
      <c r="AR102" s="711">
        <f t="shared" si="56"/>
        <v>14</v>
      </c>
      <c r="AS102" s="711">
        <f t="shared" si="56"/>
        <v>7</v>
      </c>
      <c r="AT102" s="711">
        <f t="shared" si="57"/>
        <v>2</v>
      </c>
      <c r="AU102" s="711">
        <f t="shared" si="58"/>
        <v>5</v>
      </c>
      <c r="AV102" s="711">
        <f t="shared" si="59"/>
        <v>46</v>
      </c>
      <c r="AW102" s="711">
        <f t="shared" si="60"/>
        <v>132</v>
      </c>
      <c r="AX102" s="711">
        <f t="shared" si="61"/>
        <v>55</v>
      </c>
      <c r="AY102" s="711">
        <f t="shared" si="64"/>
        <v>266</v>
      </c>
      <c r="AZ102" s="711">
        <f t="shared" si="65"/>
        <v>353</v>
      </c>
      <c r="BA102" s="711">
        <f t="shared" si="66"/>
        <v>354</v>
      </c>
    </row>
    <row r="103" spans="1:53">
      <c r="A103" s="106">
        <f t="shared" si="47"/>
        <v>92</v>
      </c>
      <c r="B103" s="858">
        <v>42096</v>
      </c>
      <c r="C103" s="859" t="s">
        <v>1725</v>
      </c>
      <c r="D103" s="860">
        <v>3989</v>
      </c>
      <c r="E103" s="860">
        <v>4010</v>
      </c>
      <c r="F103" s="860">
        <v>3966</v>
      </c>
      <c r="G103" s="860">
        <v>3867</v>
      </c>
      <c r="H103" s="860">
        <v>3869</v>
      </c>
      <c r="I103" s="860">
        <v>4092</v>
      </c>
      <c r="J103" s="860">
        <v>4552</v>
      </c>
      <c r="K103" s="860">
        <v>4846</v>
      </c>
      <c r="L103" s="860">
        <v>4978</v>
      </c>
      <c r="M103" s="860">
        <v>4995</v>
      </c>
      <c r="N103" s="860">
        <v>4973</v>
      </c>
      <c r="O103" s="860">
        <v>4970</v>
      </c>
      <c r="P103" s="860">
        <v>5043</v>
      </c>
      <c r="Q103" s="860">
        <v>5122</v>
      </c>
      <c r="R103" s="860">
        <v>5164</v>
      </c>
      <c r="S103" s="860">
        <v>5220</v>
      </c>
      <c r="T103" s="860">
        <v>5286</v>
      </c>
      <c r="U103" s="860">
        <v>5321</v>
      </c>
      <c r="V103" s="860">
        <v>5425</v>
      </c>
      <c r="W103" s="860">
        <v>5394</v>
      </c>
      <c r="X103" s="860">
        <v>5384</v>
      </c>
      <c r="Y103" s="860">
        <v>5087</v>
      </c>
      <c r="Z103" s="860">
        <v>4868</v>
      </c>
      <c r="AA103" s="860">
        <v>4617</v>
      </c>
      <c r="AB103" s="711">
        <f>MAX(D102:AA131)</f>
        <v>5425</v>
      </c>
      <c r="AC103" s="712">
        <f t="shared" si="48"/>
        <v>92</v>
      </c>
      <c r="AD103" s="711">
        <f t="shared" si="49"/>
        <v>123</v>
      </c>
      <c r="AE103" s="711">
        <f t="shared" si="46"/>
        <v>21</v>
      </c>
      <c r="AF103" s="711">
        <f t="shared" si="62"/>
        <v>44</v>
      </c>
      <c r="AG103" s="711">
        <f t="shared" si="63"/>
        <v>99</v>
      </c>
      <c r="AH103" s="711">
        <f t="shared" si="50"/>
        <v>2</v>
      </c>
      <c r="AI103" s="711">
        <f t="shared" si="51"/>
        <v>223</v>
      </c>
      <c r="AJ103" s="711">
        <f t="shared" si="52"/>
        <v>460</v>
      </c>
      <c r="AK103" s="711">
        <f t="shared" si="53"/>
        <v>294</v>
      </c>
      <c r="AL103" s="711">
        <f t="shared" si="54"/>
        <v>132</v>
      </c>
      <c r="AM103" s="711">
        <f t="shared" si="55"/>
        <v>17</v>
      </c>
      <c r="AN103" s="711">
        <f t="shared" si="56"/>
        <v>22</v>
      </c>
      <c r="AO103" s="711">
        <f t="shared" si="56"/>
        <v>3</v>
      </c>
      <c r="AP103" s="711">
        <f t="shared" si="56"/>
        <v>73</v>
      </c>
      <c r="AQ103" s="711">
        <f t="shared" si="56"/>
        <v>79</v>
      </c>
      <c r="AR103" s="711">
        <f t="shared" si="56"/>
        <v>42</v>
      </c>
      <c r="AS103" s="711">
        <f t="shared" si="56"/>
        <v>56</v>
      </c>
      <c r="AT103" s="711">
        <f t="shared" si="57"/>
        <v>66</v>
      </c>
      <c r="AU103" s="711">
        <f t="shared" si="58"/>
        <v>35</v>
      </c>
      <c r="AV103" s="711">
        <f t="shared" si="59"/>
        <v>104</v>
      </c>
      <c r="AW103" s="711">
        <f t="shared" si="60"/>
        <v>31</v>
      </c>
      <c r="AX103" s="711">
        <f t="shared" si="61"/>
        <v>10</v>
      </c>
      <c r="AY103" s="711">
        <f t="shared" si="64"/>
        <v>297</v>
      </c>
      <c r="AZ103" s="711">
        <f t="shared" si="65"/>
        <v>219</v>
      </c>
      <c r="BA103" s="711">
        <f t="shared" si="66"/>
        <v>251</v>
      </c>
    </row>
    <row r="104" spans="1:53">
      <c r="A104" s="106">
        <f t="shared" si="47"/>
        <v>93</v>
      </c>
      <c r="B104" s="858">
        <v>42097</v>
      </c>
      <c r="C104" s="859" t="s">
        <v>1725</v>
      </c>
      <c r="D104" s="860">
        <v>4263</v>
      </c>
      <c r="E104" s="860">
        <v>4065</v>
      </c>
      <c r="F104" s="860">
        <v>3994</v>
      </c>
      <c r="G104" s="860">
        <v>3997</v>
      </c>
      <c r="H104" s="860">
        <v>4166</v>
      </c>
      <c r="I104" s="860">
        <v>4465</v>
      </c>
      <c r="J104" s="860">
        <v>4776</v>
      </c>
      <c r="K104" s="860">
        <v>4945</v>
      </c>
      <c r="L104" s="860">
        <v>5027</v>
      </c>
      <c r="M104" s="860">
        <v>5044</v>
      </c>
      <c r="N104" s="860">
        <v>5007</v>
      </c>
      <c r="O104" s="860">
        <v>4909</v>
      </c>
      <c r="P104" s="860">
        <v>4792</v>
      </c>
      <c r="Q104" s="860">
        <v>4713</v>
      </c>
      <c r="R104" s="860">
        <v>4657</v>
      </c>
      <c r="S104" s="860">
        <v>4584</v>
      </c>
      <c r="T104" s="860">
        <v>4588</v>
      </c>
      <c r="U104" s="860">
        <v>4623</v>
      </c>
      <c r="V104" s="860">
        <v>4627</v>
      </c>
      <c r="W104" s="860">
        <v>4820</v>
      </c>
      <c r="X104" s="860">
        <v>4957</v>
      </c>
      <c r="Y104" s="860">
        <v>4842</v>
      </c>
      <c r="Z104" s="860">
        <v>4558</v>
      </c>
      <c r="AA104" s="860">
        <v>4269</v>
      </c>
      <c r="AC104" s="712">
        <f t="shared" si="48"/>
        <v>93</v>
      </c>
      <c r="AD104" s="711">
        <f t="shared" si="49"/>
        <v>354</v>
      </c>
      <c r="AE104" s="711">
        <f t="shared" si="46"/>
        <v>198</v>
      </c>
      <c r="AF104" s="711">
        <f t="shared" si="62"/>
        <v>71</v>
      </c>
      <c r="AG104" s="711">
        <f t="shared" si="63"/>
        <v>3</v>
      </c>
      <c r="AH104" s="711">
        <f t="shared" si="50"/>
        <v>169</v>
      </c>
      <c r="AI104" s="711">
        <f t="shared" si="51"/>
        <v>299</v>
      </c>
      <c r="AJ104" s="711">
        <f t="shared" si="52"/>
        <v>311</v>
      </c>
      <c r="AK104" s="711">
        <f t="shared" si="53"/>
        <v>169</v>
      </c>
      <c r="AL104" s="711">
        <f t="shared" si="54"/>
        <v>82</v>
      </c>
      <c r="AM104" s="711">
        <f t="shared" si="55"/>
        <v>17</v>
      </c>
      <c r="AN104" s="711">
        <f t="shared" si="56"/>
        <v>37</v>
      </c>
      <c r="AO104" s="711">
        <f t="shared" si="56"/>
        <v>98</v>
      </c>
      <c r="AP104" s="711">
        <f t="shared" si="56"/>
        <v>117</v>
      </c>
      <c r="AQ104" s="711">
        <f t="shared" si="56"/>
        <v>79</v>
      </c>
      <c r="AR104" s="711">
        <f t="shared" si="56"/>
        <v>56</v>
      </c>
      <c r="AS104" s="711">
        <f t="shared" si="56"/>
        <v>73</v>
      </c>
      <c r="AT104" s="711">
        <f t="shared" si="57"/>
        <v>4</v>
      </c>
      <c r="AU104" s="711">
        <f t="shared" si="58"/>
        <v>35</v>
      </c>
      <c r="AV104" s="711">
        <f t="shared" si="59"/>
        <v>4</v>
      </c>
      <c r="AW104" s="711">
        <f t="shared" si="60"/>
        <v>193</v>
      </c>
      <c r="AX104" s="711">
        <f t="shared" si="61"/>
        <v>137</v>
      </c>
      <c r="AY104" s="711">
        <f t="shared" si="64"/>
        <v>115</v>
      </c>
      <c r="AZ104" s="711">
        <f t="shared" si="65"/>
        <v>284</v>
      </c>
      <c r="BA104" s="711">
        <f t="shared" si="66"/>
        <v>289</v>
      </c>
    </row>
    <row r="105" spans="1:53">
      <c r="A105" s="106">
        <f t="shared" si="47"/>
        <v>94</v>
      </c>
      <c r="B105" s="858">
        <v>42098</v>
      </c>
      <c r="C105" s="859" t="s">
        <v>1725</v>
      </c>
      <c r="D105" s="860">
        <v>4242</v>
      </c>
      <c r="E105" s="860">
        <v>4226</v>
      </c>
      <c r="F105" s="860">
        <v>4162</v>
      </c>
      <c r="G105" s="860">
        <v>4027</v>
      </c>
      <c r="H105" s="860">
        <v>4077</v>
      </c>
      <c r="I105" s="860">
        <v>4222</v>
      </c>
      <c r="J105" s="860">
        <v>4400</v>
      </c>
      <c r="K105" s="860">
        <v>4503</v>
      </c>
      <c r="L105" s="860">
        <v>4568</v>
      </c>
      <c r="M105" s="860">
        <v>4519</v>
      </c>
      <c r="N105" s="860">
        <v>4490</v>
      </c>
      <c r="O105" s="860">
        <v>4429</v>
      </c>
      <c r="P105" s="860">
        <v>4345</v>
      </c>
      <c r="Q105" s="860">
        <v>4284</v>
      </c>
      <c r="R105" s="860">
        <v>4355</v>
      </c>
      <c r="S105" s="860">
        <v>4380</v>
      </c>
      <c r="T105" s="860">
        <v>4427</v>
      </c>
      <c r="U105" s="860">
        <v>4527</v>
      </c>
      <c r="V105" s="860">
        <v>4523</v>
      </c>
      <c r="W105" s="860">
        <v>4655</v>
      </c>
      <c r="X105" s="860">
        <v>4807</v>
      </c>
      <c r="Y105" s="860">
        <v>4636</v>
      </c>
      <c r="Z105" s="860">
        <v>4376</v>
      </c>
      <c r="AA105" s="860">
        <v>4066</v>
      </c>
      <c r="AC105" s="712">
        <f t="shared" si="48"/>
        <v>94</v>
      </c>
      <c r="AD105" s="711">
        <f t="shared" si="49"/>
        <v>27</v>
      </c>
      <c r="AE105" s="711">
        <f t="shared" si="46"/>
        <v>16</v>
      </c>
      <c r="AF105" s="711">
        <f t="shared" si="62"/>
        <v>64</v>
      </c>
      <c r="AG105" s="711">
        <f t="shared" si="63"/>
        <v>135</v>
      </c>
      <c r="AH105" s="711">
        <f t="shared" si="50"/>
        <v>50</v>
      </c>
      <c r="AI105" s="711">
        <f t="shared" si="51"/>
        <v>145</v>
      </c>
      <c r="AJ105" s="711">
        <f t="shared" si="52"/>
        <v>178</v>
      </c>
      <c r="AK105" s="711">
        <f t="shared" si="53"/>
        <v>103</v>
      </c>
      <c r="AL105" s="711">
        <f t="shared" si="54"/>
        <v>65</v>
      </c>
      <c r="AM105" s="711">
        <f t="shared" si="55"/>
        <v>49</v>
      </c>
      <c r="AN105" s="711">
        <f t="shared" si="56"/>
        <v>29</v>
      </c>
      <c r="AO105" s="711">
        <f t="shared" si="56"/>
        <v>61</v>
      </c>
      <c r="AP105" s="711">
        <f t="shared" si="56"/>
        <v>84</v>
      </c>
      <c r="AQ105" s="711">
        <f t="shared" si="56"/>
        <v>61</v>
      </c>
      <c r="AR105" s="711">
        <f t="shared" si="56"/>
        <v>71</v>
      </c>
      <c r="AS105" s="711">
        <f t="shared" si="56"/>
        <v>25</v>
      </c>
      <c r="AT105" s="711">
        <f t="shared" si="57"/>
        <v>47</v>
      </c>
      <c r="AU105" s="711">
        <f t="shared" si="58"/>
        <v>100</v>
      </c>
      <c r="AV105" s="711">
        <f t="shared" si="59"/>
        <v>4</v>
      </c>
      <c r="AW105" s="711">
        <f t="shared" si="60"/>
        <v>132</v>
      </c>
      <c r="AX105" s="711">
        <f t="shared" si="61"/>
        <v>152</v>
      </c>
      <c r="AY105" s="711">
        <f t="shared" si="64"/>
        <v>171</v>
      </c>
      <c r="AZ105" s="711">
        <f t="shared" si="65"/>
        <v>260</v>
      </c>
      <c r="BA105" s="711">
        <f t="shared" si="66"/>
        <v>310</v>
      </c>
    </row>
    <row r="106" spans="1:53">
      <c r="A106" s="106">
        <f t="shared" si="47"/>
        <v>95</v>
      </c>
      <c r="B106" s="858">
        <v>42099</v>
      </c>
      <c r="C106" s="859" t="s">
        <v>1725</v>
      </c>
      <c r="D106" s="860">
        <v>3855</v>
      </c>
      <c r="E106" s="860">
        <v>3725</v>
      </c>
      <c r="F106" s="860">
        <v>3694</v>
      </c>
      <c r="G106" s="860">
        <v>3674</v>
      </c>
      <c r="H106" s="860">
        <v>3714</v>
      </c>
      <c r="I106" s="860">
        <v>3934</v>
      </c>
      <c r="J106" s="860">
        <v>3952</v>
      </c>
      <c r="K106" s="860">
        <v>4095</v>
      </c>
      <c r="L106" s="860">
        <v>4199</v>
      </c>
      <c r="M106" s="860">
        <v>4246</v>
      </c>
      <c r="N106" s="860">
        <v>4285</v>
      </c>
      <c r="O106" s="860">
        <v>4356</v>
      </c>
      <c r="P106" s="860">
        <v>4298</v>
      </c>
      <c r="Q106" s="860">
        <v>4265</v>
      </c>
      <c r="R106" s="860">
        <v>4241</v>
      </c>
      <c r="S106" s="860">
        <v>4261</v>
      </c>
      <c r="T106" s="860">
        <v>4331</v>
      </c>
      <c r="U106" s="860">
        <v>4427</v>
      </c>
      <c r="V106" s="860">
        <v>4519</v>
      </c>
      <c r="W106" s="860">
        <v>4668</v>
      </c>
      <c r="X106" s="860">
        <v>4765</v>
      </c>
      <c r="Y106" s="860">
        <v>4556</v>
      </c>
      <c r="Z106" s="860">
        <v>4182</v>
      </c>
      <c r="AA106" s="860">
        <v>3870</v>
      </c>
      <c r="AC106" s="712">
        <f t="shared" si="48"/>
        <v>95</v>
      </c>
      <c r="AD106" s="711">
        <f t="shared" si="49"/>
        <v>211</v>
      </c>
      <c r="AE106" s="711">
        <f t="shared" si="46"/>
        <v>130</v>
      </c>
      <c r="AF106" s="711">
        <f t="shared" si="62"/>
        <v>31</v>
      </c>
      <c r="AG106" s="711">
        <f t="shared" si="63"/>
        <v>20</v>
      </c>
      <c r="AH106" s="711">
        <f t="shared" si="50"/>
        <v>40</v>
      </c>
      <c r="AI106" s="711">
        <f t="shared" si="51"/>
        <v>220</v>
      </c>
      <c r="AJ106" s="711">
        <f t="shared" si="52"/>
        <v>18</v>
      </c>
      <c r="AK106" s="711">
        <f t="shared" si="53"/>
        <v>143</v>
      </c>
      <c r="AL106" s="711">
        <f t="shared" si="54"/>
        <v>104</v>
      </c>
      <c r="AM106" s="711">
        <f t="shared" si="55"/>
        <v>47</v>
      </c>
      <c r="AN106" s="711">
        <f t="shared" si="56"/>
        <v>39</v>
      </c>
      <c r="AO106" s="711">
        <f t="shared" si="56"/>
        <v>71</v>
      </c>
      <c r="AP106" s="711">
        <f t="shared" si="56"/>
        <v>58</v>
      </c>
      <c r="AQ106" s="711">
        <f t="shared" si="56"/>
        <v>33</v>
      </c>
      <c r="AR106" s="711">
        <f t="shared" si="56"/>
        <v>24</v>
      </c>
      <c r="AS106" s="711">
        <f t="shared" si="56"/>
        <v>20</v>
      </c>
      <c r="AT106" s="711">
        <f t="shared" si="57"/>
        <v>70</v>
      </c>
      <c r="AU106" s="711">
        <f t="shared" si="58"/>
        <v>96</v>
      </c>
      <c r="AV106" s="711">
        <f t="shared" si="59"/>
        <v>92</v>
      </c>
      <c r="AW106" s="711">
        <f t="shared" si="60"/>
        <v>149</v>
      </c>
      <c r="AX106" s="711">
        <f t="shared" si="61"/>
        <v>97</v>
      </c>
      <c r="AY106" s="711">
        <f t="shared" si="64"/>
        <v>209</v>
      </c>
      <c r="AZ106" s="711">
        <f t="shared" si="65"/>
        <v>374</v>
      </c>
      <c r="BA106" s="711">
        <f t="shared" si="66"/>
        <v>312</v>
      </c>
    </row>
    <row r="107" spans="1:53">
      <c r="A107" s="106">
        <f t="shared" si="47"/>
        <v>96</v>
      </c>
      <c r="B107" s="858">
        <v>42100</v>
      </c>
      <c r="C107" s="859" t="s">
        <v>1725</v>
      </c>
      <c r="D107" s="860">
        <v>3687</v>
      </c>
      <c r="E107" s="860">
        <v>3625</v>
      </c>
      <c r="F107" s="860">
        <v>3672</v>
      </c>
      <c r="G107" s="860">
        <v>3567</v>
      </c>
      <c r="H107" s="860">
        <v>3698</v>
      </c>
      <c r="I107" s="860">
        <v>3999</v>
      </c>
      <c r="J107" s="860">
        <v>4463</v>
      </c>
      <c r="K107" s="860">
        <v>4594</v>
      </c>
      <c r="L107" s="860">
        <v>4636</v>
      </c>
      <c r="M107" s="860">
        <v>4707</v>
      </c>
      <c r="N107" s="860">
        <v>4762</v>
      </c>
      <c r="O107" s="860">
        <v>4781</v>
      </c>
      <c r="P107" s="860">
        <v>4803</v>
      </c>
      <c r="Q107" s="860">
        <v>4827</v>
      </c>
      <c r="R107" s="860">
        <v>4883</v>
      </c>
      <c r="S107" s="860">
        <v>4885</v>
      </c>
      <c r="T107" s="860">
        <v>4916</v>
      </c>
      <c r="U107" s="860">
        <v>4924</v>
      </c>
      <c r="V107" s="860">
        <v>4907</v>
      </c>
      <c r="W107" s="860">
        <v>5047</v>
      </c>
      <c r="X107" s="860">
        <v>5138</v>
      </c>
      <c r="Y107" s="860">
        <v>4823</v>
      </c>
      <c r="Z107" s="860">
        <v>4390</v>
      </c>
      <c r="AA107" s="860">
        <v>4136</v>
      </c>
      <c r="AC107" s="712">
        <f t="shared" si="48"/>
        <v>96</v>
      </c>
      <c r="AD107" s="711">
        <f t="shared" si="49"/>
        <v>183</v>
      </c>
      <c r="AE107" s="711">
        <f t="shared" si="46"/>
        <v>62</v>
      </c>
      <c r="AF107" s="711">
        <f t="shared" si="62"/>
        <v>47</v>
      </c>
      <c r="AG107" s="711">
        <f t="shared" si="63"/>
        <v>105</v>
      </c>
      <c r="AH107" s="711">
        <f t="shared" si="50"/>
        <v>131</v>
      </c>
      <c r="AI107" s="711">
        <f t="shared" si="51"/>
        <v>301</v>
      </c>
      <c r="AJ107" s="711">
        <f t="shared" si="52"/>
        <v>464</v>
      </c>
      <c r="AK107" s="711">
        <f t="shared" si="53"/>
        <v>131</v>
      </c>
      <c r="AL107" s="711">
        <f t="shared" si="54"/>
        <v>42</v>
      </c>
      <c r="AM107" s="711">
        <f t="shared" si="55"/>
        <v>71</v>
      </c>
      <c r="AN107" s="711">
        <f t="shared" si="56"/>
        <v>55</v>
      </c>
      <c r="AO107" s="711">
        <f t="shared" si="56"/>
        <v>19</v>
      </c>
      <c r="AP107" s="711">
        <f t="shared" si="56"/>
        <v>22</v>
      </c>
      <c r="AQ107" s="711">
        <f t="shared" si="56"/>
        <v>24</v>
      </c>
      <c r="AR107" s="711">
        <f t="shared" si="56"/>
        <v>56</v>
      </c>
      <c r="AS107" s="711">
        <f t="shared" si="56"/>
        <v>2</v>
      </c>
      <c r="AT107" s="711">
        <f t="shared" si="57"/>
        <v>31</v>
      </c>
      <c r="AU107" s="711">
        <f t="shared" si="58"/>
        <v>8</v>
      </c>
      <c r="AV107" s="711">
        <f t="shared" si="59"/>
        <v>17</v>
      </c>
      <c r="AW107" s="711">
        <f t="shared" si="60"/>
        <v>140</v>
      </c>
      <c r="AX107" s="711">
        <f t="shared" si="61"/>
        <v>91</v>
      </c>
      <c r="AY107" s="711">
        <f t="shared" si="64"/>
        <v>315</v>
      </c>
      <c r="AZ107" s="711">
        <f t="shared" si="65"/>
        <v>433</v>
      </c>
      <c r="BA107" s="711">
        <f t="shared" si="66"/>
        <v>254</v>
      </c>
    </row>
    <row r="108" spans="1:53">
      <c r="A108" s="106">
        <f t="shared" si="47"/>
        <v>97</v>
      </c>
      <c r="B108" s="858">
        <v>42101</v>
      </c>
      <c r="C108" s="859" t="s">
        <v>1725</v>
      </c>
      <c r="D108" s="860">
        <v>4025</v>
      </c>
      <c r="E108" s="860">
        <v>3908</v>
      </c>
      <c r="F108" s="860">
        <v>3849</v>
      </c>
      <c r="G108" s="860">
        <v>3726</v>
      </c>
      <c r="H108" s="860">
        <v>3806</v>
      </c>
      <c r="I108" s="860">
        <v>4021</v>
      </c>
      <c r="J108" s="860">
        <v>4477</v>
      </c>
      <c r="K108" s="860">
        <v>4729</v>
      </c>
      <c r="L108" s="860">
        <v>4830</v>
      </c>
      <c r="M108" s="860">
        <v>4812</v>
      </c>
      <c r="N108" s="860">
        <v>4817</v>
      </c>
      <c r="O108" s="860">
        <v>4794</v>
      </c>
      <c r="P108" s="860">
        <v>4777</v>
      </c>
      <c r="Q108" s="860">
        <v>4803</v>
      </c>
      <c r="R108" s="860">
        <v>4800</v>
      </c>
      <c r="S108" s="860">
        <v>4779</v>
      </c>
      <c r="T108" s="860">
        <v>4800</v>
      </c>
      <c r="U108" s="860">
        <v>4826</v>
      </c>
      <c r="V108" s="860">
        <v>4844</v>
      </c>
      <c r="W108" s="860">
        <v>4998</v>
      </c>
      <c r="X108" s="860">
        <v>5115</v>
      </c>
      <c r="Y108" s="860">
        <v>4841</v>
      </c>
      <c r="Z108" s="860">
        <v>4405</v>
      </c>
      <c r="AA108" s="860">
        <v>4179</v>
      </c>
      <c r="AC108" s="712">
        <f t="shared" si="48"/>
        <v>97</v>
      </c>
      <c r="AD108" s="711">
        <f t="shared" si="49"/>
        <v>111</v>
      </c>
      <c r="AE108" s="711">
        <f t="shared" ref="AE108:AE139" si="67">ABS(E108-D108)</f>
        <v>117</v>
      </c>
      <c r="AF108" s="711">
        <f t="shared" si="62"/>
        <v>59</v>
      </c>
      <c r="AG108" s="711">
        <f t="shared" si="63"/>
        <v>123</v>
      </c>
      <c r="AH108" s="711">
        <f t="shared" si="50"/>
        <v>80</v>
      </c>
      <c r="AI108" s="711">
        <f t="shared" si="51"/>
        <v>215</v>
      </c>
      <c r="AJ108" s="711">
        <f t="shared" si="52"/>
        <v>456</v>
      </c>
      <c r="AK108" s="711">
        <f t="shared" si="53"/>
        <v>252</v>
      </c>
      <c r="AL108" s="711">
        <f t="shared" si="54"/>
        <v>101</v>
      </c>
      <c r="AM108" s="711">
        <f t="shared" si="55"/>
        <v>18</v>
      </c>
      <c r="AN108" s="711">
        <f t="shared" si="56"/>
        <v>5</v>
      </c>
      <c r="AO108" s="711">
        <f t="shared" si="56"/>
        <v>23</v>
      </c>
      <c r="AP108" s="711">
        <f t="shared" si="56"/>
        <v>17</v>
      </c>
      <c r="AQ108" s="711">
        <f t="shared" si="56"/>
        <v>26</v>
      </c>
      <c r="AR108" s="711">
        <f t="shared" si="56"/>
        <v>3</v>
      </c>
      <c r="AS108" s="711">
        <f t="shared" si="56"/>
        <v>21</v>
      </c>
      <c r="AT108" s="711">
        <f t="shared" si="57"/>
        <v>21</v>
      </c>
      <c r="AU108" s="711">
        <f t="shared" si="58"/>
        <v>26</v>
      </c>
      <c r="AV108" s="711">
        <f t="shared" si="59"/>
        <v>18</v>
      </c>
      <c r="AW108" s="711">
        <f t="shared" si="60"/>
        <v>154</v>
      </c>
      <c r="AX108" s="711">
        <f t="shared" si="61"/>
        <v>117</v>
      </c>
      <c r="AY108" s="711">
        <f t="shared" si="64"/>
        <v>274</v>
      </c>
      <c r="AZ108" s="711">
        <f t="shared" si="65"/>
        <v>436</v>
      </c>
      <c r="BA108" s="711">
        <f t="shared" si="66"/>
        <v>226</v>
      </c>
    </row>
    <row r="109" spans="1:53">
      <c r="A109" s="106">
        <f t="shared" si="47"/>
        <v>98</v>
      </c>
      <c r="B109" s="858">
        <v>42102</v>
      </c>
      <c r="C109" s="859" t="s">
        <v>1725</v>
      </c>
      <c r="D109" s="860">
        <v>4097</v>
      </c>
      <c r="E109" s="860">
        <v>3976</v>
      </c>
      <c r="F109" s="860">
        <v>3918</v>
      </c>
      <c r="G109" s="860">
        <v>3883</v>
      </c>
      <c r="H109" s="860">
        <v>3895</v>
      </c>
      <c r="I109" s="860">
        <v>4158</v>
      </c>
      <c r="J109" s="860">
        <v>4548</v>
      </c>
      <c r="K109" s="860">
        <v>4723</v>
      </c>
      <c r="L109" s="860">
        <v>4777</v>
      </c>
      <c r="M109" s="860">
        <v>4790</v>
      </c>
      <c r="N109" s="860">
        <v>4776</v>
      </c>
      <c r="O109" s="860">
        <v>4776</v>
      </c>
      <c r="P109" s="860">
        <v>4749</v>
      </c>
      <c r="Q109" s="860">
        <v>4882</v>
      </c>
      <c r="R109" s="860">
        <v>4864</v>
      </c>
      <c r="S109" s="860">
        <v>4825</v>
      </c>
      <c r="T109" s="860">
        <v>4829</v>
      </c>
      <c r="U109" s="860">
        <v>4882</v>
      </c>
      <c r="V109" s="860">
        <v>4924</v>
      </c>
      <c r="W109" s="860">
        <v>5084</v>
      </c>
      <c r="X109" s="860">
        <v>5139</v>
      </c>
      <c r="Y109" s="860">
        <v>4891</v>
      </c>
      <c r="Z109" s="860">
        <v>4578</v>
      </c>
      <c r="AA109" s="860">
        <v>4242</v>
      </c>
      <c r="AC109" s="712">
        <f t="shared" si="48"/>
        <v>98</v>
      </c>
      <c r="AD109" s="711">
        <f t="shared" si="49"/>
        <v>82</v>
      </c>
      <c r="AE109" s="711">
        <f t="shared" si="67"/>
        <v>121</v>
      </c>
      <c r="AF109" s="711">
        <f t="shared" si="62"/>
        <v>58</v>
      </c>
      <c r="AG109" s="711">
        <f t="shared" si="63"/>
        <v>35</v>
      </c>
      <c r="AH109" s="711">
        <f t="shared" si="50"/>
        <v>12</v>
      </c>
      <c r="AI109" s="711">
        <f t="shared" si="51"/>
        <v>263</v>
      </c>
      <c r="AJ109" s="711">
        <f t="shared" si="52"/>
        <v>390</v>
      </c>
      <c r="AK109" s="711">
        <f t="shared" si="53"/>
        <v>175</v>
      </c>
      <c r="AL109" s="711">
        <f t="shared" si="54"/>
        <v>54</v>
      </c>
      <c r="AM109" s="711">
        <f t="shared" si="55"/>
        <v>13</v>
      </c>
      <c r="AN109" s="711">
        <f t="shared" si="56"/>
        <v>14</v>
      </c>
      <c r="AO109" s="711">
        <f t="shared" si="56"/>
        <v>0</v>
      </c>
      <c r="AP109" s="711">
        <f t="shared" si="56"/>
        <v>27</v>
      </c>
      <c r="AQ109" s="711">
        <f t="shared" si="56"/>
        <v>133</v>
      </c>
      <c r="AR109" s="711">
        <f t="shared" si="56"/>
        <v>18</v>
      </c>
      <c r="AS109" s="711">
        <f t="shared" si="56"/>
        <v>39</v>
      </c>
      <c r="AT109" s="711">
        <f t="shared" si="57"/>
        <v>4</v>
      </c>
      <c r="AU109" s="711">
        <f t="shared" si="58"/>
        <v>53</v>
      </c>
      <c r="AV109" s="711">
        <f t="shared" si="59"/>
        <v>42</v>
      </c>
      <c r="AW109" s="711">
        <f t="shared" si="60"/>
        <v>160</v>
      </c>
      <c r="AX109" s="711">
        <f t="shared" si="61"/>
        <v>55</v>
      </c>
      <c r="AY109" s="711">
        <f t="shared" si="64"/>
        <v>248</v>
      </c>
      <c r="AZ109" s="711">
        <f t="shared" si="65"/>
        <v>313</v>
      </c>
      <c r="BA109" s="711">
        <f t="shared" si="66"/>
        <v>336</v>
      </c>
    </row>
    <row r="110" spans="1:53">
      <c r="A110" s="106">
        <f t="shared" si="47"/>
        <v>99</v>
      </c>
      <c r="B110" s="858">
        <v>42103</v>
      </c>
      <c r="C110" s="859" t="s">
        <v>1725</v>
      </c>
      <c r="D110" s="860">
        <v>4157</v>
      </c>
      <c r="E110" s="860">
        <v>4080</v>
      </c>
      <c r="F110" s="860">
        <v>4038</v>
      </c>
      <c r="G110" s="860">
        <v>4011</v>
      </c>
      <c r="H110" s="860">
        <v>4027</v>
      </c>
      <c r="I110" s="860">
        <v>4330</v>
      </c>
      <c r="J110" s="860">
        <v>4726</v>
      </c>
      <c r="K110" s="860">
        <v>4924</v>
      </c>
      <c r="L110" s="860">
        <v>4980</v>
      </c>
      <c r="M110" s="860">
        <v>5034</v>
      </c>
      <c r="N110" s="860">
        <v>5037</v>
      </c>
      <c r="O110" s="860">
        <v>5001</v>
      </c>
      <c r="P110" s="860">
        <v>4912</v>
      </c>
      <c r="Q110" s="860">
        <v>4825</v>
      </c>
      <c r="R110" s="860">
        <v>4754</v>
      </c>
      <c r="S110" s="860">
        <v>4713</v>
      </c>
      <c r="T110" s="860">
        <v>4721</v>
      </c>
      <c r="U110" s="860">
        <v>4733</v>
      </c>
      <c r="V110" s="860">
        <v>4786</v>
      </c>
      <c r="W110" s="860">
        <v>4991</v>
      </c>
      <c r="X110" s="860">
        <v>5133</v>
      </c>
      <c r="Y110" s="860">
        <v>4895</v>
      </c>
      <c r="Z110" s="860">
        <v>4488</v>
      </c>
      <c r="AA110" s="860">
        <v>4188</v>
      </c>
      <c r="AC110" s="712">
        <f t="shared" si="48"/>
        <v>99</v>
      </c>
      <c r="AD110" s="711">
        <f t="shared" si="49"/>
        <v>85</v>
      </c>
      <c r="AE110" s="711">
        <f t="shared" si="67"/>
        <v>77</v>
      </c>
      <c r="AF110" s="711">
        <f t="shared" si="62"/>
        <v>42</v>
      </c>
      <c r="AG110" s="711">
        <f t="shared" si="63"/>
        <v>27</v>
      </c>
      <c r="AH110" s="711">
        <f t="shared" si="50"/>
        <v>16</v>
      </c>
      <c r="AI110" s="711">
        <f t="shared" si="51"/>
        <v>303</v>
      </c>
      <c r="AJ110" s="711">
        <f t="shared" si="52"/>
        <v>396</v>
      </c>
      <c r="AK110" s="711">
        <f t="shared" si="53"/>
        <v>198</v>
      </c>
      <c r="AL110" s="711">
        <f t="shared" si="54"/>
        <v>56</v>
      </c>
      <c r="AM110" s="711">
        <f t="shared" si="55"/>
        <v>54</v>
      </c>
      <c r="AN110" s="711">
        <f t="shared" si="56"/>
        <v>3</v>
      </c>
      <c r="AO110" s="711">
        <f t="shared" si="56"/>
        <v>36</v>
      </c>
      <c r="AP110" s="711">
        <f t="shared" si="56"/>
        <v>89</v>
      </c>
      <c r="AQ110" s="711">
        <f t="shared" si="56"/>
        <v>87</v>
      </c>
      <c r="AR110" s="711">
        <f t="shared" si="56"/>
        <v>71</v>
      </c>
      <c r="AS110" s="711">
        <f t="shared" si="56"/>
        <v>41</v>
      </c>
      <c r="AT110" s="711">
        <f t="shared" si="57"/>
        <v>8</v>
      </c>
      <c r="AU110" s="711">
        <f t="shared" si="58"/>
        <v>12</v>
      </c>
      <c r="AV110" s="711">
        <f t="shared" si="59"/>
        <v>53</v>
      </c>
      <c r="AW110" s="711">
        <f t="shared" si="60"/>
        <v>205</v>
      </c>
      <c r="AX110" s="711">
        <f t="shared" si="61"/>
        <v>142</v>
      </c>
      <c r="AY110" s="711">
        <f t="shared" si="64"/>
        <v>238</v>
      </c>
      <c r="AZ110" s="711">
        <f t="shared" si="65"/>
        <v>407</v>
      </c>
      <c r="BA110" s="711">
        <f t="shared" si="66"/>
        <v>300</v>
      </c>
    </row>
    <row r="111" spans="1:53">
      <c r="A111" s="106">
        <f t="shared" si="47"/>
        <v>100</v>
      </c>
      <c r="B111" s="858">
        <v>42104</v>
      </c>
      <c r="C111" s="859" t="s">
        <v>1725</v>
      </c>
      <c r="D111" s="860">
        <v>4110</v>
      </c>
      <c r="E111" s="860">
        <v>4113</v>
      </c>
      <c r="F111" s="860">
        <v>4080</v>
      </c>
      <c r="G111" s="860">
        <v>4090</v>
      </c>
      <c r="H111" s="860">
        <v>4077</v>
      </c>
      <c r="I111" s="860">
        <v>4329</v>
      </c>
      <c r="J111" s="860">
        <v>4662</v>
      </c>
      <c r="K111" s="860">
        <v>4813</v>
      </c>
      <c r="L111" s="860">
        <v>4782</v>
      </c>
      <c r="M111" s="860">
        <v>4736</v>
      </c>
      <c r="N111" s="860">
        <v>4726</v>
      </c>
      <c r="O111" s="860">
        <v>4771</v>
      </c>
      <c r="P111" s="860">
        <v>4753</v>
      </c>
      <c r="Q111" s="860">
        <v>4722</v>
      </c>
      <c r="R111" s="860">
        <v>4722</v>
      </c>
      <c r="S111" s="860">
        <v>4728</v>
      </c>
      <c r="T111" s="860">
        <v>4734</v>
      </c>
      <c r="U111" s="860">
        <v>4726</v>
      </c>
      <c r="V111" s="860">
        <v>4656</v>
      </c>
      <c r="W111" s="860">
        <v>4738</v>
      </c>
      <c r="X111" s="860">
        <v>4859</v>
      </c>
      <c r="Y111" s="860">
        <v>4682</v>
      </c>
      <c r="Z111" s="860">
        <v>4496</v>
      </c>
      <c r="AA111" s="860">
        <v>4306</v>
      </c>
      <c r="AC111" s="712">
        <f t="shared" si="48"/>
        <v>100</v>
      </c>
      <c r="AD111" s="711">
        <f t="shared" si="49"/>
        <v>78</v>
      </c>
      <c r="AE111" s="711">
        <f t="shared" si="67"/>
        <v>3</v>
      </c>
      <c r="AF111" s="711">
        <f t="shared" si="62"/>
        <v>33</v>
      </c>
      <c r="AG111" s="711">
        <f t="shared" si="63"/>
        <v>10</v>
      </c>
      <c r="AH111" s="711">
        <f t="shared" si="50"/>
        <v>13</v>
      </c>
      <c r="AI111" s="711">
        <f t="shared" si="51"/>
        <v>252</v>
      </c>
      <c r="AJ111" s="711">
        <f t="shared" si="52"/>
        <v>333</v>
      </c>
      <c r="AK111" s="711">
        <f t="shared" si="53"/>
        <v>151</v>
      </c>
      <c r="AL111" s="711">
        <f t="shared" si="54"/>
        <v>31</v>
      </c>
      <c r="AM111" s="711">
        <f t="shared" si="55"/>
        <v>46</v>
      </c>
      <c r="AN111" s="711">
        <f t="shared" si="56"/>
        <v>10</v>
      </c>
      <c r="AO111" s="711">
        <f t="shared" si="56"/>
        <v>45</v>
      </c>
      <c r="AP111" s="711">
        <f t="shared" si="56"/>
        <v>18</v>
      </c>
      <c r="AQ111" s="711">
        <f t="shared" si="56"/>
        <v>31</v>
      </c>
      <c r="AR111" s="711">
        <f t="shared" si="56"/>
        <v>0</v>
      </c>
      <c r="AS111" s="711">
        <f t="shared" si="56"/>
        <v>6</v>
      </c>
      <c r="AT111" s="711">
        <f t="shared" si="57"/>
        <v>6</v>
      </c>
      <c r="AU111" s="711">
        <f t="shared" si="58"/>
        <v>8</v>
      </c>
      <c r="AV111" s="711">
        <f t="shared" si="59"/>
        <v>70</v>
      </c>
      <c r="AW111" s="711">
        <f t="shared" si="60"/>
        <v>82</v>
      </c>
      <c r="AX111" s="711">
        <f t="shared" si="61"/>
        <v>121</v>
      </c>
      <c r="AY111" s="711">
        <f t="shared" si="64"/>
        <v>177</v>
      </c>
      <c r="AZ111" s="711">
        <f t="shared" si="65"/>
        <v>186</v>
      </c>
      <c r="BA111" s="711">
        <f t="shared" si="66"/>
        <v>190</v>
      </c>
    </row>
    <row r="112" spans="1:53">
      <c r="A112" s="106">
        <f t="shared" si="47"/>
        <v>101</v>
      </c>
      <c r="B112" s="858">
        <v>42105</v>
      </c>
      <c r="C112" s="859" t="s">
        <v>1725</v>
      </c>
      <c r="D112" s="860">
        <v>4102</v>
      </c>
      <c r="E112" s="860">
        <v>3984</v>
      </c>
      <c r="F112" s="860">
        <v>3913</v>
      </c>
      <c r="G112" s="860">
        <v>3800</v>
      </c>
      <c r="H112" s="860">
        <v>3843</v>
      </c>
      <c r="I112" s="860">
        <v>3908</v>
      </c>
      <c r="J112" s="860">
        <v>4030</v>
      </c>
      <c r="K112" s="860">
        <v>4178</v>
      </c>
      <c r="L112" s="860">
        <v>4318</v>
      </c>
      <c r="M112" s="860">
        <v>4378</v>
      </c>
      <c r="N112" s="860">
        <v>4427</v>
      </c>
      <c r="O112" s="860">
        <v>4389</v>
      </c>
      <c r="P112" s="860">
        <v>4376</v>
      </c>
      <c r="Q112" s="860">
        <v>4332</v>
      </c>
      <c r="R112" s="860">
        <v>4321</v>
      </c>
      <c r="S112" s="860">
        <v>4356</v>
      </c>
      <c r="T112" s="860">
        <v>4403</v>
      </c>
      <c r="U112" s="860">
        <v>4461</v>
      </c>
      <c r="V112" s="860">
        <v>4468</v>
      </c>
      <c r="W112" s="860">
        <v>4595</v>
      </c>
      <c r="X112" s="860">
        <v>4737</v>
      </c>
      <c r="Y112" s="860">
        <v>4563</v>
      </c>
      <c r="Z112" s="860">
        <v>4298</v>
      </c>
      <c r="AA112" s="860">
        <v>3995</v>
      </c>
      <c r="AC112" s="712">
        <f t="shared" si="48"/>
        <v>101</v>
      </c>
      <c r="AD112" s="711">
        <f t="shared" si="49"/>
        <v>204</v>
      </c>
      <c r="AE112" s="711">
        <f t="shared" si="67"/>
        <v>118</v>
      </c>
      <c r="AF112" s="711">
        <f t="shared" si="62"/>
        <v>71</v>
      </c>
      <c r="AG112" s="711">
        <f t="shared" si="63"/>
        <v>113</v>
      </c>
      <c r="AH112" s="711">
        <f t="shared" si="50"/>
        <v>43</v>
      </c>
      <c r="AI112" s="711">
        <f t="shared" si="51"/>
        <v>65</v>
      </c>
      <c r="AJ112" s="711">
        <f t="shared" si="52"/>
        <v>122</v>
      </c>
      <c r="AK112" s="711">
        <f t="shared" si="53"/>
        <v>148</v>
      </c>
      <c r="AL112" s="711">
        <f t="shared" si="54"/>
        <v>140</v>
      </c>
      <c r="AM112" s="711">
        <f t="shared" si="55"/>
        <v>60</v>
      </c>
      <c r="AN112" s="711">
        <f t="shared" si="56"/>
        <v>49</v>
      </c>
      <c r="AO112" s="711">
        <f t="shared" si="56"/>
        <v>38</v>
      </c>
      <c r="AP112" s="711">
        <f t="shared" si="56"/>
        <v>13</v>
      </c>
      <c r="AQ112" s="711">
        <f t="shared" si="56"/>
        <v>44</v>
      </c>
      <c r="AR112" s="711">
        <f t="shared" si="56"/>
        <v>11</v>
      </c>
      <c r="AS112" s="711">
        <f t="shared" si="56"/>
        <v>35</v>
      </c>
      <c r="AT112" s="711">
        <f t="shared" si="57"/>
        <v>47</v>
      </c>
      <c r="AU112" s="711">
        <f t="shared" si="58"/>
        <v>58</v>
      </c>
      <c r="AV112" s="711">
        <f t="shared" si="59"/>
        <v>7</v>
      </c>
      <c r="AW112" s="711">
        <f t="shared" si="60"/>
        <v>127</v>
      </c>
      <c r="AX112" s="711">
        <f t="shared" si="61"/>
        <v>142</v>
      </c>
      <c r="AY112" s="711">
        <f t="shared" si="64"/>
        <v>174</v>
      </c>
      <c r="AZ112" s="711">
        <f t="shared" si="65"/>
        <v>265</v>
      </c>
      <c r="BA112" s="711">
        <f t="shared" si="66"/>
        <v>303</v>
      </c>
    </row>
    <row r="113" spans="1:53">
      <c r="A113" s="106">
        <f t="shared" si="47"/>
        <v>102</v>
      </c>
      <c r="B113" s="858">
        <v>42106</v>
      </c>
      <c r="C113" s="859" t="s">
        <v>1725</v>
      </c>
      <c r="D113" s="861">
        <v>3787</v>
      </c>
      <c r="E113" s="860">
        <v>3803</v>
      </c>
      <c r="F113" s="860">
        <v>3676</v>
      </c>
      <c r="G113" s="860">
        <v>3767</v>
      </c>
      <c r="H113" s="860">
        <v>3851</v>
      </c>
      <c r="I113" s="860">
        <v>3882</v>
      </c>
      <c r="J113" s="860">
        <v>3908</v>
      </c>
      <c r="K113" s="860">
        <v>4012</v>
      </c>
      <c r="L113" s="860">
        <v>4088</v>
      </c>
      <c r="M113" s="860">
        <v>4178</v>
      </c>
      <c r="N113" s="860">
        <v>4259</v>
      </c>
      <c r="O113" s="860">
        <v>4292</v>
      </c>
      <c r="P113" s="860">
        <v>4336</v>
      </c>
      <c r="Q113" s="860">
        <v>4273</v>
      </c>
      <c r="R113" s="860">
        <v>4214</v>
      </c>
      <c r="S113" s="860">
        <v>4268</v>
      </c>
      <c r="T113" s="860">
        <v>4373</v>
      </c>
      <c r="U113" s="860">
        <v>4473</v>
      </c>
      <c r="V113" s="860">
        <v>4572</v>
      </c>
      <c r="W113" s="860">
        <v>4644</v>
      </c>
      <c r="X113" s="860">
        <v>4857</v>
      </c>
      <c r="Y113" s="860">
        <v>4608</v>
      </c>
      <c r="Z113" s="860">
        <v>4244</v>
      </c>
      <c r="AA113" s="860">
        <v>3959</v>
      </c>
      <c r="AC113" s="712">
        <f t="shared" si="48"/>
        <v>102</v>
      </c>
      <c r="AD113" s="711">
        <f t="shared" si="49"/>
        <v>208</v>
      </c>
      <c r="AE113" s="711">
        <f t="shared" si="67"/>
        <v>16</v>
      </c>
      <c r="AF113" s="711">
        <f t="shared" si="62"/>
        <v>127</v>
      </c>
      <c r="AG113" s="711">
        <f t="shared" si="63"/>
        <v>91</v>
      </c>
      <c r="AH113" s="711">
        <f t="shared" si="50"/>
        <v>84</v>
      </c>
      <c r="AI113" s="711">
        <f t="shared" si="51"/>
        <v>31</v>
      </c>
      <c r="AJ113" s="711">
        <f t="shared" si="52"/>
        <v>26</v>
      </c>
      <c r="AK113" s="711">
        <f t="shared" si="53"/>
        <v>104</v>
      </c>
      <c r="AL113" s="711">
        <f t="shared" si="54"/>
        <v>76</v>
      </c>
      <c r="AM113" s="711">
        <f t="shared" si="55"/>
        <v>90</v>
      </c>
      <c r="AN113" s="711">
        <f t="shared" si="56"/>
        <v>81</v>
      </c>
      <c r="AO113" s="711">
        <f t="shared" si="56"/>
        <v>33</v>
      </c>
      <c r="AP113" s="711">
        <f t="shared" si="56"/>
        <v>44</v>
      </c>
      <c r="AQ113" s="711">
        <f t="shared" si="56"/>
        <v>63</v>
      </c>
      <c r="AR113" s="711">
        <f t="shared" si="56"/>
        <v>59</v>
      </c>
      <c r="AS113" s="711">
        <f t="shared" si="56"/>
        <v>54</v>
      </c>
      <c r="AT113" s="711">
        <f t="shared" si="57"/>
        <v>105</v>
      </c>
      <c r="AU113" s="711">
        <f t="shared" si="58"/>
        <v>100</v>
      </c>
      <c r="AV113" s="711">
        <f t="shared" si="59"/>
        <v>99</v>
      </c>
      <c r="AW113" s="711">
        <f t="shared" si="60"/>
        <v>72</v>
      </c>
      <c r="AX113" s="711">
        <f t="shared" si="61"/>
        <v>213</v>
      </c>
      <c r="AY113" s="711">
        <f t="shared" si="64"/>
        <v>249</v>
      </c>
      <c r="AZ113" s="711">
        <f t="shared" si="65"/>
        <v>364</v>
      </c>
      <c r="BA113" s="711">
        <f t="shared" si="66"/>
        <v>285</v>
      </c>
    </row>
    <row r="114" spans="1:53">
      <c r="A114" s="106">
        <f t="shared" si="47"/>
        <v>103</v>
      </c>
      <c r="B114" s="858">
        <v>42107</v>
      </c>
      <c r="C114" s="859" t="s">
        <v>1725</v>
      </c>
      <c r="D114" s="860">
        <v>3880</v>
      </c>
      <c r="E114" s="860">
        <v>3871</v>
      </c>
      <c r="F114" s="860">
        <v>3851</v>
      </c>
      <c r="G114" s="860">
        <v>3860</v>
      </c>
      <c r="H114" s="860">
        <v>3937</v>
      </c>
      <c r="I114" s="860">
        <v>4069</v>
      </c>
      <c r="J114" s="860">
        <v>4515</v>
      </c>
      <c r="K114" s="860">
        <v>4690</v>
      </c>
      <c r="L114" s="860">
        <v>4671</v>
      </c>
      <c r="M114" s="860">
        <v>4730</v>
      </c>
      <c r="N114" s="860">
        <v>4760</v>
      </c>
      <c r="O114" s="860">
        <v>4767</v>
      </c>
      <c r="P114" s="860">
        <v>4757</v>
      </c>
      <c r="Q114" s="860">
        <v>4767</v>
      </c>
      <c r="R114" s="860">
        <v>4800</v>
      </c>
      <c r="S114" s="860">
        <v>4792</v>
      </c>
      <c r="T114" s="860">
        <v>4813</v>
      </c>
      <c r="U114" s="860">
        <v>4877</v>
      </c>
      <c r="V114" s="860">
        <v>4848</v>
      </c>
      <c r="W114" s="860">
        <v>4882</v>
      </c>
      <c r="X114" s="860">
        <v>5090</v>
      </c>
      <c r="Y114" s="860">
        <v>4808</v>
      </c>
      <c r="Z114" s="860">
        <v>4425</v>
      </c>
      <c r="AA114" s="860">
        <v>4250</v>
      </c>
      <c r="AC114" s="712">
        <f t="shared" si="48"/>
        <v>103</v>
      </c>
      <c r="AD114" s="711">
        <f t="shared" si="49"/>
        <v>79</v>
      </c>
      <c r="AE114" s="711">
        <f t="shared" si="67"/>
        <v>9</v>
      </c>
      <c r="AF114" s="711">
        <f t="shared" si="62"/>
        <v>20</v>
      </c>
      <c r="AG114" s="711">
        <f t="shared" si="63"/>
        <v>9</v>
      </c>
      <c r="AH114" s="711">
        <f t="shared" si="50"/>
        <v>77</v>
      </c>
      <c r="AI114" s="711">
        <f t="shared" si="51"/>
        <v>132</v>
      </c>
      <c r="AJ114" s="711">
        <f t="shared" si="52"/>
        <v>446</v>
      </c>
      <c r="AK114" s="711">
        <f t="shared" si="53"/>
        <v>175</v>
      </c>
      <c r="AL114" s="711">
        <f t="shared" si="54"/>
        <v>19</v>
      </c>
      <c r="AM114" s="711">
        <f t="shared" si="55"/>
        <v>59</v>
      </c>
      <c r="AN114" s="711">
        <f t="shared" si="56"/>
        <v>30</v>
      </c>
      <c r="AO114" s="711">
        <f t="shared" si="56"/>
        <v>7</v>
      </c>
      <c r="AP114" s="711">
        <f t="shared" si="56"/>
        <v>10</v>
      </c>
      <c r="AQ114" s="711">
        <f t="shared" si="56"/>
        <v>10</v>
      </c>
      <c r="AR114" s="711">
        <f t="shared" si="56"/>
        <v>33</v>
      </c>
      <c r="AS114" s="711">
        <f t="shared" si="56"/>
        <v>8</v>
      </c>
      <c r="AT114" s="711">
        <f t="shared" si="57"/>
        <v>21</v>
      </c>
      <c r="AU114" s="711">
        <f t="shared" si="58"/>
        <v>64</v>
      </c>
      <c r="AV114" s="711">
        <f t="shared" si="59"/>
        <v>29</v>
      </c>
      <c r="AW114" s="711">
        <f t="shared" si="60"/>
        <v>34</v>
      </c>
      <c r="AX114" s="711">
        <f t="shared" si="61"/>
        <v>208</v>
      </c>
      <c r="AY114" s="711">
        <f t="shared" si="64"/>
        <v>282</v>
      </c>
      <c r="AZ114" s="711">
        <f t="shared" si="65"/>
        <v>383</v>
      </c>
      <c r="BA114" s="711">
        <f t="shared" si="66"/>
        <v>175</v>
      </c>
    </row>
    <row r="115" spans="1:53">
      <c r="A115" s="106">
        <f t="shared" si="47"/>
        <v>104</v>
      </c>
      <c r="B115" s="858">
        <v>42108</v>
      </c>
      <c r="C115" s="859" t="s">
        <v>1725</v>
      </c>
      <c r="D115" s="860">
        <v>4035</v>
      </c>
      <c r="E115" s="860">
        <v>3908</v>
      </c>
      <c r="F115" s="860">
        <v>3858</v>
      </c>
      <c r="G115" s="860">
        <v>3802</v>
      </c>
      <c r="H115" s="860">
        <v>3823</v>
      </c>
      <c r="I115" s="860">
        <v>4083</v>
      </c>
      <c r="J115" s="860">
        <v>4459</v>
      </c>
      <c r="K115" s="860">
        <v>4628</v>
      </c>
      <c r="L115" s="860">
        <v>4655</v>
      </c>
      <c r="M115" s="860">
        <v>4698</v>
      </c>
      <c r="N115" s="860">
        <v>4750</v>
      </c>
      <c r="O115" s="860">
        <v>4794</v>
      </c>
      <c r="P115" s="860">
        <v>4858</v>
      </c>
      <c r="Q115" s="860">
        <v>4933</v>
      </c>
      <c r="R115" s="860">
        <v>4966</v>
      </c>
      <c r="S115" s="860">
        <v>4951</v>
      </c>
      <c r="T115" s="860">
        <v>5014</v>
      </c>
      <c r="U115" s="860">
        <v>4990</v>
      </c>
      <c r="V115" s="860">
        <v>4945</v>
      </c>
      <c r="W115" s="860">
        <v>5050</v>
      </c>
      <c r="X115" s="860">
        <v>5132</v>
      </c>
      <c r="Y115" s="860">
        <v>4856</v>
      </c>
      <c r="Z115" s="860">
        <v>4540</v>
      </c>
      <c r="AA115" s="860">
        <v>4273</v>
      </c>
      <c r="AC115" s="712">
        <f t="shared" si="48"/>
        <v>104</v>
      </c>
      <c r="AD115" s="711">
        <f t="shared" si="49"/>
        <v>215</v>
      </c>
      <c r="AE115" s="711">
        <f t="shared" si="67"/>
        <v>127</v>
      </c>
      <c r="AF115" s="711">
        <f t="shared" si="62"/>
        <v>50</v>
      </c>
      <c r="AG115" s="711">
        <f t="shared" si="63"/>
        <v>56</v>
      </c>
      <c r="AH115" s="711">
        <f t="shared" ref="AH115:AH146" si="68">ABS(H115-G115)</f>
        <v>21</v>
      </c>
      <c r="AI115" s="711">
        <f t="shared" ref="AI115:AI146" si="69">ABS(I115-H115)</f>
        <v>260</v>
      </c>
      <c r="AJ115" s="711">
        <f t="shared" ref="AJ115:AJ146" si="70">ABS(J115-I115)</f>
        <v>376</v>
      </c>
      <c r="AK115" s="711">
        <f t="shared" ref="AK115:AK146" si="71">ABS(K115-J115)</f>
        <v>169</v>
      </c>
      <c r="AL115" s="711">
        <f t="shared" ref="AL115:AL146" si="72">ABS(L115-K115)</f>
        <v>27</v>
      </c>
      <c r="AM115" s="711">
        <f t="shared" ref="AM115:AM146" si="73">ABS(M115-L115)</f>
        <v>43</v>
      </c>
      <c r="AN115" s="711">
        <f t="shared" si="56"/>
        <v>52</v>
      </c>
      <c r="AO115" s="711">
        <f t="shared" si="56"/>
        <v>44</v>
      </c>
      <c r="AP115" s="711">
        <f t="shared" si="56"/>
        <v>64</v>
      </c>
      <c r="AQ115" s="711">
        <f t="shared" si="56"/>
        <v>75</v>
      </c>
      <c r="AR115" s="711">
        <f t="shared" si="56"/>
        <v>33</v>
      </c>
      <c r="AS115" s="711">
        <f t="shared" si="56"/>
        <v>15</v>
      </c>
      <c r="AT115" s="711">
        <f t="shared" ref="AT115:AT132" si="74">ABS(T115-S115)</f>
        <v>63</v>
      </c>
      <c r="AU115" s="711">
        <f t="shared" ref="AU115:AU132" si="75">ABS(U115-T115)</f>
        <v>24</v>
      </c>
      <c r="AV115" s="711">
        <f t="shared" ref="AV115:AV132" si="76">ABS(V115-U115)</f>
        <v>45</v>
      </c>
      <c r="AW115" s="711">
        <f t="shared" ref="AW115:AW132" si="77">ABS(W115-V115)</f>
        <v>105</v>
      </c>
      <c r="AX115" s="711">
        <f t="shared" ref="AX115:AX132" si="78">ABS(X115-W115)</f>
        <v>82</v>
      </c>
      <c r="AY115" s="711">
        <f t="shared" si="64"/>
        <v>276</v>
      </c>
      <c r="AZ115" s="711">
        <f t="shared" si="65"/>
        <v>316</v>
      </c>
      <c r="BA115" s="711">
        <f t="shared" si="66"/>
        <v>267</v>
      </c>
    </row>
    <row r="116" spans="1:53">
      <c r="A116" s="106">
        <f t="shared" si="47"/>
        <v>105</v>
      </c>
      <c r="B116" s="858">
        <v>42109</v>
      </c>
      <c r="C116" s="859" t="s">
        <v>1725</v>
      </c>
      <c r="D116" s="860">
        <v>4042</v>
      </c>
      <c r="E116" s="860">
        <v>3905</v>
      </c>
      <c r="F116" s="860">
        <v>3856</v>
      </c>
      <c r="G116" s="860">
        <v>3856</v>
      </c>
      <c r="H116" s="860">
        <v>3866</v>
      </c>
      <c r="I116" s="860">
        <v>4005</v>
      </c>
      <c r="J116" s="860">
        <v>4408</v>
      </c>
      <c r="K116" s="860">
        <v>4601</v>
      </c>
      <c r="L116" s="860">
        <v>4729</v>
      </c>
      <c r="M116" s="860">
        <v>4722</v>
      </c>
      <c r="N116" s="860">
        <v>4812</v>
      </c>
      <c r="O116" s="860">
        <v>4814</v>
      </c>
      <c r="P116" s="860">
        <v>4789</v>
      </c>
      <c r="Q116" s="860">
        <v>4827</v>
      </c>
      <c r="R116" s="860">
        <v>4789</v>
      </c>
      <c r="S116" s="860">
        <v>4831</v>
      </c>
      <c r="T116" s="860">
        <v>4816</v>
      </c>
      <c r="U116" s="860">
        <v>4819</v>
      </c>
      <c r="V116" s="860">
        <v>4826</v>
      </c>
      <c r="W116" s="860">
        <v>4962</v>
      </c>
      <c r="X116" s="860">
        <v>5107</v>
      </c>
      <c r="Y116" s="860">
        <v>4867</v>
      </c>
      <c r="Z116" s="860">
        <v>4448</v>
      </c>
      <c r="AA116" s="860">
        <v>4331</v>
      </c>
      <c r="AC116" s="712">
        <f t="shared" si="48"/>
        <v>105</v>
      </c>
      <c r="AD116" s="711">
        <f t="shared" si="49"/>
        <v>231</v>
      </c>
      <c r="AE116" s="711">
        <f t="shared" si="67"/>
        <v>137</v>
      </c>
      <c r="AF116" s="711">
        <f t="shared" ref="AF116:AF147" si="79">ABS(F116-E116)</f>
        <v>49</v>
      </c>
      <c r="AG116" s="711">
        <f t="shared" ref="AG116:AG147" si="80">ABS(G116-F116)</f>
        <v>0</v>
      </c>
      <c r="AH116" s="711">
        <f t="shared" si="68"/>
        <v>10</v>
      </c>
      <c r="AI116" s="711">
        <f t="shared" si="69"/>
        <v>139</v>
      </c>
      <c r="AJ116" s="711">
        <f t="shared" si="70"/>
        <v>403</v>
      </c>
      <c r="AK116" s="711">
        <f t="shared" si="71"/>
        <v>193</v>
      </c>
      <c r="AL116" s="711">
        <f t="shared" si="72"/>
        <v>128</v>
      </c>
      <c r="AM116" s="711">
        <f t="shared" si="73"/>
        <v>7</v>
      </c>
      <c r="AN116" s="711">
        <f t="shared" si="56"/>
        <v>90</v>
      </c>
      <c r="AO116" s="711">
        <f t="shared" si="56"/>
        <v>2</v>
      </c>
      <c r="AP116" s="711">
        <f t="shared" si="56"/>
        <v>25</v>
      </c>
      <c r="AQ116" s="711">
        <f t="shared" si="56"/>
        <v>38</v>
      </c>
      <c r="AR116" s="711">
        <f t="shared" si="56"/>
        <v>38</v>
      </c>
      <c r="AS116" s="711">
        <f t="shared" si="56"/>
        <v>42</v>
      </c>
      <c r="AT116" s="711">
        <f t="shared" si="74"/>
        <v>15</v>
      </c>
      <c r="AU116" s="711">
        <f t="shared" si="75"/>
        <v>3</v>
      </c>
      <c r="AV116" s="711">
        <f t="shared" si="76"/>
        <v>7</v>
      </c>
      <c r="AW116" s="711">
        <f t="shared" si="77"/>
        <v>136</v>
      </c>
      <c r="AX116" s="711">
        <f t="shared" si="78"/>
        <v>145</v>
      </c>
      <c r="AY116" s="711">
        <f t="shared" si="64"/>
        <v>240</v>
      </c>
      <c r="AZ116" s="711">
        <f t="shared" si="65"/>
        <v>419</v>
      </c>
      <c r="BA116" s="711">
        <f t="shared" si="66"/>
        <v>117</v>
      </c>
    </row>
    <row r="117" spans="1:53">
      <c r="A117" s="106">
        <f t="shared" si="47"/>
        <v>106</v>
      </c>
      <c r="B117" s="858">
        <v>42110</v>
      </c>
      <c r="C117" s="859" t="s">
        <v>1725</v>
      </c>
      <c r="D117" s="860">
        <v>4185</v>
      </c>
      <c r="E117" s="860">
        <v>4035</v>
      </c>
      <c r="F117" s="860">
        <v>4016</v>
      </c>
      <c r="G117" s="860">
        <v>4041</v>
      </c>
      <c r="H117" s="860">
        <v>4136</v>
      </c>
      <c r="I117" s="860">
        <v>4339</v>
      </c>
      <c r="J117" s="860">
        <v>4716</v>
      </c>
      <c r="K117" s="860">
        <v>5035</v>
      </c>
      <c r="L117" s="860">
        <v>5233</v>
      </c>
      <c r="M117" s="860">
        <v>5267</v>
      </c>
      <c r="N117" s="860">
        <v>5297</v>
      </c>
      <c r="O117" s="860">
        <v>5268</v>
      </c>
      <c r="P117" s="860">
        <v>5238</v>
      </c>
      <c r="Q117" s="860">
        <v>5225</v>
      </c>
      <c r="R117" s="860">
        <v>5162</v>
      </c>
      <c r="S117" s="860">
        <v>5120</v>
      </c>
      <c r="T117" s="860">
        <v>5247</v>
      </c>
      <c r="U117" s="860">
        <v>5249</v>
      </c>
      <c r="V117" s="860">
        <v>5294</v>
      </c>
      <c r="W117" s="860">
        <v>5401</v>
      </c>
      <c r="X117" s="860">
        <v>5402</v>
      </c>
      <c r="Y117" s="860">
        <v>5119</v>
      </c>
      <c r="Z117" s="860">
        <v>4728</v>
      </c>
      <c r="AA117" s="860">
        <v>4490</v>
      </c>
      <c r="AC117" s="712">
        <f t="shared" si="48"/>
        <v>106</v>
      </c>
      <c r="AD117" s="711">
        <f t="shared" si="49"/>
        <v>146</v>
      </c>
      <c r="AE117" s="711">
        <f t="shared" si="67"/>
        <v>150</v>
      </c>
      <c r="AF117" s="711">
        <f t="shared" si="79"/>
        <v>19</v>
      </c>
      <c r="AG117" s="711">
        <f t="shared" si="80"/>
        <v>25</v>
      </c>
      <c r="AH117" s="711">
        <f t="shared" si="68"/>
        <v>95</v>
      </c>
      <c r="AI117" s="711">
        <f t="shared" si="69"/>
        <v>203</v>
      </c>
      <c r="AJ117" s="711">
        <f t="shared" si="70"/>
        <v>377</v>
      </c>
      <c r="AK117" s="711">
        <f t="shared" si="71"/>
        <v>319</v>
      </c>
      <c r="AL117" s="711">
        <f t="shared" si="72"/>
        <v>198</v>
      </c>
      <c r="AM117" s="711">
        <f t="shared" si="73"/>
        <v>34</v>
      </c>
      <c r="AN117" s="711">
        <f t="shared" si="56"/>
        <v>30</v>
      </c>
      <c r="AO117" s="711">
        <f t="shared" si="56"/>
        <v>29</v>
      </c>
      <c r="AP117" s="711">
        <f t="shared" si="56"/>
        <v>30</v>
      </c>
      <c r="AQ117" s="711">
        <f t="shared" si="56"/>
        <v>13</v>
      </c>
      <c r="AR117" s="711">
        <f t="shared" si="56"/>
        <v>63</v>
      </c>
      <c r="AS117" s="711">
        <f t="shared" si="56"/>
        <v>42</v>
      </c>
      <c r="AT117" s="711">
        <f t="shared" si="74"/>
        <v>127</v>
      </c>
      <c r="AU117" s="711">
        <f t="shared" si="75"/>
        <v>2</v>
      </c>
      <c r="AV117" s="711">
        <f t="shared" si="76"/>
        <v>45</v>
      </c>
      <c r="AW117" s="711">
        <f t="shared" si="77"/>
        <v>107</v>
      </c>
      <c r="AX117" s="711">
        <f t="shared" si="78"/>
        <v>1</v>
      </c>
      <c r="AY117" s="711">
        <f t="shared" si="64"/>
        <v>283</v>
      </c>
      <c r="AZ117" s="711">
        <f t="shared" si="65"/>
        <v>391</v>
      </c>
      <c r="BA117" s="711">
        <f t="shared" si="66"/>
        <v>238</v>
      </c>
    </row>
    <row r="118" spans="1:53">
      <c r="A118" s="106">
        <f t="shared" si="47"/>
        <v>107</v>
      </c>
      <c r="B118" s="858">
        <v>42111</v>
      </c>
      <c r="C118" s="859" t="s">
        <v>1725</v>
      </c>
      <c r="D118" s="860">
        <v>4383</v>
      </c>
      <c r="E118" s="860">
        <v>4309</v>
      </c>
      <c r="F118" s="860">
        <v>4246</v>
      </c>
      <c r="G118" s="860">
        <v>4227</v>
      </c>
      <c r="H118" s="860">
        <v>4318</v>
      </c>
      <c r="I118" s="860">
        <v>4472</v>
      </c>
      <c r="J118" s="860">
        <v>4793</v>
      </c>
      <c r="K118" s="860">
        <v>5020</v>
      </c>
      <c r="L118" s="860">
        <v>5157</v>
      </c>
      <c r="M118" s="860">
        <v>5213</v>
      </c>
      <c r="N118" s="860">
        <v>5294</v>
      </c>
      <c r="O118" s="860">
        <v>5236</v>
      </c>
      <c r="P118" s="860">
        <v>5199</v>
      </c>
      <c r="Q118" s="860">
        <v>5162</v>
      </c>
      <c r="R118" s="860">
        <v>4988</v>
      </c>
      <c r="S118" s="860">
        <v>4766</v>
      </c>
      <c r="T118" s="860">
        <v>4754</v>
      </c>
      <c r="U118" s="860">
        <v>4742</v>
      </c>
      <c r="V118" s="860">
        <v>4729</v>
      </c>
      <c r="W118" s="860">
        <v>4824</v>
      </c>
      <c r="X118" s="860">
        <v>4922</v>
      </c>
      <c r="Y118" s="860">
        <v>4734</v>
      </c>
      <c r="Z118" s="860">
        <v>4520</v>
      </c>
      <c r="AA118" s="860">
        <v>4222</v>
      </c>
      <c r="AC118" s="712">
        <f t="shared" si="48"/>
        <v>107</v>
      </c>
      <c r="AD118" s="711">
        <f t="shared" si="49"/>
        <v>107</v>
      </c>
      <c r="AE118" s="711">
        <f t="shared" si="67"/>
        <v>74</v>
      </c>
      <c r="AF118" s="711">
        <f t="shared" si="79"/>
        <v>63</v>
      </c>
      <c r="AG118" s="711">
        <f t="shared" si="80"/>
        <v>19</v>
      </c>
      <c r="AH118" s="711">
        <f t="shared" si="68"/>
        <v>91</v>
      </c>
      <c r="AI118" s="711">
        <f t="shared" si="69"/>
        <v>154</v>
      </c>
      <c r="AJ118" s="711">
        <f t="shared" si="70"/>
        <v>321</v>
      </c>
      <c r="AK118" s="711">
        <f t="shared" si="71"/>
        <v>227</v>
      </c>
      <c r="AL118" s="711">
        <f t="shared" si="72"/>
        <v>137</v>
      </c>
      <c r="AM118" s="711">
        <f t="shared" si="73"/>
        <v>56</v>
      </c>
      <c r="AN118" s="711">
        <f t="shared" si="56"/>
        <v>81</v>
      </c>
      <c r="AO118" s="711">
        <f t="shared" si="56"/>
        <v>58</v>
      </c>
      <c r="AP118" s="711">
        <f t="shared" si="56"/>
        <v>37</v>
      </c>
      <c r="AQ118" s="711">
        <f t="shared" si="56"/>
        <v>37</v>
      </c>
      <c r="AR118" s="711">
        <f t="shared" si="56"/>
        <v>174</v>
      </c>
      <c r="AS118" s="711">
        <f t="shared" si="56"/>
        <v>222</v>
      </c>
      <c r="AT118" s="711">
        <f t="shared" si="74"/>
        <v>12</v>
      </c>
      <c r="AU118" s="711">
        <f t="shared" si="75"/>
        <v>12</v>
      </c>
      <c r="AV118" s="711">
        <f t="shared" si="76"/>
        <v>13</v>
      </c>
      <c r="AW118" s="711">
        <f t="shared" si="77"/>
        <v>95</v>
      </c>
      <c r="AX118" s="711">
        <f t="shared" si="78"/>
        <v>98</v>
      </c>
      <c r="AY118" s="711">
        <f t="shared" si="64"/>
        <v>188</v>
      </c>
      <c r="AZ118" s="711">
        <f t="shared" si="65"/>
        <v>214</v>
      </c>
      <c r="BA118" s="711">
        <f t="shared" si="66"/>
        <v>298</v>
      </c>
    </row>
    <row r="119" spans="1:53">
      <c r="A119" s="106">
        <f t="shared" si="47"/>
        <v>108</v>
      </c>
      <c r="B119" s="858">
        <v>42112</v>
      </c>
      <c r="C119" s="859" t="s">
        <v>1725</v>
      </c>
      <c r="D119" s="860">
        <v>3934</v>
      </c>
      <c r="E119" s="860">
        <v>4063</v>
      </c>
      <c r="F119" s="860">
        <v>3979</v>
      </c>
      <c r="G119" s="860">
        <v>3981</v>
      </c>
      <c r="H119" s="860">
        <v>3975</v>
      </c>
      <c r="I119" s="860">
        <v>4013</v>
      </c>
      <c r="J119" s="860">
        <v>4144</v>
      </c>
      <c r="K119" s="860">
        <v>4310</v>
      </c>
      <c r="L119" s="860">
        <v>4498</v>
      </c>
      <c r="M119" s="860">
        <v>4633</v>
      </c>
      <c r="N119" s="860">
        <v>4641</v>
      </c>
      <c r="O119" s="860">
        <v>4568</v>
      </c>
      <c r="P119" s="860">
        <v>4465</v>
      </c>
      <c r="Q119" s="860">
        <v>4420</v>
      </c>
      <c r="R119" s="860">
        <v>4369</v>
      </c>
      <c r="S119" s="860">
        <v>4329</v>
      </c>
      <c r="T119" s="860">
        <v>4392</v>
      </c>
      <c r="U119" s="860">
        <v>4546</v>
      </c>
      <c r="V119" s="860">
        <v>4580</v>
      </c>
      <c r="W119" s="860">
        <v>4727</v>
      </c>
      <c r="X119" s="860">
        <v>4873</v>
      </c>
      <c r="Y119" s="860">
        <v>4714</v>
      </c>
      <c r="Z119" s="860">
        <v>4438</v>
      </c>
      <c r="AA119" s="860">
        <v>4194</v>
      </c>
      <c r="AC119" s="712">
        <f t="shared" si="48"/>
        <v>108</v>
      </c>
      <c r="AD119" s="711">
        <f t="shared" si="49"/>
        <v>288</v>
      </c>
      <c r="AE119" s="711">
        <f t="shared" si="67"/>
        <v>129</v>
      </c>
      <c r="AF119" s="711">
        <f t="shared" si="79"/>
        <v>84</v>
      </c>
      <c r="AG119" s="711">
        <f t="shared" si="80"/>
        <v>2</v>
      </c>
      <c r="AH119" s="711">
        <f t="shared" si="68"/>
        <v>6</v>
      </c>
      <c r="AI119" s="711">
        <f t="shared" si="69"/>
        <v>38</v>
      </c>
      <c r="AJ119" s="711">
        <f t="shared" si="70"/>
        <v>131</v>
      </c>
      <c r="AK119" s="711">
        <f t="shared" si="71"/>
        <v>166</v>
      </c>
      <c r="AL119" s="711">
        <f t="shared" si="72"/>
        <v>188</v>
      </c>
      <c r="AM119" s="711">
        <f t="shared" si="73"/>
        <v>135</v>
      </c>
      <c r="AN119" s="711">
        <f t="shared" si="56"/>
        <v>8</v>
      </c>
      <c r="AO119" s="711">
        <f t="shared" si="56"/>
        <v>73</v>
      </c>
      <c r="AP119" s="711">
        <f t="shared" si="56"/>
        <v>103</v>
      </c>
      <c r="AQ119" s="711">
        <f t="shared" si="56"/>
        <v>45</v>
      </c>
      <c r="AR119" s="711">
        <f t="shared" si="56"/>
        <v>51</v>
      </c>
      <c r="AS119" s="711">
        <f t="shared" si="56"/>
        <v>40</v>
      </c>
      <c r="AT119" s="711">
        <f t="shared" si="74"/>
        <v>63</v>
      </c>
      <c r="AU119" s="711">
        <f t="shared" si="75"/>
        <v>154</v>
      </c>
      <c r="AV119" s="711">
        <f t="shared" si="76"/>
        <v>34</v>
      </c>
      <c r="AW119" s="711">
        <f t="shared" si="77"/>
        <v>147</v>
      </c>
      <c r="AX119" s="711">
        <f t="shared" si="78"/>
        <v>146</v>
      </c>
      <c r="AY119" s="711">
        <f t="shared" si="64"/>
        <v>159</v>
      </c>
      <c r="AZ119" s="711">
        <f t="shared" si="65"/>
        <v>276</v>
      </c>
      <c r="BA119" s="711">
        <f t="shared" si="66"/>
        <v>244</v>
      </c>
    </row>
    <row r="120" spans="1:53">
      <c r="A120" s="106">
        <f t="shared" si="47"/>
        <v>109</v>
      </c>
      <c r="B120" s="858">
        <v>42113</v>
      </c>
      <c r="C120" s="859" t="s">
        <v>1725</v>
      </c>
      <c r="D120" s="860">
        <v>3998</v>
      </c>
      <c r="E120" s="860">
        <v>3886</v>
      </c>
      <c r="F120" s="860">
        <v>3848</v>
      </c>
      <c r="G120" s="860">
        <v>3822</v>
      </c>
      <c r="H120" s="860">
        <v>3849</v>
      </c>
      <c r="I120" s="860">
        <v>3863</v>
      </c>
      <c r="J120" s="860">
        <v>4021</v>
      </c>
      <c r="K120" s="860">
        <v>4202</v>
      </c>
      <c r="L120" s="860">
        <v>4455</v>
      </c>
      <c r="M120" s="860">
        <v>4545</v>
      </c>
      <c r="N120" s="860">
        <v>4550</v>
      </c>
      <c r="O120" s="860">
        <v>4516</v>
      </c>
      <c r="P120" s="860">
        <v>4504</v>
      </c>
      <c r="Q120" s="860">
        <v>4481</v>
      </c>
      <c r="R120" s="860">
        <v>4431</v>
      </c>
      <c r="S120" s="860">
        <v>4443</v>
      </c>
      <c r="T120" s="860">
        <v>4509</v>
      </c>
      <c r="U120" s="860">
        <v>4641</v>
      </c>
      <c r="V120" s="860">
        <v>4790</v>
      </c>
      <c r="W120" s="860">
        <v>4809</v>
      </c>
      <c r="X120" s="860">
        <v>4931</v>
      </c>
      <c r="Y120" s="860">
        <v>4761</v>
      </c>
      <c r="Z120" s="860">
        <v>4406</v>
      </c>
      <c r="AA120" s="860">
        <v>4071</v>
      </c>
      <c r="AC120" s="712">
        <f t="shared" si="48"/>
        <v>109</v>
      </c>
      <c r="AD120" s="711">
        <f t="shared" si="49"/>
        <v>196</v>
      </c>
      <c r="AE120" s="711">
        <f t="shared" si="67"/>
        <v>112</v>
      </c>
      <c r="AF120" s="711">
        <f t="shared" si="79"/>
        <v>38</v>
      </c>
      <c r="AG120" s="711">
        <f t="shared" si="80"/>
        <v>26</v>
      </c>
      <c r="AH120" s="711">
        <f t="shared" si="68"/>
        <v>27</v>
      </c>
      <c r="AI120" s="711">
        <f t="shared" si="69"/>
        <v>14</v>
      </c>
      <c r="AJ120" s="711">
        <f t="shared" si="70"/>
        <v>158</v>
      </c>
      <c r="AK120" s="711">
        <f t="shared" si="71"/>
        <v>181</v>
      </c>
      <c r="AL120" s="711">
        <f t="shared" si="72"/>
        <v>253</v>
      </c>
      <c r="AM120" s="711">
        <f t="shared" si="73"/>
        <v>90</v>
      </c>
      <c r="AN120" s="711">
        <f t="shared" si="56"/>
        <v>5</v>
      </c>
      <c r="AO120" s="711">
        <f t="shared" si="56"/>
        <v>34</v>
      </c>
      <c r="AP120" s="711">
        <f t="shared" si="56"/>
        <v>12</v>
      </c>
      <c r="AQ120" s="711">
        <f t="shared" si="56"/>
        <v>23</v>
      </c>
      <c r="AR120" s="711">
        <f t="shared" si="56"/>
        <v>50</v>
      </c>
      <c r="AS120" s="711">
        <f t="shared" si="56"/>
        <v>12</v>
      </c>
      <c r="AT120" s="711">
        <f t="shared" si="74"/>
        <v>66</v>
      </c>
      <c r="AU120" s="711">
        <f t="shared" si="75"/>
        <v>132</v>
      </c>
      <c r="AV120" s="711">
        <f t="shared" si="76"/>
        <v>149</v>
      </c>
      <c r="AW120" s="711">
        <f t="shared" si="77"/>
        <v>19</v>
      </c>
      <c r="AX120" s="711">
        <f t="shared" si="78"/>
        <v>122</v>
      </c>
      <c r="AY120" s="711">
        <f t="shared" si="64"/>
        <v>170</v>
      </c>
      <c r="AZ120" s="711">
        <f t="shared" si="65"/>
        <v>355</v>
      </c>
      <c r="BA120" s="711">
        <f t="shared" si="66"/>
        <v>335</v>
      </c>
    </row>
    <row r="121" spans="1:53">
      <c r="A121" s="106">
        <f t="shared" si="47"/>
        <v>110</v>
      </c>
      <c r="B121" s="858">
        <v>42114</v>
      </c>
      <c r="C121" s="859" t="s">
        <v>1725</v>
      </c>
      <c r="D121" s="860">
        <v>3995</v>
      </c>
      <c r="E121" s="860">
        <v>3930</v>
      </c>
      <c r="F121" s="860">
        <v>3889</v>
      </c>
      <c r="G121" s="860">
        <v>3855</v>
      </c>
      <c r="H121" s="860">
        <v>3970</v>
      </c>
      <c r="I121" s="860">
        <v>4218</v>
      </c>
      <c r="J121" s="860">
        <v>4576</v>
      </c>
      <c r="K121" s="860">
        <v>4783</v>
      </c>
      <c r="L121" s="860">
        <v>4922</v>
      </c>
      <c r="M121" s="860">
        <v>4862</v>
      </c>
      <c r="N121" s="860">
        <v>4788</v>
      </c>
      <c r="O121" s="860">
        <v>4693</v>
      </c>
      <c r="P121" s="860">
        <v>4650</v>
      </c>
      <c r="Q121" s="860">
        <v>4655</v>
      </c>
      <c r="R121" s="860">
        <v>4623</v>
      </c>
      <c r="S121" s="860">
        <v>4608</v>
      </c>
      <c r="T121" s="860">
        <v>4675</v>
      </c>
      <c r="U121" s="860">
        <v>4717</v>
      </c>
      <c r="V121" s="860">
        <v>4778</v>
      </c>
      <c r="W121" s="860">
        <v>4858</v>
      </c>
      <c r="X121" s="860">
        <v>5006</v>
      </c>
      <c r="Y121" s="860">
        <v>4767</v>
      </c>
      <c r="Z121" s="860">
        <v>4366</v>
      </c>
      <c r="AA121" s="860">
        <v>4076</v>
      </c>
      <c r="AC121" s="712">
        <f t="shared" si="48"/>
        <v>110</v>
      </c>
      <c r="AD121" s="711">
        <f t="shared" si="49"/>
        <v>76</v>
      </c>
      <c r="AE121" s="711">
        <f t="shared" si="67"/>
        <v>65</v>
      </c>
      <c r="AF121" s="711">
        <f t="shared" si="79"/>
        <v>41</v>
      </c>
      <c r="AG121" s="711">
        <f t="shared" si="80"/>
        <v>34</v>
      </c>
      <c r="AH121" s="711">
        <f t="shared" si="68"/>
        <v>115</v>
      </c>
      <c r="AI121" s="711">
        <f t="shared" si="69"/>
        <v>248</v>
      </c>
      <c r="AJ121" s="711">
        <f t="shared" si="70"/>
        <v>358</v>
      </c>
      <c r="AK121" s="711">
        <f t="shared" si="71"/>
        <v>207</v>
      </c>
      <c r="AL121" s="711">
        <f t="shared" si="72"/>
        <v>139</v>
      </c>
      <c r="AM121" s="711">
        <f t="shared" si="73"/>
        <v>60</v>
      </c>
      <c r="AN121" s="711">
        <f t="shared" si="56"/>
        <v>74</v>
      </c>
      <c r="AO121" s="711">
        <f t="shared" si="56"/>
        <v>95</v>
      </c>
      <c r="AP121" s="711">
        <f t="shared" si="56"/>
        <v>43</v>
      </c>
      <c r="AQ121" s="711">
        <f t="shared" si="56"/>
        <v>5</v>
      </c>
      <c r="AR121" s="711">
        <f t="shared" si="56"/>
        <v>32</v>
      </c>
      <c r="AS121" s="711">
        <f t="shared" si="56"/>
        <v>15</v>
      </c>
      <c r="AT121" s="711">
        <f t="shared" si="74"/>
        <v>67</v>
      </c>
      <c r="AU121" s="711">
        <f t="shared" si="75"/>
        <v>42</v>
      </c>
      <c r="AV121" s="711">
        <f t="shared" si="76"/>
        <v>61</v>
      </c>
      <c r="AW121" s="711">
        <f t="shared" si="77"/>
        <v>80</v>
      </c>
      <c r="AX121" s="711">
        <f t="shared" si="78"/>
        <v>148</v>
      </c>
      <c r="AY121" s="711">
        <f t="shared" si="64"/>
        <v>239</v>
      </c>
      <c r="AZ121" s="711">
        <f t="shared" si="65"/>
        <v>401</v>
      </c>
      <c r="BA121" s="711">
        <f t="shared" si="66"/>
        <v>290</v>
      </c>
    </row>
    <row r="122" spans="1:53">
      <c r="A122" s="106">
        <f t="shared" si="47"/>
        <v>111</v>
      </c>
      <c r="B122" s="858">
        <v>42115</v>
      </c>
      <c r="C122" s="859" t="s">
        <v>1725</v>
      </c>
      <c r="D122" s="860">
        <v>4075</v>
      </c>
      <c r="E122" s="860">
        <v>3967</v>
      </c>
      <c r="F122" s="860">
        <v>3842</v>
      </c>
      <c r="G122" s="860">
        <v>3837</v>
      </c>
      <c r="H122" s="860">
        <v>3957</v>
      </c>
      <c r="I122" s="860">
        <v>4233</v>
      </c>
      <c r="J122" s="860">
        <v>4545</v>
      </c>
      <c r="K122" s="860">
        <v>4728</v>
      </c>
      <c r="L122" s="860">
        <v>4762</v>
      </c>
      <c r="M122" s="860">
        <v>4746</v>
      </c>
      <c r="N122" s="860">
        <v>4769</v>
      </c>
      <c r="O122" s="860">
        <v>4781</v>
      </c>
      <c r="P122" s="860">
        <v>4752</v>
      </c>
      <c r="Q122" s="860">
        <v>4942</v>
      </c>
      <c r="R122" s="860">
        <v>4979</v>
      </c>
      <c r="S122" s="860">
        <v>4927</v>
      </c>
      <c r="T122" s="860">
        <v>4881</v>
      </c>
      <c r="U122" s="860">
        <v>4866</v>
      </c>
      <c r="V122" s="860">
        <v>4855</v>
      </c>
      <c r="W122" s="860">
        <v>4951</v>
      </c>
      <c r="X122" s="860">
        <v>5090</v>
      </c>
      <c r="Y122" s="860">
        <v>4852</v>
      </c>
      <c r="Z122" s="860">
        <v>4415</v>
      </c>
      <c r="AA122" s="860">
        <v>4085</v>
      </c>
      <c r="AC122" s="712">
        <f t="shared" si="48"/>
        <v>111</v>
      </c>
      <c r="AD122" s="711">
        <f t="shared" si="49"/>
        <v>1</v>
      </c>
      <c r="AE122" s="711">
        <f t="shared" si="67"/>
        <v>108</v>
      </c>
      <c r="AF122" s="711">
        <f t="shared" si="79"/>
        <v>125</v>
      </c>
      <c r="AG122" s="711">
        <f t="shared" si="80"/>
        <v>5</v>
      </c>
      <c r="AH122" s="711">
        <f t="shared" si="68"/>
        <v>120</v>
      </c>
      <c r="AI122" s="711">
        <f t="shared" si="69"/>
        <v>276</v>
      </c>
      <c r="AJ122" s="711">
        <f t="shared" si="70"/>
        <v>312</v>
      </c>
      <c r="AK122" s="711">
        <f t="shared" si="71"/>
        <v>183</v>
      </c>
      <c r="AL122" s="711">
        <f t="shared" si="72"/>
        <v>34</v>
      </c>
      <c r="AM122" s="711">
        <f t="shared" si="73"/>
        <v>16</v>
      </c>
      <c r="AN122" s="711">
        <f t="shared" si="56"/>
        <v>23</v>
      </c>
      <c r="AO122" s="711">
        <f t="shared" si="56"/>
        <v>12</v>
      </c>
      <c r="AP122" s="711">
        <f t="shared" si="56"/>
        <v>29</v>
      </c>
      <c r="AQ122" s="711">
        <f t="shared" si="56"/>
        <v>190</v>
      </c>
      <c r="AR122" s="711">
        <f t="shared" si="56"/>
        <v>37</v>
      </c>
      <c r="AS122" s="711">
        <f t="shared" si="56"/>
        <v>52</v>
      </c>
      <c r="AT122" s="711">
        <f t="shared" si="74"/>
        <v>46</v>
      </c>
      <c r="AU122" s="711">
        <f t="shared" si="75"/>
        <v>15</v>
      </c>
      <c r="AV122" s="711">
        <f t="shared" si="76"/>
        <v>11</v>
      </c>
      <c r="AW122" s="711">
        <f t="shared" si="77"/>
        <v>96</v>
      </c>
      <c r="AX122" s="711">
        <f t="shared" si="78"/>
        <v>139</v>
      </c>
      <c r="AY122" s="711">
        <f t="shared" si="64"/>
        <v>238</v>
      </c>
      <c r="AZ122" s="711">
        <f t="shared" si="65"/>
        <v>437</v>
      </c>
      <c r="BA122" s="711">
        <f t="shared" si="66"/>
        <v>330</v>
      </c>
    </row>
    <row r="123" spans="1:53">
      <c r="A123" s="106">
        <f t="shared" si="47"/>
        <v>112</v>
      </c>
      <c r="B123" s="858">
        <v>42116</v>
      </c>
      <c r="C123" s="859" t="s">
        <v>1725</v>
      </c>
      <c r="D123" s="860">
        <v>4079</v>
      </c>
      <c r="E123" s="860">
        <v>3978</v>
      </c>
      <c r="F123" s="860">
        <v>3870</v>
      </c>
      <c r="G123" s="860">
        <v>3844</v>
      </c>
      <c r="H123" s="860">
        <v>3938</v>
      </c>
      <c r="I123" s="860">
        <v>4266</v>
      </c>
      <c r="J123" s="860">
        <v>4606</v>
      </c>
      <c r="K123" s="860">
        <v>4694</v>
      </c>
      <c r="L123" s="860">
        <v>4717</v>
      </c>
      <c r="M123" s="860">
        <v>4752</v>
      </c>
      <c r="N123" s="860">
        <v>4735</v>
      </c>
      <c r="O123" s="860">
        <v>4798</v>
      </c>
      <c r="P123" s="860">
        <v>4828</v>
      </c>
      <c r="Q123" s="860">
        <v>4876</v>
      </c>
      <c r="R123" s="860">
        <v>4885</v>
      </c>
      <c r="S123" s="860">
        <v>4918</v>
      </c>
      <c r="T123" s="860">
        <v>4932</v>
      </c>
      <c r="U123" s="860">
        <v>4947</v>
      </c>
      <c r="V123" s="860">
        <v>4891</v>
      </c>
      <c r="W123" s="860">
        <v>4947</v>
      </c>
      <c r="X123" s="860">
        <v>5041</v>
      </c>
      <c r="Y123" s="860">
        <v>4811</v>
      </c>
      <c r="Z123" s="860">
        <v>4436</v>
      </c>
      <c r="AA123" s="860">
        <v>4237</v>
      </c>
      <c r="AC123" s="712">
        <f t="shared" si="48"/>
        <v>112</v>
      </c>
      <c r="AD123" s="711">
        <f t="shared" si="49"/>
        <v>6</v>
      </c>
      <c r="AE123" s="711">
        <f t="shared" si="67"/>
        <v>101</v>
      </c>
      <c r="AF123" s="711">
        <f t="shared" si="79"/>
        <v>108</v>
      </c>
      <c r="AG123" s="711">
        <f t="shared" si="80"/>
        <v>26</v>
      </c>
      <c r="AH123" s="711">
        <f t="shared" si="68"/>
        <v>94</v>
      </c>
      <c r="AI123" s="711">
        <f t="shared" si="69"/>
        <v>328</v>
      </c>
      <c r="AJ123" s="711">
        <f t="shared" si="70"/>
        <v>340</v>
      </c>
      <c r="AK123" s="711">
        <f t="shared" si="71"/>
        <v>88</v>
      </c>
      <c r="AL123" s="711">
        <f t="shared" si="72"/>
        <v>23</v>
      </c>
      <c r="AM123" s="711">
        <f t="shared" si="73"/>
        <v>35</v>
      </c>
      <c r="AN123" s="711">
        <f t="shared" si="56"/>
        <v>17</v>
      </c>
      <c r="AO123" s="711">
        <f t="shared" si="56"/>
        <v>63</v>
      </c>
      <c r="AP123" s="711">
        <f t="shared" si="56"/>
        <v>30</v>
      </c>
      <c r="AQ123" s="711">
        <f t="shared" si="56"/>
        <v>48</v>
      </c>
      <c r="AR123" s="711">
        <f t="shared" si="56"/>
        <v>9</v>
      </c>
      <c r="AS123" s="711">
        <f t="shared" si="56"/>
        <v>33</v>
      </c>
      <c r="AT123" s="711">
        <f t="shared" si="74"/>
        <v>14</v>
      </c>
      <c r="AU123" s="711">
        <f t="shared" si="75"/>
        <v>15</v>
      </c>
      <c r="AV123" s="711">
        <f t="shared" si="76"/>
        <v>56</v>
      </c>
      <c r="AW123" s="711">
        <f t="shared" si="77"/>
        <v>56</v>
      </c>
      <c r="AX123" s="711">
        <f t="shared" si="78"/>
        <v>94</v>
      </c>
      <c r="AY123" s="711">
        <f t="shared" si="64"/>
        <v>230</v>
      </c>
      <c r="AZ123" s="711">
        <f t="shared" si="65"/>
        <v>375</v>
      </c>
      <c r="BA123" s="711">
        <f t="shared" si="66"/>
        <v>199</v>
      </c>
    </row>
    <row r="124" spans="1:53">
      <c r="A124" s="106">
        <f t="shared" si="47"/>
        <v>113</v>
      </c>
      <c r="B124" s="858">
        <v>42117</v>
      </c>
      <c r="C124" s="859" t="s">
        <v>1725</v>
      </c>
      <c r="D124" s="860">
        <v>4062</v>
      </c>
      <c r="E124" s="860">
        <v>3971</v>
      </c>
      <c r="F124" s="860">
        <v>3855</v>
      </c>
      <c r="G124" s="860">
        <v>3792</v>
      </c>
      <c r="H124" s="860">
        <v>3885</v>
      </c>
      <c r="I124" s="860">
        <v>4127</v>
      </c>
      <c r="J124" s="860">
        <v>4440</v>
      </c>
      <c r="K124" s="860">
        <v>4609</v>
      </c>
      <c r="L124" s="860">
        <v>4689</v>
      </c>
      <c r="M124" s="860">
        <v>4750</v>
      </c>
      <c r="N124" s="860">
        <v>4811</v>
      </c>
      <c r="O124" s="860">
        <v>4856</v>
      </c>
      <c r="P124" s="860">
        <v>4896</v>
      </c>
      <c r="Q124" s="860">
        <v>4932</v>
      </c>
      <c r="R124" s="860">
        <v>4893</v>
      </c>
      <c r="S124" s="860">
        <v>4854</v>
      </c>
      <c r="T124" s="860">
        <v>4844</v>
      </c>
      <c r="U124" s="860">
        <v>4857</v>
      </c>
      <c r="V124" s="860">
        <v>4968</v>
      </c>
      <c r="W124" s="860">
        <v>4970</v>
      </c>
      <c r="X124" s="860">
        <v>5023</v>
      </c>
      <c r="Y124" s="860">
        <v>4851</v>
      </c>
      <c r="Z124" s="860">
        <v>4554</v>
      </c>
      <c r="AA124" s="860">
        <v>4316</v>
      </c>
      <c r="AC124" s="712">
        <f t="shared" si="48"/>
        <v>113</v>
      </c>
      <c r="AD124" s="711">
        <f t="shared" si="49"/>
        <v>175</v>
      </c>
      <c r="AE124" s="711">
        <f t="shared" si="67"/>
        <v>91</v>
      </c>
      <c r="AF124" s="711">
        <f t="shared" si="79"/>
        <v>116</v>
      </c>
      <c r="AG124" s="711">
        <f t="shared" si="80"/>
        <v>63</v>
      </c>
      <c r="AH124" s="711">
        <f t="shared" si="68"/>
        <v>93</v>
      </c>
      <c r="AI124" s="711">
        <f t="shared" si="69"/>
        <v>242</v>
      </c>
      <c r="AJ124" s="711">
        <f t="shared" si="70"/>
        <v>313</v>
      </c>
      <c r="AK124" s="711">
        <f t="shared" si="71"/>
        <v>169</v>
      </c>
      <c r="AL124" s="711">
        <f t="shared" si="72"/>
        <v>80</v>
      </c>
      <c r="AM124" s="711">
        <f t="shared" si="73"/>
        <v>61</v>
      </c>
      <c r="AN124" s="711">
        <f t="shared" si="56"/>
        <v>61</v>
      </c>
      <c r="AO124" s="711">
        <f t="shared" si="56"/>
        <v>45</v>
      </c>
      <c r="AP124" s="711">
        <f t="shared" si="56"/>
        <v>40</v>
      </c>
      <c r="AQ124" s="711">
        <f t="shared" si="56"/>
        <v>36</v>
      </c>
      <c r="AR124" s="711">
        <f t="shared" si="56"/>
        <v>39</v>
      </c>
      <c r="AS124" s="711">
        <f t="shared" si="56"/>
        <v>39</v>
      </c>
      <c r="AT124" s="711">
        <f t="shared" si="74"/>
        <v>10</v>
      </c>
      <c r="AU124" s="711">
        <f t="shared" si="75"/>
        <v>13</v>
      </c>
      <c r="AV124" s="711">
        <f t="shared" si="76"/>
        <v>111</v>
      </c>
      <c r="AW124" s="711">
        <f t="shared" si="77"/>
        <v>2</v>
      </c>
      <c r="AX124" s="711">
        <f t="shared" si="78"/>
        <v>53</v>
      </c>
      <c r="AY124" s="711">
        <f t="shared" si="64"/>
        <v>172</v>
      </c>
      <c r="AZ124" s="711">
        <f t="shared" si="65"/>
        <v>297</v>
      </c>
      <c r="BA124" s="711">
        <f t="shared" si="66"/>
        <v>238</v>
      </c>
    </row>
    <row r="125" spans="1:53">
      <c r="A125" s="106">
        <f t="shared" si="47"/>
        <v>114</v>
      </c>
      <c r="B125" s="858">
        <v>42118</v>
      </c>
      <c r="C125" s="859" t="s">
        <v>1725</v>
      </c>
      <c r="D125" s="860">
        <v>4068</v>
      </c>
      <c r="E125" s="860">
        <v>3880</v>
      </c>
      <c r="F125" s="860">
        <v>3750</v>
      </c>
      <c r="G125" s="860">
        <v>3781</v>
      </c>
      <c r="H125" s="860">
        <v>3777</v>
      </c>
      <c r="I125" s="860">
        <v>4030</v>
      </c>
      <c r="J125" s="860">
        <v>4361</v>
      </c>
      <c r="K125" s="860">
        <v>4565</v>
      </c>
      <c r="L125" s="860">
        <v>4548</v>
      </c>
      <c r="M125" s="860">
        <v>4599</v>
      </c>
      <c r="N125" s="860">
        <v>4680</v>
      </c>
      <c r="O125" s="860">
        <v>4731</v>
      </c>
      <c r="P125" s="860">
        <v>4720</v>
      </c>
      <c r="Q125" s="860">
        <v>4817</v>
      </c>
      <c r="R125" s="860">
        <v>4812</v>
      </c>
      <c r="S125" s="860">
        <v>4768</v>
      </c>
      <c r="T125" s="860">
        <v>4680</v>
      </c>
      <c r="U125" s="860">
        <v>4637</v>
      </c>
      <c r="V125" s="860">
        <v>4538</v>
      </c>
      <c r="W125" s="860">
        <v>4638</v>
      </c>
      <c r="X125" s="860">
        <v>4808</v>
      </c>
      <c r="Y125" s="860">
        <v>4679</v>
      </c>
      <c r="Z125" s="860">
        <v>4408</v>
      </c>
      <c r="AA125" s="860">
        <v>4187</v>
      </c>
      <c r="AC125" s="712">
        <f t="shared" si="48"/>
        <v>114</v>
      </c>
      <c r="AD125" s="711">
        <f t="shared" si="49"/>
        <v>248</v>
      </c>
      <c r="AE125" s="711">
        <f t="shared" si="67"/>
        <v>188</v>
      </c>
      <c r="AF125" s="711">
        <f t="shared" si="79"/>
        <v>130</v>
      </c>
      <c r="AG125" s="711">
        <f t="shared" si="80"/>
        <v>31</v>
      </c>
      <c r="AH125" s="711">
        <f t="shared" si="68"/>
        <v>4</v>
      </c>
      <c r="AI125" s="711">
        <f t="shared" si="69"/>
        <v>253</v>
      </c>
      <c r="AJ125" s="711">
        <f t="shared" si="70"/>
        <v>331</v>
      </c>
      <c r="AK125" s="711">
        <f t="shared" si="71"/>
        <v>204</v>
      </c>
      <c r="AL125" s="711">
        <f t="shared" si="72"/>
        <v>17</v>
      </c>
      <c r="AM125" s="711">
        <f t="shared" si="73"/>
        <v>51</v>
      </c>
      <c r="AN125" s="711">
        <f t="shared" si="56"/>
        <v>81</v>
      </c>
      <c r="AO125" s="711">
        <f t="shared" si="56"/>
        <v>51</v>
      </c>
      <c r="AP125" s="711">
        <f t="shared" si="56"/>
        <v>11</v>
      </c>
      <c r="AQ125" s="711">
        <f t="shared" ref="AQ125:AW181" si="81">ABS(Q125-P125)</f>
        <v>97</v>
      </c>
      <c r="AR125" s="711">
        <f t="shared" si="81"/>
        <v>5</v>
      </c>
      <c r="AS125" s="711">
        <f t="shared" si="81"/>
        <v>44</v>
      </c>
      <c r="AT125" s="711">
        <f t="shared" si="74"/>
        <v>88</v>
      </c>
      <c r="AU125" s="711">
        <f t="shared" si="75"/>
        <v>43</v>
      </c>
      <c r="AV125" s="711">
        <f t="shared" si="76"/>
        <v>99</v>
      </c>
      <c r="AW125" s="711">
        <f t="shared" si="77"/>
        <v>100</v>
      </c>
      <c r="AX125" s="711">
        <f t="shared" si="78"/>
        <v>170</v>
      </c>
      <c r="AY125" s="711">
        <f t="shared" si="64"/>
        <v>129</v>
      </c>
      <c r="AZ125" s="711">
        <f t="shared" si="65"/>
        <v>271</v>
      </c>
      <c r="BA125" s="711">
        <f t="shared" si="66"/>
        <v>221</v>
      </c>
    </row>
    <row r="126" spans="1:53">
      <c r="A126" s="106">
        <f t="shared" si="47"/>
        <v>115</v>
      </c>
      <c r="B126" s="858">
        <v>42119</v>
      </c>
      <c r="C126" s="859" t="s">
        <v>1725</v>
      </c>
      <c r="D126" s="860">
        <v>3962</v>
      </c>
      <c r="E126" s="860">
        <v>3919</v>
      </c>
      <c r="F126" s="860">
        <v>3890</v>
      </c>
      <c r="G126" s="860">
        <v>3841</v>
      </c>
      <c r="H126" s="860">
        <v>3898</v>
      </c>
      <c r="I126" s="860">
        <v>3909</v>
      </c>
      <c r="J126" s="860">
        <v>4006</v>
      </c>
      <c r="K126" s="860">
        <v>4041</v>
      </c>
      <c r="L126" s="860">
        <v>4193</v>
      </c>
      <c r="M126" s="860">
        <v>4294</v>
      </c>
      <c r="N126" s="860">
        <v>4337</v>
      </c>
      <c r="O126" s="860">
        <v>4350</v>
      </c>
      <c r="P126" s="860">
        <v>4335</v>
      </c>
      <c r="Q126" s="860">
        <v>4326</v>
      </c>
      <c r="R126" s="860">
        <v>4292</v>
      </c>
      <c r="S126" s="860">
        <v>4350</v>
      </c>
      <c r="T126" s="860">
        <v>4366</v>
      </c>
      <c r="U126" s="860">
        <v>4387</v>
      </c>
      <c r="V126" s="860">
        <v>4382</v>
      </c>
      <c r="W126" s="860">
        <v>4538</v>
      </c>
      <c r="X126" s="860">
        <v>4668</v>
      </c>
      <c r="Y126" s="860">
        <v>4530</v>
      </c>
      <c r="Z126" s="860">
        <v>4248</v>
      </c>
      <c r="AA126" s="860">
        <v>4021</v>
      </c>
      <c r="AC126" s="712">
        <f t="shared" si="48"/>
        <v>115</v>
      </c>
      <c r="AD126" s="711">
        <f t="shared" si="49"/>
        <v>225</v>
      </c>
      <c r="AE126" s="711">
        <f t="shared" si="67"/>
        <v>43</v>
      </c>
      <c r="AF126" s="711">
        <f t="shared" si="79"/>
        <v>29</v>
      </c>
      <c r="AG126" s="711">
        <f t="shared" si="80"/>
        <v>49</v>
      </c>
      <c r="AH126" s="711">
        <f t="shared" si="68"/>
        <v>57</v>
      </c>
      <c r="AI126" s="711">
        <f t="shared" si="69"/>
        <v>11</v>
      </c>
      <c r="AJ126" s="711">
        <f t="shared" si="70"/>
        <v>97</v>
      </c>
      <c r="AK126" s="711">
        <f t="shared" si="71"/>
        <v>35</v>
      </c>
      <c r="AL126" s="711">
        <f t="shared" si="72"/>
        <v>152</v>
      </c>
      <c r="AM126" s="711">
        <f t="shared" si="73"/>
        <v>101</v>
      </c>
      <c r="AN126" s="711">
        <f t="shared" ref="AN126:AN157" si="82">ABS(N126-M126)</f>
        <v>43</v>
      </c>
      <c r="AO126" s="711">
        <f t="shared" ref="AO126:AO157" si="83">ABS(O126-N126)</f>
        <v>13</v>
      </c>
      <c r="AP126" s="711">
        <f t="shared" ref="AP126:AP157" si="84">ABS(P126-O126)</f>
        <v>15</v>
      </c>
      <c r="AQ126" s="711">
        <f t="shared" si="81"/>
        <v>9</v>
      </c>
      <c r="AR126" s="711">
        <f t="shared" si="81"/>
        <v>34</v>
      </c>
      <c r="AS126" s="711">
        <f t="shared" si="81"/>
        <v>58</v>
      </c>
      <c r="AT126" s="711">
        <f t="shared" si="74"/>
        <v>16</v>
      </c>
      <c r="AU126" s="711">
        <f t="shared" si="75"/>
        <v>21</v>
      </c>
      <c r="AV126" s="711">
        <f t="shared" si="76"/>
        <v>5</v>
      </c>
      <c r="AW126" s="711">
        <f t="shared" si="77"/>
        <v>156</v>
      </c>
      <c r="AX126" s="711">
        <f t="shared" si="78"/>
        <v>130</v>
      </c>
      <c r="AY126" s="711">
        <f t="shared" si="64"/>
        <v>138</v>
      </c>
      <c r="AZ126" s="711">
        <f t="shared" si="65"/>
        <v>282</v>
      </c>
      <c r="BA126" s="711">
        <f t="shared" si="66"/>
        <v>227</v>
      </c>
    </row>
    <row r="127" spans="1:53">
      <c r="A127" s="106">
        <f t="shared" si="47"/>
        <v>116</v>
      </c>
      <c r="B127" s="858">
        <v>42120</v>
      </c>
      <c r="C127" s="859" t="s">
        <v>1725</v>
      </c>
      <c r="D127" s="860">
        <v>4011</v>
      </c>
      <c r="E127" s="860">
        <v>3888</v>
      </c>
      <c r="F127" s="860">
        <v>3839</v>
      </c>
      <c r="G127" s="860">
        <v>3790</v>
      </c>
      <c r="H127" s="860">
        <v>3809</v>
      </c>
      <c r="I127" s="860">
        <v>3818</v>
      </c>
      <c r="J127" s="860">
        <v>3905</v>
      </c>
      <c r="K127" s="860">
        <v>3953</v>
      </c>
      <c r="L127" s="860">
        <v>4192</v>
      </c>
      <c r="M127" s="860">
        <v>4368</v>
      </c>
      <c r="N127" s="860">
        <v>4521</v>
      </c>
      <c r="O127" s="860">
        <v>4598</v>
      </c>
      <c r="P127" s="860">
        <v>4653</v>
      </c>
      <c r="Q127" s="860">
        <v>4629</v>
      </c>
      <c r="R127" s="860">
        <v>4625</v>
      </c>
      <c r="S127" s="860">
        <v>4645</v>
      </c>
      <c r="T127" s="860">
        <v>4719</v>
      </c>
      <c r="U127" s="860">
        <v>4844</v>
      </c>
      <c r="V127" s="860">
        <v>4882</v>
      </c>
      <c r="W127" s="860">
        <v>4945</v>
      </c>
      <c r="X127" s="860">
        <v>4985</v>
      </c>
      <c r="Y127" s="860">
        <v>4677</v>
      </c>
      <c r="Z127" s="860">
        <v>4372</v>
      </c>
      <c r="AA127" s="860">
        <v>4163</v>
      </c>
      <c r="AC127" s="712">
        <f t="shared" si="48"/>
        <v>116</v>
      </c>
      <c r="AD127" s="711">
        <f t="shared" si="49"/>
        <v>10</v>
      </c>
      <c r="AE127" s="711">
        <f t="shared" si="67"/>
        <v>123</v>
      </c>
      <c r="AF127" s="711">
        <f t="shared" si="79"/>
        <v>49</v>
      </c>
      <c r="AG127" s="711">
        <f t="shared" si="80"/>
        <v>49</v>
      </c>
      <c r="AH127" s="711">
        <f t="shared" si="68"/>
        <v>19</v>
      </c>
      <c r="AI127" s="711">
        <f t="shared" si="69"/>
        <v>9</v>
      </c>
      <c r="AJ127" s="711">
        <f t="shared" si="70"/>
        <v>87</v>
      </c>
      <c r="AK127" s="711">
        <f t="shared" si="71"/>
        <v>48</v>
      </c>
      <c r="AL127" s="711">
        <f t="shared" si="72"/>
        <v>239</v>
      </c>
      <c r="AM127" s="711">
        <f t="shared" si="73"/>
        <v>176</v>
      </c>
      <c r="AN127" s="711">
        <f t="shared" si="82"/>
        <v>153</v>
      </c>
      <c r="AO127" s="711">
        <f t="shared" si="83"/>
        <v>77</v>
      </c>
      <c r="AP127" s="711">
        <f t="shared" si="84"/>
        <v>55</v>
      </c>
      <c r="AQ127" s="711">
        <f t="shared" si="81"/>
        <v>24</v>
      </c>
      <c r="AR127" s="711">
        <f t="shared" si="81"/>
        <v>4</v>
      </c>
      <c r="AS127" s="711">
        <f t="shared" si="81"/>
        <v>20</v>
      </c>
      <c r="AT127" s="711">
        <f t="shared" si="74"/>
        <v>74</v>
      </c>
      <c r="AU127" s="711">
        <f t="shared" si="75"/>
        <v>125</v>
      </c>
      <c r="AV127" s="711">
        <f t="shared" si="76"/>
        <v>38</v>
      </c>
      <c r="AW127" s="711">
        <f t="shared" si="77"/>
        <v>63</v>
      </c>
      <c r="AX127" s="711">
        <f t="shared" si="78"/>
        <v>40</v>
      </c>
      <c r="AY127" s="711">
        <f t="shared" si="64"/>
        <v>308</v>
      </c>
      <c r="AZ127" s="711">
        <f t="shared" si="65"/>
        <v>305</v>
      </c>
      <c r="BA127" s="711">
        <f t="shared" si="66"/>
        <v>209</v>
      </c>
    </row>
    <row r="128" spans="1:53">
      <c r="A128" s="106">
        <f t="shared" si="47"/>
        <v>117</v>
      </c>
      <c r="B128" s="858">
        <v>42121</v>
      </c>
      <c r="C128" s="859" t="s">
        <v>1725</v>
      </c>
      <c r="D128" s="860">
        <v>4089</v>
      </c>
      <c r="E128" s="860">
        <v>3970</v>
      </c>
      <c r="F128" s="860">
        <v>3880</v>
      </c>
      <c r="G128" s="860">
        <v>3893</v>
      </c>
      <c r="H128" s="860">
        <v>3925</v>
      </c>
      <c r="I128" s="860">
        <v>4199</v>
      </c>
      <c r="J128" s="860">
        <v>4575</v>
      </c>
      <c r="K128" s="860">
        <v>4824</v>
      </c>
      <c r="L128" s="860">
        <v>4916</v>
      </c>
      <c r="M128" s="860">
        <v>4952</v>
      </c>
      <c r="N128" s="860">
        <v>4965</v>
      </c>
      <c r="O128" s="860">
        <v>4979</v>
      </c>
      <c r="P128" s="860">
        <v>4944</v>
      </c>
      <c r="Q128" s="860">
        <v>4908</v>
      </c>
      <c r="R128" s="860">
        <v>4851</v>
      </c>
      <c r="S128" s="860">
        <v>4789</v>
      </c>
      <c r="T128" s="860">
        <v>4830</v>
      </c>
      <c r="U128" s="860">
        <v>4879</v>
      </c>
      <c r="V128" s="860">
        <v>4878</v>
      </c>
      <c r="W128" s="860">
        <v>5063</v>
      </c>
      <c r="X128" s="860">
        <v>5066</v>
      </c>
      <c r="Y128" s="860">
        <v>4806</v>
      </c>
      <c r="Z128" s="860">
        <v>4392</v>
      </c>
      <c r="AA128" s="860">
        <v>4069</v>
      </c>
      <c r="AC128" s="712">
        <f t="shared" si="48"/>
        <v>117</v>
      </c>
      <c r="AD128" s="711">
        <f t="shared" si="49"/>
        <v>74</v>
      </c>
      <c r="AE128" s="711">
        <f t="shared" si="67"/>
        <v>119</v>
      </c>
      <c r="AF128" s="711">
        <f t="shared" si="79"/>
        <v>90</v>
      </c>
      <c r="AG128" s="711">
        <f t="shared" si="80"/>
        <v>13</v>
      </c>
      <c r="AH128" s="711">
        <f t="shared" si="68"/>
        <v>32</v>
      </c>
      <c r="AI128" s="711">
        <f t="shared" si="69"/>
        <v>274</v>
      </c>
      <c r="AJ128" s="711">
        <f t="shared" si="70"/>
        <v>376</v>
      </c>
      <c r="AK128" s="711">
        <f t="shared" si="71"/>
        <v>249</v>
      </c>
      <c r="AL128" s="711">
        <f t="shared" si="72"/>
        <v>92</v>
      </c>
      <c r="AM128" s="711">
        <f t="shared" si="73"/>
        <v>36</v>
      </c>
      <c r="AN128" s="711">
        <f t="shared" si="82"/>
        <v>13</v>
      </c>
      <c r="AO128" s="711">
        <f t="shared" si="83"/>
        <v>14</v>
      </c>
      <c r="AP128" s="711">
        <f t="shared" si="84"/>
        <v>35</v>
      </c>
      <c r="AQ128" s="711">
        <f t="shared" si="81"/>
        <v>36</v>
      </c>
      <c r="AR128" s="711">
        <f t="shared" si="81"/>
        <v>57</v>
      </c>
      <c r="AS128" s="711">
        <f t="shared" si="81"/>
        <v>62</v>
      </c>
      <c r="AT128" s="711">
        <f t="shared" si="74"/>
        <v>41</v>
      </c>
      <c r="AU128" s="711">
        <f t="shared" si="75"/>
        <v>49</v>
      </c>
      <c r="AV128" s="711">
        <f t="shared" si="76"/>
        <v>1</v>
      </c>
      <c r="AW128" s="711">
        <f t="shared" si="77"/>
        <v>185</v>
      </c>
      <c r="AX128" s="711">
        <f t="shared" si="78"/>
        <v>3</v>
      </c>
      <c r="AY128" s="711">
        <f t="shared" si="64"/>
        <v>260</v>
      </c>
      <c r="AZ128" s="711">
        <f t="shared" si="65"/>
        <v>414</v>
      </c>
      <c r="BA128" s="711">
        <f t="shared" si="66"/>
        <v>323</v>
      </c>
    </row>
    <row r="129" spans="1:53">
      <c r="A129" s="106">
        <f t="shared" si="47"/>
        <v>118</v>
      </c>
      <c r="B129" s="858">
        <v>42122</v>
      </c>
      <c r="C129" s="859" t="s">
        <v>1725</v>
      </c>
      <c r="D129" s="860">
        <v>4046</v>
      </c>
      <c r="E129" s="860">
        <v>3968</v>
      </c>
      <c r="F129" s="860">
        <v>3919</v>
      </c>
      <c r="G129" s="860">
        <v>3920</v>
      </c>
      <c r="H129" s="860">
        <v>3959</v>
      </c>
      <c r="I129" s="860">
        <v>4217</v>
      </c>
      <c r="J129" s="860">
        <v>4500</v>
      </c>
      <c r="K129" s="860">
        <v>4683</v>
      </c>
      <c r="L129" s="860">
        <v>4654</v>
      </c>
      <c r="M129" s="860">
        <v>4726</v>
      </c>
      <c r="N129" s="860">
        <v>4783</v>
      </c>
      <c r="O129" s="860">
        <v>4764</v>
      </c>
      <c r="P129" s="860">
        <v>4668</v>
      </c>
      <c r="Q129" s="860">
        <v>4695</v>
      </c>
      <c r="R129" s="860">
        <v>4696</v>
      </c>
      <c r="S129" s="860">
        <v>4707</v>
      </c>
      <c r="T129" s="860">
        <v>4667</v>
      </c>
      <c r="U129" s="860">
        <v>4691</v>
      </c>
      <c r="V129" s="860">
        <v>4676</v>
      </c>
      <c r="W129" s="860">
        <v>4743</v>
      </c>
      <c r="X129" s="860">
        <v>4964</v>
      </c>
      <c r="Y129" s="860">
        <v>4791</v>
      </c>
      <c r="Z129" s="860">
        <v>4366</v>
      </c>
      <c r="AA129" s="860">
        <v>4030</v>
      </c>
      <c r="AC129" s="712">
        <f t="shared" si="48"/>
        <v>118</v>
      </c>
      <c r="AD129" s="711">
        <f t="shared" si="49"/>
        <v>23</v>
      </c>
      <c r="AE129" s="711">
        <f t="shared" si="67"/>
        <v>78</v>
      </c>
      <c r="AF129" s="711">
        <f t="shared" si="79"/>
        <v>49</v>
      </c>
      <c r="AG129" s="711">
        <f t="shared" si="80"/>
        <v>1</v>
      </c>
      <c r="AH129" s="711">
        <f t="shared" si="68"/>
        <v>39</v>
      </c>
      <c r="AI129" s="711">
        <f t="shared" si="69"/>
        <v>258</v>
      </c>
      <c r="AJ129" s="711">
        <f t="shared" si="70"/>
        <v>283</v>
      </c>
      <c r="AK129" s="711">
        <f t="shared" si="71"/>
        <v>183</v>
      </c>
      <c r="AL129" s="711">
        <f t="shared" si="72"/>
        <v>29</v>
      </c>
      <c r="AM129" s="711">
        <f t="shared" si="73"/>
        <v>72</v>
      </c>
      <c r="AN129" s="711">
        <f t="shared" si="82"/>
        <v>57</v>
      </c>
      <c r="AO129" s="711">
        <f t="shared" si="83"/>
        <v>19</v>
      </c>
      <c r="AP129" s="711">
        <f t="shared" si="84"/>
        <v>96</v>
      </c>
      <c r="AQ129" s="711">
        <f t="shared" si="81"/>
        <v>27</v>
      </c>
      <c r="AR129" s="711">
        <f t="shared" si="81"/>
        <v>1</v>
      </c>
      <c r="AS129" s="711">
        <f t="shared" si="81"/>
        <v>11</v>
      </c>
      <c r="AT129" s="711">
        <f t="shared" si="74"/>
        <v>40</v>
      </c>
      <c r="AU129" s="711">
        <f t="shared" si="75"/>
        <v>24</v>
      </c>
      <c r="AV129" s="711">
        <f t="shared" si="76"/>
        <v>15</v>
      </c>
      <c r="AW129" s="711">
        <f t="shared" si="77"/>
        <v>67</v>
      </c>
      <c r="AX129" s="711">
        <f t="shared" si="78"/>
        <v>221</v>
      </c>
      <c r="AY129" s="711">
        <f t="shared" si="64"/>
        <v>173</v>
      </c>
      <c r="AZ129" s="711">
        <f t="shared" si="65"/>
        <v>425</v>
      </c>
      <c r="BA129" s="711">
        <f t="shared" si="66"/>
        <v>336</v>
      </c>
    </row>
    <row r="130" spans="1:53">
      <c r="A130" s="106">
        <f t="shared" si="47"/>
        <v>119</v>
      </c>
      <c r="B130" s="858">
        <v>42123</v>
      </c>
      <c r="C130" s="859" t="s">
        <v>1725</v>
      </c>
      <c r="D130" s="860">
        <v>3875</v>
      </c>
      <c r="E130" s="860">
        <v>3830</v>
      </c>
      <c r="F130" s="860">
        <v>3771</v>
      </c>
      <c r="G130" s="860">
        <v>3782</v>
      </c>
      <c r="H130" s="860">
        <v>3834</v>
      </c>
      <c r="I130" s="860">
        <v>4087</v>
      </c>
      <c r="J130" s="860">
        <v>4432</v>
      </c>
      <c r="K130" s="860">
        <v>4609</v>
      </c>
      <c r="L130" s="860">
        <v>4675</v>
      </c>
      <c r="M130" s="860">
        <v>4720</v>
      </c>
      <c r="N130" s="860">
        <v>4781</v>
      </c>
      <c r="O130" s="860">
        <v>4787</v>
      </c>
      <c r="P130" s="860">
        <v>4812</v>
      </c>
      <c r="Q130" s="860">
        <v>4870</v>
      </c>
      <c r="R130" s="860">
        <v>4908</v>
      </c>
      <c r="S130" s="860">
        <v>4938</v>
      </c>
      <c r="T130" s="860">
        <v>4964</v>
      </c>
      <c r="U130" s="860">
        <v>4994</v>
      </c>
      <c r="V130" s="860">
        <v>4937</v>
      </c>
      <c r="W130" s="860">
        <v>4968</v>
      </c>
      <c r="X130" s="860">
        <v>5137</v>
      </c>
      <c r="Y130" s="860">
        <v>4919</v>
      </c>
      <c r="Z130" s="860">
        <v>4434</v>
      </c>
      <c r="AA130" s="860">
        <v>4074</v>
      </c>
      <c r="AC130" s="712">
        <f t="shared" si="48"/>
        <v>119</v>
      </c>
      <c r="AD130" s="711">
        <f t="shared" si="49"/>
        <v>155</v>
      </c>
      <c r="AE130" s="711">
        <f t="shared" si="67"/>
        <v>45</v>
      </c>
      <c r="AF130" s="711">
        <f t="shared" si="79"/>
        <v>59</v>
      </c>
      <c r="AG130" s="711">
        <f t="shared" si="80"/>
        <v>11</v>
      </c>
      <c r="AH130" s="711">
        <f t="shared" si="68"/>
        <v>52</v>
      </c>
      <c r="AI130" s="711">
        <f t="shared" si="69"/>
        <v>253</v>
      </c>
      <c r="AJ130" s="711">
        <f t="shared" si="70"/>
        <v>345</v>
      </c>
      <c r="AK130" s="711">
        <f t="shared" si="71"/>
        <v>177</v>
      </c>
      <c r="AL130" s="711">
        <f t="shared" si="72"/>
        <v>66</v>
      </c>
      <c r="AM130" s="711">
        <f t="shared" si="73"/>
        <v>45</v>
      </c>
      <c r="AN130" s="711">
        <f t="shared" si="82"/>
        <v>61</v>
      </c>
      <c r="AO130" s="711">
        <f t="shared" si="83"/>
        <v>6</v>
      </c>
      <c r="AP130" s="711">
        <f t="shared" si="84"/>
        <v>25</v>
      </c>
      <c r="AQ130" s="711">
        <f t="shared" si="81"/>
        <v>58</v>
      </c>
      <c r="AR130" s="711">
        <f t="shared" si="81"/>
        <v>38</v>
      </c>
      <c r="AS130" s="711">
        <f t="shared" si="81"/>
        <v>30</v>
      </c>
      <c r="AT130" s="711">
        <f t="shared" si="74"/>
        <v>26</v>
      </c>
      <c r="AU130" s="711">
        <f t="shared" si="75"/>
        <v>30</v>
      </c>
      <c r="AV130" s="711">
        <f t="shared" si="76"/>
        <v>57</v>
      </c>
      <c r="AW130" s="711">
        <f t="shared" si="77"/>
        <v>31</v>
      </c>
      <c r="AX130" s="711">
        <f t="shared" si="78"/>
        <v>169</v>
      </c>
      <c r="AY130" s="711">
        <f t="shared" si="64"/>
        <v>218</v>
      </c>
      <c r="AZ130" s="711">
        <f t="shared" si="65"/>
        <v>485</v>
      </c>
      <c r="BA130" s="711">
        <f t="shared" si="66"/>
        <v>360</v>
      </c>
    </row>
    <row r="131" spans="1:53">
      <c r="A131" s="106">
        <f t="shared" si="47"/>
        <v>120</v>
      </c>
      <c r="B131" s="858">
        <v>42124</v>
      </c>
      <c r="C131" s="859" t="s">
        <v>1725</v>
      </c>
      <c r="D131" s="860">
        <v>3961</v>
      </c>
      <c r="E131" s="860">
        <v>3917</v>
      </c>
      <c r="F131" s="860">
        <v>3850</v>
      </c>
      <c r="G131" s="860">
        <v>3779</v>
      </c>
      <c r="H131" s="860">
        <v>3815</v>
      </c>
      <c r="I131" s="860">
        <v>3995</v>
      </c>
      <c r="J131" s="860">
        <v>4279</v>
      </c>
      <c r="K131" s="860">
        <v>4519</v>
      </c>
      <c r="L131" s="860">
        <v>4661</v>
      </c>
      <c r="M131" s="860">
        <v>4810</v>
      </c>
      <c r="N131" s="860">
        <v>4947</v>
      </c>
      <c r="O131" s="860">
        <v>5019</v>
      </c>
      <c r="P131" s="860">
        <v>5060</v>
      </c>
      <c r="Q131" s="860">
        <v>5081</v>
      </c>
      <c r="R131" s="860">
        <v>5094</v>
      </c>
      <c r="S131" s="860">
        <v>5173</v>
      </c>
      <c r="T131" s="860">
        <v>5196</v>
      </c>
      <c r="U131" s="860">
        <v>5137</v>
      </c>
      <c r="V131" s="860">
        <v>5081</v>
      </c>
      <c r="W131" s="860">
        <v>5123</v>
      </c>
      <c r="X131" s="860">
        <v>5133</v>
      </c>
      <c r="Y131" s="860">
        <v>4921</v>
      </c>
      <c r="Z131" s="860">
        <v>4662</v>
      </c>
      <c r="AA131" s="860">
        <v>4330</v>
      </c>
      <c r="AC131" s="712">
        <f t="shared" si="48"/>
        <v>120</v>
      </c>
      <c r="AD131" s="711">
        <f t="shared" si="49"/>
        <v>113</v>
      </c>
      <c r="AE131" s="711">
        <f t="shared" si="67"/>
        <v>44</v>
      </c>
      <c r="AF131" s="711">
        <f t="shared" si="79"/>
        <v>67</v>
      </c>
      <c r="AG131" s="711">
        <f t="shared" si="80"/>
        <v>71</v>
      </c>
      <c r="AH131" s="711">
        <f t="shared" si="68"/>
        <v>36</v>
      </c>
      <c r="AI131" s="711">
        <f t="shared" si="69"/>
        <v>180</v>
      </c>
      <c r="AJ131" s="711">
        <f t="shared" si="70"/>
        <v>284</v>
      </c>
      <c r="AK131" s="711">
        <f t="shared" si="71"/>
        <v>240</v>
      </c>
      <c r="AL131" s="711">
        <f t="shared" si="72"/>
        <v>142</v>
      </c>
      <c r="AM131" s="711">
        <f t="shared" si="73"/>
        <v>149</v>
      </c>
      <c r="AN131" s="711">
        <f t="shared" si="82"/>
        <v>137</v>
      </c>
      <c r="AO131" s="711">
        <f t="shared" si="83"/>
        <v>72</v>
      </c>
      <c r="AP131" s="711">
        <f t="shared" si="84"/>
        <v>41</v>
      </c>
      <c r="AQ131" s="711">
        <f t="shared" si="81"/>
        <v>21</v>
      </c>
      <c r="AR131" s="711">
        <f t="shared" si="81"/>
        <v>13</v>
      </c>
      <c r="AS131" s="711">
        <f t="shared" si="81"/>
        <v>79</v>
      </c>
      <c r="AT131" s="711">
        <f t="shared" si="74"/>
        <v>23</v>
      </c>
      <c r="AU131" s="711">
        <f t="shared" si="75"/>
        <v>59</v>
      </c>
      <c r="AV131" s="711">
        <f t="shared" si="76"/>
        <v>56</v>
      </c>
      <c r="AW131" s="711">
        <f t="shared" si="77"/>
        <v>42</v>
      </c>
      <c r="AX131" s="711">
        <f t="shared" si="78"/>
        <v>10</v>
      </c>
      <c r="AY131" s="711">
        <f t="shared" si="64"/>
        <v>212</v>
      </c>
      <c r="AZ131" s="711">
        <f t="shared" si="65"/>
        <v>259</v>
      </c>
      <c r="BA131" s="711">
        <f t="shared" si="66"/>
        <v>332</v>
      </c>
    </row>
    <row r="132" spans="1:53">
      <c r="A132" s="106">
        <f t="shared" si="47"/>
        <v>121</v>
      </c>
      <c r="B132" s="858">
        <v>42125</v>
      </c>
      <c r="C132" s="859" t="s">
        <v>1725</v>
      </c>
      <c r="D132" s="860">
        <v>4087</v>
      </c>
      <c r="E132" s="860">
        <v>3940</v>
      </c>
      <c r="F132" s="860">
        <v>3841</v>
      </c>
      <c r="G132" s="860">
        <v>3754</v>
      </c>
      <c r="H132" s="860">
        <v>3810</v>
      </c>
      <c r="I132" s="860">
        <v>4025</v>
      </c>
      <c r="J132" s="860">
        <v>4251</v>
      </c>
      <c r="K132" s="860">
        <v>4473</v>
      </c>
      <c r="L132" s="860">
        <v>4651</v>
      </c>
      <c r="M132" s="860">
        <v>4727</v>
      </c>
      <c r="N132" s="860">
        <v>4799</v>
      </c>
      <c r="O132" s="860">
        <v>4845</v>
      </c>
      <c r="P132" s="860">
        <v>4918</v>
      </c>
      <c r="Q132" s="860">
        <v>4970</v>
      </c>
      <c r="R132" s="860">
        <v>4926</v>
      </c>
      <c r="S132" s="860">
        <v>4935</v>
      </c>
      <c r="T132" s="860">
        <v>4903</v>
      </c>
      <c r="U132" s="860">
        <v>4814</v>
      </c>
      <c r="V132" s="860">
        <v>4647</v>
      </c>
      <c r="W132" s="860">
        <v>4653</v>
      </c>
      <c r="X132" s="860">
        <v>4809</v>
      </c>
      <c r="Y132" s="860">
        <v>4641</v>
      </c>
      <c r="Z132" s="860">
        <v>4335</v>
      </c>
      <c r="AA132" s="860">
        <v>4277</v>
      </c>
      <c r="AC132" s="712">
        <f t="shared" si="48"/>
        <v>121</v>
      </c>
      <c r="AD132" s="711">
        <f t="shared" si="49"/>
        <v>243</v>
      </c>
      <c r="AE132" s="711">
        <f t="shared" si="67"/>
        <v>147</v>
      </c>
      <c r="AF132" s="711">
        <f t="shared" si="79"/>
        <v>99</v>
      </c>
      <c r="AG132" s="711">
        <f t="shared" si="80"/>
        <v>87</v>
      </c>
      <c r="AH132" s="711">
        <f t="shared" si="68"/>
        <v>56</v>
      </c>
      <c r="AI132" s="711">
        <f t="shared" si="69"/>
        <v>215</v>
      </c>
      <c r="AJ132" s="711">
        <f t="shared" si="70"/>
        <v>226</v>
      </c>
      <c r="AK132" s="711">
        <f t="shared" si="71"/>
        <v>222</v>
      </c>
      <c r="AL132" s="711">
        <f t="shared" si="72"/>
        <v>178</v>
      </c>
      <c r="AM132" s="711">
        <f t="shared" si="73"/>
        <v>76</v>
      </c>
      <c r="AN132" s="711">
        <f t="shared" si="82"/>
        <v>72</v>
      </c>
      <c r="AO132" s="711">
        <f t="shared" si="83"/>
        <v>46</v>
      </c>
      <c r="AP132" s="711">
        <f t="shared" si="84"/>
        <v>73</v>
      </c>
      <c r="AQ132" s="711">
        <f t="shared" si="81"/>
        <v>52</v>
      </c>
      <c r="AR132" s="711">
        <f t="shared" si="81"/>
        <v>44</v>
      </c>
      <c r="AS132" s="711">
        <f t="shared" si="81"/>
        <v>9</v>
      </c>
      <c r="AT132" s="711">
        <f t="shared" si="74"/>
        <v>32</v>
      </c>
      <c r="AU132" s="711">
        <f t="shared" si="75"/>
        <v>89</v>
      </c>
      <c r="AV132" s="711">
        <f t="shared" si="76"/>
        <v>167</v>
      </c>
      <c r="AW132" s="711">
        <f t="shared" si="77"/>
        <v>6</v>
      </c>
      <c r="AX132" s="711">
        <f t="shared" si="78"/>
        <v>156</v>
      </c>
      <c r="AY132" s="711">
        <f t="shared" si="64"/>
        <v>168</v>
      </c>
      <c r="AZ132" s="711">
        <f t="shared" si="65"/>
        <v>306</v>
      </c>
      <c r="BA132" s="711">
        <f t="shared" si="66"/>
        <v>58</v>
      </c>
    </row>
    <row r="133" spans="1:53">
      <c r="A133" s="106">
        <f t="shared" si="47"/>
        <v>122</v>
      </c>
      <c r="B133" s="858">
        <v>42126</v>
      </c>
      <c r="C133" s="859" t="s">
        <v>1725</v>
      </c>
      <c r="D133" s="860">
        <v>4076</v>
      </c>
      <c r="E133" s="860">
        <v>3943</v>
      </c>
      <c r="F133" s="860">
        <v>3857</v>
      </c>
      <c r="G133" s="860">
        <v>3832</v>
      </c>
      <c r="H133" s="860">
        <v>3737</v>
      </c>
      <c r="I133" s="860">
        <v>3793</v>
      </c>
      <c r="J133" s="860">
        <v>3758</v>
      </c>
      <c r="K133" s="860">
        <v>3968</v>
      </c>
      <c r="L133" s="860">
        <v>4176</v>
      </c>
      <c r="M133" s="860">
        <v>4314</v>
      </c>
      <c r="N133" s="860">
        <v>4390</v>
      </c>
      <c r="O133" s="860">
        <v>4445</v>
      </c>
      <c r="P133" s="860">
        <v>4467</v>
      </c>
      <c r="Q133" s="860">
        <v>4450</v>
      </c>
      <c r="R133" s="860">
        <v>4520</v>
      </c>
      <c r="S133" s="860">
        <v>4523</v>
      </c>
      <c r="T133" s="860">
        <v>4505</v>
      </c>
      <c r="U133" s="860">
        <v>4563</v>
      </c>
      <c r="V133" s="860">
        <v>4563</v>
      </c>
      <c r="W133" s="860">
        <v>4591</v>
      </c>
      <c r="X133" s="860">
        <v>4682</v>
      </c>
      <c r="Y133" s="860">
        <v>4553</v>
      </c>
      <c r="Z133" s="860">
        <v>4258</v>
      </c>
      <c r="AA133" s="860">
        <v>3992</v>
      </c>
      <c r="AB133" s="711">
        <f>MAX(D132:AA162)</f>
        <v>5293</v>
      </c>
      <c r="AC133" s="712">
        <f t="shared" si="48"/>
        <v>122</v>
      </c>
      <c r="AD133" s="711">
        <f t="shared" si="49"/>
        <v>201</v>
      </c>
      <c r="AE133" s="711">
        <f t="shared" si="67"/>
        <v>133</v>
      </c>
      <c r="AF133" s="711">
        <f t="shared" si="79"/>
        <v>86</v>
      </c>
      <c r="AG133" s="711">
        <f t="shared" si="80"/>
        <v>25</v>
      </c>
      <c r="AH133" s="711">
        <f t="shared" si="68"/>
        <v>95</v>
      </c>
      <c r="AI133" s="711">
        <f t="shared" si="69"/>
        <v>56</v>
      </c>
      <c r="AJ133" s="711">
        <f t="shared" si="70"/>
        <v>35</v>
      </c>
      <c r="AK133" s="711">
        <f t="shared" si="71"/>
        <v>210</v>
      </c>
      <c r="AL133" s="711">
        <f t="shared" si="72"/>
        <v>208</v>
      </c>
      <c r="AM133" s="711">
        <f t="shared" si="73"/>
        <v>138</v>
      </c>
      <c r="AN133" s="711">
        <f t="shared" si="82"/>
        <v>76</v>
      </c>
      <c r="AO133" s="711">
        <f t="shared" si="83"/>
        <v>55</v>
      </c>
      <c r="AP133" s="711">
        <f t="shared" si="84"/>
        <v>22</v>
      </c>
      <c r="AQ133" s="711">
        <f t="shared" si="81"/>
        <v>17</v>
      </c>
      <c r="AR133" s="711">
        <f t="shared" si="81"/>
        <v>70</v>
      </c>
      <c r="AS133" s="711">
        <f t="shared" si="81"/>
        <v>3</v>
      </c>
      <c r="AT133" s="711">
        <f>ABS(T133-S133)</f>
        <v>18</v>
      </c>
      <c r="AU133" s="711">
        <f t="shared" ref="AU133:BA169" si="85">ABS(U133-T133)</f>
        <v>58</v>
      </c>
      <c r="AV133" s="711">
        <f t="shared" si="85"/>
        <v>0</v>
      </c>
      <c r="AW133" s="711">
        <f t="shared" si="85"/>
        <v>28</v>
      </c>
      <c r="AX133" s="711">
        <f t="shared" si="85"/>
        <v>91</v>
      </c>
      <c r="AY133" s="711">
        <f t="shared" si="85"/>
        <v>129</v>
      </c>
      <c r="AZ133" s="711">
        <f t="shared" si="85"/>
        <v>295</v>
      </c>
      <c r="BA133" s="711">
        <f t="shared" si="85"/>
        <v>266</v>
      </c>
    </row>
    <row r="134" spans="1:53">
      <c r="A134" s="106">
        <f t="shared" si="47"/>
        <v>123</v>
      </c>
      <c r="B134" s="858">
        <v>42127</v>
      </c>
      <c r="C134" s="859" t="s">
        <v>1725</v>
      </c>
      <c r="D134" s="860">
        <v>3871</v>
      </c>
      <c r="E134" s="860">
        <v>3897</v>
      </c>
      <c r="F134" s="860">
        <v>3800</v>
      </c>
      <c r="G134" s="860">
        <v>3765</v>
      </c>
      <c r="H134" s="860">
        <v>3633</v>
      </c>
      <c r="I134" s="860">
        <v>3693</v>
      </c>
      <c r="J134" s="860">
        <v>3609</v>
      </c>
      <c r="K134" s="860">
        <v>3732</v>
      </c>
      <c r="L134" s="860">
        <v>3970</v>
      </c>
      <c r="M134" s="860">
        <v>4127</v>
      </c>
      <c r="N134" s="860">
        <v>4254</v>
      </c>
      <c r="O134" s="860">
        <v>4378</v>
      </c>
      <c r="P134" s="860">
        <v>4427</v>
      </c>
      <c r="Q134" s="860">
        <v>4447</v>
      </c>
      <c r="R134" s="860">
        <v>4451</v>
      </c>
      <c r="S134" s="860">
        <v>4485</v>
      </c>
      <c r="T134" s="860">
        <v>4570</v>
      </c>
      <c r="U134" s="860">
        <v>4621</v>
      </c>
      <c r="V134" s="860">
        <v>4624</v>
      </c>
      <c r="W134" s="860">
        <v>4679</v>
      </c>
      <c r="X134" s="860">
        <v>4842</v>
      </c>
      <c r="Y134" s="860">
        <v>4636</v>
      </c>
      <c r="Z134" s="860">
        <v>4249</v>
      </c>
      <c r="AA134" s="860">
        <v>4046</v>
      </c>
      <c r="AC134" s="712">
        <f t="shared" si="48"/>
        <v>123</v>
      </c>
      <c r="AD134" s="711">
        <f t="shared" si="49"/>
        <v>121</v>
      </c>
      <c r="AE134" s="711">
        <f t="shared" si="67"/>
        <v>26</v>
      </c>
      <c r="AF134" s="711">
        <f t="shared" si="79"/>
        <v>97</v>
      </c>
      <c r="AG134" s="711">
        <f t="shared" si="80"/>
        <v>35</v>
      </c>
      <c r="AH134" s="711">
        <f t="shared" si="68"/>
        <v>132</v>
      </c>
      <c r="AI134" s="711">
        <f t="shared" si="69"/>
        <v>60</v>
      </c>
      <c r="AJ134" s="711">
        <f t="shared" si="70"/>
        <v>84</v>
      </c>
      <c r="AK134" s="711">
        <f t="shared" si="71"/>
        <v>123</v>
      </c>
      <c r="AL134" s="711">
        <f t="shared" si="72"/>
        <v>238</v>
      </c>
      <c r="AM134" s="711">
        <f t="shared" si="73"/>
        <v>157</v>
      </c>
      <c r="AN134" s="711">
        <f t="shared" si="82"/>
        <v>127</v>
      </c>
      <c r="AO134" s="711">
        <f t="shared" si="83"/>
        <v>124</v>
      </c>
      <c r="AP134" s="711">
        <f t="shared" si="84"/>
        <v>49</v>
      </c>
      <c r="AQ134" s="711">
        <f t="shared" si="81"/>
        <v>20</v>
      </c>
      <c r="AR134" s="711">
        <f t="shared" si="81"/>
        <v>4</v>
      </c>
      <c r="AS134" s="711">
        <f t="shared" si="81"/>
        <v>34</v>
      </c>
      <c r="AT134" s="711">
        <f t="shared" si="81"/>
        <v>85</v>
      </c>
      <c r="AU134" s="711">
        <f t="shared" si="85"/>
        <v>51</v>
      </c>
      <c r="AV134" s="711">
        <f t="shared" si="85"/>
        <v>3</v>
      </c>
      <c r="AW134" s="711">
        <f t="shared" si="85"/>
        <v>55</v>
      </c>
      <c r="AX134" s="711">
        <f t="shared" si="85"/>
        <v>163</v>
      </c>
      <c r="AY134" s="711">
        <f t="shared" si="85"/>
        <v>206</v>
      </c>
      <c r="AZ134" s="711">
        <f t="shared" si="85"/>
        <v>387</v>
      </c>
      <c r="BA134" s="711">
        <f t="shared" si="85"/>
        <v>203</v>
      </c>
    </row>
    <row r="135" spans="1:53">
      <c r="A135" s="106">
        <f t="shared" si="47"/>
        <v>124</v>
      </c>
      <c r="B135" s="858">
        <v>42128</v>
      </c>
      <c r="C135" s="859" t="s">
        <v>1725</v>
      </c>
      <c r="D135" s="860">
        <v>3945</v>
      </c>
      <c r="E135" s="860">
        <v>3837</v>
      </c>
      <c r="F135" s="860">
        <v>3755</v>
      </c>
      <c r="G135" s="860">
        <v>3728</v>
      </c>
      <c r="H135" s="860">
        <v>3762</v>
      </c>
      <c r="I135" s="860">
        <v>3977</v>
      </c>
      <c r="J135" s="860">
        <v>4295</v>
      </c>
      <c r="K135" s="860">
        <v>4543</v>
      </c>
      <c r="L135" s="860">
        <v>4677</v>
      </c>
      <c r="M135" s="860">
        <v>4774</v>
      </c>
      <c r="N135" s="860">
        <v>4841</v>
      </c>
      <c r="O135" s="860">
        <v>4832</v>
      </c>
      <c r="P135" s="860">
        <v>4823</v>
      </c>
      <c r="Q135" s="860">
        <v>4844</v>
      </c>
      <c r="R135" s="860">
        <v>4835</v>
      </c>
      <c r="S135" s="860">
        <v>4844</v>
      </c>
      <c r="T135" s="860">
        <v>4866</v>
      </c>
      <c r="U135" s="860">
        <v>4923</v>
      </c>
      <c r="V135" s="860">
        <v>4937</v>
      </c>
      <c r="W135" s="860">
        <v>4932</v>
      </c>
      <c r="X135" s="860">
        <v>4996</v>
      </c>
      <c r="Y135" s="860">
        <v>4743</v>
      </c>
      <c r="Z135" s="860">
        <v>4302</v>
      </c>
      <c r="AA135" s="860">
        <v>3933</v>
      </c>
      <c r="AC135" s="712">
        <f t="shared" si="48"/>
        <v>124</v>
      </c>
      <c r="AD135" s="711">
        <f t="shared" si="49"/>
        <v>101</v>
      </c>
      <c r="AE135" s="711">
        <f t="shared" si="67"/>
        <v>108</v>
      </c>
      <c r="AF135" s="711">
        <f t="shared" si="79"/>
        <v>82</v>
      </c>
      <c r="AG135" s="711">
        <f t="shared" si="80"/>
        <v>27</v>
      </c>
      <c r="AH135" s="711">
        <f t="shared" si="68"/>
        <v>34</v>
      </c>
      <c r="AI135" s="711">
        <f t="shared" si="69"/>
        <v>215</v>
      </c>
      <c r="AJ135" s="711">
        <f t="shared" si="70"/>
        <v>318</v>
      </c>
      <c r="AK135" s="711">
        <f t="shared" si="71"/>
        <v>248</v>
      </c>
      <c r="AL135" s="711">
        <f t="shared" si="72"/>
        <v>134</v>
      </c>
      <c r="AM135" s="711">
        <f t="shared" si="73"/>
        <v>97</v>
      </c>
      <c r="AN135" s="711">
        <f t="shared" si="82"/>
        <v>67</v>
      </c>
      <c r="AO135" s="711">
        <f t="shared" si="83"/>
        <v>9</v>
      </c>
      <c r="AP135" s="711">
        <f t="shared" si="84"/>
        <v>9</v>
      </c>
      <c r="AQ135" s="711">
        <f t="shared" si="81"/>
        <v>21</v>
      </c>
      <c r="AR135" s="711">
        <f t="shared" si="81"/>
        <v>9</v>
      </c>
      <c r="AS135" s="711">
        <f t="shared" si="81"/>
        <v>9</v>
      </c>
      <c r="AT135" s="711">
        <f t="shared" si="81"/>
        <v>22</v>
      </c>
      <c r="AU135" s="711">
        <f t="shared" si="85"/>
        <v>57</v>
      </c>
      <c r="AV135" s="711">
        <f t="shared" si="85"/>
        <v>14</v>
      </c>
      <c r="AW135" s="711">
        <f t="shared" si="85"/>
        <v>5</v>
      </c>
      <c r="AX135" s="711">
        <f t="shared" si="85"/>
        <v>64</v>
      </c>
      <c r="AY135" s="711">
        <f t="shared" si="85"/>
        <v>253</v>
      </c>
      <c r="AZ135" s="711">
        <f t="shared" si="85"/>
        <v>441</v>
      </c>
      <c r="BA135" s="711">
        <f t="shared" si="85"/>
        <v>369</v>
      </c>
    </row>
    <row r="136" spans="1:53">
      <c r="A136" s="106">
        <f t="shared" si="47"/>
        <v>125</v>
      </c>
      <c r="B136" s="858">
        <v>42129</v>
      </c>
      <c r="C136" s="859" t="s">
        <v>1725</v>
      </c>
      <c r="D136" s="860">
        <v>3817</v>
      </c>
      <c r="E136" s="860">
        <v>3740</v>
      </c>
      <c r="F136" s="860">
        <v>3759</v>
      </c>
      <c r="G136" s="860">
        <v>3804</v>
      </c>
      <c r="H136" s="860">
        <v>3905</v>
      </c>
      <c r="I136" s="860">
        <v>4149</v>
      </c>
      <c r="J136" s="860">
        <v>4378</v>
      </c>
      <c r="K136" s="860">
        <v>4621</v>
      </c>
      <c r="L136" s="860">
        <v>4755</v>
      </c>
      <c r="M136" s="860">
        <v>4826</v>
      </c>
      <c r="N136" s="860">
        <v>4888</v>
      </c>
      <c r="O136" s="860">
        <v>4920</v>
      </c>
      <c r="P136" s="860">
        <v>4920</v>
      </c>
      <c r="Q136" s="860">
        <v>4947</v>
      </c>
      <c r="R136" s="860">
        <v>4931</v>
      </c>
      <c r="S136" s="860">
        <v>4901</v>
      </c>
      <c r="T136" s="860">
        <v>4925</v>
      </c>
      <c r="U136" s="860">
        <v>4969</v>
      </c>
      <c r="V136" s="860">
        <v>4955</v>
      </c>
      <c r="W136" s="860">
        <v>4980</v>
      </c>
      <c r="X136" s="860">
        <v>5094</v>
      </c>
      <c r="Y136" s="860">
        <v>4841</v>
      </c>
      <c r="Z136" s="860">
        <v>4597</v>
      </c>
      <c r="AA136" s="860">
        <v>4283</v>
      </c>
      <c r="AC136" s="712">
        <f t="shared" si="48"/>
        <v>125</v>
      </c>
      <c r="AD136" s="711">
        <f t="shared" si="49"/>
        <v>116</v>
      </c>
      <c r="AE136" s="711">
        <f t="shared" si="67"/>
        <v>77</v>
      </c>
      <c r="AF136" s="711">
        <f t="shared" si="79"/>
        <v>19</v>
      </c>
      <c r="AG136" s="711">
        <f t="shared" si="80"/>
        <v>45</v>
      </c>
      <c r="AH136" s="711">
        <f t="shared" si="68"/>
        <v>101</v>
      </c>
      <c r="AI136" s="711">
        <f t="shared" si="69"/>
        <v>244</v>
      </c>
      <c r="AJ136" s="711">
        <f t="shared" si="70"/>
        <v>229</v>
      </c>
      <c r="AK136" s="711">
        <f t="shared" si="71"/>
        <v>243</v>
      </c>
      <c r="AL136" s="711">
        <f t="shared" si="72"/>
        <v>134</v>
      </c>
      <c r="AM136" s="711">
        <f t="shared" si="73"/>
        <v>71</v>
      </c>
      <c r="AN136" s="711">
        <f t="shared" si="82"/>
        <v>62</v>
      </c>
      <c r="AO136" s="711">
        <f t="shared" si="83"/>
        <v>32</v>
      </c>
      <c r="AP136" s="711">
        <f t="shared" si="84"/>
        <v>0</v>
      </c>
      <c r="AQ136" s="711">
        <f t="shared" si="81"/>
        <v>27</v>
      </c>
      <c r="AR136" s="711">
        <f t="shared" si="81"/>
        <v>16</v>
      </c>
      <c r="AS136" s="711">
        <f t="shared" si="81"/>
        <v>30</v>
      </c>
      <c r="AT136" s="711">
        <f t="shared" si="81"/>
        <v>24</v>
      </c>
      <c r="AU136" s="711">
        <f t="shared" si="85"/>
        <v>44</v>
      </c>
      <c r="AV136" s="711">
        <f t="shared" si="85"/>
        <v>14</v>
      </c>
      <c r="AW136" s="711">
        <f t="shared" si="85"/>
        <v>25</v>
      </c>
      <c r="AX136" s="711">
        <f t="shared" si="85"/>
        <v>114</v>
      </c>
      <c r="AY136" s="711">
        <f t="shared" si="85"/>
        <v>253</v>
      </c>
      <c r="AZ136" s="711">
        <f t="shared" si="85"/>
        <v>244</v>
      </c>
      <c r="BA136" s="711">
        <f t="shared" si="85"/>
        <v>314</v>
      </c>
    </row>
    <row r="137" spans="1:53">
      <c r="A137" s="106">
        <f t="shared" si="47"/>
        <v>126</v>
      </c>
      <c r="B137" s="858">
        <v>42130</v>
      </c>
      <c r="C137" s="859" t="s">
        <v>1725</v>
      </c>
      <c r="D137" s="860">
        <v>4088</v>
      </c>
      <c r="E137" s="860">
        <v>3958</v>
      </c>
      <c r="F137" s="860">
        <v>3901</v>
      </c>
      <c r="G137" s="860">
        <v>3796</v>
      </c>
      <c r="H137" s="860">
        <v>3863</v>
      </c>
      <c r="I137" s="860">
        <v>4053</v>
      </c>
      <c r="J137" s="860">
        <v>4460</v>
      </c>
      <c r="K137" s="860">
        <v>4723</v>
      </c>
      <c r="L137" s="860">
        <v>4848</v>
      </c>
      <c r="M137" s="860">
        <v>4856</v>
      </c>
      <c r="N137" s="860">
        <v>4841</v>
      </c>
      <c r="O137" s="860">
        <v>4850</v>
      </c>
      <c r="P137" s="860">
        <v>4873</v>
      </c>
      <c r="Q137" s="860">
        <v>4907</v>
      </c>
      <c r="R137" s="860">
        <v>4878</v>
      </c>
      <c r="S137" s="860">
        <v>4816</v>
      </c>
      <c r="T137" s="860">
        <v>4801</v>
      </c>
      <c r="U137" s="860">
        <v>4820</v>
      </c>
      <c r="V137" s="860">
        <v>4813</v>
      </c>
      <c r="W137" s="860">
        <v>4870</v>
      </c>
      <c r="X137" s="860">
        <v>4978</v>
      </c>
      <c r="Y137" s="860">
        <v>4821</v>
      </c>
      <c r="Z137" s="860">
        <v>4577</v>
      </c>
      <c r="AA137" s="860">
        <v>4274</v>
      </c>
      <c r="AC137" s="712">
        <f t="shared" si="48"/>
        <v>126</v>
      </c>
      <c r="AD137" s="711">
        <f t="shared" si="49"/>
        <v>195</v>
      </c>
      <c r="AE137" s="711">
        <f t="shared" si="67"/>
        <v>130</v>
      </c>
      <c r="AF137" s="711">
        <f t="shared" si="79"/>
        <v>57</v>
      </c>
      <c r="AG137" s="711">
        <f t="shared" si="80"/>
        <v>105</v>
      </c>
      <c r="AH137" s="711">
        <f t="shared" si="68"/>
        <v>67</v>
      </c>
      <c r="AI137" s="711">
        <f t="shared" si="69"/>
        <v>190</v>
      </c>
      <c r="AJ137" s="711">
        <f t="shared" si="70"/>
        <v>407</v>
      </c>
      <c r="AK137" s="711">
        <f t="shared" si="71"/>
        <v>263</v>
      </c>
      <c r="AL137" s="711">
        <f t="shared" si="72"/>
        <v>125</v>
      </c>
      <c r="AM137" s="711">
        <f t="shared" si="73"/>
        <v>8</v>
      </c>
      <c r="AN137" s="711">
        <f t="shared" si="82"/>
        <v>15</v>
      </c>
      <c r="AO137" s="711">
        <f t="shared" si="83"/>
        <v>9</v>
      </c>
      <c r="AP137" s="711">
        <f t="shared" si="84"/>
        <v>23</v>
      </c>
      <c r="AQ137" s="711">
        <f t="shared" si="81"/>
        <v>34</v>
      </c>
      <c r="AR137" s="711">
        <f t="shared" si="81"/>
        <v>29</v>
      </c>
      <c r="AS137" s="711">
        <f t="shared" si="81"/>
        <v>62</v>
      </c>
      <c r="AT137" s="711">
        <f t="shared" si="81"/>
        <v>15</v>
      </c>
      <c r="AU137" s="711">
        <f t="shared" si="85"/>
        <v>19</v>
      </c>
      <c r="AV137" s="711">
        <f t="shared" si="85"/>
        <v>7</v>
      </c>
      <c r="AW137" s="711">
        <f t="shared" si="85"/>
        <v>57</v>
      </c>
      <c r="AX137" s="711">
        <f t="shared" si="85"/>
        <v>108</v>
      </c>
      <c r="AY137" s="711">
        <f t="shared" si="85"/>
        <v>157</v>
      </c>
      <c r="AZ137" s="711">
        <f t="shared" si="85"/>
        <v>244</v>
      </c>
      <c r="BA137" s="711">
        <f t="shared" si="85"/>
        <v>303</v>
      </c>
    </row>
    <row r="138" spans="1:53">
      <c r="A138" s="106">
        <f t="shared" si="47"/>
        <v>127</v>
      </c>
      <c r="B138" s="858">
        <v>42131</v>
      </c>
      <c r="C138" s="859" t="s">
        <v>1725</v>
      </c>
      <c r="D138" s="860">
        <v>4069</v>
      </c>
      <c r="E138" s="860">
        <v>3946</v>
      </c>
      <c r="F138" s="860">
        <v>3899</v>
      </c>
      <c r="G138" s="860">
        <v>3811</v>
      </c>
      <c r="H138" s="860">
        <v>3856</v>
      </c>
      <c r="I138" s="860">
        <v>4056</v>
      </c>
      <c r="J138" s="860">
        <v>4419</v>
      </c>
      <c r="K138" s="860">
        <v>4695</v>
      </c>
      <c r="L138" s="860">
        <v>4796</v>
      </c>
      <c r="M138" s="860">
        <v>4855</v>
      </c>
      <c r="N138" s="860">
        <v>4861</v>
      </c>
      <c r="O138" s="860">
        <v>4855</v>
      </c>
      <c r="P138" s="860">
        <v>4857</v>
      </c>
      <c r="Q138" s="860">
        <v>4836</v>
      </c>
      <c r="R138" s="860">
        <v>4801</v>
      </c>
      <c r="S138" s="860">
        <v>4773</v>
      </c>
      <c r="T138" s="860">
        <v>4734</v>
      </c>
      <c r="U138" s="860">
        <v>4830</v>
      </c>
      <c r="V138" s="860">
        <v>4791</v>
      </c>
      <c r="W138" s="860">
        <v>4848</v>
      </c>
      <c r="X138" s="860">
        <v>4978</v>
      </c>
      <c r="Y138" s="860">
        <v>4791</v>
      </c>
      <c r="Z138" s="860">
        <v>4404</v>
      </c>
      <c r="AA138" s="860">
        <v>4033</v>
      </c>
      <c r="AC138" s="712">
        <f t="shared" si="48"/>
        <v>127</v>
      </c>
      <c r="AD138" s="711">
        <f t="shared" si="49"/>
        <v>205</v>
      </c>
      <c r="AE138" s="711">
        <f t="shared" si="67"/>
        <v>123</v>
      </c>
      <c r="AF138" s="711">
        <f t="shared" si="79"/>
        <v>47</v>
      </c>
      <c r="AG138" s="711">
        <f t="shared" si="80"/>
        <v>88</v>
      </c>
      <c r="AH138" s="711">
        <f t="shared" si="68"/>
        <v>45</v>
      </c>
      <c r="AI138" s="711">
        <f t="shared" si="69"/>
        <v>200</v>
      </c>
      <c r="AJ138" s="711">
        <f t="shared" si="70"/>
        <v>363</v>
      </c>
      <c r="AK138" s="711">
        <f t="shared" si="71"/>
        <v>276</v>
      </c>
      <c r="AL138" s="711">
        <f t="shared" si="72"/>
        <v>101</v>
      </c>
      <c r="AM138" s="711">
        <f t="shared" si="73"/>
        <v>59</v>
      </c>
      <c r="AN138" s="711">
        <f t="shared" si="82"/>
        <v>6</v>
      </c>
      <c r="AO138" s="711">
        <f t="shared" si="83"/>
        <v>6</v>
      </c>
      <c r="AP138" s="711">
        <f t="shared" si="84"/>
        <v>2</v>
      </c>
      <c r="AQ138" s="711">
        <f t="shared" si="81"/>
        <v>21</v>
      </c>
      <c r="AR138" s="711">
        <f t="shared" si="81"/>
        <v>35</v>
      </c>
      <c r="AS138" s="711">
        <f t="shared" si="81"/>
        <v>28</v>
      </c>
      <c r="AT138" s="711">
        <f t="shared" si="81"/>
        <v>39</v>
      </c>
      <c r="AU138" s="711">
        <f t="shared" si="85"/>
        <v>96</v>
      </c>
      <c r="AV138" s="711">
        <f t="shared" si="85"/>
        <v>39</v>
      </c>
      <c r="AW138" s="711">
        <f t="shared" si="85"/>
        <v>57</v>
      </c>
      <c r="AX138" s="711">
        <f t="shared" si="85"/>
        <v>130</v>
      </c>
      <c r="AY138" s="711">
        <f t="shared" si="85"/>
        <v>187</v>
      </c>
      <c r="AZ138" s="711">
        <f t="shared" si="85"/>
        <v>387</v>
      </c>
      <c r="BA138" s="711">
        <f t="shared" si="85"/>
        <v>371</v>
      </c>
    </row>
    <row r="139" spans="1:53">
      <c r="A139" s="106">
        <f t="shared" si="47"/>
        <v>128</v>
      </c>
      <c r="B139" s="858">
        <v>42132</v>
      </c>
      <c r="C139" s="859" t="s">
        <v>1725</v>
      </c>
      <c r="D139" s="860">
        <v>4023</v>
      </c>
      <c r="E139" s="860">
        <v>3977</v>
      </c>
      <c r="F139" s="860">
        <v>3928</v>
      </c>
      <c r="G139" s="860">
        <v>3939</v>
      </c>
      <c r="H139" s="860">
        <v>4011</v>
      </c>
      <c r="I139" s="860">
        <v>4248</v>
      </c>
      <c r="J139" s="860">
        <v>4461</v>
      </c>
      <c r="K139" s="860">
        <v>4643</v>
      </c>
      <c r="L139" s="860">
        <v>4812</v>
      </c>
      <c r="M139" s="860">
        <v>4935</v>
      </c>
      <c r="N139" s="860">
        <v>4983</v>
      </c>
      <c r="O139" s="860">
        <v>4922</v>
      </c>
      <c r="P139" s="860">
        <v>4878</v>
      </c>
      <c r="Q139" s="860">
        <v>4911</v>
      </c>
      <c r="R139" s="860">
        <v>4780</v>
      </c>
      <c r="S139" s="860">
        <v>4726</v>
      </c>
      <c r="T139" s="860">
        <v>4758</v>
      </c>
      <c r="U139" s="860">
        <v>4855</v>
      </c>
      <c r="V139" s="860">
        <v>4798</v>
      </c>
      <c r="W139" s="860">
        <v>4913</v>
      </c>
      <c r="X139" s="860">
        <v>4934</v>
      </c>
      <c r="Y139" s="860">
        <v>4753</v>
      </c>
      <c r="Z139" s="860">
        <v>4453</v>
      </c>
      <c r="AA139" s="860">
        <v>4246</v>
      </c>
      <c r="AC139" s="712">
        <f t="shared" si="48"/>
        <v>128</v>
      </c>
      <c r="AD139" s="711">
        <f t="shared" si="49"/>
        <v>10</v>
      </c>
      <c r="AE139" s="711">
        <f t="shared" si="67"/>
        <v>46</v>
      </c>
      <c r="AF139" s="711">
        <f t="shared" si="79"/>
        <v>49</v>
      </c>
      <c r="AG139" s="711">
        <f t="shared" si="80"/>
        <v>11</v>
      </c>
      <c r="AH139" s="711">
        <f t="shared" si="68"/>
        <v>72</v>
      </c>
      <c r="AI139" s="711">
        <f t="shared" si="69"/>
        <v>237</v>
      </c>
      <c r="AJ139" s="711">
        <f t="shared" si="70"/>
        <v>213</v>
      </c>
      <c r="AK139" s="711">
        <f t="shared" si="71"/>
        <v>182</v>
      </c>
      <c r="AL139" s="711">
        <f t="shared" si="72"/>
        <v>169</v>
      </c>
      <c r="AM139" s="711">
        <f t="shared" si="73"/>
        <v>123</v>
      </c>
      <c r="AN139" s="711">
        <f t="shared" si="82"/>
        <v>48</v>
      </c>
      <c r="AO139" s="711">
        <f t="shared" si="83"/>
        <v>61</v>
      </c>
      <c r="AP139" s="711">
        <f t="shared" si="84"/>
        <v>44</v>
      </c>
      <c r="AQ139" s="711">
        <f t="shared" si="81"/>
        <v>33</v>
      </c>
      <c r="AR139" s="711">
        <f t="shared" si="81"/>
        <v>131</v>
      </c>
      <c r="AS139" s="711">
        <f t="shared" si="81"/>
        <v>54</v>
      </c>
      <c r="AT139" s="711">
        <f t="shared" si="81"/>
        <v>32</v>
      </c>
      <c r="AU139" s="711">
        <f t="shared" si="85"/>
        <v>97</v>
      </c>
      <c r="AV139" s="711">
        <f t="shared" si="85"/>
        <v>57</v>
      </c>
      <c r="AW139" s="711">
        <f t="shared" si="85"/>
        <v>115</v>
      </c>
      <c r="AX139" s="711">
        <f t="shared" si="85"/>
        <v>21</v>
      </c>
      <c r="AY139" s="711">
        <f t="shared" si="85"/>
        <v>181</v>
      </c>
      <c r="AZ139" s="711">
        <f t="shared" si="85"/>
        <v>300</v>
      </c>
      <c r="BA139" s="711">
        <f t="shared" si="85"/>
        <v>207</v>
      </c>
    </row>
    <row r="140" spans="1:53">
      <c r="A140" s="106">
        <f t="shared" si="47"/>
        <v>129</v>
      </c>
      <c r="B140" s="858">
        <v>42133</v>
      </c>
      <c r="C140" s="859" t="s">
        <v>1725</v>
      </c>
      <c r="D140" s="860">
        <v>4146</v>
      </c>
      <c r="E140" s="860">
        <v>3975</v>
      </c>
      <c r="F140" s="860">
        <v>3940</v>
      </c>
      <c r="G140" s="860">
        <v>3888</v>
      </c>
      <c r="H140" s="860">
        <v>3828</v>
      </c>
      <c r="I140" s="860">
        <v>3921</v>
      </c>
      <c r="J140" s="860">
        <v>3973</v>
      </c>
      <c r="K140" s="860">
        <v>4182</v>
      </c>
      <c r="L140" s="860">
        <v>4378</v>
      </c>
      <c r="M140" s="860">
        <v>4542</v>
      </c>
      <c r="N140" s="860">
        <v>4629</v>
      </c>
      <c r="O140" s="860">
        <v>4629</v>
      </c>
      <c r="P140" s="860">
        <v>4620</v>
      </c>
      <c r="Q140" s="860">
        <v>4579</v>
      </c>
      <c r="R140" s="860">
        <v>4606</v>
      </c>
      <c r="S140" s="860">
        <v>4628</v>
      </c>
      <c r="T140" s="860">
        <v>4715</v>
      </c>
      <c r="U140" s="860">
        <v>4884</v>
      </c>
      <c r="V140" s="860">
        <v>5048</v>
      </c>
      <c r="W140" s="860">
        <v>4979</v>
      </c>
      <c r="X140" s="860">
        <v>5093</v>
      </c>
      <c r="Y140" s="860">
        <v>4898</v>
      </c>
      <c r="Z140" s="860">
        <v>4587</v>
      </c>
      <c r="AA140" s="860">
        <v>4257</v>
      </c>
      <c r="AC140" s="712">
        <f t="shared" si="48"/>
        <v>129</v>
      </c>
      <c r="AD140" s="711">
        <f t="shared" si="49"/>
        <v>100</v>
      </c>
      <c r="AE140" s="711">
        <f t="shared" ref="AE140:AE171" si="86">ABS(E140-D140)</f>
        <v>171</v>
      </c>
      <c r="AF140" s="711">
        <f t="shared" si="79"/>
        <v>35</v>
      </c>
      <c r="AG140" s="711">
        <f t="shared" si="80"/>
        <v>52</v>
      </c>
      <c r="AH140" s="711">
        <f t="shared" si="68"/>
        <v>60</v>
      </c>
      <c r="AI140" s="711">
        <f t="shared" si="69"/>
        <v>93</v>
      </c>
      <c r="AJ140" s="711">
        <f t="shared" si="70"/>
        <v>52</v>
      </c>
      <c r="AK140" s="711">
        <f t="shared" si="71"/>
        <v>209</v>
      </c>
      <c r="AL140" s="711">
        <f t="shared" si="72"/>
        <v>196</v>
      </c>
      <c r="AM140" s="711">
        <f t="shared" si="73"/>
        <v>164</v>
      </c>
      <c r="AN140" s="711">
        <f t="shared" si="82"/>
        <v>87</v>
      </c>
      <c r="AO140" s="711">
        <f t="shared" si="83"/>
        <v>0</v>
      </c>
      <c r="AP140" s="711">
        <f t="shared" si="84"/>
        <v>9</v>
      </c>
      <c r="AQ140" s="711">
        <f t="shared" si="81"/>
        <v>41</v>
      </c>
      <c r="AR140" s="711">
        <f t="shared" si="81"/>
        <v>27</v>
      </c>
      <c r="AS140" s="711">
        <f t="shared" si="81"/>
        <v>22</v>
      </c>
      <c r="AT140" s="711">
        <f t="shared" si="81"/>
        <v>87</v>
      </c>
      <c r="AU140" s="711">
        <f t="shared" si="85"/>
        <v>169</v>
      </c>
      <c r="AV140" s="711">
        <f t="shared" si="85"/>
        <v>164</v>
      </c>
      <c r="AW140" s="711">
        <f t="shared" si="85"/>
        <v>69</v>
      </c>
      <c r="AX140" s="711">
        <f t="shared" si="85"/>
        <v>114</v>
      </c>
      <c r="AY140" s="711">
        <f t="shared" si="85"/>
        <v>195</v>
      </c>
      <c r="AZ140" s="711">
        <f t="shared" si="85"/>
        <v>311</v>
      </c>
      <c r="BA140" s="711">
        <f t="shared" si="85"/>
        <v>330</v>
      </c>
    </row>
    <row r="141" spans="1:53">
      <c r="A141" s="106">
        <f t="shared" si="47"/>
        <v>130</v>
      </c>
      <c r="B141" s="858">
        <v>42134</v>
      </c>
      <c r="C141" s="859" t="s">
        <v>1725</v>
      </c>
      <c r="D141" s="860">
        <v>4174</v>
      </c>
      <c r="E141" s="860">
        <v>4141</v>
      </c>
      <c r="F141" s="860">
        <v>4139</v>
      </c>
      <c r="G141" s="860">
        <v>4139</v>
      </c>
      <c r="H141" s="860">
        <v>4132</v>
      </c>
      <c r="I141" s="860">
        <v>4212</v>
      </c>
      <c r="J141" s="860">
        <v>4259</v>
      </c>
      <c r="K141" s="860">
        <v>4311</v>
      </c>
      <c r="L141" s="860">
        <v>4405</v>
      </c>
      <c r="M141" s="860">
        <v>4493</v>
      </c>
      <c r="N141" s="860">
        <v>4461</v>
      </c>
      <c r="O141" s="860">
        <v>4446</v>
      </c>
      <c r="P141" s="860">
        <v>4354</v>
      </c>
      <c r="Q141" s="860">
        <v>4295</v>
      </c>
      <c r="R141" s="860">
        <v>4275</v>
      </c>
      <c r="S141" s="860">
        <v>4288</v>
      </c>
      <c r="T141" s="860">
        <v>4367</v>
      </c>
      <c r="U141" s="860">
        <v>4519</v>
      </c>
      <c r="V141" s="860">
        <v>4660</v>
      </c>
      <c r="W141" s="860">
        <v>4736</v>
      </c>
      <c r="X141" s="860">
        <v>4894</v>
      </c>
      <c r="Y141" s="860">
        <v>4742</v>
      </c>
      <c r="Z141" s="860">
        <v>4381</v>
      </c>
      <c r="AA141" s="860">
        <v>4189</v>
      </c>
      <c r="AC141" s="712">
        <f t="shared" si="48"/>
        <v>130</v>
      </c>
      <c r="AD141" s="711">
        <f t="shared" si="49"/>
        <v>83</v>
      </c>
      <c r="AE141" s="711">
        <f t="shared" si="86"/>
        <v>33</v>
      </c>
      <c r="AF141" s="711">
        <f t="shared" si="79"/>
        <v>2</v>
      </c>
      <c r="AG141" s="711">
        <f t="shared" si="80"/>
        <v>0</v>
      </c>
      <c r="AH141" s="711">
        <f t="shared" si="68"/>
        <v>7</v>
      </c>
      <c r="AI141" s="711">
        <f t="shared" si="69"/>
        <v>80</v>
      </c>
      <c r="AJ141" s="711">
        <f t="shared" si="70"/>
        <v>47</v>
      </c>
      <c r="AK141" s="711">
        <f t="shared" si="71"/>
        <v>52</v>
      </c>
      <c r="AL141" s="711">
        <f t="shared" si="72"/>
        <v>94</v>
      </c>
      <c r="AM141" s="711">
        <f t="shared" si="73"/>
        <v>88</v>
      </c>
      <c r="AN141" s="711">
        <f t="shared" si="82"/>
        <v>32</v>
      </c>
      <c r="AO141" s="711">
        <f t="shared" si="83"/>
        <v>15</v>
      </c>
      <c r="AP141" s="711">
        <f t="shared" si="84"/>
        <v>92</v>
      </c>
      <c r="AQ141" s="711">
        <f t="shared" si="81"/>
        <v>59</v>
      </c>
      <c r="AR141" s="711">
        <f t="shared" si="81"/>
        <v>20</v>
      </c>
      <c r="AS141" s="711">
        <f t="shared" si="81"/>
        <v>13</v>
      </c>
      <c r="AT141" s="711">
        <f t="shared" si="81"/>
        <v>79</v>
      </c>
      <c r="AU141" s="711">
        <f t="shared" si="85"/>
        <v>152</v>
      </c>
      <c r="AV141" s="711">
        <f t="shared" si="85"/>
        <v>141</v>
      </c>
      <c r="AW141" s="711">
        <f t="shared" si="85"/>
        <v>76</v>
      </c>
      <c r="AX141" s="711">
        <f t="shared" si="85"/>
        <v>158</v>
      </c>
      <c r="AY141" s="711">
        <f t="shared" si="85"/>
        <v>152</v>
      </c>
      <c r="AZ141" s="711">
        <f t="shared" si="85"/>
        <v>361</v>
      </c>
      <c r="BA141" s="711">
        <f t="shared" si="85"/>
        <v>192</v>
      </c>
    </row>
    <row r="142" spans="1:53">
      <c r="A142" s="106">
        <f t="shared" ref="A142:A205" si="87">A141+1</f>
        <v>131</v>
      </c>
      <c r="B142" s="858">
        <v>42135</v>
      </c>
      <c r="C142" s="859" t="s">
        <v>1725</v>
      </c>
      <c r="D142" s="860">
        <v>4160</v>
      </c>
      <c r="E142" s="860">
        <v>4064</v>
      </c>
      <c r="F142" s="860">
        <v>4006</v>
      </c>
      <c r="G142" s="860">
        <v>3990</v>
      </c>
      <c r="H142" s="860">
        <v>4069</v>
      </c>
      <c r="I142" s="860">
        <v>4289</v>
      </c>
      <c r="J142" s="860">
        <v>4564</v>
      </c>
      <c r="K142" s="860">
        <v>4689</v>
      </c>
      <c r="L142" s="860">
        <v>4724</v>
      </c>
      <c r="M142" s="860">
        <v>4718</v>
      </c>
      <c r="N142" s="860">
        <v>4726</v>
      </c>
      <c r="O142" s="860">
        <v>4684</v>
      </c>
      <c r="P142" s="860">
        <v>4637</v>
      </c>
      <c r="Q142" s="860">
        <v>4614</v>
      </c>
      <c r="R142" s="860">
        <v>4594</v>
      </c>
      <c r="S142" s="860">
        <v>4586</v>
      </c>
      <c r="T142" s="860">
        <v>4591</v>
      </c>
      <c r="U142" s="860">
        <v>4650</v>
      </c>
      <c r="V142" s="860">
        <v>4666</v>
      </c>
      <c r="W142" s="860">
        <v>4686</v>
      </c>
      <c r="X142" s="860">
        <v>4896</v>
      </c>
      <c r="Y142" s="860">
        <v>4742</v>
      </c>
      <c r="Z142" s="860">
        <v>4404</v>
      </c>
      <c r="AA142" s="860">
        <v>4126</v>
      </c>
      <c r="AC142" s="712">
        <f t="shared" ref="AC142:AC205" si="88">AC141+1</f>
        <v>131</v>
      </c>
      <c r="AD142" s="711">
        <f t="shared" ref="AD142:AD205" si="89">ABS(D142-AA141)</f>
        <v>29</v>
      </c>
      <c r="AE142" s="711">
        <f t="shared" si="86"/>
        <v>96</v>
      </c>
      <c r="AF142" s="711">
        <f t="shared" si="79"/>
        <v>58</v>
      </c>
      <c r="AG142" s="711">
        <f t="shared" si="80"/>
        <v>16</v>
      </c>
      <c r="AH142" s="711">
        <f t="shared" si="68"/>
        <v>79</v>
      </c>
      <c r="AI142" s="711">
        <f t="shared" si="69"/>
        <v>220</v>
      </c>
      <c r="AJ142" s="711">
        <f t="shared" si="70"/>
        <v>275</v>
      </c>
      <c r="AK142" s="711">
        <f t="shared" si="71"/>
        <v>125</v>
      </c>
      <c r="AL142" s="711">
        <f t="shared" si="72"/>
        <v>35</v>
      </c>
      <c r="AM142" s="711">
        <f t="shared" si="73"/>
        <v>6</v>
      </c>
      <c r="AN142" s="711">
        <f t="shared" si="82"/>
        <v>8</v>
      </c>
      <c r="AO142" s="711">
        <f t="shared" si="83"/>
        <v>42</v>
      </c>
      <c r="AP142" s="711">
        <f t="shared" si="84"/>
        <v>47</v>
      </c>
      <c r="AQ142" s="711">
        <f t="shared" si="81"/>
        <v>23</v>
      </c>
      <c r="AR142" s="711">
        <f t="shared" si="81"/>
        <v>20</v>
      </c>
      <c r="AS142" s="711">
        <f t="shared" si="81"/>
        <v>8</v>
      </c>
      <c r="AT142" s="711">
        <f t="shared" si="81"/>
        <v>5</v>
      </c>
      <c r="AU142" s="711">
        <f t="shared" si="85"/>
        <v>59</v>
      </c>
      <c r="AV142" s="711">
        <f t="shared" si="85"/>
        <v>16</v>
      </c>
      <c r="AW142" s="711">
        <f t="shared" si="85"/>
        <v>20</v>
      </c>
      <c r="AX142" s="711">
        <f t="shared" si="85"/>
        <v>210</v>
      </c>
      <c r="AY142" s="711">
        <f t="shared" si="85"/>
        <v>154</v>
      </c>
      <c r="AZ142" s="711">
        <f t="shared" si="85"/>
        <v>338</v>
      </c>
      <c r="BA142" s="711">
        <f t="shared" si="85"/>
        <v>278</v>
      </c>
    </row>
    <row r="143" spans="1:53">
      <c r="A143" s="106">
        <f t="shared" si="87"/>
        <v>132</v>
      </c>
      <c r="B143" s="858">
        <v>42136</v>
      </c>
      <c r="C143" s="859" t="s">
        <v>1725</v>
      </c>
      <c r="D143" s="860">
        <v>3997</v>
      </c>
      <c r="E143" s="860">
        <v>3894</v>
      </c>
      <c r="F143" s="860">
        <v>3851</v>
      </c>
      <c r="G143" s="860">
        <v>3855</v>
      </c>
      <c r="H143" s="860">
        <v>3880</v>
      </c>
      <c r="I143" s="860">
        <v>4096</v>
      </c>
      <c r="J143" s="860">
        <v>4432</v>
      </c>
      <c r="K143" s="860">
        <v>4732</v>
      </c>
      <c r="L143" s="860">
        <v>4802</v>
      </c>
      <c r="M143" s="860">
        <v>4772</v>
      </c>
      <c r="N143" s="860">
        <v>4799</v>
      </c>
      <c r="O143" s="860">
        <v>4791</v>
      </c>
      <c r="P143" s="860">
        <v>4828</v>
      </c>
      <c r="Q143" s="860">
        <v>4878</v>
      </c>
      <c r="R143" s="860">
        <v>4876</v>
      </c>
      <c r="S143" s="860">
        <v>4899</v>
      </c>
      <c r="T143" s="860">
        <v>4943</v>
      </c>
      <c r="U143" s="860">
        <v>4915</v>
      </c>
      <c r="V143" s="860">
        <v>4881</v>
      </c>
      <c r="W143" s="860">
        <v>4866</v>
      </c>
      <c r="X143" s="860">
        <v>4999</v>
      </c>
      <c r="Y143" s="860">
        <v>4826</v>
      </c>
      <c r="Z143" s="860">
        <v>4531</v>
      </c>
      <c r="AA143" s="860">
        <v>4278</v>
      </c>
      <c r="AC143" s="712">
        <f t="shared" si="88"/>
        <v>132</v>
      </c>
      <c r="AD143" s="711">
        <f t="shared" si="89"/>
        <v>129</v>
      </c>
      <c r="AE143" s="711">
        <f t="shared" si="86"/>
        <v>103</v>
      </c>
      <c r="AF143" s="711">
        <f t="shared" si="79"/>
        <v>43</v>
      </c>
      <c r="AG143" s="711">
        <f t="shared" si="80"/>
        <v>4</v>
      </c>
      <c r="AH143" s="711">
        <f t="shared" si="68"/>
        <v>25</v>
      </c>
      <c r="AI143" s="711">
        <f t="shared" si="69"/>
        <v>216</v>
      </c>
      <c r="AJ143" s="711">
        <f t="shared" si="70"/>
        <v>336</v>
      </c>
      <c r="AK143" s="711">
        <f t="shared" si="71"/>
        <v>300</v>
      </c>
      <c r="AL143" s="711">
        <f t="shared" si="72"/>
        <v>70</v>
      </c>
      <c r="AM143" s="711">
        <f t="shared" si="73"/>
        <v>30</v>
      </c>
      <c r="AN143" s="711">
        <f t="shared" si="82"/>
        <v>27</v>
      </c>
      <c r="AO143" s="711">
        <f t="shared" si="83"/>
        <v>8</v>
      </c>
      <c r="AP143" s="711">
        <f t="shared" si="84"/>
        <v>37</v>
      </c>
      <c r="AQ143" s="711">
        <f t="shared" si="81"/>
        <v>50</v>
      </c>
      <c r="AR143" s="711">
        <f t="shared" si="81"/>
        <v>2</v>
      </c>
      <c r="AS143" s="711">
        <f t="shared" si="81"/>
        <v>23</v>
      </c>
      <c r="AT143" s="711">
        <f t="shared" si="81"/>
        <v>44</v>
      </c>
      <c r="AU143" s="711">
        <f t="shared" si="85"/>
        <v>28</v>
      </c>
      <c r="AV143" s="711">
        <f t="shared" si="85"/>
        <v>34</v>
      </c>
      <c r="AW143" s="711">
        <f t="shared" si="85"/>
        <v>15</v>
      </c>
      <c r="AX143" s="711">
        <f t="shared" si="85"/>
        <v>133</v>
      </c>
      <c r="AY143" s="711">
        <f t="shared" si="85"/>
        <v>173</v>
      </c>
      <c r="AZ143" s="711">
        <f t="shared" si="85"/>
        <v>295</v>
      </c>
      <c r="BA143" s="711">
        <f t="shared" si="85"/>
        <v>253</v>
      </c>
    </row>
    <row r="144" spans="1:53">
      <c r="A144" s="106">
        <f t="shared" si="87"/>
        <v>133</v>
      </c>
      <c r="B144" s="858">
        <v>42137</v>
      </c>
      <c r="C144" s="859" t="s">
        <v>1725</v>
      </c>
      <c r="D144" s="860">
        <v>4061</v>
      </c>
      <c r="E144" s="860">
        <v>3928</v>
      </c>
      <c r="F144" s="860">
        <v>3877</v>
      </c>
      <c r="G144" s="860">
        <v>3793</v>
      </c>
      <c r="H144" s="860">
        <v>3812</v>
      </c>
      <c r="I144" s="860">
        <v>3996</v>
      </c>
      <c r="J144" s="860">
        <v>4363</v>
      </c>
      <c r="K144" s="860">
        <v>4649</v>
      </c>
      <c r="L144" s="860">
        <v>4780</v>
      </c>
      <c r="M144" s="860">
        <v>4857</v>
      </c>
      <c r="N144" s="860">
        <v>4913</v>
      </c>
      <c r="O144" s="860">
        <v>4910</v>
      </c>
      <c r="P144" s="860">
        <v>4914</v>
      </c>
      <c r="Q144" s="860">
        <v>4853</v>
      </c>
      <c r="R144" s="860">
        <v>4844</v>
      </c>
      <c r="S144" s="860">
        <v>4845</v>
      </c>
      <c r="T144" s="860">
        <v>4869</v>
      </c>
      <c r="U144" s="860">
        <v>4898</v>
      </c>
      <c r="V144" s="860">
        <v>4837</v>
      </c>
      <c r="W144" s="860">
        <v>4816</v>
      </c>
      <c r="X144" s="860">
        <v>5002</v>
      </c>
      <c r="Y144" s="860">
        <v>4836</v>
      </c>
      <c r="Z144" s="860">
        <v>4426</v>
      </c>
      <c r="AA144" s="860">
        <v>4134</v>
      </c>
      <c r="AC144" s="712">
        <f t="shared" si="88"/>
        <v>133</v>
      </c>
      <c r="AD144" s="711">
        <f t="shared" si="89"/>
        <v>217</v>
      </c>
      <c r="AE144" s="711">
        <f t="shared" si="86"/>
        <v>133</v>
      </c>
      <c r="AF144" s="711">
        <f t="shared" si="79"/>
        <v>51</v>
      </c>
      <c r="AG144" s="711">
        <f t="shared" si="80"/>
        <v>84</v>
      </c>
      <c r="AH144" s="711">
        <f t="shared" si="68"/>
        <v>19</v>
      </c>
      <c r="AI144" s="711">
        <f t="shared" si="69"/>
        <v>184</v>
      </c>
      <c r="AJ144" s="711">
        <f t="shared" si="70"/>
        <v>367</v>
      </c>
      <c r="AK144" s="711">
        <f t="shared" si="71"/>
        <v>286</v>
      </c>
      <c r="AL144" s="711">
        <f t="shared" si="72"/>
        <v>131</v>
      </c>
      <c r="AM144" s="711">
        <f t="shared" si="73"/>
        <v>77</v>
      </c>
      <c r="AN144" s="711">
        <f t="shared" si="82"/>
        <v>56</v>
      </c>
      <c r="AO144" s="711">
        <f t="shared" si="83"/>
        <v>3</v>
      </c>
      <c r="AP144" s="711">
        <f t="shared" si="84"/>
        <v>4</v>
      </c>
      <c r="AQ144" s="711">
        <f t="shared" si="81"/>
        <v>61</v>
      </c>
      <c r="AR144" s="711">
        <f t="shared" si="81"/>
        <v>9</v>
      </c>
      <c r="AS144" s="711">
        <f t="shared" si="81"/>
        <v>1</v>
      </c>
      <c r="AT144" s="711">
        <f t="shared" si="81"/>
        <v>24</v>
      </c>
      <c r="AU144" s="711">
        <f t="shared" si="85"/>
        <v>29</v>
      </c>
      <c r="AV144" s="711">
        <f t="shared" si="85"/>
        <v>61</v>
      </c>
      <c r="AW144" s="711">
        <f t="shared" si="85"/>
        <v>21</v>
      </c>
      <c r="AX144" s="711">
        <f t="shared" si="85"/>
        <v>186</v>
      </c>
      <c r="AY144" s="711">
        <f t="shared" si="85"/>
        <v>166</v>
      </c>
      <c r="AZ144" s="711">
        <f t="shared" si="85"/>
        <v>410</v>
      </c>
      <c r="BA144" s="711">
        <f t="shared" si="85"/>
        <v>292</v>
      </c>
    </row>
    <row r="145" spans="1:53">
      <c r="A145" s="106">
        <f t="shared" si="87"/>
        <v>134</v>
      </c>
      <c r="B145" s="858">
        <v>42138</v>
      </c>
      <c r="C145" s="859" t="s">
        <v>1725</v>
      </c>
      <c r="D145" s="860">
        <v>4055</v>
      </c>
      <c r="E145" s="860">
        <v>3982</v>
      </c>
      <c r="F145" s="860">
        <v>3919</v>
      </c>
      <c r="G145" s="860">
        <v>3933</v>
      </c>
      <c r="H145" s="860">
        <v>3952</v>
      </c>
      <c r="I145" s="860">
        <v>4155</v>
      </c>
      <c r="J145" s="860">
        <v>4445</v>
      </c>
      <c r="K145" s="860">
        <v>4613</v>
      </c>
      <c r="L145" s="860">
        <v>4691</v>
      </c>
      <c r="M145" s="860">
        <v>4793</v>
      </c>
      <c r="N145" s="860">
        <v>4869</v>
      </c>
      <c r="O145" s="860">
        <v>4838</v>
      </c>
      <c r="P145" s="860">
        <v>4853</v>
      </c>
      <c r="Q145" s="860">
        <v>4899</v>
      </c>
      <c r="R145" s="860">
        <v>4951</v>
      </c>
      <c r="S145" s="860">
        <v>4997</v>
      </c>
      <c r="T145" s="860">
        <v>4944</v>
      </c>
      <c r="U145" s="860">
        <v>4941</v>
      </c>
      <c r="V145" s="860">
        <v>4899</v>
      </c>
      <c r="W145" s="860">
        <v>4942</v>
      </c>
      <c r="X145" s="860">
        <v>5052</v>
      </c>
      <c r="Y145" s="860">
        <v>4885</v>
      </c>
      <c r="Z145" s="860">
        <v>4619</v>
      </c>
      <c r="AA145" s="860">
        <v>4281</v>
      </c>
      <c r="AC145" s="712">
        <f t="shared" si="88"/>
        <v>134</v>
      </c>
      <c r="AD145" s="711">
        <f t="shared" si="89"/>
        <v>79</v>
      </c>
      <c r="AE145" s="711">
        <f t="shared" si="86"/>
        <v>73</v>
      </c>
      <c r="AF145" s="711">
        <f t="shared" si="79"/>
        <v>63</v>
      </c>
      <c r="AG145" s="711">
        <f t="shared" si="80"/>
        <v>14</v>
      </c>
      <c r="AH145" s="711">
        <f t="shared" si="68"/>
        <v>19</v>
      </c>
      <c r="AI145" s="711">
        <f t="shared" si="69"/>
        <v>203</v>
      </c>
      <c r="AJ145" s="711">
        <f t="shared" si="70"/>
        <v>290</v>
      </c>
      <c r="AK145" s="711">
        <f t="shared" si="71"/>
        <v>168</v>
      </c>
      <c r="AL145" s="711">
        <f t="shared" si="72"/>
        <v>78</v>
      </c>
      <c r="AM145" s="711">
        <f t="shared" si="73"/>
        <v>102</v>
      </c>
      <c r="AN145" s="711">
        <f t="shared" si="82"/>
        <v>76</v>
      </c>
      <c r="AO145" s="711">
        <f t="shared" si="83"/>
        <v>31</v>
      </c>
      <c r="AP145" s="711">
        <f t="shared" si="84"/>
        <v>15</v>
      </c>
      <c r="AQ145" s="711">
        <f t="shared" si="81"/>
        <v>46</v>
      </c>
      <c r="AR145" s="711">
        <f t="shared" si="81"/>
        <v>52</v>
      </c>
      <c r="AS145" s="711">
        <f t="shared" si="81"/>
        <v>46</v>
      </c>
      <c r="AT145" s="711">
        <f t="shared" si="81"/>
        <v>53</v>
      </c>
      <c r="AU145" s="711">
        <f t="shared" si="85"/>
        <v>3</v>
      </c>
      <c r="AV145" s="711">
        <f t="shared" si="85"/>
        <v>42</v>
      </c>
      <c r="AW145" s="711">
        <f t="shared" si="85"/>
        <v>43</v>
      </c>
      <c r="AX145" s="711">
        <f t="shared" si="85"/>
        <v>110</v>
      </c>
      <c r="AY145" s="711">
        <f t="shared" si="85"/>
        <v>167</v>
      </c>
      <c r="AZ145" s="711">
        <f t="shared" si="85"/>
        <v>266</v>
      </c>
      <c r="BA145" s="711">
        <f t="shared" si="85"/>
        <v>338</v>
      </c>
    </row>
    <row r="146" spans="1:53">
      <c r="A146" s="106">
        <f t="shared" si="87"/>
        <v>135</v>
      </c>
      <c r="B146" s="858">
        <v>42139</v>
      </c>
      <c r="C146" s="859" t="s">
        <v>1725</v>
      </c>
      <c r="D146" s="860">
        <v>4042</v>
      </c>
      <c r="E146" s="860">
        <v>3915</v>
      </c>
      <c r="F146" s="860">
        <v>3886</v>
      </c>
      <c r="G146" s="860">
        <v>3848</v>
      </c>
      <c r="H146" s="860">
        <v>3825</v>
      </c>
      <c r="I146" s="860">
        <v>3980</v>
      </c>
      <c r="J146" s="860">
        <v>4224</v>
      </c>
      <c r="K146" s="860">
        <v>4525</v>
      </c>
      <c r="L146" s="860">
        <v>4688</v>
      </c>
      <c r="M146" s="860">
        <v>4752</v>
      </c>
      <c r="N146" s="860">
        <v>4845</v>
      </c>
      <c r="O146" s="860">
        <v>4870</v>
      </c>
      <c r="P146" s="860">
        <v>4926</v>
      </c>
      <c r="Q146" s="860">
        <v>4938</v>
      </c>
      <c r="R146" s="860">
        <v>4899</v>
      </c>
      <c r="S146" s="860">
        <v>4907</v>
      </c>
      <c r="T146" s="860">
        <v>4916</v>
      </c>
      <c r="U146" s="860">
        <v>4853</v>
      </c>
      <c r="V146" s="860">
        <v>4751</v>
      </c>
      <c r="W146" s="860">
        <v>4681</v>
      </c>
      <c r="X146" s="860">
        <v>4789</v>
      </c>
      <c r="Y146" s="860">
        <v>4827</v>
      </c>
      <c r="Z146" s="860">
        <v>4503</v>
      </c>
      <c r="AA146" s="860">
        <v>4147</v>
      </c>
      <c r="AC146" s="712">
        <f t="shared" si="88"/>
        <v>135</v>
      </c>
      <c r="AD146" s="711">
        <f t="shared" si="89"/>
        <v>239</v>
      </c>
      <c r="AE146" s="711">
        <f t="shared" si="86"/>
        <v>127</v>
      </c>
      <c r="AF146" s="711">
        <f t="shared" si="79"/>
        <v>29</v>
      </c>
      <c r="AG146" s="711">
        <f t="shared" si="80"/>
        <v>38</v>
      </c>
      <c r="AH146" s="711">
        <f t="shared" si="68"/>
        <v>23</v>
      </c>
      <c r="AI146" s="711">
        <f t="shared" si="69"/>
        <v>155</v>
      </c>
      <c r="AJ146" s="711">
        <f t="shared" si="70"/>
        <v>244</v>
      </c>
      <c r="AK146" s="711">
        <f t="shared" si="71"/>
        <v>301</v>
      </c>
      <c r="AL146" s="711">
        <f t="shared" si="72"/>
        <v>163</v>
      </c>
      <c r="AM146" s="711">
        <f t="shared" si="73"/>
        <v>64</v>
      </c>
      <c r="AN146" s="711">
        <f t="shared" si="82"/>
        <v>93</v>
      </c>
      <c r="AO146" s="711">
        <f t="shared" si="83"/>
        <v>25</v>
      </c>
      <c r="AP146" s="711">
        <f t="shared" si="84"/>
        <v>56</v>
      </c>
      <c r="AQ146" s="711">
        <f t="shared" si="81"/>
        <v>12</v>
      </c>
      <c r="AR146" s="711">
        <f t="shared" si="81"/>
        <v>39</v>
      </c>
      <c r="AS146" s="711">
        <f t="shared" si="81"/>
        <v>8</v>
      </c>
      <c r="AT146" s="711">
        <f t="shared" si="81"/>
        <v>9</v>
      </c>
      <c r="AU146" s="711">
        <f t="shared" si="85"/>
        <v>63</v>
      </c>
      <c r="AV146" s="711">
        <f t="shared" si="85"/>
        <v>102</v>
      </c>
      <c r="AW146" s="711">
        <f t="shared" si="85"/>
        <v>70</v>
      </c>
      <c r="AX146" s="711">
        <f t="shared" si="85"/>
        <v>108</v>
      </c>
      <c r="AY146" s="711">
        <f t="shared" si="85"/>
        <v>38</v>
      </c>
      <c r="AZ146" s="711">
        <f t="shared" si="85"/>
        <v>324</v>
      </c>
      <c r="BA146" s="711">
        <f t="shared" si="85"/>
        <v>356</v>
      </c>
    </row>
    <row r="147" spans="1:53">
      <c r="A147" s="106">
        <f t="shared" si="87"/>
        <v>136</v>
      </c>
      <c r="B147" s="858">
        <v>42140</v>
      </c>
      <c r="C147" s="859" t="s">
        <v>1725</v>
      </c>
      <c r="D147" s="860">
        <v>3936</v>
      </c>
      <c r="E147" s="860">
        <v>3713</v>
      </c>
      <c r="F147" s="860">
        <v>3634</v>
      </c>
      <c r="G147" s="860">
        <v>3592</v>
      </c>
      <c r="H147" s="860">
        <v>3638</v>
      </c>
      <c r="I147" s="860">
        <v>3708</v>
      </c>
      <c r="J147" s="860">
        <v>3799</v>
      </c>
      <c r="K147" s="860">
        <v>4015</v>
      </c>
      <c r="L147" s="860">
        <v>4134</v>
      </c>
      <c r="M147" s="860">
        <v>4282</v>
      </c>
      <c r="N147" s="860">
        <v>4334</v>
      </c>
      <c r="O147" s="860">
        <v>4338</v>
      </c>
      <c r="P147" s="860">
        <v>4365</v>
      </c>
      <c r="Q147" s="860">
        <v>4400</v>
      </c>
      <c r="R147" s="860">
        <v>4434</v>
      </c>
      <c r="S147" s="860">
        <v>4407</v>
      </c>
      <c r="T147" s="860">
        <v>4355</v>
      </c>
      <c r="U147" s="860">
        <v>4378</v>
      </c>
      <c r="V147" s="860">
        <v>4441</v>
      </c>
      <c r="W147" s="860">
        <v>4452</v>
      </c>
      <c r="X147" s="860">
        <v>4597</v>
      </c>
      <c r="Y147" s="860">
        <v>4556</v>
      </c>
      <c r="Z147" s="860">
        <v>4268</v>
      </c>
      <c r="AA147" s="860">
        <v>4016</v>
      </c>
      <c r="AC147" s="712">
        <f t="shared" si="88"/>
        <v>136</v>
      </c>
      <c r="AD147" s="711">
        <f t="shared" si="89"/>
        <v>211</v>
      </c>
      <c r="AE147" s="711">
        <f t="shared" si="86"/>
        <v>223</v>
      </c>
      <c r="AF147" s="711">
        <f t="shared" si="79"/>
        <v>79</v>
      </c>
      <c r="AG147" s="711">
        <f t="shared" si="80"/>
        <v>42</v>
      </c>
      <c r="AH147" s="711">
        <f t="shared" ref="AH147:AH178" si="90">ABS(H147-G147)</f>
        <v>46</v>
      </c>
      <c r="AI147" s="711">
        <f t="shared" ref="AI147:AI178" si="91">ABS(I147-H147)</f>
        <v>70</v>
      </c>
      <c r="AJ147" s="711">
        <f t="shared" ref="AJ147:AJ178" si="92">ABS(J147-I147)</f>
        <v>91</v>
      </c>
      <c r="AK147" s="711">
        <f t="shared" ref="AK147:AK178" si="93">ABS(K147-J147)</f>
        <v>216</v>
      </c>
      <c r="AL147" s="711">
        <f t="shared" ref="AL147:AL178" si="94">ABS(L147-K147)</f>
        <v>119</v>
      </c>
      <c r="AM147" s="711">
        <f t="shared" ref="AM147:AM178" si="95">ABS(M147-L147)</f>
        <v>148</v>
      </c>
      <c r="AN147" s="711">
        <f t="shared" si="82"/>
        <v>52</v>
      </c>
      <c r="AO147" s="711">
        <f t="shared" si="83"/>
        <v>4</v>
      </c>
      <c r="AP147" s="711">
        <f t="shared" si="84"/>
        <v>27</v>
      </c>
      <c r="AQ147" s="711">
        <f t="shared" si="81"/>
        <v>35</v>
      </c>
      <c r="AR147" s="711">
        <f t="shared" si="81"/>
        <v>34</v>
      </c>
      <c r="AS147" s="711">
        <f t="shared" si="81"/>
        <v>27</v>
      </c>
      <c r="AT147" s="711">
        <f t="shared" si="81"/>
        <v>52</v>
      </c>
      <c r="AU147" s="711">
        <f t="shared" si="85"/>
        <v>23</v>
      </c>
      <c r="AV147" s="711">
        <f t="shared" si="85"/>
        <v>63</v>
      </c>
      <c r="AW147" s="711">
        <f t="shared" si="85"/>
        <v>11</v>
      </c>
      <c r="AX147" s="711">
        <f t="shared" si="85"/>
        <v>145</v>
      </c>
      <c r="AY147" s="711">
        <f t="shared" si="85"/>
        <v>41</v>
      </c>
      <c r="AZ147" s="711">
        <f t="shared" si="85"/>
        <v>288</v>
      </c>
      <c r="BA147" s="711">
        <f t="shared" si="85"/>
        <v>252</v>
      </c>
    </row>
    <row r="148" spans="1:53">
      <c r="A148" s="106">
        <f t="shared" si="87"/>
        <v>137</v>
      </c>
      <c r="B148" s="858">
        <v>42141</v>
      </c>
      <c r="C148" s="859" t="s">
        <v>1725</v>
      </c>
      <c r="D148" s="860">
        <v>3974</v>
      </c>
      <c r="E148" s="860">
        <v>3909</v>
      </c>
      <c r="F148" s="860">
        <v>3850</v>
      </c>
      <c r="G148" s="860">
        <v>3817</v>
      </c>
      <c r="H148" s="860">
        <v>3847</v>
      </c>
      <c r="I148" s="860">
        <v>3808</v>
      </c>
      <c r="J148" s="860">
        <v>3829</v>
      </c>
      <c r="K148" s="860">
        <v>3894</v>
      </c>
      <c r="L148" s="860">
        <v>4036</v>
      </c>
      <c r="M148" s="860">
        <v>4174</v>
      </c>
      <c r="N148" s="860">
        <v>4226</v>
      </c>
      <c r="O148" s="860">
        <v>4239</v>
      </c>
      <c r="P148" s="860">
        <v>4260</v>
      </c>
      <c r="Q148" s="860">
        <v>4296</v>
      </c>
      <c r="R148" s="860">
        <v>4312</v>
      </c>
      <c r="S148" s="860">
        <v>4354</v>
      </c>
      <c r="T148" s="860">
        <v>4410</v>
      </c>
      <c r="U148" s="860">
        <v>4522</v>
      </c>
      <c r="V148" s="860">
        <v>4561</v>
      </c>
      <c r="W148" s="860">
        <v>4591</v>
      </c>
      <c r="X148" s="860">
        <v>4757</v>
      </c>
      <c r="Y148" s="860">
        <v>4588</v>
      </c>
      <c r="Z148" s="860">
        <v>4285</v>
      </c>
      <c r="AA148" s="860">
        <v>4151</v>
      </c>
      <c r="AC148" s="712">
        <f t="shared" si="88"/>
        <v>137</v>
      </c>
      <c r="AD148" s="711">
        <f t="shared" si="89"/>
        <v>42</v>
      </c>
      <c r="AE148" s="711">
        <f t="shared" si="86"/>
        <v>65</v>
      </c>
      <c r="AF148" s="711">
        <f t="shared" ref="AF148:AF179" si="96">ABS(F148-E148)</f>
        <v>59</v>
      </c>
      <c r="AG148" s="711">
        <f t="shared" ref="AG148:AG179" si="97">ABS(G148-F148)</f>
        <v>33</v>
      </c>
      <c r="AH148" s="711">
        <f t="shared" si="90"/>
        <v>30</v>
      </c>
      <c r="AI148" s="711">
        <f t="shared" si="91"/>
        <v>39</v>
      </c>
      <c r="AJ148" s="711">
        <f t="shared" si="92"/>
        <v>21</v>
      </c>
      <c r="AK148" s="711">
        <f t="shared" si="93"/>
        <v>65</v>
      </c>
      <c r="AL148" s="711">
        <f t="shared" si="94"/>
        <v>142</v>
      </c>
      <c r="AM148" s="711">
        <f t="shared" si="95"/>
        <v>138</v>
      </c>
      <c r="AN148" s="711">
        <f t="shared" si="82"/>
        <v>52</v>
      </c>
      <c r="AO148" s="711">
        <f t="shared" si="83"/>
        <v>13</v>
      </c>
      <c r="AP148" s="711">
        <f t="shared" si="84"/>
        <v>21</v>
      </c>
      <c r="AQ148" s="711">
        <f t="shared" si="81"/>
        <v>36</v>
      </c>
      <c r="AR148" s="711">
        <f t="shared" si="81"/>
        <v>16</v>
      </c>
      <c r="AS148" s="711">
        <f t="shared" si="81"/>
        <v>42</v>
      </c>
      <c r="AT148" s="711">
        <f t="shared" si="81"/>
        <v>56</v>
      </c>
      <c r="AU148" s="711">
        <f t="shared" si="85"/>
        <v>112</v>
      </c>
      <c r="AV148" s="711">
        <f t="shared" si="85"/>
        <v>39</v>
      </c>
      <c r="AW148" s="711">
        <f t="shared" si="85"/>
        <v>30</v>
      </c>
      <c r="AX148" s="711">
        <f t="shared" si="85"/>
        <v>166</v>
      </c>
      <c r="AY148" s="711">
        <f t="shared" si="85"/>
        <v>169</v>
      </c>
      <c r="AZ148" s="711">
        <f t="shared" si="85"/>
        <v>303</v>
      </c>
      <c r="BA148" s="711">
        <f t="shared" si="85"/>
        <v>134</v>
      </c>
    </row>
    <row r="149" spans="1:53">
      <c r="A149" s="106">
        <f t="shared" si="87"/>
        <v>138</v>
      </c>
      <c r="B149" s="858">
        <v>42142</v>
      </c>
      <c r="C149" s="859" t="s">
        <v>1725</v>
      </c>
      <c r="D149" s="860">
        <v>3954</v>
      </c>
      <c r="E149" s="860">
        <v>3824</v>
      </c>
      <c r="F149" s="860">
        <v>3745</v>
      </c>
      <c r="G149" s="860">
        <v>3695</v>
      </c>
      <c r="H149" s="860">
        <v>3736</v>
      </c>
      <c r="I149" s="860">
        <v>3950</v>
      </c>
      <c r="J149" s="860">
        <v>4274</v>
      </c>
      <c r="K149" s="860">
        <v>4593</v>
      </c>
      <c r="L149" s="860">
        <v>4728</v>
      </c>
      <c r="M149" s="860">
        <v>4806</v>
      </c>
      <c r="N149" s="860">
        <v>4847</v>
      </c>
      <c r="O149" s="860">
        <v>4851</v>
      </c>
      <c r="P149" s="860">
        <v>4856</v>
      </c>
      <c r="Q149" s="860">
        <v>4872</v>
      </c>
      <c r="R149" s="860">
        <v>4853</v>
      </c>
      <c r="S149" s="860">
        <v>4813</v>
      </c>
      <c r="T149" s="860">
        <v>4859</v>
      </c>
      <c r="U149" s="860">
        <v>4935</v>
      </c>
      <c r="V149" s="860">
        <v>4963</v>
      </c>
      <c r="W149" s="860">
        <v>4979</v>
      </c>
      <c r="X149" s="860">
        <v>5013</v>
      </c>
      <c r="Y149" s="860">
        <v>4773</v>
      </c>
      <c r="Z149" s="860">
        <v>4352</v>
      </c>
      <c r="AA149" s="860">
        <v>4116</v>
      </c>
      <c r="AC149" s="712">
        <f t="shared" si="88"/>
        <v>138</v>
      </c>
      <c r="AD149" s="711">
        <f t="shared" si="89"/>
        <v>197</v>
      </c>
      <c r="AE149" s="711">
        <f t="shared" si="86"/>
        <v>130</v>
      </c>
      <c r="AF149" s="711">
        <f t="shared" si="96"/>
        <v>79</v>
      </c>
      <c r="AG149" s="711">
        <f t="shared" si="97"/>
        <v>50</v>
      </c>
      <c r="AH149" s="711">
        <f t="shared" si="90"/>
        <v>41</v>
      </c>
      <c r="AI149" s="711">
        <f t="shared" si="91"/>
        <v>214</v>
      </c>
      <c r="AJ149" s="711">
        <f t="shared" si="92"/>
        <v>324</v>
      </c>
      <c r="AK149" s="711">
        <f t="shared" si="93"/>
        <v>319</v>
      </c>
      <c r="AL149" s="711">
        <f t="shared" si="94"/>
        <v>135</v>
      </c>
      <c r="AM149" s="711">
        <f t="shared" si="95"/>
        <v>78</v>
      </c>
      <c r="AN149" s="711">
        <f t="shared" si="82"/>
        <v>41</v>
      </c>
      <c r="AO149" s="711">
        <f t="shared" si="83"/>
        <v>4</v>
      </c>
      <c r="AP149" s="711">
        <f t="shared" si="84"/>
        <v>5</v>
      </c>
      <c r="AQ149" s="711">
        <f t="shared" si="81"/>
        <v>16</v>
      </c>
      <c r="AR149" s="711">
        <f t="shared" si="81"/>
        <v>19</v>
      </c>
      <c r="AS149" s="711">
        <f t="shared" si="81"/>
        <v>40</v>
      </c>
      <c r="AT149" s="711">
        <f t="shared" si="81"/>
        <v>46</v>
      </c>
      <c r="AU149" s="711">
        <f t="shared" si="85"/>
        <v>76</v>
      </c>
      <c r="AV149" s="711">
        <f t="shared" si="85"/>
        <v>28</v>
      </c>
      <c r="AW149" s="711">
        <f t="shared" si="85"/>
        <v>16</v>
      </c>
      <c r="AX149" s="711">
        <f t="shared" si="85"/>
        <v>34</v>
      </c>
      <c r="AY149" s="711">
        <f t="shared" si="85"/>
        <v>240</v>
      </c>
      <c r="AZ149" s="711">
        <f t="shared" si="85"/>
        <v>421</v>
      </c>
      <c r="BA149" s="711">
        <f t="shared" si="85"/>
        <v>236</v>
      </c>
    </row>
    <row r="150" spans="1:53">
      <c r="A150" s="106">
        <f t="shared" si="87"/>
        <v>139</v>
      </c>
      <c r="B150" s="858">
        <v>42143</v>
      </c>
      <c r="C150" s="859" t="s">
        <v>1725</v>
      </c>
      <c r="D150" s="860">
        <v>3991</v>
      </c>
      <c r="E150" s="860">
        <v>3923</v>
      </c>
      <c r="F150" s="860">
        <v>3866</v>
      </c>
      <c r="G150" s="860">
        <v>3878</v>
      </c>
      <c r="H150" s="860">
        <v>3895</v>
      </c>
      <c r="I150" s="860">
        <v>4139</v>
      </c>
      <c r="J150" s="860">
        <v>4454</v>
      </c>
      <c r="K150" s="860">
        <v>4791</v>
      </c>
      <c r="L150" s="860">
        <v>4931</v>
      </c>
      <c r="M150" s="860">
        <v>4986</v>
      </c>
      <c r="N150" s="860">
        <v>5045</v>
      </c>
      <c r="O150" s="860">
        <v>5042</v>
      </c>
      <c r="P150" s="860">
        <v>5020</v>
      </c>
      <c r="Q150" s="860">
        <v>4958</v>
      </c>
      <c r="R150" s="860">
        <v>4923</v>
      </c>
      <c r="S150" s="860">
        <v>4919</v>
      </c>
      <c r="T150" s="860">
        <v>4948</v>
      </c>
      <c r="U150" s="860">
        <v>4999</v>
      </c>
      <c r="V150" s="860">
        <v>4995</v>
      </c>
      <c r="W150" s="860">
        <v>4976</v>
      </c>
      <c r="X150" s="860">
        <v>5293</v>
      </c>
      <c r="Y150" s="860">
        <v>4921</v>
      </c>
      <c r="Z150" s="860">
        <v>4545</v>
      </c>
      <c r="AA150" s="860">
        <v>4268</v>
      </c>
      <c r="AC150" s="712">
        <f t="shared" si="88"/>
        <v>139</v>
      </c>
      <c r="AD150" s="711">
        <f t="shared" si="89"/>
        <v>125</v>
      </c>
      <c r="AE150" s="711">
        <f t="shared" si="86"/>
        <v>68</v>
      </c>
      <c r="AF150" s="711">
        <f t="shared" si="96"/>
        <v>57</v>
      </c>
      <c r="AG150" s="711">
        <f t="shared" si="97"/>
        <v>12</v>
      </c>
      <c r="AH150" s="711">
        <f t="shared" si="90"/>
        <v>17</v>
      </c>
      <c r="AI150" s="711">
        <f t="shared" si="91"/>
        <v>244</v>
      </c>
      <c r="AJ150" s="711">
        <f t="shared" si="92"/>
        <v>315</v>
      </c>
      <c r="AK150" s="711">
        <f t="shared" si="93"/>
        <v>337</v>
      </c>
      <c r="AL150" s="711">
        <f t="shared" si="94"/>
        <v>140</v>
      </c>
      <c r="AM150" s="711">
        <f t="shared" si="95"/>
        <v>55</v>
      </c>
      <c r="AN150" s="711">
        <f t="shared" si="82"/>
        <v>59</v>
      </c>
      <c r="AO150" s="711">
        <f t="shared" si="83"/>
        <v>3</v>
      </c>
      <c r="AP150" s="711">
        <f t="shared" si="84"/>
        <v>22</v>
      </c>
      <c r="AQ150" s="711">
        <f t="shared" si="81"/>
        <v>62</v>
      </c>
      <c r="AR150" s="711">
        <f t="shared" si="81"/>
        <v>35</v>
      </c>
      <c r="AS150" s="711">
        <f t="shared" si="81"/>
        <v>4</v>
      </c>
      <c r="AT150" s="711">
        <f t="shared" si="81"/>
        <v>29</v>
      </c>
      <c r="AU150" s="711">
        <f t="shared" si="85"/>
        <v>51</v>
      </c>
      <c r="AV150" s="711">
        <f t="shared" si="85"/>
        <v>4</v>
      </c>
      <c r="AW150" s="711">
        <f t="shared" si="85"/>
        <v>19</v>
      </c>
      <c r="AX150" s="711">
        <f t="shared" si="85"/>
        <v>317</v>
      </c>
      <c r="AY150" s="711">
        <f t="shared" si="85"/>
        <v>372</v>
      </c>
      <c r="AZ150" s="711">
        <f t="shared" si="85"/>
        <v>376</v>
      </c>
      <c r="BA150" s="711">
        <f t="shared" si="85"/>
        <v>277</v>
      </c>
    </row>
    <row r="151" spans="1:53">
      <c r="A151" s="106">
        <f t="shared" si="87"/>
        <v>140</v>
      </c>
      <c r="B151" s="858">
        <v>42144</v>
      </c>
      <c r="C151" s="859" t="s">
        <v>1725</v>
      </c>
      <c r="D151" s="860">
        <v>4077</v>
      </c>
      <c r="E151" s="860">
        <v>4043</v>
      </c>
      <c r="F151" s="860">
        <v>4019</v>
      </c>
      <c r="G151" s="860">
        <v>4034</v>
      </c>
      <c r="H151" s="860">
        <v>4106</v>
      </c>
      <c r="I151" s="860">
        <v>4299</v>
      </c>
      <c r="J151" s="860">
        <v>4677</v>
      </c>
      <c r="K151" s="860">
        <v>4852</v>
      </c>
      <c r="L151" s="860">
        <v>4931</v>
      </c>
      <c r="M151" s="860">
        <v>4953</v>
      </c>
      <c r="N151" s="860">
        <v>4952</v>
      </c>
      <c r="O151" s="860">
        <v>4915</v>
      </c>
      <c r="P151" s="860">
        <v>4872</v>
      </c>
      <c r="Q151" s="860">
        <v>4906</v>
      </c>
      <c r="R151" s="860">
        <v>4924</v>
      </c>
      <c r="S151" s="860">
        <v>4933</v>
      </c>
      <c r="T151" s="860">
        <v>5008</v>
      </c>
      <c r="U151" s="860">
        <v>5063</v>
      </c>
      <c r="V151" s="860">
        <v>5052</v>
      </c>
      <c r="W151" s="860">
        <v>5028</v>
      </c>
      <c r="X151" s="860">
        <v>5110</v>
      </c>
      <c r="Y151" s="860">
        <v>4887</v>
      </c>
      <c r="Z151" s="860">
        <v>4522</v>
      </c>
      <c r="AA151" s="860">
        <v>4175</v>
      </c>
      <c r="AC151" s="712">
        <f t="shared" si="88"/>
        <v>140</v>
      </c>
      <c r="AD151" s="711">
        <f t="shared" si="89"/>
        <v>191</v>
      </c>
      <c r="AE151" s="711">
        <f t="shared" si="86"/>
        <v>34</v>
      </c>
      <c r="AF151" s="711">
        <f t="shared" si="96"/>
        <v>24</v>
      </c>
      <c r="AG151" s="711">
        <f t="shared" si="97"/>
        <v>15</v>
      </c>
      <c r="AH151" s="711">
        <f t="shared" si="90"/>
        <v>72</v>
      </c>
      <c r="AI151" s="711">
        <f t="shared" si="91"/>
        <v>193</v>
      </c>
      <c r="AJ151" s="711">
        <f t="shared" si="92"/>
        <v>378</v>
      </c>
      <c r="AK151" s="711">
        <f t="shared" si="93"/>
        <v>175</v>
      </c>
      <c r="AL151" s="711">
        <f t="shared" si="94"/>
        <v>79</v>
      </c>
      <c r="AM151" s="711">
        <f t="shared" si="95"/>
        <v>22</v>
      </c>
      <c r="AN151" s="711">
        <f t="shared" si="82"/>
        <v>1</v>
      </c>
      <c r="AO151" s="711">
        <f t="shared" si="83"/>
        <v>37</v>
      </c>
      <c r="AP151" s="711">
        <f t="shared" si="84"/>
        <v>43</v>
      </c>
      <c r="AQ151" s="711">
        <f t="shared" si="81"/>
        <v>34</v>
      </c>
      <c r="AR151" s="711">
        <f t="shared" si="81"/>
        <v>18</v>
      </c>
      <c r="AS151" s="711">
        <f t="shared" si="81"/>
        <v>9</v>
      </c>
      <c r="AT151" s="711">
        <f t="shared" si="81"/>
        <v>75</v>
      </c>
      <c r="AU151" s="711">
        <f t="shared" si="85"/>
        <v>55</v>
      </c>
      <c r="AV151" s="711">
        <f t="shared" si="85"/>
        <v>11</v>
      </c>
      <c r="AW151" s="711">
        <f t="shared" si="85"/>
        <v>24</v>
      </c>
      <c r="AX151" s="711">
        <f t="shared" si="85"/>
        <v>82</v>
      </c>
      <c r="AY151" s="711">
        <f t="shared" si="85"/>
        <v>223</v>
      </c>
      <c r="AZ151" s="711">
        <f t="shared" si="85"/>
        <v>365</v>
      </c>
      <c r="BA151" s="711">
        <f t="shared" si="85"/>
        <v>347</v>
      </c>
    </row>
    <row r="152" spans="1:53">
      <c r="A152" s="106">
        <f t="shared" si="87"/>
        <v>141</v>
      </c>
      <c r="B152" s="858">
        <v>42145</v>
      </c>
      <c r="C152" s="859" t="s">
        <v>1725</v>
      </c>
      <c r="D152" s="860">
        <v>4073</v>
      </c>
      <c r="E152" s="860">
        <v>4070</v>
      </c>
      <c r="F152" s="860">
        <v>4026</v>
      </c>
      <c r="G152" s="860">
        <v>4030</v>
      </c>
      <c r="H152" s="860">
        <v>4102</v>
      </c>
      <c r="I152" s="860">
        <v>4203</v>
      </c>
      <c r="J152" s="860">
        <v>4522</v>
      </c>
      <c r="K152" s="860">
        <v>4785</v>
      </c>
      <c r="L152" s="860">
        <v>4856</v>
      </c>
      <c r="M152" s="860">
        <v>4887</v>
      </c>
      <c r="N152" s="860">
        <v>4902</v>
      </c>
      <c r="O152" s="860">
        <v>4845</v>
      </c>
      <c r="P152" s="860">
        <v>4831</v>
      </c>
      <c r="Q152" s="860">
        <v>4836</v>
      </c>
      <c r="R152" s="860">
        <v>4803</v>
      </c>
      <c r="S152" s="860">
        <v>4782</v>
      </c>
      <c r="T152" s="860">
        <v>4772</v>
      </c>
      <c r="U152" s="860">
        <v>4812</v>
      </c>
      <c r="V152" s="860">
        <v>4804</v>
      </c>
      <c r="W152" s="860">
        <v>4873</v>
      </c>
      <c r="X152" s="860">
        <v>4987</v>
      </c>
      <c r="Y152" s="860">
        <v>4814</v>
      </c>
      <c r="Z152" s="860">
        <v>4440</v>
      </c>
      <c r="AA152" s="860">
        <v>4234</v>
      </c>
      <c r="AC152" s="712">
        <f t="shared" si="88"/>
        <v>141</v>
      </c>
      <c r="AD152" s="711">
        <f t="shared" si="89"/>
        <v>102</v>
      </c>
      <c r="AE152" s="711">
        <f t="shared" si="86"/>
        <v>3</v>
      </c>
      <c r="AF152" s="711">
        <f t="shared" si="96"/>
        <v>44</v>
      </c>
      <c r="AG152" s="711">
        <f t="shared" si="97"/>
        <v>4</v>
      </c>
      <c r="AH152" s="711">
        <f t="shared" si="90"/>
        <v>72</v>
      </c>
      <c r="AI152" s="711">
        <f t="shared" si="91"/>
        <v>101</v>
      </c>
      <c r="AJ152" s="711">
        <f t="shared" si="92"/>
        <v>319</v>
      </c>
      <c r="AK152" s="711">
        <f t="shared" si="93"/>
        <v>263</v>
      </c>
      <c r="AL152" s="711">
        <f t="shared" si="94"/>
        <v>71</v>
      </c>
      <c r="AM152" s="711">
        <f t="shared" si="95"/>
        <v>31</v>
      </c>
      <c r="AN152" s="711">
        <f t="shared" si="82"/>
        <v>15</v>
      </c>
      <c r="AO152" s="711">
        <f t="shared" si="83"/>
        <v>57</v>
      </c>
      <c r="AP152" s="711">
        <f t="shared" si="84"/>
        <v>14</v>
      </c>
      <c r="AQ152" s="711">
        <f t="shared" si="81"/>
        <v>5</v>
      </c>
      <c r="AR152" s="711">
        <f t="shared" si="81"/>
        <v>33</v>
      </c>
      <c r="AS152" s="711">
        <f t="shared" si="81"/>
        <v>21</v>
      </c>
      <c r="AT152" s="711">
        <f t="shared" si="81"/>
        <v>10</v>
      </c>
      <c r="AU152" s="711">
        <f t="shared" si="85"/>
        <v>40</v>
      </c>
      <c r="AV152" s="711">
        <f t="shared" si="85"/>
        <v>8</v>
      </c>
      <c r="AW152" s="711">
        <f t="shared" si="85"/>
        <v>69</v>
      </c>
      <c r="AX152" s="711">
        <f t="shared" si="85"/>
        <v>114</v>
      </c>
      <c r="AY152" s="711">
        <f t="shared" si="85"/>
        <v>173</v>
      </c>
      <c r="AZ152" s="711">
        <f t="shared" si="85"/>
        <v>374</v>
      </c>
      <c r="BA152" s="711">
        <f t="shared" si="85"/>
        <v>206</v>
      </c>
    </row>
    <row r="153" spans="1:53">
      <c r="A153" s="106">
        <f t="shared" si="87"/>
        <v>142</v>
      </c>
      <c r="B153" s="858">
        <v>42146</v>
      </c>
      <c r="C153" s="859" t="s">
        <v>1725</v>
      </c>
      <c r="D153" s="860">
        <v>4110</v>
      </c>
      <c r="E153" s="860">
        <v>3961</v>
      </c>
      <c r="F153" s="860">
        <v>3911</v>
      </c>
      <c r="G153" s="860">
        <v>3900</v>
      </c>
      <c r="H153" s="860">
        <v>3978</v>
      </c>
      <c r="I153" s="860">
        <v>4124</v>
      </c>
      <c r="J153" s="860">
        <v>4400</v>
      </c>
      <c r="K153" s="860">
        <v>4642</v>
      </c>
      <c r="L153" s="860">
        <v>4706</v>
      </c>
      <c r="M153" s="860">
        <v>4729</v>
      </c>
      <c r="N153" s="860">
        <v>4759</v>
      </c>
      <c r="O153" s="860">
        <v>4816</v>
      </c>
      <c r="P153" s="860">
        <v>4763</v>
      </c>
      <c r="Q153" s="860">
        <v>4692</v>
      </c>
      <c r="R153" s="860">
        <v>4669</v>
      </c>
      <c r="S153" s="860">
        <v>4663</v>
      </c>
      <c r="T153" s="860">
        <v>4673</v>
      </c>
      <c r="U153" s="860">
        <v>4676</v>
      </c>
      <c r="V153" s="860">
        <v>4625</v>
      </c>
      <c r="W153" s="860">
        <v>4595</v>
      </c>
      <c r="X153" s="860">
        <v>4737</v>
      </c>
      <c r="Y153" s="860">
        <v>4628</v>
      </c>
      <c r="Z153" s="860">
        <v>4317</v>
      </c>
      <c r="AA153" s="860">
        <v>4034</v>
      </c>
      <c r="AC153" s="712">
        <f t="shared" si="88"/>
        <v>142</v>
      </c>
      <c r="AD153" s="711">
        <f t="shared" si="89"/>
        <v>124</v>
      </c>
      <c r="AE153" s="711">
        <f t="shared" si="86"/>
        <v>149</v>
      </c>
      <c r="AF153" s="711">
        <f t="shared" si="96"/>
        <v>50</v>
      </c>
      <c r="AG153" s="711">
        <f t="shared" si="97"/>
        <v>11</v>
      </c>
      <c r="AH153" s="711">
        <f t="shared" si="90"/>
        <v>78</v>
      </c>
      <c r="AI153" s="711">
        <f t="shared" si="91"/>
        <v>146</v>
      </c>
      <c r="AJ153" s="711">
        <f t="shared" si="92"/>
        <v>276</v>
      </c>
      <c r="AK153" s="711">
        <f t="shared" si="93"/>
        <v>242</v>
      </c>
      <c r="AL153" s="711">
        <f t="shared" si="94"/>
        <v>64</v>
      </c>
      <c r="AM153" s="711">
        <f t="shared" si="95"/>
        <v>23</v>
      </c>
      <c r="AN153" s="711">
        <f t="shared" si="82"/>
        <v>30</v>
      </c>
      <c r="AO153" s="711">
        <f t="shared" si="83"/>
        <v>57</v>
      </c>
      <c r="AP153" s="711">
        <f t="shared" si="84"/>
        <v>53</v>
      </c>
      <c r="AQ153" s="711">
        <f t="shared" si="81"/>
        <v>71</v>
      </c>
      <c r="AR153" s="711">
        <f t="shared" si="81"/>
        <v>23</v>
      </c>
      <c r="AS153" s="711">
        <f t="shared" si="81"/>
        <v>6</v>
      </c>
      <c r="AT153" s="711">
        <f t="shared" si="81"/>
        <v>10</v>
      </c>
      <c r="AU153" s="711">
        <f t="shared" si="85"/>
        <v>3</v>
      </c>
      <c r="AV153" s="711">
        <f t="shared" si="85"/>
        <v>51</v>
      </c>
      <c r="AW153" s="711">
        <f t="shared" si="85"/>
        <v>30</v>
      </c>
      <c r="AX153" s="711">
        <f t="shared" si="85"/>
        <v>142</v>
      </c>
      <c r="AY153" s="711">
        <f t="shared" si="85"/>
        <v>109</v>
      </c>
      <c r="AZ153" s="711">
        <f t="shared" si="85"/>
        <v>311</v>
      </c>
      <c r="BA153" s="711">
        <f t="shared" si="85"/>
        <v>283</v>
      </c>
    </row>
    <row r="154" spans="1:53">
      <c r="A154" s="106">
        <f t="shared" si="87"/>
        <v>143</v>
      </c>
      <c r="B154" s="858">
        <v>42147</v>
      </c>
      <c r="C154" s="859" t="s">
        <v>1725</v>
      </c>
      <c r="D154" s="860">
        <v>3938</v>
      </c>
      <c r="E154" s="860">
        <v>3899</v>
      </c>
      <c r="F154" s="860">
        <v>3849</v>
      </c>
      <c r="G154" s="860">
        <v>3801</v>
      </c>
      <c r="H154" s="860">
        <v>3831</v>
      </c>
      <c r="I154" s="860">
        <v>3823</v>
      </c>
      <c r="J154" s="860">
        <v>3898</v>
      </c>
      <c r="K154" s="860">
        <v>4022</v>
      </c>
      <c r="L154" s="860">
        <v>4180</v>
      </c>
      <c r="M154" s="860">
        <v>4313</v>
      </c>
      <c r="N154" s="860">
        <v>4364</v>
      </c>
      <c r="O154" s="860">
        <v>4354</v>
      </c>
      <c r="P154" s="860">
        <v>4392</v>
      </c>
      <c r="Q154" s="860">
        <v>4372</v>
      </c>
      <c r="R154" s="860">
        <v>4310</v>
      </c>
      <c r="S154" s="860">
        <v>4323</v>
      </c>
      <c r="T154" s="860">
        <v>4312</v>
      </c>
      <c r="U154" s="860">
        <v>4272</v>
      </c>
      <c r="V154" s="860">
        <v>4282</v>
      </c>
      <c r="W154" s="860">
        <v>4413</v>
      </c>
      <c r="X154" s="860">
        <v>4555</v>
      </c>
      <c r="Y154" s="860">
        <v>4513</v>
      </c>
      <c r="Z154" s="860">
        <v>4251</v>
      </c>
      <c r="AA154" s="860">
        <v>4105</v>
      </c>
      <c r="AC154" s="712">
        <f t="shared" si="88"/>
        <v>143</v>
      </c>
      <c r="AD154" s="711">
        <f t="shared" si="89"/>
        <v>96</v>
      </c>
      <c r="AE154" s="711">
        <f t="shared" si="86"/>
        <v>39</v>
      </c>
      <c r="AF154" s="711">
        <f t="shared" si="96"/>
        <v>50</v>
      </c>
      <c r="AG154" s="711">
        <f t="shared" si="97"/>
        <v>48</v>
      </c>
      <c r="AH154" s="711">
        <f t="shared" si="90"/>
        <v>30</v>
      </c>
      <c r="AI154" s="711">
        <f t="shared" si="91"/>
        <v>8</v>
      </c>
      <c r="AJ154" s="711">
        <f t="shared" si="92"/>
        <v>75</v>
      </c>
      <c r="AK154" s="711">
        <f t="shared" si="93"/>
        <v>124</v>
      </c>
      <c r="AL154" s="711">
        <f t="shared" si="94"/>
        <v>158</v>
      </c>
      <c r="AM154" s="711">
        <f t="shared" si="95"/>
        <v>133</v>
      </c>
      <c r="AN154" s="711">
        <f t="shared" si="82"/>
        <v>51</v>
      </c>
      <c r="AO154" s="711">
        <f t="shared" si="83"/>
        <v>10</v>
      </c>
      <c r="AP154" s="711">
        <f t="shared" si="84"/>
        <v>38</v>
      </c>
      <c r="AQ154" s="711">
        <f t="shared" si="81"/>
        <v>20</v>
      </c>
      <c r="AR154" s="711">
        <f t="shared" si="81"/>
        <v>62</v>
      </c>
      <c r="AS154" s="711">
        <f t="shared" si="81"/>
        <v>13</v>
      </c>
      <c r="AT154" s="711">
        <f t="shared" si="81"/>
        <v>11</v>
      </c>
      <c r="AU154" s="711">
        <f t="shared" si="85"/>
        <v>40</v>
      </c>
      <c r="AV154" s="711">
        <f t="shared" si="85"/>
        <v>10</v>
      </c>
      <c r="AW154" s="711">
        <f t="shared" si="85"/>
        <v>131</v>
      </c>
      <c r="AX154" s="711">
        <f t="shared" si="85"/>
        <v>142</v>
      </c>
      <c r="AY154" s="711">
        <f t="shared" si="85"/>
        <v>42</v>
      </c>
      <c r="AZ154" s="711">
        <f t="shared" si="85"/>
        <v>262</v>
      </c>
      <c r="BA154" s="711">
        <f t="shared" si="85"/>
        <v>146</v>
      </c>
    </row>
    <row r="155" spans="1:53">
      <c r="A155" s="106">
        <f t="shared" si="87"/>
        <v>144</v>
      </c>
      <c r="B155" s="858">
        <v>42148</v>
      </c>
      <c r="C155" s="859" t="s">
        <v>1725</v>
      </c>
      <c r="D155" s="860">
        <v>3915</v>
      </c>
      <c r="E155" s="860">
        <v>3828</v>
      </c>
      <c r="F155" s="860">
        <v>3837</v>
      </c>
      <c r="G155" s="860">
        <v>3829</v>
      </c>
      <c r="H155" s="860">
        <v>3834</v>
      </c>
      <c r="I155" s="860">
        <v>3792</v>
      </c>
      <c r="J155" s="860">
        <v>3784</v>
      </c>
      <c r="K155" s="860">
        <v>3816</v>
      </c>
      <c r="L155" s="860">
        <v>3947</v>
      </c>
      <c r="M155" s="860">
        <v>4054</v>
      </c>
      <c r="N155" s="860">
        <v>4133</v>
      </c>
      <c r="O155" s="860">
        <v>4186</v>
      </c>
      <c r="P155" s="860">
        <v>4208</v>
      </c>
      <c r="Q155" s="860">
        <v>4163</v>
      </c>
      <c r="R155" s="860">
        <v>4212</v>
      </c>
      <c r="S155" s="860">
        <v>4196</v>
      </c>
      <c r="T155" s="860">
        <v>4178</v>
      </c>
      <c r="U155" s="860">
        <v>4215</v>
      </c>
      <c r="V155" s="860">
        <v>4234</v>
      </c>
      <c r="W155" s="860">
        <v>4304</v>
      </c>
      <c r="X155" s="860">
        <v>4487</v>
      </c>
      <c r="Y155" s="860">
        <v>4478</v>
      </c>
      <c r="Z155" s="860">
        <v>4209</v>
      </c>
      <c r="AA155" s="860">
        <v>4035</v>
      </c>
      <c r="AC155" s="712">
        <f t="shared" si="88"/>
        <v>144</v>
      </c>
      <c r="AD155" s="711">
        <f t="shared" si="89"/>
        <v>190</v>
      </c>
      <c r="AE155" s="711">
        <f t="shared" si="86"/>
        <v>87</v>
      </c>
      <c r="AF155" s="711">
        <f t="shared" si="96"/>
        <v>9</v>
      </c>
      <c r="AG155" s="711">
        <f t="shared" si="97"/>
        <v>8</v>
      </c>
      <c r="AH155" s="711">
        <f t="shared" si="90"/>
        <v>5</v>
      </c>
      <c r="AI155" s="711">
        <f t="shared" si="91"/>
        <v>42</v>
      </c>
      <c r="AJ155" s="711">
        <f t="shared" si="92"/>
        <v>8</v>
      </c>
      <c r="AK155" s="711">
        <f t="shared" si="93"/>
        <v>32</v>
      </c>
      <c r="AL155" s="711">
        <f t="shared" si="94"/>
        <v>131</v>
      </c>
      <c r="AM155" s="711">
        <f t="shared" si="95"/>
        <v>107</v>
      </c>
      <c r="AN155" s="711">
        <f t="shared" si="82"/>
        <v>79</v>
      </c>
      <c r="AO155" s="711">
        <f t="shared" si="83"/>
        <v>53</v>
      </c>
      <c r="AP155" s="711">
        <f t="shared" si="84"/>
        <v>22</v>
      </c>
      <c r="AQ155" s="711">
        <f t="shared" si="81"/>
        <v>45</v>
      </c>
      <c r="AR155" s="711">
        <f t="shared" si="81"/>
        <v>49</v>
      </c>
      <c r="AS155" s="711">
        <f t="shared" si="81"/>
        <v>16</v>
      </c>
      <c r="AT155" s="711">
        <f t="shared" si="81"/>
        <v>18</v>
      </c>
      <c r="AU155" s="711">
        <f t="shared" si="85"/>
        <v>37</v>
      </c>
      <c r="AV155" s="711">
        <f t="shared" si="85"/>
        <v>19</v>
      </c>
      <c r="AW155" s="711">
        <f t="shared" si="85"/>
        <v>70</v>
      </c>
      <c r="AX155" s="711">
        <f t="shared" si="85"/>
        <v>183</v>
      </c>
      <c r="AY155" s="711">
        <f t="shared" si="85"/>
        <v>9</v>
      </c>
      <c r="AZ155" s="711">
        <f t="shared" si="85"/>
        <v>269</v>
      </c>
      <c r="BA155" s="711">
        <f t="shared" si="85"/>
        <v>174</v>
      </c>
    </row>
    <row r="156" spans="1:53">
      <c r="A156" s="106">
        <f t="shared" si="87"/>
        <v>145</v>
      </c>
      <c r="B156" s="858">
        <v>42149</v>
      </c>
      <c r="C156" s="859" t="s">
        <v>1725</v>
      </c>
      <c r="D156" s="860">
        <v>3967</v>
      </c>
      <c r="E156" s="860">
        <v>3844</v>
      </c>
      <c r="F156" s="860">
        <v>3726</v>
      </c>
      <c r="G156" s="860">
        <v>3718</v>
      </c>
      <c r="H156" s="860">
        <v>3755</v>
      </c>
      <c r="I156" s="860">
        <v>3747</v>
      </c>
      <c r="J156" s="860">
        <v>3777</v>
      </c>
      <c r="K156" s="860">
        <v>3831</v>
      </c>
      <c r="L156" s="860">
        <v>3968</v>
      </c>
      <c r="M156" s="860">
        <v>4108</v>
      </c>
      <c r="N156" s="860">
        <v>4179</v>
      </c>
      <c r="O156" s="860">
        <v>4200</v>
      </c>
      <c r="P156" s="860">
        <v>4187</v>
      </c>
      <c r="Q156" s="860">
        <v>4170</v>
      </c>
      <c r="R156" s="860">
        <v>4186</v>
      </c>
      <c r="S156" s="860">
        <v>4268</v>
      </c>
      <c r="T156" s="860">
        <v>4337</v>
      </c>
      <c r="U156" s="860">
        <v>4439</v>
      </c>
      <c r="V156" s="860">
        <v>4496</v>
      </c>
      <c r="W156" s="860">
        <v>4540</v>
      </c>
      <c r="X156" s="860">
        <v>4610</v>
      </c>
      <c r="Y156" s="860">
        <v>4490</v>
      </c>
      <c r="Z156" s="860">
        <v>4096</v>
      </c>
      <c r="AA156" s="860">
        <v>3844</v>
      </c>
      <c r="AC156" s="712">
        <f t="shared" si="88"/>
        <v>145</v>
      </c>
      <c r="AD156" s="711">
        <f t="shared" si="89"/>
        <v>68</v>
      </c>
      <c r="AE156" s="711">
        <f t="shared" si="86"/>
        <v>123</v>
      </c>
      <c r="AF156" s="711">
        <f t="shared" si="96"/>
        <v>118</v>
      </c>
      <c r="AG156" s="711">
        <f t="shared" si="97"/>
        <v>8</v>
      </c>
      <c r="AH156" s="711">
        <f t="shared" si="90"/>
        <v>37</v>
      </c>
      <c r="AI156" s="711">
        <f t="shared" si="91"/>
        <v>8</v>
      </c>
      <c r="AJ156" s="711">
        <f t="shared" si="92"/>
        <v>30</v>
      </c>
      <c r="AK156" s="711">
        <f t="shared" si="93"/>
        <v>54</v>
      </c>
      <c r="AL156" s="711">
        <f t="shared" si="94"/>
        <v>137</v>
      </c>
      <c r="AM156" s="711">
        <f t="shared" si="95"/>
        <v>140</v>
      </c>
      <c r="AN156" s="711">
        <f t="shared" si="82"/>
        <v>71</v>
      </c>
      <c r="AO156" s="711">
        <f t="shared" si="83"/>
        <v>21</v>
      </c>
      <c r="AP156" s="711">
        <f t="shared" si="84"/>
        <v>13</v>
      </c>
      <c r="AQ156" s="711">
        <f t="shared" si="81"/>
        <v>17</v>
      </c>
      <c r="AR156" s="711">
        <f t="shared" si="81"/>
        <v>16</v>
      </c>
      <c r="AS156" s="711">
        <f t="shared" si="81"/>
        <v>82</v>
      </c>
      <c r="AT156" s="711">
        <f t="shared" si="81"/>
        <v>69</v>
      </c>
      <c r="AU156" s="711">
        <f t="shared" si="85"/>
        <v>102</v>
      </c>
      <c r="AV156" s="711">
        <f t="shared" si="85"/>
        <v>57</v>
      </c>
      <c r="AW156" s="711">
        <f t="shared" si="85"/>
        <v>44</v>
      </c>
      <c r="AX156" s="711">
        <f t="shared" si="85"/>
        <v>70</v>
      </c>
      <c r="AY156" s="711">
        <f t="shared" si="85"/>
        <v>120</v>
      </c>
      <c r="AZ156" s="711">
        <f t="shared" si="85"/>
        <v>394</v>
      </c>
      <c r="BA156" s="711">
        <f t="shared" si="85"/>
        <v>252</v>
      </c>
    </row>
    <row r="157" spans="1:53">
      <c r="A157" s="106">
        <f t="shared" si="87"/>
        <v>146</v>
      </c>
      <c r="B157" s="858">
        <v>42150</v>
      </c>
      <c r="C157" s="859" t="s">
        <v>1725</v>
      </c>
      <c r="D157" s="860">
        <v>3791</v>
      </c>
      <c r="E157" s="860">
        <v>3702</v>
      </c>
      <c r="F157" s="860">
        <v>3648</v>
      </c>
      <c r="G157" s="860">
        <v>3545</v>
      </c>
      <c r="H157" s="860">
        <v>3633</v>
      </c>
      <c r="I157" s="860">
        <v>3786</v>
      </c>
      <c r="J157" s="860">
        <v>4140</v>
      </c>
      <c r="K157" s="860">
        <v>4479</v>
      </c>
      <c r="L157" s="860">
        <v>4624</v>
      </c>
      <c r="M157" s="860">
        <v>4702</v>
      </c>
      <c r="N157" s="860">
        <v>4752</v>
      </c>
      <c r="O157" s="860">
        <v>4770</v>
      </c>
      <c r="P157" s="860">
        <v>4831</v>
      </c>
      <c r="Q157" s="860">
        <v>4916</v>
      </c>
      <c r="R157" s="860">
        <v>4964</v>
      </c>
      <c r="S157" s="860">
        <v>4981</v>
      </c>
      <c r="T157" s="860">
        <v>4925</v>
      </c>
      <c r="U157" s="860">
        <v>4938</v>
      </c>
      <c r="V157" s="860">
        <v>4887</v>
      </c>
      <c r="W157" s="860">
        <v>4883</v>
      </c>
      <c r="X157" s="860">
        <v>4961</v>
      </c>
      <c r="Y157" s="860">
        <v>4823</v>
      </c>
      <c r="Z157" s="860">
        <v>4444</v>
      </c>
      <c r="AA157" s="860">
        <v>4220</v>
      </c>
      <c r="AC157" s="712">
        <f t="shared" si="88"/>
        <v>146</v>
      </c>
      <c r="AD157" s="711">
        <f t="shared" si="89"/>
        <v>53</v>
      </c>
      <c r="AE157" s="711">
        <f t="shared" si="86"/>
        <v>89</v>
      </c>
      <c r="AF157" s="711">
        <f t="shared" si="96"/>
        <v>54</v>
      </c>
      <c r="AG157" s="711">
        <f t="shared" si="97"/>
        <v>103</v>
      </c>
      <c r="AH157" s="711">
        <f t="shared" si="90"/>
        <v>88</v>
      </c>
      <c r="AI157" s="711">
        <f t="shared" si="91"/>
        <v>153</v>
      </c>
      <c r="AJ157" s="711">
        <f t="shared" si="92"/>
        <v>354</v>
      </c>
      <c r="AK157" s="711">
        <f t="shared" si="93"/>
        <v>339</v>
      </c>
      <c r="AL157" s="711">
        <f t="shared" si="94"/>
        <v>145</v>
      </c>
      <c r="AM157" s="711">
        <f t="shared" si="95"/>
        <v>78</v>
      </c>
      <c r="AN157" s="711">
        <f t="shared" si="82"/>
        <v>50</v>
      </c>
      <c r="AO157" s="711">
        <f t="shared" si="83"/>
        <v>18</v>
      </c>
      <c r="AP157" s="711">
        <f t="shared" si="84"/>
        <v>61</v>
      </c>
      <c r="AQ157" s="711">
        <f t="shared" si="81"/>
        <v>85</v>
      </c>
      <c r="AR157" s="711">
        <f t="shared" si="81"/>
        <v>48</v>
      </c>
      <c r="AS157" s="711">
        <f t="shared" si="81"/>
        <v>17</v>
      </c>
      <c r="AT157" s="711">
        <f t="shared" si="81"/>
        <v>56</v>
      </c>
      <c r="AU157" s="711">
        <f t="shared" si="85"/>
        <v>13</v>
      </c>
      <c r="AV157" s="711">
        <f t="shared" si="85"/>
        <v>51</v>
      </c>
      <c r="AW157" s="711">
        <f t="shared" si="85"/>
        <v>4</v>
      </c>
      <c r="AX157" s="711">
        <f t="shared" si="85"/>
        <v>78</v>
      </c>
      <c r="AY157" s="711">
        <f t="shared" si="85"/>
        <v>138</v>
      </c>
      <c r="AZ157" s="711">
        <f t="shared" si="85"/>
        <v>379</v>
      </c>
      <c r="BA157" s="711">
        <f t="shared" si="85"/>
        <v>224</v>
      </c>
    </row>
    <row r="158" spans="1:53">
      <c r="A158" s="106">
        <f t="shared" si="87"/>
        <v>147</v>
      </c>
      <c r="B158" s="858">
        <v>42151</v>
      </c>
      <c r="C158" s="859" t="s">
        <v>1725</v>
      </c>
      <c r="D158" s="860">
        <v>4012</v>
      </c>
      <c r="E158" s="860">
        <v>3883</v>
      </c>
      <c r="F158" s="860">
        <v>3831</v>
      </c>
      <c r="G158" s="860">
        <v>3821</v>
      </c>
      <c r="H158" s="860">
        <v>3801</v>
      </c>
      <c r="I158" s="860">
        <v>3991</v>
      </c>
      <c r="J158" s="860">
        <v>4242</v>
      </c>
      <c r="K158" s="860">
        <v>4508</v>
      </c>
      <c r="L158" s="860">
        <v>4663</v>
      </c>
      <c r="M158" s="860">
        <v>4735</v>
      </c>
      <c r="N158" s="860">
        <v>4813</v>
      </c>
      <c r="O158" s="860">
        <v>4934</v>
      </c>
      <c r="P158" s="860">
        <v>4968</v>
      </c>
      <c r="Q158" s="860">
        <v>5023</v>
      </c>
      <c r="R158" s="860">
        <v>5054</v>
      </c>
      <c r="S158" s="860">
        <v>5084</v>
      </c>
      <c r="T158" s="860">
        <v>5098</v>
      </c>
      <c r="U158" s="860">
        <v>5071</v>
      </c>
      <c r="V158" s="860">
        <v>4989</v>
      </c>
      <c r="W158" s="860">
        <v>4927</v>
      </c>
      <c r="X158" s="860">
        <v>5059</v>
      </c>
      <c r="Y158" s="860">
        <v>4925</v>
      </c>
      <c r="Z158" s="860">
        <v>4596</v>
      </c>
      <c r="AA158" s="860">
        <v>4329</v>
      </c>
      <c r="AC158" s="712">
        <f t="shared" si="88"/>
        <v>147</v>
      </c>
      <c r="AD158" s="711">
        <f t="shared" si="89"/>
        <v>208</v>
      </c>
      <c r="AE158" s="711">
        <f t="shared" si="86"/>
        <v>129</v>
      </c>
      <c r="AF158" s="711">
        <f t="shared" si="96"/>
        <v>52</v>
      </c>
      <c r="AG158" s="711">
        <f t="shared" si="97"/>
        <v>10</v>
      </c>
      <c r="AH158" s="711">
        <f t="shared" si="90"/>
        <v>20</v>
      </c>
      <c r="AI158" s="711">
        <f t="shared" si="91"/>
        <v>190</v>
      </c>
      <c r="AJ158" s="711">
        <f t="shared" si="92"/>
        <v>251</v>
      </c>
      <c r="AK158" s="711">
        <f t="shared" si="93"/>
        <v>266</v>
      </c>
      <c r="AL158" s="711">
        <f t="shared" si="94"/>
        <v>155</v>
      </c>
      <c r="AM158" s="711">
        <f t="shared" si="95"/>
        <v>72</v>
      </c>
      <c r="AN158" s="711">
        <f t="shared" ref="AN158:AN189" si="98">ABS(N158-M158)</f>
        <v>78</v>
      </c>
      <c r="AO158" s="711">
        <f t="shared" ref="AO158:AO189" si="99">ABS(O158-N158)</f>
        <v>121</v>
      </c>
      <c r="AP158" s="711">
        <f t="shared" ref="AP158:AP189" si="100">ABS(P158-O158)</f>
        <v>34</v>
      </c>
      <c r="AQ158" s="711">
        <f t="shared" si="81"/>
        <v>55</v>
      </c>
      <c r="AR158" s="711">
        <f t="shared" si="81"/>
        <v>31</v>
      </c>
      <c r="AS158" s="711">
        <f t="shared" si="81"/>
        <v>30</v>
      </c>
      <c r="AT158" s="711">
        <f t="shared" si="81"/>
        <v>14</v>
      </c>
      <c r="AU158" s="711">
        <f t="shared" si="85"/>
        <v>27</v>
      </c>
      <c r="AV158" s="711">
        <f t="shared" si="85"/>
        <v>82</v>
      </c>
      <c r="AW158" s="711">
        <f t="shared" si="85"/>
        <v>62</v>
      </c>
      <c r="AX158" s="711">
        <f t="shared" si="85"/>
        <v>132</v>
      </c>
      <c r="AY158" s="711">
        <f t="shared" si="85"/>
        <v>134</v>
      </c>
      <c r="AZ158" s="711">
        <f t="shared" si="85"/>
        <v>329</v>
      </c>
      <c r="BA158" s="711">
        <f t="shared" si="85"/>
        <v>267</v>
      </c>
    </row>
    <row r="159" spans="1:53">
      <c r="A159" s="106">
        <f t="shared" si="87"/>
        <v>148</v>
      </c>
      <c r="B159" s="858">
        <v>42152</v>
      </c>
      <c r="C159" s="859" t="s">
        <v>1725</v>
      </c>
      <c r="D159" s="860">
        <v>4097</v>
      </c>
      <c r="E159" s="860">
        <v>3933</v>
      </c>
      <c r="F159" s="860">
        <v>3844</v>
      </c>
      <c r="G159" s="860">
        <v>3771</v>
      </c>
      <c r="H159" s="860">
        <v>3770</v>
      </c>
      <c r="I159" s="860">
        <v>3888</v>
      </c>
      <c r="J159" s="860">
        <v>4151</v>
      </c>
      <c r="K159" s="860">
        <v>4440</v>
      </c>
      <c r="L159" s="860">
        <v>4607</v>
      </c>
      <c r="M159" s="860">
        <v>4776</v>
      </c>
      <c r="N159" s="860">
        <v>4900</v>
      </c>
      <c r="O159" s="860">
        <v>4985</v>
      </c>
      <c r="P159" s="860">
        <v>5038</v>
      </c>
      <c r="Q159" s="860">
        <v>5039</v>
      </c>
      <c r="R159" s="860">
        <v>5075</v>
      </c>
      <c r="S159" s="860">
        <v>5050</v>
      </c>
      <c r="T159" s="860">
        <v>5090</v>
      </c>
      <c r="U159" s="860">
        <v>5042</v>
      </c>
      <c r="V159" s="860">
        <v>4962</v>
      </c>
      <c r="W159" s="860">
        <v>4909</v>
      </c>
      <c r="X159" s="860">
        <v>4974</v>
      </c>
      <c r="Y159" s="860">
        <v>4863</v>
      </c>
      <c r="Z159" s="860">
        <v>4460</v>
      </c>
      <c r="AA159" s="860">
        <v>4197</v>
      </c>
      <c r="AC159" s="712">
        <f t="shared" si="88"/>
        <v>148</v>
      </c>
      <c r="AD159" s="711">
        <f t="shared" si="89"/>
        <v>232</v>
      </c>
      <c r="AE159" s="711">
        <f t="shared" si="86"/>
        <v>164</v>
      </c>
      <c r="AF159" s="711">
        <f t="shared" si="96"/>
        <v>89</v>
      </c>
      <c r="AG159" s="711">
        <f t="shared" si="97"/>
        <v>73</v>
      </c>
      <c r="AH159" s="711">
        <f t="shared" si="90"/>
        <v>1</v>
      </c>
      <c r="AI159" s="711">
        <f t="shared" si="91"/>
        <v>118</v>
      </c>
      <c r="AJ159" s="711">
        <f t="shared" si="92"/>
        <v>263</v>
      </c>
      <c r="AK159" s="711">
        <f t="shared" si="93"/>
        <v>289</v>
      </c>
      <c r="AL159" s="711">
        <f t="shared" si="94"/>
        <v>167</v>
      </c>
      <c r="AM159" s="711">
        <f t="shared" si="95"/>
        <v>169</v>
      </c>
      <c r="AN159" s="711">
        <f t="shared" si="98"/>
        <v>124</v>
      </c>
      <c r="AO159" s="711">
        <f t="shared" si="99"/>
        <v>85</v>
      </c>
      <c r="AP159" s="711">
        <f t="shared" si="100"/>
        <v>53</v>
      </c>
      <c r="AQ159" s="711">
        <f t="shared" si="81"/>
        <v>1</v>
      </c>
      <c r="AR159" s="711">
        <f t="shared" si="81"/>
        <v>36</v>
      </c>
      <c r="AS159" s="711">
        <f t="shared" si="81"/>
        <v>25</v>
      </c>
      <c r="AT159" s="711">
        <f t="shared" si="81"/>
        <v>40</v>
      </c>
      <c r="AU159" s="711">
        <f t="shared" si="85"/>
        <v>48</v>
      </c>
      <c r="AV159" s="711">
        <f t="shared" si="85"/>
        <v>80</v>
      </c>
      <c r="AW159" s="711">
        <f t="shared" si="85"/>
        <v>53</v>
      </c>
      <c r="AX159" s="711">
        <f t="shared" si="85"/>
        <v>65</v>
      </c>
      <c r="AY159" s="711">
        <f t="shared" si="85"/>
        <v>111</v>
      </c>
      <c r="AZ159" s="711">
        <f t="shared" si="85"/>
        <v>403</v>
      </c>
      <c r="BA159" s="711">
        <f t="shared" si="85"/>
        <v>263</v>
      </c>
    </row>
    <row r="160" spans="1:53">
      <c r="A160" s="106">
        <f t="shared" si="87"/>
        <v>149</v>
      </c>
      <c r="B160" s="858">
        <v>42153</v>
      </c>
      <c r="C160" s="859" t="s">
        <v>1725</v>
      </c>
      <c r="D160" s="860">
        <v>4060</v>
      </c>
      <c r="E160" s="860">
        <v>3913</v>
      </c>
      <c r="F160" s="860">
        <v>3779</v>
      </c>
      <c r="G160" s="860">
        <v>3772</v>
      </c>
      <c r="H160" s="860">
        <v>3792</v>
      </c>
      <c r="I160" s="860">
        <v>3940</v>
      </c>
      <c r="J160" s="860">
        <v>4155</v>
      </c>
      <c r="K160" s="860">
        <v>4426</v>
      </c>
      <c r="L160" s="860">
        <v>4603</v>
      </c>
      <c r="M160" s="860">
        <v>4714</v>
      </c>
      <c r="N160" s="860">
        <v>4756</v>
      </c>
      <c r="O160" s="860">
        <v>4816</v>
      </c>
      <c r="P160" s="860">
        <v>4826</v>
      </c>
      <c r="Q160" s="860">
        <v>4912</v>
      </c>
      <c r="R160" s="860">
        <v>4919</v>
      </c>
      <c r="S160" s="860">
        <v>4899</v>
      </c>
      <c r="T160" s="860">
        <v>4847</v>
      </c>
      <c r="U160" s="860">
        <v>4772</v>
      </c>
      <c r="V160" s="860">
        <v>4702</v>
      </c>
      <c r="W160" s="860">
        <v>4681</v>
      </c>
      <c r="X160" s="860">
        <v>4782</v>
      </c>
      <c r="Y160" s="860">
        <v>4680</v>
      </c>
      <c r="Z160" s="860">
        <v>4378</v>
      </c>
      <c r="AA160" s="860">
        <v>4047</v>
      </c>
      <c r="AC160" s="712">
        <f t="shared" si="88"/>
        <v>149</v>
      </c>
      <c r="AD160" s="711">
        <f t="shared" si="89"/>
        <v>137</v>
      </c>
      <c r="AE160" s="711">
        <f t="shared" si="86"/>
        <v>147</v>
      </c>
      <c r="AF160" s="711">
        <f t="shared" si="96"/>
        <v>134</v>
      </c>
      <c r="AG160" s="711">
        <f t="shared" si="97"/>
        <v>7</v>
      </c>
      <c r="AH160" s="711">
        <f t="shared" si="90"/>
        <v>20</v>
      </c>
      <c r="AI160" s="711">
        <f t="shared" si="91"/>
        <v>148</v>
      </c>
      <c r="AJ160" s="711">
        <f t="shared" si="92"/>
        <v>215</v>
      </c>
      <c r="AK160" s="711">
        <f t="shared" si="93"/>
        <v>271</v>
      </c>
      <c r="AL160" s="711">
        <f t="shared" si="94"/>
        <v>177</v>
      </c>
      <c r="AM160" s="711">
        <f t="shared" si="95"/>
        <v>111</v>
      </c>
      <c r="AN160" s="711">
        <f t="shared" si="98"/>
        <v>42</v>
      </c>
      <c r="AO160" s="711">
        <f t="shared" si="99"/>
        <v>60</v>
      </c>
      <c r="AP160" s="711">
        <f t="shared" si="100"/>
        <v>10</v>
      </c>
      <c r="AQ160" s="711">
        <f t="shared" si="81"/>
        <v>86</v>
      </c>
      <c r="AR160" s="711">
        <f t="shared" si="81"/>
        <v>7</v>
      </c>
      <c r="AS160" s="711">
        <f t="shared" si="81"/>
        <v>20</v>
      </c>
      <c r="AT160" s="711">
        <f t="shared" si="81"/>
        <v>52</v>
      </c>
      <c r="AU160" s="711">
        <f t="shared" si="85"/>
        <v>75</v>
      </c>
      <c r="AV160" s="711">
        <f t="shared" si="85"/>
        <v>70</v>
      </c>
      <c r="AW160" s="711">
        <f t="shared" si="85"/>
        <v>21</v>
      </c>
      <c r="AX160" s="711">
        <f t="shared" si="85"/>
        <v>101</v>
      </c>
      <c r="AY160" s="711">
        <f t="shared" si="85"/>
        <v>102</v>
      </c>
      <c r="AZ160" s="711">
        <f t="shared" si="85"/>
        <v>302</v>
      </c>
      <c r="BA160" s="711">
        <f t="shared" si="85"/>
        <v>331</v>
      </c>
    </row>
    <row r="161" spans="1:53">
      <c r="A161" s="106">
        <f t="shared" si="87"/>
        <v>150</v>
      </c>
      <c r="B161" s="858">
        <v>42154</v>
      </c>
      <c r="C161" s="859" t="s">
        <v>1725</v>
      </c>
      <c r="D161" s="860">
        <v>3810</v>
      </c>
      <c r="E161" s="860">
        <v>3647</v>
      </c>
      <c r="F161" s="860">
        <v>3600</v>
      </c>
      <c r="G161" s="860">
        <v>3565</v>
      </c>
      <c r="H161" s="860">
        <v>3577</v>
      </c>
      <c r="I161" s="860">
        <v>3628</v>
      </c>
      <c r="J161" s="860">
        <v>3727</v>
      </c>
      <c r="K161" s="860">
        <v>3907</v>
      </c>
      <c r="L161" s="860">
        <v>4133</v>
      </c>
      <c r="M161" s="860">
        <v>4257</v>
      </c>
      <c r="N161" s="860">
        <v>4329</v>
      </c>
      <c r="O161" s="860">
        <v>4321</v>
      </c>
      <c r="P161" s="860">
        <v>4354</v>
      </c>
      <c r="Q161" s="860">
        <v>4364</v>
      </c>
      <c r="R161" s="860">
        <v>4382</v>
      </c>
      <c r="S161" s="860">
        <v>4444</v>
      </c>
      <c r="T161" s="860">
        <v>4537</v>
      </c>
      <c r="U161" s="860">
        <v>4637</v>
      </c>
      <c r="V161" s="860">
        <v>4597</v>
      </c>
      <c r="W161" s="860">
        <v>4560</v>
      </c>
      <c r="X161" s="860">
        <v>4647</v>
      </c>
      <c r="Y161" s="860">
        <v>4636</v>
      </c>
      <c r="Z161" s="860">
        <v>4462</v>
      </c>
      <c r="AA161" s="860">
        <v>4294</v>
      </c>
      <c r="AC161" s="712">
        <f t="shared" si="88"/>
        <v>150</v>
      </c>
      <c r="AD161" s="711">
        <f t="shared" si="89"/>
        <v>237</v>
      </c>
      <c r="AE161" s="711">
        <f t="shared" si="86"/>
        <v>163</v>
      </c>
      <c r="AF161" s="711">
        <f t="shared" si="96"/>
        <v>47</v>
      </c>
      <c r="AG161" s="711">
        <f t="shared" si="97"/>
        <v>35</v>
      </c>
      <c r="AH161" s="711">
        <f t="shared" si="90"/>
        <v>12</v>
      </c>
      <c r="AI161" s="711">
        <f t="shared" si="91"/>
        <v>51</v>
      </c>
      <c r="AJ161" s="711">
        <f t="shared" si="92"/>
        <v>99</v>
      </c>
      <c r="AK161" s="711">
        <f t="shared" si="93"/>
        <v>180</v>
      </c>
      <c r="AL161" s="711">
        <f t="shared" si="94"/>
        <v>226</v>
      </c>
      <c r="AM161" s="711">
        <f t="shared" si="95"/>
        <v>124</v>
      </c>
      <c r="AN161" s="711">
        <f t="shared" si="98"/>
        <v>72</v>
      </c>
      <c r="AO161" s="711">
        <f t="shared" si="99"/>
        <v>8</v>
      </c>
      <c r="AP161" s="711">
        <f t="shared" si="100"/>
        <v>33</v>
      </c>
      <c r="AQ161" s="711">
        <f t="shared" si="81"/>
        <v>10</v>
      </c>
      <c r="AR161" s="711">
        <f t="shared" si="81"/>
        <v>18</v>
      </c>
      <c r="AS161" s="711">
        <f t="shared" si="81"/>
        <v>62</v>
      </c>
      <c r="AT161" s="711">
        <f t="shared" si="81"/>
        <v>93</v>
      </c>
      <c r="AU161" s="711">
        <f t="shared" si="85"/>
        <v>100</v>
      </c>
      <c r="AV161" s="711">
        <f t="shared" si="85"/>
        <v>40</v>
      </c>
      <c r="AW161" s="711">
        <f t="shared" si="85"/>
        <v>37</v>
      </c>
      <c r="AX161" s="711">
        <f t="shared" si="85"/>
        <v>87</v>
      </c>
      <c r="AY161" s="711">
        <f t="shared" si="85"/>
        <v>11</v>
      </c>
      <c r="AZ161" s="711">
        <f t="shared" si="85"/>
        <v>174</v>
      </c>
      <c r="BA161" s="711">
        <f t="shared" si="85"/>
        <v>168</v>
      </c>
    </row>
    <row r="162" spans="1:53">
      <c r="A162" s="106">
        <f t="shared" si="87"/>
        <v>151</v>
      </c>
      <c r="B162" s="858">
        <v>42155</v>
      </c>
      <c r="C162" s="859" t="s">
        <v>1725</v>
      </c>
      <c r="D162" s="860">
        <v>4050</v>
      </c>
      <c r="E162" s="860">
        <v>3856</v>
      </c>
      <c r="F162" s="860">
        <v>3792</v>
      </c>
      <c r="G162" s="860">
        <v>3622</v>
      </c>
      <c r="H162" s="860">
        <v>3508</v>
      </c>
      <c r="I162" s="860">
        <v>3498</v>
      </c>
      <c r="J162" s="860">
        <v>3521</v>
      </c>
      <c r="K162" s="860">
        <v>3730</v>
      </c>
      <c r="L162" s="860">
        <v>4003</v>
      </c>
      <c r="M162" s="860">
        <v>4234</v>
      </c>
      <c r="N162" s="860">
        <v>4376</v>
      </c>
      <c r="O162" s="860">
        <v>4569</v>
      </c>
      <c r="P162" s="860">
        <v>4664</v>
      </c>
      <c r="Q162" s="860">
        <v>4751</v>
      </c>
      <c r="R162" s="860">
        <v>4846</v>
      </c>
      <c r="S162" s="860">
        <v>5004</v>
      </c>
      <c r="T162" s="860">
        <v>5056</v>
      </c>
      <c r="U162" s="860">
        <v>5136</v>
      </c>
      <c r="V162" s="860">
        <v>5136</v>
      </c>
      <c r="W162" s="860">
        <v>5027</v>
      </c>
      <c r="X162" s="860">
        <v>5158</v>
      </c>
      <c r="Y162" s="860">
        <v>5027</v>
      </c>
      <c r="Z162" s="860">
        <v>4599</v>
      </c>
      <c r="AA162" s="860">
        <v>4169</v>
      </c>
      <c r="AC162" s="712">
        <f t="shared" si="88"/>
        <v>151</v>
      </c>
      <c r="AD162" s="711">
        <f t="shared" si="89"/>
        <v>244</v>
      </c>
      <c r="AE162" s="711">
        <f t="shared" si="86"/>
        <v>194</v>
      </c>
      <c r="AF162" s="711">
        <f t="shared" si="96"/>
        <v>64</v>
      </c>
      <c r="AG162" s="711">
        <f t="shared" si="97"/>
        <v>170</v>
      </c>
      <c r="AH162" s="711">
        <f t="shared" si="90"/>
        <v>114</v>
      </c>
      <c r="AI162" s="711">
        <f t="shared" si="91"/>
        <v>10</v>
      </c>
      <c r="AJ162" s="711">
        <f t="shared" si="92"/>
        <v>23</v>
      </c>
      <c r="AK162" s="711">
        <f t="shared" si="93"/>
        <v>209</v>
      </c>
      <c r="AL162" s="711">
        <f t="shared" si="94"/>
        <v>273</v>
      </c>
      <c r="AM162" s="711">
        <f t="shared" si="95"/>
        <v>231</v>
      </c>
      <c r="AN162" s="711">
        <f t="shared" si="98"/>
        <v>142</v>
      </c>
      <c r="AO162" s="711">
        <f t="shared" si="99"/>
        <v>193</v>
      </c>
      <c r="AP162" s="711">
        <f t="shared" si="100"/>
        <v>95</v>
      </c>
      <c r="AQ162" s="711">
        <f t="shared" si="81"/>
        <v>87</v>
      </c>
      <c r="AR162" s="711">
        <f t="shared" si="81"/>
        <v>95</v>
      </c>
      <c r="AS162" s="711">
        <f t="shared" si="81"/>
        <v>158</v>
      </c>
      <c r="AT162" s="711">
        <f t="shared" si="81"/>
        <v>52</v>
      </c>
      <c r="AU162" s="711">
        <f t="shared" si="85"/>
        <v>80</v>
      </c>
      <c r="AV162" s="711">
        <f t="shared" si="85"/>
        <v>0</v>
      </c>
      <c r="AW162" s="711">
        <f t="shared" si="85"/>
        <v>109</v>
      </c>
      <c r="AX162" s="711">
        <f t="shared" si="85"/>
        <v>131</v>
      </c>
      <c r="AY162" s="711">
        <f t="shared" si="85"/>
        <v>131</v>
      </c>
      <c r="AZ162" s="711">
        <f t="shared" si="85"/>
        <v>428</v>
      </c>
      <c r="BA162" s="711">
        <f t="shared" si="85"/>
        <v>430</v>
      </c>
    </row>
    <row r="163" spans="1:53">
      <c r="A163" s="106">
        <f t="shared" si="87"/>
        <v>152</v>
      </c>
      <c r="B163" s="858">
        <v>42156</v>
      </c>
      <c r="C163" s="859" t="s">
        <v>1725</v>
      </c>
      <c r="D163" s="860">
        <v>4020</v>
      </c>
      <c r="E163" s="860">
        <v>3938</v>
      </c>
      <c r="F163" s="860">
        <v>3901</v>
      </c>
      <c r="G163" s="860">
        <v>3869</v>
      </c>
      <c r="H163" s="860">
        <v>3869</v>
      </c>
      <c r="I163" s="860">
        <v>3982</v>
      </c>
      <c r="J163" s="860">
        <v>4197</v>
      </c>
      <c r="K163" s="860">
        <v>4518</v>
      </c>
      <c r="L163" s="860">
        <v>4755</v>
      </c>
      <c r="M163" s="860">
        <v>5005</v>
      </c>
      <c r="N163" s="860">
        <v>5244</v>
      </c>
      <c r="O163" s="860">
        <v>5498</v>
      </c>
      <c r="P163" s="860">
        <v>5617</v>
      </c>
      <c r="Q163" s="860">
        <v>5692</v>
      </c>
      <c r="R163" s="860">
        <v>5513</v>
      </c>
      <c r="S163" s="860">
        <v>5598</v>
      </c>
      <c r="T163" s="860">
        <v>5743</v>
      </c>
      <c r="U163" s="860">
        <v>5667</v>
      </c>
      <c r="V163" s="860">
        <v>5554</v>
      </c>
      <c r="W163" s="860">
        <v>5409</v>
      </c>
      <c r="X163" s="860">
        <v>5387</v>
      </c>
      <c r="Y163" s="860">
        <v>5209</v>
      </c>
      <c r="Z163" s="860">
        <v>4794</v>
      </c>
      <c r="AA163" s="860">
        <v>4399</v>
      </c>
      <c r="AC163" s="712">
        <f t="shared" si="88"/>
        <v>152</v>
      </c>
      <c r="AD163" s="711">
        <f t="shared" si="89"/>
        <v>149</v>
      </c>
      <c r="AE163" s="711">
        <f t="shared" si="86"/>
        <v>82</v>
      </c>
      <c r="AF163" s="711">
        <f t="shared" si="96"/>
        <v>37</v>
      </c>
      <c r="AG163" s="711">
        <f t="shared" si="97"/>
        <v>32</v>
      </c>
      <c r="AH163" s="711">
        <f t="shared" si="90"/>
        <v>0</v>
      </c>
      <c r="AI163" s="711">
        <f t="shared" si="91"/>
        <v>113</v>
      </c>
      <c r="AJ163" s="711">
        <f t="shared" si="92"/>
        <v>215</v>
      </c>
      <c r="AK163" s="711">
        <f t="shared" si="93"/>
        <v>321</v>
      </c>
      <c r="AL163" s="711">
        <f t="shared" si="94"/>
        <v>237</v>
      </c>
      <c r="AM163" s="711">
        <f t="shared" si="95"/>
        <v>250</v>
      </c>
      <c r="AN163" s="711">
        <f t="shared" si="98"/>
        <v>239</v>
      </c>
      <c r="AO163" s="711">
        <f t="shared" si="99"/>
        <v>254</v>
      </c>
      <c r="AP163" s="711">
        <f t="shared" si="100"/>
        <v>119</v>
      </c>
      <c r="AQ163" s="711">
        <f t="shared" si="81"/>
        <v>75</v>
      </c>
      <c r="AR163" s="711">
        <f t="shared" si="81"/>
        <v>179</v>
      </c>
      <c r="AS163" s="711">
        <f t="shared" si="81"/>
        <v>85</v>
      </c>
      <c r="AT163" s="711">
        <f t="shared" si="81"/>
        <v>145</v>
      </c>
      <c r="AU163" s="711">
        <f t="shared" si="85"/>
        <v>76</v>
      </c>
      <c r="AV163" s="711">
        <f t="shared" si="85"/>
        <v>113</v>
      </c>
      <c r="AW163" s="711">
        <f t="shared" si="85"/>
        <v>145</v>
      </c>
      <c r="AX163" s="711">
        <f t="shared" si="85"/>
        <v>22</v>
      </c>
      <c r="AY163" s="711">
        <f t="shared" si="85"/>
        <v>178</v>
      </c>
      <c r="AZ163" s="711">
        <f t="shared" si="85"/>
        <v>415</v>
      </c>
      <c r="BA163" s="711">
        <f t="shared" si="85"/>
        <v>395</v>
      </c>
    </row>
    <row r="164" spans="1:53">
      <c r="A164" s="106">
        <f t="shared" si="87"/>
        <v>153</v>
      </c>
      <c r="B164" s="858">
        <v>42157</v>
      </c>
      <c r="C164" s="859" t="s">
        <v>1725</v>
      </c>
      <c r="D164" s="860">
        <v>4270</v>
      </c>
      <c r="E164" s="860">
        <v>4088</v>
      </c>
      <c r="F164" s="860">
        <v>3999</v>
      </c>
      <c r="G164" s="860">
        <v>3969</v>
      </c>
      <c r="H164" s="860">
        <v>3953</v>
      </c>
      <c r="I164" s="860">
        <v>4059</v>
      </c>
      <c r="J164" s="860">
        <v>4317</v>
      </c>
      <c r="K164" s="860">
        <v>4577</v>
      </c>
      <c r="L164" s="860">
        <v>4870</v>
      </c>
      <c r="M164" s="860">
        <v>5101</v>
      </c>
      <c r="N164" s="860">
        <v>5354</v>
      </c>
      <c r="O164" s="860">
        <v>5520</v>
      </c>
      <c r="P164" s="860">
        <v>5687</v>
      </c>
      <c r="Q164" s="860">
        <v>5903</v>
      </c>
      <c r="R164" s="860">
        <v>6043</v>
      </c>
      <c r="S164" s="860">
        <v>6206</v>
      </c>
      <c r="T164" s="860">
        <v>6369</v>
      </c>
      <c r="U164" s="860">
        <v>6467</v>
      </c>
      <c r="V164" s="860">
        <v>6399</v>
      </c>
      <c r="W164" s="860">
        <v>6240</v>
      </c>
      <c r="X164" s="860">
        <v>6063</v>
      </c>
      <c r="Y164" s="860">
        <v>5817</v>
      </c>
      <c r="Z164" s="860">
        <v>5255</v>
      </c>
      <c r="AA164" s="860">
        <v>4683</v>
      </c>
      <c r="AB164" s="711">
        <f>MAX(D163:AA192)</f>
        <v>7721</v>
      </c>
      <c r="AC164" s="712">
        <f t="shared" si="88"/>
        <v>153</v>
      </c>
      <c r="AD164" s="711">
        <f t="shared" si="89"/>
        <v>129</v>
      </c>
      <c r="AE164" s="711">
        <f t="shared" si="86"/>
        <v>182</v>
      </c>
      <c r="AF164" s="711">
        <f t="shared" si="96"/>
        <v>89</v>
      </c>
      <c r="AG164" s="711">
        <f t="shared" si="97"/>
        <v>30</v>
      </c>
      <c r="AH164" s="711">
        <f t="shared" si="90"/>
        <v>16</v>
      </c>
      <c r="AI164" s="711">
        <f t="shared" si="91"/>
        <v>106</v>
      </c>
      <c r="AJ164" s="711">
        <f t="shared" si="92"/>
        <v>258</v>
      </c>
      <c r="AK164" s="711">
        <f t="shared" si="93"/>
        <v>260</v>
      </c>
      <c r="AL164" s="711">
        <f t="shared" si="94"/>
        <v>293</v>
      </c>
      <c r="AM164" s="711">
        <f t="shared" si="95"/>
        <v>231</v>
      </c>
      <c r="AN164" s="711">
        <f t="shared" si="98"/>
        <v>253</v>
      </c>
      <c r="AO164" s="711">
        <f t="shared" si="99"/>
        <v>166</v>
      </c>
      <c r="AP164" s="711">
        <f t="shared" si="100"/>
        <v>167</v>
      </c>
      <c r="AQ164" s="711">
        <f t="shared" si="81"/>
        <v>216</v>
      </c>
      <c r="AR164" s="711">
        <f t="shared" si="81"/>
        <v>140</v>
      </c>
      <c r="AS164" s="711">
        <f t="shared" si="81"/>
        <v>163</v>
      </c>
      <c r="AT164" s="711">
        <f t="shared" si="81"/>
        <v>163</v>
      </c>
      <c r="AU164" s="711">
        <f t="shared" si="85"/>
        <v>98</v>
      </c>
      <c r="AV164" s="711">
        <f t="shared" si="85"/>
        <v>68</v>
      </c>
      <c r="AW164" s="711">
        <f t="shared" si="85"/>
        <v>159</v>
      </c>
      <c r="AX164" s="711">
        <f t="shared" si="85"/>
        <v>177</v>
      </c>
      <c r="AY164" s="711">
        <f t="shared" si="85"/>
        <v>246</v>
      </c>
      <c r="AZ164" s="711">
        <f t="shared" si="85"/>
        <v>562</v>
      </c>
      <c r="BA164" s="711">
        <f t="shared" si="85"/>
        <v>572</v>
      </c>
    </row>
    <row r="165" spans="1:53">
      <c r="A165" s="106">
        <f t="shared" si="87"/>
        <v>154</v>
      </c>
      <c r="B165" s="858">
        <v>42158</v>
      </c>
      <c r="C165" s="859" t="s">
        <v>1725</v>
      </c>
      <c r="D165" s="860">
        <v>4451</v>
      </c>
      <c r="E165" s="860">
        <v>4312</v>
      </c>
      <c r="F165" s="860">
        <v>4126</v>
      </c>
      <c r="G165" s="860">
        <v>4051</v>
      </c>
      <c r="H165" s="860">
        <v>4095</v>
      </c>
      <c r="I165" s="860">
        <v>4132</v>
      </c>
      <c r="J165" s="860">
        <v>4375</v>
      </c>
      <c r="K165" s="860">
        <v>4616</v>
      </c>
      <c r="L165" s="860">
        <v>4830</v>
      </c>
      <c r="M165" s="860">
        <v>4898</v>
      </c>
      <c r="N165" s="860">
        <v>5007</v>
      </c>
      <c r="O165" s="860">
        <v>5149</v>
      </c>
      <c r="P165" s="860">
        <v>5320</v>
      </c>
      <c r="Q165" s="860">
        <v>5452</v>
      </c>
      <c r="R165" s="860">
        <v>5582</v>
      </c>
      <c r="S165" s="860">
        <v>5697</v>
      </c>
      <c r="T165" s="860">
        <v>5796</v>
      </c>
      <c r="U165" s="860">
        <v>5729</v>
      </c>
      <c r="V165" s="860">
        <v>5512</v>
      </c>
      <c r="W165" s="860">
        <v>5365</v>
      </c>
      <c r="X165" s="860">
        <v>5380</v>
      </c>
      <c r="Y165" s="860">
        <v>5279</v>
      </c>
      <c r="Z165" s="860">
        <v>4773</v>
      </c>
      <c r="AA165" s="860">
        <v>4350</v>
      </c>
      <c r="AC165" s="712">
        <f t="shared" si="88"/>
        <v>154</v>
      </c>
      <c r="AD165" s="711">
        <f t="shared" si="89"/>
        <v>232</v>
      </c>
      <c r="AE165" s="711">
        <f t="shared" si="86"/>
        <v>139</v>
      </c>
      <c r="AF165" s="711">
        <f t="shared" si="96"/>
        <v>186</v>
      </c>
      <c r="AG165" s="711">
        <f t="shared" si="97"/>
        <v>75</v>
      </c>
      <c r="AH165" s="711">
        <f t="shared" si="90"/>
        <v>44</v>
      </c>
      <c r="AI165" s="711">
        <f t="shared" si="91"/>
        <v>37</v>
      </c>
      <c r="AJ165" s="711">
        <f t="shared" si="92"/>
        <v>243</v>
      </c>
      <c r="AK165" s="711">
        <f t="shared" si="93"/>
        <v>241</v>
      </c>
      <c r="AL165" s="711">
        <f t="shared" si="94"/>
        <v>214</v>
      </c>
      <c r="AM165" s="711">
        <f t="shared" si="95"/>
        <v>68</v>
      </c>
      <c r="AN165" s="711">
        <f t="shared" si="98"/>
        <v>109</v>
      </c>
      <c r="AO165" s="711">
        <f t="shared" si="99"/>
        <v>142</v>
      </c>
      <c r="AP165" s="711">
        <f t="shared" si="100"/>
        <v>171</v>
      </c>
      <c r="AQ165" s="711">
        <f t="shared" si="81"/>
        <v>132</v>
      </c>
      <c r="AR165" s="711">
        <f t="shared" si="81"/>
        <v>130</v>
      </c>
      <c r="AS165" s="711">
        <f t="shared" si="81"/>
        <v>115</v>
      </c>
      <c r="AT165" s="711">
        <f t="shared" si="81"/>
        <v>99</v>
      </c>
      <c r="AU165" s="711">
        <f t="shared" si="85"/>
        <v>67</v>
      </c>
      <c r="AV165" s="711">
        <f t="shared" si="85"/>
        <v>217</v>
      </c>
      <c r="AW165" s="711">
        <f t="shared" si="85"/>
        <v>147</v>
      </c>
      <c r="AX165" s="711">
        <f t="shared" si="85"/>
        <v>15</v>
      </c>
      <c r="AY165" s="711">
        <f t="shared" si="85"/>
        <v>101</v>
      </c>
      <c r="AZ165" s="711">
        <f t="shared" si="85"/>
        <v>506</v>
      </c>
      <c r="BA165" s="711">
        <f t="shared" si="85"/>
        <v>423</v>
      </c>
    </row>
    <row r="166" spans="1:53">
      <c r="A166" s="106">
        <f t="shared" si="87"/>
        <v>155</v>
      </c>
      <c r="B166" s="858">
        <v>42159</v>
      </c>
      <c r="C166" s="859" t="s">
        <v>1725</v>
      </c>
      <c r="D166" s="860">
        <v>4177</v>
      </c>
      <c r="E166" s="860">
        <v>4120</v>
      </c>
      <c r="F166" s="860">
        <v>4040</v>
      </c>
      <c r="G166" s="860">
        <v>3976</v>
      </c>
      <c r="H166" s="860">
        <v>3959</v>
      </c>
      <c r="I166" s="860">
        <v>4103</v>
      </c>
      <c r="J166" s="860">
        <v>4295</v>
      </c>
      <c r="K166" s="860">
        <v>4576</v>
      </c>
      <c r="L166" s="860">
        <v>4841</v>
      </c>
      <c r="M166" s="860">
        <v>5007</v>
      </c>
      <c r="N166" s="860">
        <v>5174</v>
      </c>
      <c r="O166" s="860">
        <v>5349</v>
      </c>
      <c r="P166" s="860">
        <v>5464</v>
      </c>
      <c r="Q166" s="860">
        <v>5641</v>
      </c>
      <c r="R166" s="860">
        <v>5877</v>
      </c>
      <c r="S166" s="860">
        <v>6030</v>
      </c>
      <c r="T166" s="860">
        <v>6077</v>
      </c>
      <c r="U166" s="860">
        <v>6038</v>
      </c>
      <c r="V166" s="860">
        <v>5869</v>
      </c>
      <c r="W166" s="860">
        <v>5701</v>
      </c>
      <c r="X166" s="860">
        <v>5664</v>
      </c>
      <c r="Y166" s="860">
        <v>5492</v>
      </c>
      <c r="Z166" s="860">
        <v>4940</v>
      </c>
      <c r="AA166" s="860">
        <v>4478</v>
      </c>
      <c r="AC166" s="712">
        <f t="shared" si="88"/>
        <v>155</v>
      </c>
      <c r="AD166" s="711">
        <f t="shared" si="89"/>
        <v>173</v>
      </c>
      <c r="AE166" s="711">
        <f t="shared" si="86"/>
        <v>57</v>
      </c>
      <c r="AF166" s="711">
        <f t="shared" si="96"/>
        <v>80</v>
      </c>
      <c r="AG166" s="711">
        <f t="shared" si="97"/>
        <v>64</v>
      </c>
      <c r="AH166" s="711">
        <f t="shared" si="90"/>
        <v>17</v>
      </c>
      <c r="AI166" s="711">
        <f t="shared" si="91"/>
        <v>144</v>
      </c>
      <c r="AJ166" s="711">
        <f t="shared" si="92"/>
        <v>192</v>
      </c>
      <c r="AK166" s="711">
        <f t="shared" si="93"/>
        <v>281</v>
      </c>
      <c r="AL166" s="711">
        <f t="shared" si="94"/>
        <v>265</v>
      </c>
      <c r="AM166" s="711">
        <f t="shared" si="95"/>
        <v>166</v>
      </c>
      <c r="AN166" s="711">
        <f t="shared" si="98"/>
        <v>167</v>
      </c>
      <c r="AO166" s="711">
        <f t="shared" si="99"/>
        <v>175</v>
      </c>
      <c r="AP166" s="711">
        <f t="shared" si="100"/>
        <v>115</v>
      </c>
      <c r="AQ166" s="711">
        <f t="shared" si="81"/>
        <v>177</v>
      </c>
      <c r="AR166" s="711">
        <f t="shared" si="81"/>
        <v>236</v>
      </c>
      <c r="AS166" s="711">
        <f t="shared" si="81"/>
        <v>153</v>
      </c>
      <c r="AT166" s="711">
        <f t="shared" si="81"/>
        <v>47</v>
      </c>
      <c r="AU166" s="711">
        <f t="shared" si="85"/>
        <v>39</v>
      </c>
      <c r="AV166" s="711">
        <f t="shared" si="85"/>
        <v>169</v>
      </c>
      <c r="AW166" s="711">
        <f t="shared" si="85"/>
        <v>168</v>
      </c>
      <c r="AX166" s="711">
        <f t="shared" si="85"/>
        <v>37</v>
      </c>
      <c r="AY166" s="711">
        <f t="shared" si="85"/>
        <v>172</v>
      </c>
      <c r="AZ166" s="711">
        <f t="shared" si="85"/>
        <v>552</v>
      </c>
      <c r="BA166" s="711">
        <f t="shared" si="85"/>
        <v>462</v>
      </c>
    </row>
    <row r="167" spans="1:53">
      <c r="A167" s="106">
        <f t="shared" si="87"/>
        <v>156</v>
      </c>
      <c r="B167" s="858">
        <v>42160</v>
      </c>
      <c r="C167" s="859" t="s">
        <v>1725</v>
      </c>
      <c r="D167" s="860">
        <v>4321</v>
      </c>
      <c r="E167" s="860">
        <v>4204</v>
      </c>
      <c r="F167" s="860">
        <v>4068</v>
      </c>
      <c r="G167" s="860">
        <v>4026</v>
      </c>
      <c r="H167" s="860">
        <v>4048</v>
      </c>
      <c r="I167" s="860">
        <v>4110</v>
      </c>
      <c r="J167" s="860">
        <v>4241</v>
      </c>
      <c r="K167" s="860">
        <v>4537</v>
      </c>
      <c r="L167" s="860">
        <v>4794</v>
      </c>
      <c r="M167" s="860">
        <v>4951</v>
      </c>
      <c r="N167" s="860">
        <v>5110</v>
      </c>
      <c r="O167" s="860">
        <v>5085</v>
      </c>
      <c r="P167" s="860">
        <v>5110</v>
      </c>
      <c r="Q167" s="860">
        <v>5189</v>
      </c>
      <c r="R167" s="860">
        <v>5181</v>
      </c>
      <c r="S167" s="860">
        <v>5194</v>
      </c>
      <c r="T167" s="860">
        <v>5187</v>
      </c>
      <c r="U167" s="860">
        <v>5243</v>
      </c>
      <c r="V167" s="860">
        <v>5194</v>
      </c>
      <c r="W167" s="860">
        <v>5095</v>
      </c>
      <c r="X167" s="860">
        <v>5156</v>
      </c>
      <c r="Y167" s="860">
        <v>4960</v>
      </c>
      <c r="Z167" s="860">
        <v>4655</v>
      </c>
      <c r="AA167" s="860">
        <v>4390</v>
      </c>
      <c r="AC167" s="712">
        <f t="shared" si="88"/>
        <v>156</v>
      </c>
      <c r="AD167" s="711">
        <f t="shared" si="89"/>
        <v>157</v>
      </c>
      <c r="AE167" s="711">
        <f t="shared" si="86"/>
        <v>117</v>
      </c>
      <c r="AF167" s="711">
        <f t="shared" si="96"/>
        <v>136</v>
      </c>
      <c r="AG167" s="711">
        <f t="shared" si="97"/>
        <v>42</v>
      </c>
      <c r="AH167" s="711">
        <f t="shared" si="90"/>
        <v>22</v>
      </c>
      <c r="AI167" s="711">
        <f t="shared" si="91"/>
        <v>62</v>
      </c>
      <c r="AJ167" s="711">
        <f t="shared" si="92"/>
        <v>131</v>
      </c>
      <c r="AK167" s="711">
        <f t="shared" si="93"/>
        <v>296</v>
      </c>
      <c r="AL167" s="711">
        <f t="shared" si="94"/>
        <v>257</v>
      </c>
      <c r="AM167" s="711">
        <f t="shared" si="95"/>
        <v>157</v>
      </c>
      <c r="AN167" s="711">
        <f t="shared" si="98"/>
        <v>159</v>
      </c>
      <c r="AO167" s="711">
        <f t="shared" si="99"/>
        <v>25</v>
      </c>
      <c r="AP167" s="711">
        <f t="shared" si="100"/>
        <v>25</v>
      </c>
      <c r="AQ167" s="711">
        <f t="shared" si="81"/>
        <v>79</v>
      </c>
      <c r="AR167" s="711">
        <f t="shared" si="81"/>
        <v>8</v>
      </c>
      <c r="AS167" s="711">
        <f t="shared" si="81"/>
        <v>13</v>
      </c>
      <c r="AT167" s="711">
        <f t="shared" si="81"/>
        <v>7</v>
      </c>
      <c r="AU167" s="711">
        <f t="shared" si="85"/>
        <v>56</v>
      </c>
      <c r="AV167" s="711">
        <f t="shared" si="85"/>
        <v>49</v>
      </c>
      <c r="AW167" s="711">
        <f t="shared" si="85"/>
        <v>99</v>
      </c>
      <c r="AX167" s="711">
        <f t="shared" si="85"/>
        <v>61</v>
      </c>
      <c r="AY167" s="711">
        <f t="shared" si="85"/>
        <v>196</v>
      </c>
      <c r="AZ167" s="711">
        <f t="shared" si="85"/>
        <v>305</v>
      </c>
      <c r="BA167" s="711">
        <f t="shared" si="85"/>
        <v>265</v>
      </c>
    </row>
    <row r="168" spans="1:53">
      <c r="A168" s="106">
        <f t="shared" si="87"/>
        <v>157</v>
      </c>
      <c r="B168" s="858">
        <v>42161</v>
      </c>
      <c r="C168" s="859" t="s">
        <v>1725</v>
      </c>
      <c r="D168" s="860">
        <v>4154</v>
      </c>
      <c r="E168" s="860">
        <v>4037</v>
      </c>
      <c r="F168" s="860">
        <v>3898</v>
      </c>
      <c r="G168" s="860">
        <v>3764</v>
      </c>
      <c r="H168" s="860">
        <v>3721</v>
      </c>
      <c r="I168" s="860">
        <v>3685</v>
      </c>
      <c r="J168" s="860">
        <v>3732</v>
      </c>
      <c r="K168" s="860">
        <v>3914</v>
      </c>
      <c r="L168" s="860">
        <v>4200</v>
      </c>
      <c r="M168" s="860">
        <v>4370</v>
      </c>
      <c r="N168" s="860">
        <v>4525</v>
      </c>
      <c r="O168" s="860">
        <v>4613</v>
      </c>
      <c r="P168" s="860">
        <v>4730</v>
      </c>
      <c r="Q168" s="860">
        <v>4833</v>
      </c>
      <c r="R168" s="860">
        <v>4779</v>
      </c>
      <c r="S168" s="860">
        <v>4835</v>
      </c>
      <c r="T168" s="860">
        <v>4863</v>
      </c>
      <c r="U168" s="860">
        <v>5016</v>
      </c>
      <c r="V168" s="860">
        <v>4980</v>
      </c>
      <c r="W168" s="860">
        <v>4908</v>
      </c>
      <c r="X168" s="860">
        <v>4912</v>
      </c>
      <c r="Y168" s="860">
        <v>4839</v>
      </c>
      <c r="Z168" s="860">
        <v>4532</v>
      </c>
      <c r="AA168" s="860">
        <v>4162</v>
      </c>
      <c r="AC168" s="712">
        <f t="shared" si="88"/>
        <v>157</v>
      </c>
      <c r="AD168" s="711">
        <f t="shared" si="89"/>
        <v>236</v>
      </c>
      <c r="AE168" s="711">
        <f t="shared" si="86"/>
        <v>117</v>
      </c>
      <c r="AF168" s="711">
        <f t="shared" si="96"/>
        <v>139</v>
      </c>
      <c r="AG168" s="711">
        <f t="shared" si="97"/>
        <v>134</v>
      </c>
      <c r="AH168" s="711">
        <f t="shared" si="90"/>
        <v>43</v>
      </c>
      <c r="AI168" s="711">
        <f t="shared" si="91"/>
        <v>36</v>
      </c>
      <c r="AJ168" s="711">
        <f t="shared" si="92"/>
        <v>47</v>
      </c>
      <c r="AK168" s="711">
        <f t="shared" si="93"/>
        <v>182</v>
      </c>
      <c r="AL168" s="711">
        <f t="shared" si="94"/>
        <v>286</v>
      </c>
      <c r="AM168" s="711">
        <f t="shared" si="95"/>
        <v>170</v>
      </c>
      <c r="AN168" s="711">
        <f t="shared" si="98"/>
        <v>155</v>
      </c>
      <c r="AO168" s="711">
        <f t="shared" si="99"/>
        <v>88</v>
      </c>
      <c r="AP168" s="711">
        <f t="shared" si="100"/>
        <v>117</v>
      </c>
      <c r="AQ168" s="711">
        <f t="shared" si="81"/>
        <v>103</v>
      </c>
      <c r="AR168" s="711">
        <f t="shared" si="81"/>
        <v>54</v>
      </c>
      <c r="AS168" s="711">
        <f t="shared" si="81"/>
        <v>56</v>
      </c>
      <c r="AT168" s="711">
        <f t="shared" si="81"/>
        <v>28</v>
      </c>
      <c r="AU168" s="711">
        <f t="shared" si="85"/>
        <v>153</v>
      </c>
      <c r="AV168" s="711">
        <f t="shared" si="85"/>
        <v>36</v>
      </c>
      <c r="AW168" s="711">
        <f t="shared" si="85"/>
        <v>72</v>
      </c>
      <c r="AX168" s="711">
        <f t="shared" si="85"/>
        <v>4</v>
      </c>
      <c r="AY168" s="711">
        <f t="shared" si="85"/>
        <v>73</v>
      </c>
      <c r="AZ168" s="711">
        <f t="shared" si="85"/>
        <v>307</v>
      </c>
      <c r="BA168" s="711">
        <f t="shared" si="85"/>
        <v>370</v>
      </c>
    </row>
    <row r="169" spans="1:53">
      <c r="A169" s="106">
        <f t="shared" si="87"/>
        <v>158</v>
      </c>
      <c r="B169" s="858">
        <v>42162</v>
      </c>
      <c r="C169" s="859" t="s">
        <v>1725</v>
      </c>
      <c r="D169" s="860">
        <v>3975</v>
      </c>
      <c r="E169" s="860">
        <v>3941</v>
      </c>
      <c r="F169" s="860">
        <v>3822</v>
      </c>
      <c r="G169" s="860">
        <v>3748</v>
      </c>
      <c r="H169" s="860">
        <v>3747</v>
      </c>
      <c r="I169" s="860">
        <v>3715</v>
      </c>
      <c r="J169" s="860">
        <v>3679</v>
      </c>
      <c r="K169" s="860">
        <v>3739</v>
      </c>
      <c r="L169" s="860">
        <v>3970</v>
      </c>
      <c r="M169" s="860">
        <v>4180</v>
      </c>
      <c r="N169" s="860">
        <v>4336</v>
      </c>
      <c r="O169" s="860">
        <v>4459</v>
      </c>
      <c r="P169" s="860">
        <v>4561</v>
      </c>
      <c r="Q169" s="860">
        <v>4660</v>
      </c>
      <c r="R169" s="860">
        <v>4743</v>
      </c>
      <c r="S169" s="860">
        <v>4841</v>
      </c>
      <c r="T169" s="860">
        <v>4927</v>
      </c>
      <c r="U169" s="860">
        <v>5010</v>
      </c>
      <c r="V169" s="860">
        <v>4947</v>
      </c>
      <c r="W169" s="860">
        <v>4844</v>
      </c>
      <c r="X169" s="860">
        <v>4828</v>
      </c>
      <c r="Y169" s="860">
        <v>4772</v>
      </c>
      <c r="Z169" s="860">
        <v>4391</v>
      </c>
      <c r="AA169" s="860">
        <v>3990</v>
      </c>
      <c r="AC169" s="712">
        <f t="shared" si="88"/>
        <v>158</v>
      </c>
      <c r="AD169" s="711">
        <f t="shared" si="89"/>
        <v>187</v>
      </c>
      <c r="AE169" s="711">
        <f t="shared" si="86"/>
        <v>34</v>
      </c>
      <c r="AF169" s="711">
        <f t="shared" si="96"/>
        <v>119</v>
      </c>
      <c r="AG169" s="711">
        <f t="shared" si="97"/>
        <v>74</v>
      </c>
      <c r="AH169" s="711">
        <f t="shared" si="90"/>
        <v>1</v>
      </c>
      <c r="AI169" s="711">
        <f t="shared" si="91"/>
        <v>32</v>
      </c>
      <c r="AJ169" s="711">
        <f t="shared" si="92"/>
        <v>36</v>
      </c>
      <c r="AK169" s="711">
        <f t="shared" si="93"/>
        <v>60</v>
      </c>
      <c r="AL169" s="711">
        <f t="shared" si="94"/>
        <v>231</v>
      </c>
      <c r="AM169" s="711">
        <f t="shared" si="95"/>
        <v>210</v>
      </c>
      <c r="AN169" s="711">
        <f t="shared" si="98"/>
        <v>156</v>
      </c>
      <c r="AO169" s="711">
        <f t="shared" si="99"/>
        <v>123</v>
      </c>
      <c r="AP169" s="711">
        <f t="shared" si="100"/>
        <v>102</v>
      </c>
      <c r="AQ169" s="711">
        <f t="shared" si="81"/>
        <v>99</v>
      </c>
      <c r="AR169" s="711">
        <f t="shared" si="81"/>
        <v>83</v>
      </c>
      <c r="AS169" s="711">
        <f t="shared" si="81"/>
        <v>98</v>
      </c>
      <c r="AT169" s="711">
        <f t="shared" si="81"/>
        <v>86</v>
      </c>
      <c r="AU169" s="711">
        <f t="shared" si="85"/>
        <v>83</v>
      </c>
      <c r="AV169" s="711">
        <f t="shared" si="85"/>
        <v>63</v>
      </c>
      <c r="AW169" s="711">
        <f t="shared" si="85"/>
        <v>103</v>
      </c>
      <c r="AX169" s="711">
        <f t="shared" ref="AX169:BA232" si="101">ABS(X169-W169)</f>
        <v>16</v>
      </c>
      <c r="AY169" s="711">
        <f t="shared" si="101"/>
        <v>56</v>
      </c>
      <c r="AZ169" s="711">
        <f t="shared" si="101"/>
        <v>381</v>
      </c>
      <c r="BA169" s="711">
        <f t="shared" si="101"/>
        <v>401</v>
      </c>
    </row>
    <row r="170" spans="1:53">
      <c r="A170" s="106">
        <f t="shared" si="87"/>
        <v>159</v>
      </c>
      <c r="B170" s="858">
        <v>42163</v>
      </c>
      <c r="C170" s="859" t="s">
        <v>1725</v>
      </c>
      <c r="D170" s="860">
        <v>3929</v>
      </c>
      <c r="E170" s="860">
        <v>3840</v>
      </c>
      <c r="F170" s="860">
        <v>3766</v>
      </c>
      <c r="G170" s="860">
        <v>3742</v>
      </c>
      <c r="H170" s="860">
        <v>3805</v>
      </c>
      <c r="I170" s="860">
        <v>3855</v>
      </c>
      <c r="J170" s="860">
        <v>4041</v>
      </c>
      <c r="K170" s="860">
        <v>4380</v>
      </c>
      <c r="L170" s="860">
        <v>4624</v>
      </c>
      <c r="M170" s="860">
        <v>4832</v>
      </c>
      <c r="N170" s="860">
        <v>5004</v>
      </c>
      <c r="O170" s="860">
        <v>5144</v>
      </c>
      <c r="P170" s="860">
        <v>5266</v>
      </c>
      <c r="Q170" s="860">
        <v>5412</v>
      </c>
      <c r="R170" s="860">
        <v>5550</v>
      </c>
      <c r="S170" s="860">
        <v>5730</v>
      </c>
      <c r="T170" s="860">
        <v>5889</v>
      </c>
      <c r="U170" s="860">
        <v>6020</v>
      </c>
      <c r="V170" s="860">
        <v>5976</v>
      </c>
      <c r="W170" s="860">
        <v>5834</v>
      </c>
      <c r="X170" s="860">
        <v>5706</v>
      </c>
      <c r="Y170" s="860">
        <v>5548</v>
      </c>
      <c r="Z170" s="860">
        <v>4994</v>
      </c>
      <c r="AA170" s="860">
        <v>4581</v>
      </c>
      <c r="AC170" s="712">
        <f t="shared" si="88"/>
        <v>159</v>
      </c>
      <c r="AD170" s="711">
        <f t="shared" si="89"/>
        <v>61</v>
      </c>
      <c r="AE170" s="711">
        <f t="shared" si="86"/>
        <v>89</v>
      </c>
      <c r="AF170" s="711">
        <f t="shared" si="96"/>
        <v>74</v>
      </c>
      <c r="AG170" s="711">
        <f t="shared" si="97"/>
        <v>24</v>
      </c>
      <c r="AH170" s="711">
        <f t="shared" si="90"/>
        <v>63</v>
      </c>
      <c r="AI170" s="711">
        <f t="shared" si="91"/>
        <v>50</v>
      </c>
      <c r="AJ170" s="711">
        <f t="shared" si="92"/>
        <v>186</v>
      </c>
      <c r="AK170" s="711">
        <f t="shared" si="93"/>
        <v>339</v>
      </c>
      <c r="AL170" s="711">
        <f t="shared" si="94"/>
        <v>244</v>
      </c>
      <c r="AM170" s="711">
        <f t="shared" si="95"/>
        <v>208</v>
      </c>
      <c r="AN170" s="711">
        <f t="shared" si="98"/>
        <v>172</v>
      </c>
      <c r="AO170" s="711">
        <f t="shared" si="99"/>
        <v>140</v>
      </c>
      <c r="AP170" s="711">
        <f t="shared" si="100"/>
        <v>122</v>
      </c>
      <c r="AQ170" s="711">
        <f t="shared" si="81"/>
        <v>146</v>
      </c>
      <c r="AR170" s="711">
        <f t="shared" si="81"/>
        <v>138</v>
      </c>
      <c r="AS170" s="711">
        <f t="shared" si="81"/>
        <v>180</v>
      </c>
      <c r="AT170" s="711">
        <f t="shared" si="81"/>
        <v>159</v>
      </c>
      <c r="AU170" s="711">
        <f t="shared" si="81"/>
        <v>131</v>
      </c>
      <c r="AV170" s="711">
        <f t="shared" si="81"/>
        <v>44</v>
      </c>
      <c r="AW170" s="711">
        <f t="shared" si="81"/>
        <v>142</v>
      </c>
      <c r="AX170" s="711">
        <f t="shared" si="101"/>
        <v>128</v>
      </c>
      <c r="AY170" s="711">
        <f t="shared" si="101"/>
        <v>158</v>
      </c>
      <c r="AZ170" s="711">
        <f t="shared" si="101"/>
        <v>554</v>
      </c>
      <c r="BA170" s="711">
        <f t="shared" si="101"/>
        <v>413</v>
      </c>
    </row>
    <row r="171" spans="1:53">
      <c r="A171" s="106">
        <f t="shared" si="87"/>
        <v>160</v>
      </c>
      <c r="B171" s="858">
        <v>42164</v>
      </c>
      <c r="C171" s="859" t="s">
        <v>1725</v>
      </c>
      <c r="D171" s="860">
        <v>4301</v>
      </c>
      <c r="E171" s="860">
        <v>4121</v>
      </c>
      <c r="F171" s="860">
        <v>3983</v>
      </c>
      <c r="G171" s="860">
        <v>3949</v>
      </c>
      <c r="H171" s="860">
        <v>3937</v>
      </c>
      <c r="I171" s="860">
        <v>3923</v>
      </c>
      <c r="J171" s="860">
        <v>4200</v>
      </c>
      <c r="K171" s="860">
        <v>4606</v>
      </c>
      <c r="L171" s="860">
        <v>4926</v>
      </c>
      <c r="M171" s="860">
        <v>5207</v>
      </c>
      <c r="N171" s="860">
        <v>5509</v>
      </c>
      <c r="O171" s="860">
        <v>5751</v>
      </c>
      <c r="P171" s="860">
        <v>5949</v>
      </c>
      <c r="Q171" s="860">
        <v>6162</v>
      </c>
      <c r="R171" s="860">
        <v>6364</v>
      </c>
      <c r="S171" s="860">
        <v>6547</v>
      </c>
      <c r="T171" s="860">
        <v>6631</v>
      </c>
      <c r="U171" s="860">
        <v>6544</v>
      </c>
      <c r="V171" s="860">
        <v>6247</v>
      </c>
      <c r="W171" s="860">
        <v>5925</v>
      </c>
      <c r="X171" s="860">
        <v>5771</v>
      </c>
      <c r="Y171" s="860">
        <v>5579</v>
      </c>
      <c r="Z171" s="860">
        <v>5062</v>
      </c>
      <c r="AA171" s="860">
        <v>4599</v>
      </c>
      <c r="AC171" s="712">
        <f t="shared" si="88"/>
        <v>160</v>
      </c>
      <c r="AD171" s="711">
        <f t="shared" si="89"/>
        <v>280</v>
      </c>
      <c r="AE171" s="711">
        <f t="shared" si="86"/>
        <v>180</v>
      </c>
      <c r="AF171" s="711">
        <f t="shared" si="96"/>
        <v>138</v>
      </c>
      <c r="AG171" s="711">
        <f t="shared" si="97"/>
        <v>34</v>
      </c>
      <c r="AH171" s="711">
        <f t="shared" si="90"/>
        <v>12</v>
      </c>
      <c r="AI171" s="711">
        <f t="shared" si="91"/>
        <v>14</v>
      </c>
      <c r="AJ171" s="711">
        <f t="shared" si="92"/>
        <v>277</v>
      </c>
      <c r="AK171" s="711">
        <f t="shared" si="93"/>
        <v>406</v>
      </c>
      <c r="AL171" s="711">
        <f t="shared" si="94"/>
        <v>320</v>
      </c>
      <c r="AM171" s="711">
        <f t="shared" si="95"/>
        <v>281</v>
      </c>
      <c r="AN171" s="711">
        <f t="shared" si="98"/>
        <v>302</v>
      </c>
      <c r="AO171" s="711">
        <f t="shared" si="99"/>
        <v>242</v>
      </c>
      <c r="AP171" s="711">
        <f t="shared" si="100"/>
        <v>198</v>
      </c>
      <c r="AQ171" s="711">
        <f t="shared" si="81"/>
        <v>213</v>
      </c>
      <c r="AR171" s="711">
        <f t="shared" si="81"/>
        <v>202</v>
      </c>
      <c r="AS171" s="711">
        <f t="shared" si="81"/>
        <v>183</v>
      </c>
      <c r="AT171" s="711">
        <f t="shared" si="81"/>
        <v>84</v>
      </c>
      <c r="AU171" s="711">
        <f t="shared" si="81"/>
        <v>87</v>
      </c>
      <c r="AV171" s="711">
        <f t="shared" si="81"/>
        <v>297</v>
      </c>
      <c r="AW171" s="711">
        <f t="shared" si="81"/>
        <v>322</v>
      </c>
      <c r="AX171" s="711">
        <f t="shared" si="101"/>
        <v>154</v>
      </c>
      <c r="AY171" s="711">
        <f t="shared" si="101"/>
        <v>192</v>
      </c>
      <c r="AZ171" s="711">
        <f t="shared" si="101"/>
        <v>517</v>
      </c>
      <c r="BA171" s="711">
        <f t="shared" si="101"/>
        <v>463</v>
      </c>
    </row>
    <row r="172" spans="1:53">
      <c r="A172" s="106">
        <f t="shared" si="87"/>
        <v>161</v>
      </c>
      <c r="B172" s="858">
        <v>42165</v>
      </c>
      <c r="C172" s="859" t="s">
        <v>1725</v>
      </c>
      <c r="D172" s="860">
        <v>4445</v>
      </c>
      <c r="E172" s="860">
        <v>4262</v>
      </c>
      <c r="F172" s="860">
        <v>4131</v>
      </c>
      <c r="G172" s="860">
        <v>4099</v>
      </c>
      <c r="H172" s="860">
        <v>4138</v>
      </c>
      <c r="I172" s="860">
        <v>4261</v>
      </c>
      <c r="J172" s="860">
        <v>4401</v>
      </c>
      <c r="K172" s="860">
        <v>4684</v>
      </c>
      <c r="L172" s="860">
        <v>4901</v>
      </c>
      <c r="M172" s="860">
        <v>5076</v>
      </c>
      <c r="N172" s="860">
        <v>5234</v>
      </c>
      <c r="O172" s="860">
        <v>5324</v>
      </c>
      <c r="P172" s="860">
        <v>5377</v>
      </c>
      <c r="Q172" s="860">
        <v>5521</v>
      </c>
      <c r="R172" s="860">
        <v>5621</v>
      </c>
      <c r="S172" s="860">
        <v>5664</v>
      </c>
      <c r="T172" s="860">
        <v>5592</v>
      </c>
      <c r="U172" s="860">
        <v>5514</v>
      </c>
      <c r="V172" s="860">
        <v>5397</v>
      </c>
      <c r="W172" s="860">
        <v>5286</v>
      </c>
      <c r="X172" s="860">
        <v>5279</v>
      </c>
      <c r="Y172" s="860">
        <v>5221</v>
      </c>
      <c r="Z172" s="860">
        <v>4763</v>
      </c>
      <c r="AA172" s="860">
        <v>4332</v>
      </c>
      <c r="AC172" s="712">
        <f t="shared" si="88"/>
        <v>161</v>
      </c>
      <c r="AD172" s="711">
        <f t="shared" si="89"/>
        <v>154</v>
      </c>
      <c r="AE172" s="711">
        <f t="shared" ref="AE172:AE202" si="102">ABS(E172-D172)</f>
        <v>183</v>
      </c>
      <c r="AF172" s="711">
        <f t="shared" si="96"/>
        <v>131</v>
      </c>
      <c r="AG172" s="711">
        <f t="shared" si="97"/>
        <v>32</v>
      </c>
      <c r="AH172" s="711">
        <f t="shared" si="90"/>
        <v>39</v>
      </c>
      <c r="AI172" s="711">
        <f t="shared" si="91"/>
        <v>123</v>
      </c>
      <c r="AJ172" s="711">
        <f t="shared" si="92"/>
        <v>140</v>
      </c>
      <c r="AK172" s="711">
        <f t="shared" si="93"/>
        <v>283</v>
      </c>
      <c r="AL172" s="711">
        <f t="shared" si="94"/>
        <v>217</v>
      </c>
      <c r="AM172" s="711">
        <f t="shared" si="95"/>
        <v>175</v>
      </c>
      <c r="AN172" s="711">
        <f t="shared" si="98"/>
        <v>158</v>
      </c>
      <c r="AO172" s="711">
        <f t="shared" si="99"/>
        <v>90</v>
      </c>
      <c r="AP172" s="711">
        <f t="shared" si="100"/>
        <v>53</v>
      </c>
      <c r="AQ172" s="711">
        <f t="shared" si="81"/>
        <v>144</v>
      </c>
      <c r="AR172" s="711">
        <f t="shared" si="81"/>
        <v>100</v>
      </c>
      <c r="AS172" s="711">
        <f t="shared" si="81"/>
        <v>43</v>
      </c>
      <c r="AT172" s="711">
        <f t="shared" si="81"/>
        <v>72</v>
      </c>
      <c r="AU172" s="711">
        <f t="shared" si="81"/>
        <v>78</v>
      </c>
      <c r="AV172" s="711">
        <f t="shared" si="81"/>
        <v>117</v>
      </c>
      <c r="AW172" s="711">
        <f t="shared" si="81"/>
        <v>111</v>
      </c>
      <c r="AX172" s="711">
        <f t="shared" si="101"/>
        <v>7</v>
      </c>
      <c r="AY172" s="711">
        <f t="shared" si="101"/>
        <v>58</v>
      </c>
      <c r="AZ172" s="711">
        <f t="shared" si="101"/>
        <v>458</v>
      </c>
      <c r="BA172" s="711">
        <f t="shared" si="101"/>
        <v>431</v>
      </c>
    </row>
    <row r="173" spans="1:53">
      <c r="A173" s="106">
        <f t="shared" si="87"/>
        <v>162</v>
      </c>
      <c r="B173" s="858">
        <v>42166</v>
      </c>
      <c r="C173" s="859" t="s">
        <v>1725</v>
      </c>
      <c r="D173" s="860">
        <v>4025</v>
      </c>
      <c r="E173" s="860">
        <v>4000</v>
      </c>
      <c r="F173" s="860">
        <v>3955</v>
      </c>
      <c r="G173" s="860">
        <v>3925</v>
      </c>
      <c r="H173" s="860">
        <v>3985</v>
      </c>
      <c r="I173" s="860">
        <v>4066</v>
      </c>
      <c r="J173" s="860">
        <v>4233</v>
      </c>
      <c r="K173" s="860">
        <v>4516</v>
      </c>
      <c r="L173" s="860">
        <v>4787</v>
      </c>
      <c r="M173" s="860">
        <v>5023</v>
      </c>
      <c r="N173" s="860">
        <v>5189</v>
      </c>
      <c r="O173" s="860">
        <v>5309</v>
      </c>
      <c r="P173" s="860">
        <v>5429</v>
      </c>
      <c r="Q173" s="860">
        <v>5483</v>
      </c>
      <c r="R173" s="860">
        <v>5521</v>
      </c>
      <c r="S173" s="860">
        <v>5587</v>
      </c>
      <c r="T173" s="860">
        <v>5455</v>
      </c>
      <c r="U173" s="860">
        <v>5284</v>
      </c>
      <c r="V173" s="860">
        <v>5186</v>
      </c>
      <c r="W173" s="860">
        <v>5122</v>
      </c>
      <c r="X173" s="860">
        <v>5061</v>
      </c>
      <c r="Y173" s="860">
        <v>4872</v>
      </c>
      <c r="Z173" s="860">
        <v>4466</v>
      </c>
      <c r="AA173" s="860">
        <v>4187</v>
      </c>
      <c r="AC173" s="712">
        <f t="shared" si="88"/>
        <v>162</v>
      </c>
      <c r="AD173" s="711">
        <f t="shared" si="89"/>
        <v>307</v>
      </c>
      <c r="AE173" s="711">
        <f t="shared" si="102"/>
        <v>25</v>
      </c>
      <c r="AF173" s="711">
        <f t="shared" si="96"/>
        <v>45</v>
      </c>
      <c r="AG173" s="711">
        <f t="shared" si="97"/>
        <v>30</v>
      </c>
      <c r="AH173" s="711">
        <f t="shared" si="90"/>
        <v>60</v>
      </c>
      <c r="AI173" s="711">
        <f t="shared" si="91"/>
        <v>81</v>
      </c>
      <c r="AJ173" s="711">
        <f t="shared" si="92"/>
        <v>167</v>
      </c>
      <c r="AK173" s="711">
        <f t="shared" si="93"/>
        <v>283</v>
      </c>
      <c r="AL173" s="711">
        <f t="shared" si="94"/>
        <v>271</v>
      </c>
      <c r="AM173" s="711">
        <f t="shared" si="95"/>
        <v>236</v>
      </c>
      <c r="AN173" s="711">
        <f t="shared" si="98"/>
        <v>166</v>
      </c>
      <c r="AO173" s="711">
        <f t="shared" si="99"/>
        <v>120</v>
      </c>
      <c r="AP173" s="711">
        <f t="shared" si="100"/>
        <v>120</v>
      </c>
      <c r="AQ173" s="711">
        <f t="shared" si="81"/>
        <v>54</v>
      </c>
      <c r="AR173" s="711">
        <f t="shared" si="81"/>
        <v>38</v>
      </c>
      <c r="AS173" s="711">
        <f t="shared" si="81"/>
        <v>66</v>
      </c>
      <c r="AT173" s="711">
        <f t="shared" si="81"/>
        <v>132</v>
      </c>
      <c r="AU173" s="711">
        <f t="shared" si="81"/>
        <v>171</v>
      </c>
      <c r="AV173" s="711">
        <f t="shared" si="81"/>
        <v>98</v>
      </c>
      <c r="AW173" s="711">
        <f t="shared" si="81"/>
        <v>64</v>
      </c>
      <c r="AX173" s="711">
        <f t="shared" si="101"/>
        <v>61</v>
      </c>
      <c r="AY173" s="711">
        <f t="shared" si="101"/>
        <v>189</v>
      </c>
      <c r="AZ173" s="711">
        <f t="shared" si="101"/>
        <v>406</v>
      </c>
      <c r="BA173" s="711">
        <f t="shared" si="101"/>
        <v>279</v>
      </c>
    </row>
    <row r="174" spans="1:53">
      <c r="A174" s="106">
        <f t="shared" si="87"/>
        <v>163</v>
      </c>
      <c r="B174" s="858">
        <v>42167</v>
      </c>
      <c r="C174" s="859" t="s">
        <v>1725</v>
      </c>
      <c r="D174" s="860">
        <v>3953</v>
      </c>
      <c r="E174" s="860">
        <v>3934</v>
      </c>
      <c r="F174" s="860">
        <v>3863</v>
      </c>
      <c r="G174" s="860">
        <v>3834</v>
      </c>
      <c r="H174" s="860">
        <v>3884</v>
      </c>
      <c r="I174" s="860">
        <v>3928</v>
      </c>
      <c r="J174" s="860">
        <v>4168</v>
      </c>
      <c r="K174" s="860">
        <v>4448</v>
      </c>
      <c r="L174" s="860">
        <v>4688</v>
      </c>
      <c r="M174" s="860">
        <v>4798</v>
      </c>
      <c r="N174" s="860">
        <v>4853</v>
      </c>
      <c r="O174" s="860">
        <v>4886</v>
      </c>
      <c r="P174" s="860">
        <v>4894</v>
      </c>
      <c r="Q174" s="860">
        <v>4935</v>
      </c>
      <c r="R174" s="860">
        <v>5007</v>
      </c>
      <c r="S174" s="860">
        <v>5102</v>
      </c>
      <c r="T174" s="860">
        <v>5204</v>
      </c>
      <c r="U174" s="860">
        <v>5286</v>
      </c>
      <c r="V174" s="860">
        <v>5229</v>
      </c>
      <c r="W174" s="860">
        <v>5116</v>
      </c>
      <c r="X174" s="860">
        <v>5046</v>
      </c>
      <c r="Y174" s="860">
        <v>4985</v>
      </c>
      <c r="Z174" s="860">
        <v>4658</v>
      </c>
      <c r="AA174" s="860">
        <v>4378</v>
      </c>
      <c r="AC174" s="712">
        <f t="shared" si="88"/>
        <v>163</v>
      </c>
      <c r="AD174" s="711">
        <f t="shared" si="89"/>
        <v>234</v>
      </c>
      <c r="AE174" s="711">
        <f t="shared" si="102"/>
        <v>19</v>
      </c>
      <c r="AF174" s="711">
        <f t="shared" si="96"/>
        <v>71</v>
      </c>
      <c r="AG174" s="711">
        <f t="shared" si="97"/>
        <v>29</v>
      </c>
      <c r="AH174" s="711">
        <f t="shared" si="90"/>
        <v>50</v>
      </c>
      <c r="AI174" s="711">
        <f t="shared" si="91"/>
        <v>44</v>
      </c>
      <c r="AJ174" s="711">
        <f t="shared" si="92"/>
        <v>240</v>
      </c>
      <c r="AK174" s="711">
        <f t="shared" si="93"/>
        <v>280</v>
      </c>
      <c r="AL174" s="711">
        <f t="shared" si="94"/>
        <v>240</v>
      </c>
      <c r="AM174" s="711">
        <f t="shared" si="95"/>
        <v>110</v>
      </c>
      <c r="AN174" s="711">
        <f t="shared" si="98"/>
        <v>55</v>
      </c>
      <c r="AO174" s="711">
        <f t="shared" si="99"/>
        <v>33</v>
      </c>
      <c r="AP174" s="711">
        <f t="shared" si="100"/>
        <v>8</v>
      </c>
      <c r="AQ174" s="711">
        <f t="shared" si="81"/>
        <v>41</v>
      </c>
      <c r="AR174" s="711">
        <f t="shared" si="81"/>
        <v>72</v>
      </c>
      <c r="AS174" s="711">
        <f t="shared" si="81"/>
        <v>95</v>
      </c>
      <c r="AT174" s="711">
        <f t="shared" si="81"/>
        <v>102</v>
      </c>
      <c r="AU174" s="711">
        <f t="shared" si="81"/>
        <v>82</v>
      </c>
      <c r="AV174" s="711">
        <f t="shared" si="81"/>
        <v>57</v>
      </c>
      <c r="AW174" s="711">
        <f t="shared" si="81"/>
        <v>113</v>
      </c>
      <c r="AX174" s="711">
        <f t="shared" si="101"/>
        <v>70</v>
      </c>
      <c r="AY174" s="711">
        <f t="shared" si="101"/>
        <v>61</v>
      </c>
      <c r="AZ174" s="711">
        <f t="shared" si="101"/>
        <v>327</v>
      </c>
      <c r="BA174" s="711">
        <f t="shared" si="101"/>
        <v>280</v>
      </c>
    </row>
    <row r="175" spans="1:53">
      <c r="A175" s="106">
        <f t="shared" si="87"/>
        <v>164</v>
      </c>
      <c r="B175" s="858">
        <v>42168</v>
      </c>
      <c r="C175" s="859" t="s">
        <v>1725</v>
      </c>
      <c r="D175" s="860">
        <v>4159</v>
      </c>
      <c r="E175" s="860">
        <v>3967</v>
      </c>
      <c r="F175" s="860">
        <v>3849</v>
      </c>
      <c r="G175" s="860">
        <v>3788</v>
      </c>
      <c r="H175" s="860">
        <v>3763</v>
      </c>
      <c r="I175" s="860">
        <v>3664</v>
      </c>
      <c r="J175" s="860">
        <v>3673</v>
      </c>
      <c r="K175" s="860">
        <v>3950</v>
      </c>
      <c r="L175" s="860">
        <v>4237</v>
      </c>
      <c r="M175" s="860">
        <v>4514</v>
      </c>
      <c r="N175" s="860">
        <v>4728</v>
      </c>
      <c r="O175" s="860">
        <v>4912</v>
      </c>
      <c r="P175" s="860">
        <v>5069</v>
      </c>
      <c r="Q175" s="860">
        <v>5218</v>
      </c>
      <c r="R175" s="860">
        <v>5385</v>
      </c>
      <c r="S175" s="860">
        <v>5548</v>
      </c>
      <c r="T175" s="860">
        <v>5621</v>
      </c>
      <c r="U175" s="860">
        <v>5592</v>
      </c>
      <c r="V175" s="860">
        <v>5394</v>
      </c>
      <c r="W175" s="860">
        <v>5181</v>
      </c>
      <c r="X175" s="860">
        <v>5102</v>
      </c>
      <c r="Y175" s="860">
        <v>4948</v>
      </c>
      <c r="Z175" s="860">
        <v>4580</v>
      </c>
      <c r="AA175" s="860">
        <v>4247</v>
      </c>
      <c r="AC175" s="712">
        <f t="shared" si="88"/>
        <v>164</v>
      </c>
      <c r="AD175" s="711">
        <f t="shared" si="89"/>
        <v>219</v>
      </c>
      <c r="AE175" s="711">
        <f t="shared" si="102"/>
        <v>192</v>
      </c>
      <c r="AF175" s="711">
        <f t="shared" si="96"/>
        <v>118</v>
      </c>
      <c r="AG175" s="711">
        <f t="shared" si="97"/>
        <v>61</v>
      </c>
      <c r="AH175" s="711">
        <f t="shared" si="90"/>
        <v>25</v>
      </c>
      <c r="AI175" s="711">
        <f t="shared" si="91"/>
        <v>99</v>
      </c>
      <c r="AJ175" s="711">
        <f t="shared" si="92"/>
        <v>9</v>
      </c>
      <c r="AK175" s="711">
        <f t="shared" si="93"/>
        <v>277</v>
      </c>
      <c r="AL175" s="711">
        <f t="shared" si="94"/>
        <v>287</v>
      </c>
      <c r="AM175" s="711">
        <f t="shared" si="95"/>
        <v>277</v>
      </c>
      <c r="AN175" s="711">
        <f t="shared" si="98"/>
        <v>214</v>
      </c>
      <c r="AO175" s="711">
        <f t="shared" si="99"/>
        <v>184</v>
      </c>
      <c r="AP175" s="711">
        <f t="shared" si="100"/>
        <v>157</v>
      </c>
      <c r="AQ175" s="711">
        <f t="shared" si="81"/>
        <v>149</v>
      </c>
      <c r="AR175" s="711">
        <f t="shared" si="81"/>
        <v>167</v>
      </c>
      <c r="AS175" s="711">
        <f t="shared" si="81"/>
        <v>163</v>
      </c>
      <c r="AT175" s="711">
        <f t="shared" si="81"/>
        <v>73</v>
      </c>
      <c r="AU175" s="711">
        <f t="shared" si="81"/>
        <v>29</v>
      </c>
      <c r="AV175" s="711">
        <f t="shared" si="81"/>
        <v>198</v>
      </c>
      <c r="AW175" s="711">
        <f t="shared" si="81"/>
        <v>213</v>
      </c>
      <c r="AX175" s="711">
        <f t="shared" si="101"/>
        <v>79</v>
      </c>
      <c r="AY175" s="711">
        <f t="shared" si="101"/>
        <v>154</v>
      </c>
      <c r="AZ175" s="711">
        <f t="shared" si="101"/>
        <v>368</v>
      </c>
      <c r="BA175" s="711">
        <f t="shared" si="101"/>
        <v>333</v>
      </c>
    </row>
    <row r="176" spans="1:53">
      <c r="A176" s="106">
        <f t="shared" si="87"/>
        <v>165</v>
      </c>
      <c r="B176" s="858">
        <v>42169</v>
      </c>
      <c r="C176" s="859" t="s">
        <v>1725</v>
      </c>
      <c r="D176" s="860">
        <v>4081</v>
      </c>
      <c r="E176" s="860">
        <v>4003</v>
      </c>
      <c r="F176" s="860">
        <v>3884</v>
      </c>
      <c r="G176" s="860">
        <v>3831</v>
      </c>
      <c r="H176" s="860">
        <v>3802</v>
      </c>
      <c r="I176" s="860">
        <v>3671</v>
      </c>
      <c r="J176" s="860">
        <v>3685</v>
      </c>
      <c r="K176" s="860">
        <v>3798</v>
      </c>
      <c r="L176" s="860">
        <v>4100</v>
      </c>
      <c r="M176" s="860">
        <v>4381</v>
      </c>
      <c r="N176" s="860">
        <v>4613</v>
      </c>
      <c r="O176" s="860">
        <v>4805</v>
      </c>
      <c r="P176" s="860">
        <v>4961</v>
      </c>
      <c r="Q176" s="860">
        <v>5100</v>
      </c>
      <c r="R176" s="860">
        <v>5257</v>
      </c>
      <c r="S176" s="860">
        <v>5405</v>
      </c>
      <c r="T176" s="860">
        <v>5568</v>
      </c>
      <c r="U176" s="860">
        <v>5704</v>
      </c>
      <c r="V176" s="860">
        <v>5683</v>
      </c>
      <c r="W176" s="860">
        <v>5561</v>
      </c>
      <c r="X176" s="860">
        <v>5398</v>
      </c>
      <c r="Y176" s="860">
        <v>5240</v>
      </c>
      <c r="Z176" s="860">
        <v>4796</v>
      </c>
      <c r="AA176" s="860">
        <v>4414</v>
      </c>
      <c r="AC176" s="712">
        <f t="shared" si="88"/>
        <v>165</v>
      </c>
      <c r="AD176" s="711">
        <f t="shared" si="89"/>
        <v>166</v>
      </c>
      <c r="AE176" s="711">
        <f t="shared" si="102"/>
        <v>78</v>
      </c>
      <c r="AF176" s="711">
        <f t="shared" si="96"/>
        <v>119</v>
      </c>
      <c r="AG176" s="711">
        <f t="shared" si="97"/>
        <v>53</v>
      </c>
      <c r="AH176" s="711">
        <f t="shared" si="90"/>
        <v>29</v>
      </c>
      <c r="AI176" s="711">
        <f t="shared" si="91"/>
        <v>131</v>
      </c>
      <c r="AJ176" s="711">
        <f t="shared" si="92"/>
        <v>14</v>
      </c>
      <c r="AK176" s="711">
        <f t="shared" si="93"/>
        <v>113</v>
      </c>
      <c r="AL176" s="711">
        <f t="shared" si="94"/>
        <v>302</v>
      </c>
      <c r="AM176" s="711">
        <f t="shared" si="95"/>
        <v>281</v>
      </c>
      <c r="AN176" s="711">
        <f t="shared" si="98"/>
        <v>232</v>
      </c>
      <c r="AO176" s="711">
        <f t="shared" si="99"/>
        <v>192</v>
      </c>
      <c r="AP176" s="711">
        <f t="shared" si="100"/>
        <v>156</v>
      </c>
      <c r="AQ176" s="711">
        <f t="shared" si="81"/>
        <v>139</v>
      </c>
      <c r="AR176" s="711">
        <f t="shared" si="81"/>
        <v>157</v>
      </c>
      <c r="AS176" s="711">
        <f t="shared" si="81"/>
        <v>148</v>
      </c>
      <c r="AT176" s="711">
        <f t="shared" si="81"/>
        <v>163</v>
      </c>
      <c r="AU176" s="711">
        <f t="shared" si="81"/>
        <v>136</v>
      </c>
      <c r="AV176" s="711">
        <f t="shared" si="81"/>
        <v>21</v>
      </c>
      <c r="AW176" s="711">
        <f t="shared" si="81"/>
        <v>122</v>
      </c>
      <c r="AX176" s="711">
        <f t="shared" si="101"/>
        <v>163</v>
      </c>
      <c r="AY176" s="711">
        <f t="shared" si="101"/>
        <v>158</v>
      </c>
      <c r="AZ176" s="711">
        <f t="shared" si="101"/>
        <v>444</v>
      </c>
      <c r="BA176" s="711">
        <f t="shared" si="101"/>
        <v>382</v>
      </c>
    </row>
    <row r="177" spans="1:53">
      <c r="A177" s="106">
        <f t="shared" si="87"/>
        <v>166</v>
      </c>
      <c r="B177" s="858">
        <v>42170</v>
      </c>
      <c r="C177" s="859" t="s">
        <v>1725</v>
      </c>
      <c r="D177" s="860">
        <v>4147</v>
      </c>
      <c r="E177" s="860">
        <v>4033</v>
      </c>
      <c r="F177" s="860">
        <v>3918</v>
      </c>
      <c r="G177" s="860">
        <v>3877</v>
      </c>
      <c r="H177" s="860">
        <v>3850</v>
      </c>
      <c r="I177" s="860">
        <v>3976</v>
      </c>
      <c r="J177" s="860">
        <v>4157</v>
      </c>
      <c r="K177" s="860">
        <v>4526</v>
      </c>
      <c r="L177" s="860">
        <v>4784</v>
      </c>
      <c r="M177" s="860">
        <v>4989</v>
      </c>
      <c r="N177" s="860">
        <v>5167</v>
      </c>
      <c r="O177" s="860">
        <v>5303</v>
      </c>
      <c r="P177" s="860">
        <v>5355</v>
      </c>
      <c r="Q177" s="860">
        <v>5457</v>
      </c>
      <c r="R177" s="860">
        <v>5530</v>
      </c>
      <c r="S177" s="860">
        <v>5561</v>
      </c>
      <c r="T177" s="860">
        <v>5585</v>
      </c>
      <c r="U177" s="860">
        <v>5532</v>
      </c>
      <c r="V177" s="860">
        <v>5456</v>
      </c>
      <c r="W177" s="860">
        <v>5371</v>
      </c>
      <c r="X177" s="860">
        <v>5380</v>
      </c>
      <c r="Y177" s="860">
        <v>5256</v>
      </c>
      <c r="Z177" s="860">
        <v>4818</v>
      </c>
      <c r="AA177" s="860">
        <v>4578</v>
      </c>
      <c r="AC177" s="712">
        <f t="shared" si="88"/>
        <v>166</v>
      </c>
      <c r="AD177" s="711">
        <f t="shared" si="89"/>
        <v>267</v>
      </c>
      <c r="AE177" s="711">
        <f t="shared" si="102"/>
        <v>114</v>
      </c>
      <c r="AF177" s="711">
        <f t="shared" si="96"/>
        <v>115</v>
      </c>
      <c r="AG177" s="711">
        <f t="shared" si="97"/>
        <v>41</v>
      </c>
      <c r="AH177" s="711">
        <f t="shared" si="90"/>
        <v>27</v>
      </c>
      <c r="AI177" s="711">
        <f t="shared" si="91"/>
        <v>126</v>
      </c>
      <c r="AJ177" s="711">
        <f t="shared" si="92"/>
        <v>181</v>
      </c>
      <c r="AK177" s="711">
        <f t="shared" si="93"/>
        <v>369</v>
      </c>
      <c r="AL177" s="711">
        <f t="shared" si="94"/>
        <v>258</v>
      </c>
      <c r="AM177" s="711">
        <f t="shared" si="95"/>
        <v>205</v>
      </c>
      <c r="AN177" s="711">
        <f t="shared" si="98"/>
        <v>178</v>
      </c>
      <c r="AO177" s="711">
        <f t="shared" si="99"/>
        <v>136</v>
      </c>
      <c r="AP177" s="711">
        <f t="shared" si="100"/>
        <v>52</v>
      </c>
      <c r="AQ177" s="711">
        <f t="shared" si="81"/>
        <v>102</v>
      </c>
      <c r="AR177" s="711">
        <f t="shared" si="81"/>
        <v>73</v>
      </c>
      <c r="AS177" s="711">
        <f t="shared" si="81"/>
        <v>31</v>
      </c>
      <c r="AT177" s="711">
        <f t="shared" si="81"/>
        <v>24</v>
      </c>
      <c r="AU177" s="711">
        <f t="shared" si="81"/>
        <v>53</v>
      </c>
      <c r="AV177" s="711">
        <f t="shared" si="81"/>
        <v>76</v>
      </c>
      <c r="AW177" s="711">
        <f t="shared" si="81"/>
        <v>85</v>
      </c>
      <c r="AX177" s="711">
        <f t="shared" si="101"/>
        <v>9</v>
      </c>
      <c r="AY177" s="711">
        <f t="shared" si="101"/>
        <v>124</v>
      </c>
      <c r="AZ177" s="711">
        <f t="shared" si="101"/>
        <v>438</v>
      </c>
      <c r="BA177" s="711">
        <f t="shared" si="101"/>
        <v>240</v>
      </c>
    </row>
    <row r="178" spans="1:53">
      <c r="A178" s="106">
        <f t="shared" si="87"/>
        <v>167</v>
      </c>
      <c r="B178" s="858">
        <v>42171</v>
      </c>
      <c r="C178" s="859" t="s">
        <v>1725</v>
      </c>
      <c r="D178" s="860">
        <v>4308</v>
      </c>
      <c r="E178" s="860">
        <v>4111</v>
      </c>
      <c r="F178" s="860">
        <v>4002</v>
      </c>
      <c r="G178" s="860">
        <v>3964</v>
      </c>
      <c r="H178" s="860">
        <v>3955</v>
      </c>
      <c r="I178" s="860">
        <v>4044</v>
      </c>
      <c r="J178" s="860">
        <v>4331</v>
      </c>
      <c r="K178" s="860">
        <v>4651</v>
      </c>
      <c r="L178" s="860">
        <v>4876</v>
      </c>
      <c r="M178" s="860">
        <v>5103</v>
      </c>
      <c r="N178" s="860">
        <v>5281</v>
      </c>
      <c r="O178" s="860">
        <v>5399</v>
      </c>
      <c r="P178" s="860">
        <v>5410</v>
      </c>
      <c r="Q178" s="860">
        <v>5608</v>
      </c>
      <c r="R178" s="860">
        <v>5751</v>
      </c>
      <c r="S178" s="860">
        <v>5714</v>
      </c>
      <c r="T178" s="860">
        <v>5924</v>
      </c>
      <c r="U178" s="860">
        <v>6025</v>
      </c>
      <c r="V178" s="860">
        <v>5805</v>
      </c>
      <c r="W178" s="860">
        <v>5645</v>
      </c>
      <c r="X178" s="860">
        <v>5501</v>
      </c>
      <c r="Y178" s="860">
        <v>5382</v>
      </c>
      <c r="Z178" s="860">
        <v>4882</v>
      </c>
      <c r="AA178" s="860">
        <v>4518</v>
      </c>
      <c r="AC178" s="712">
        <f t="shared" si="88"/>
        <v>167</v>
      </c>
      <c r="AD178" s="711">
        <f t="shared" si="89"/>
        <v>270</v>
      </c>
      <c r="AE178" s="711">
        <f t="shared" si="102"/>
        <v>197</v>
      </c>
      <c r="AF178" s="711">
        <f t="shared" si="96"/>
        <v>109</v>
      </c>
      <c r="AG178" s="711">
        <f t="shared" si="97"/>
        <v>38</v>
      </c>
      <c r="AH178" s="711">
        <f t="shared" si="90"/>
        <v>9</v>
      </c>
      <c r="AI178" s="711">
        <f t="shared" si="91"/>
        <v>89</v>
      </c>
      <c r="AJ178" s="711">
        <f t="shared" si="92"/>
        <v>287</v>
      </c>
      <c r="AK178" s="711">
        <f t="shared" si="93"/>
        <v>320</v>
      </c>
      <c r="AL178" s="711">
        <f t="shared" si="94"/>
        <v>225</v>
      </c>
      <c r="AM178" s="711">
        <f t="shared" si="95"/>
        <v>227</v>
      </c>
      <c r="AN178" s="711">
        <f t="shared" si="98"/>
        <v>178</v>
      </c>
      <c r="AO178" s="711">
        <f t="shared" si="99"/>
        <v>118</v>
      </c>
      <c r="AP178" s="711">
        <f t="shared" si="100"/>
        <v>11</v>
      </c>
      <c r="AQ178" s="711">
        <f t="shared" si="81"/>
        <v>198</v>
      </c>
      <c r="AR178" s="711">
        <f t="shared" si="81"/>
        <v>143</v>
      </c>
      <c r="AS178" s="711">
        <f t="shared" si="81"/>
        <v>37</v>
      </c>
      <c r="AT178" s="711">
        <f t="shared" si="81"/>
        <v>210</v>
      </c>
      <c r="AU178" s="711">
        <f t="shared" si="81"/>
        <v>101</v>
      </c>
      <c r="AV178" s="711">
        <f t="shared" si="81"/>
        <v>220</v>
      </c>
      <c r="AW178" s="711">
        <f t="shared" si="81"/>
        <v>160</v>
      </c>
      <c r="AX178" s="711">
        <f t="shared" si="101"/>
        <v>144</v>
      </c>
      <c r="AY178" s="711">
        <f t="shared" si="101"/>
        <v>119</v>
      </c>
      <c r="AZ178" s="711">
        <f t="shared" si="101"/>
        <v>500</v>
      </c>
      <c r="BA178" s="711">
        <f t="shared" si="101"/>
        <v>364</v>
      </c>
    </row>
    <row r="179" spans="1:53">
      <c r="A179" s="106">
        <f t="shared" si="87"/>
        <v>168</v>
      </c>
      <c r="B179" s="858">
        <v>42172</v>
      </c>
      <c r="C179" s="859" t="s">
        <v>1725</v>
      </c>
      <c r="D179" s="860">
        <v>4330</v>
      </c>
      <c r="E179" s="860">
        <v>4144</v>
      </c>
      <c r="F179" s="860">
        <v>4023</v>
      </c>
      <c r="G179" s="860">
        <v>3946</v>
      </c>
      <c r="H179" s="860">
        <v>3910</v>
      </c>
      <c r="I179" s="860">
        <v>3934</v>
      </c>
      <c r="J179" s="860">
        <v>4217</v>
      </c>
      <c r="K179" s="860">
        <v>4578</v>
      </c>
      <c r="L179" s="860">
        <v>4837</v>
      </c>
      <c r="M179" s="860">
        <v>5050</v>
      </c>
      <c r="N179" s="860">
        <v>5237</v>
      </c>
      <c r="O179" s="860">
        <v>5396</v>
      </c>
      <c r="P179" s="860">
        <v>5629</v>
      </c>
      <c r="Q179" s="860">
        <v>5860</v>
      </c>
      <c r="R179" s="860">
        <v>6082</v>
      </c>
      <c r="S179" s="860">
        <v>6342</v>
      </c>
      <c r="T179" s="860">
        <v>6486</v>
      </c>
      <c r="U179" s="860">
        <v>6477</v>
      </c>
      <c r="V179" s="860">
        <v>6326</v>
      </c>
      <c r="W179" s="860">
        <v>6147</v>
      </c>
      <c r="X179" s="860">
        <v>6002</v>
      </c>
      <c r="Y179" s="860">
        <v>5841</v>
      </c>
      <c r="Z179" s="860">
        <v>5386</v>
      </c>
      <c r="AA179" s="860">
        <v>4849</v>
      </c>
      <c r="AC179" s="712">
        <f t="shared" si="88"/>
        <v>168</v>
      </c>
      <c r="AD179" s="711">
        <f t="shared" si="89"/>
        <v>188</v>
      </c>
      <c r="AE179" s="711">
        <f t="shared" si="102"/>
        <v>186</v>
      </c>
      <c r="AF179" s="711">
        <f t="shared" si="96"/>
        <v>121</v>
      </c>
      <c r="AG179" s="711">
        <f t="shared" si="97"/>
        <v>77</v>
      </c>
      <c r="AH179" s="711">
        <f t="shared" ref="AH179:AH202" si="103">ABS(H179-G179)</f>
        <v>36</v>
      </c>
      <c r="AI179" s="711">
        <f t="shared" ref="AI179:AI202" si="104">ABS(I179-H179)</f>
        <v>24</v>
      </c>
      <c r="AJ179" s="711">
        <f t="shared" ref="AJ179:AJ202" si="105">ABS(J179-I179)</f>
        <v>283</v>
      </c>
      <c r="AK179" s="711">
        <f t="shared" ref="AK179:AK202" si="106">ABS(K179-J179)</f>
        <v>361</v>
      </c>
      <c r="AL179" s="711">
        <f t="shared" ref="AL179:AL202" si="107">ABS(L179-K179)</f>
        <v>259</v>
      </c>
      <c r="AM179" s="711">
        <f t="shared" ref="AM179:AM202" si="108">ABS(M179-L179)</f>
        <v>213</v>
      </c>
      <c r="AN179" s="711">
        <f t="shared" si="98"/>
        <v>187</v>
      </c>
      <c r="AO179" s="711">
        <f t="shared" si="99"/>
        <v>159</v>
      </c>
      <c r="AP179" s="711">
        <f t="shared" si="100"/>
        <v>233</v>
      </c>
      <c r="AQ179" s="711">
        <f t="shared" si="81"/>
        <v>231</v>
      </c>
      <c r="AR179" s="711">
        <f t="shared" si="81"/>
        <v>222</v>
      </c>
      <c r="AS179" s="711">
        <f t="shared" si="81"/>
        <v>260</v>
      </c>
      <c r="AT179" s="711">
        <f t="shared" si="81"/>
        <v>144</v>
      </c>
      <c r="AU179" s="711">
        <f t="shared" si="81"/>
        <v>9</v>
      </c>
      <c r="AV179" s="711">
        <f t="shared" si="81"/>
        <v>151</v>
      </c>
      <c r="AW179" s="711">
        <f t="shared" si="81"/>
        <v>179</v>
      </c>
      <c r="AX179" s="711">
        <f t="shared" si="101"/>
        <v>145</v>
      </c>
      <c r="AY179" s="711">
        <f t="shared" si="101"/>
        <v>161</v>
      </c>
      <c r="AZ179" s="711">
        <f t="shared" si="101"/>
        <v>455</v>
      </c>
      <c r="BA179" s="711">
        <f t="shared" si="101"/>
        <v>537</v>
      </c>
    </row>
    <row r="180" spans="1:53">
      <c r="A180" s="106">
        <f t="shared" si="87"/>
        <v>169</v>
      </c>
      <c r="B180" s="858">
        <v>42173</v>
      </c>
      <c r="C180" s="859" t="s">
        <v>1725</v>
      </c>
      <c r="D180" s="860">
        <v>4572</v>
      </c>
      <c r="E180" s="860">
        <v>4356</v>
      </c>
      <c r="F180" s="860">
        <v>4207</v>
      </c>
      <c r="G180" s="860">
        <v>4083</v>
      </c>
      <c r="H180" s="860">
        <v>4042</v>
      </c>
      <c r="I180" s="860">
        <v>4095</v>
      </c>
      <c r="J180" s="860">
        <v>4405</v>
      </c>
      <c r="K180" s="860">
        <v>4791</v>
      </c>
      <c r="L180" s="860">
        <v>5068</v>
      </c>
      <c r="M180" s="860">
        <v>5217</v>
      </c>
      <c r="N180" s="860">
        <v>5348</v>
      </c>
      <c r="O180" s="860">
        <v>5548</v>
      </c>
      <c r="P180" s="860">
        <v>5695</v>
      </c>
      <c r="Q180" s="860">
        <v>5867</v>
      </c>
      <c r="R180" s="860">
        <v>6061</v>
      </c>
      <c r="S180" s="860">
        <v>6301</v>
      </c>
      <c r="T180" s="860">
        <v>6507</v>
      </c>
      <c r="U180" s="860">
        <v>6573</v>
      </c>
      <c r="V180" s="860">
        <v>6408</v>
      </c>
      <c r="W180" s="860">
        <v>6284</v>
      </c>
      <c r="X180" s="860">
        <v>6172</v>
      </c>
      <c r="Y180" s="860">
        <v>6003</v>
      </c>
      <c r="Z180" s="860">
        <v>5454</v>
      </c>
      <c r="AA180" s="860">
        <v>5007</v>
      </c>
      <c r="AC180" s="712">
        <f t="shared" si="88"/>
        <v>169</v>
      </c>
      <c r="AD180" s="711">
        <f t="shared" si="89"/>
        <v>277</v>
      </c>
      <c r="AE180" s="711">
        <f t="shared" si="102"/>
        <v>216</v>
      </c>
      <c r="AF180" s="711">
        <f t="shared" ref="AF180:AF202" si="109">ABS(F180-E180)</f>
        <v>149</v>
      </c>
      <c r="AG180" s="711">
        <f t="shared" ref="AG180:AG202" si="110">ABS(G180-F180)</f>
        <v>124</v>
      </c>
      <c r="AH180" s="711">
        <f t="shared" si="103"/>
        <v>41</v>
      </c>
      <c r="AI180" s="711">
        <f t="shared" si="104"/>
        <v>53</v>
      </c>
      <c r="AJ180" s="711">
        <f t="shared" si="105"/>
        <v>310</v>
      </c>
      <c r="AK180" s="711">
        <f t="shared" si="106"/>
        <v>386</v>
      </c>
      <c r="AL180" s="711">
        <f t="shared" si="107"/>
        <v>277</v>
      </c>
      <c r="AM180" s="711">
        <f t="shared" si="108"/>
        <v>149</v>
      </c>
      <c r="AN180" s="711">
        <f t="shared" si="98"/>
        <v>131</v>
      </c>
      <c r="AO180" s="711">
        <f t="shared" si="99"/>
        <v>200</v>
      </c>
      <c r="AP180" s="711">
        <f t="shared" si="100"/>
        <v>147</v>
      </c>
      <c r="AQ180" s="711">
        <f t="shared" si="81"/>
        <v>172</v>
      </c>
      <c r="AR180" s="711">
        <f t="shared" si="81"/>
        <v>194</v>
      </c>
      <c r="AS180" s="711">
        <f t="shared" si="81"/>
        <v>240</v>
      </c>
      <c r="AT180" s="711">
        <f t="shared" si="81"/>
        <v>206</v>
      </c>
      <c r="AU180" s="711">
        <f t="shared" si="81"/>
        <v>66</v>
      </c>
      <c r="AV180" s="711">
        <f t="shared" si="81"/>
        <v>165</v>
      </c>
      <c r="AW180" s="711">
        <f t="shared" si="81"/>
        <v>124</v>
      </c>
      <c r="AX180" s="711">
        <f t="shared" si="101"/>
        <v>112</v>
      </c>
      <c r="AY180" s="711">
        <f t="shared" si="101"/>
        <v>169</v>
      </c>
      <c r="AZ180" s="711">
        <f t="shared" si="101"/>
        <v>549</v>
      </c>
      <c r="BA180" s="711">
        <f t="shared" si="101"/>
        <v>447</v>
      </c>
    </row>
    <row r="181" spans="1:53">
      <c r="A181" s="106">
        <f t="shared" si="87"/>
        <v>170</v>
      </c>
      <c r="B181" s="858">
        <v>42174</v>
      </c>
      <c r="C181" s="859" t="s">
        <v>1725</v>
      </c>
      <c r="D181" s="860">
        <v>4741</v>
      </c>
      <c r="E181" s="860">
        <v>4558</v>
      </c>
      <c r="F181" s="860">
        <v>4390</v>
      </c>
      <c r="G181" s="860">
        <v>4302</v>
      </c>
      <c r="H181" s="860">
        <v>4301</v>
      </c>
      <c r="I181" s="860">
        <v>4289</v>
      </c>
      <c r="J181" s="860">
        <v>4473</v>
      </c>
      <c r="K181" s="860">
        <v>4886</v>
      </c>
      <c r="L181" s="860">
        <v>5223</v>
      </c>
      <c r="M181" s="860">
        <v>5571</v>
      </c>
      <c r="N181" s="860">
        <v>5943</v>
      </c>
      <c r="O181" s="860">
        <v>6266</v>
      </c>
      <c r="P181" s="860">
        <v>6545</v>
      </c>
      <c r="Q181" s="860">
        <v>6837</v>
      </c>
      <c r="R181" s="860">
        <v>6977</v>
      </c>
      <c r="S181" s="860">
        <v>7236</v>
      </c>
      <c r="T181" s="860">
        <v>7375</v>
      </c>
      <c r="U181" s="860">
        <v>7435</v>
      </c>
      <c r="V181" s="860">
        <v>7241</v>
      </c>
      <c r="W181" s="860">
        <v>6938</v>
      </c>
      <c r="X181" s="860">
        <v>6691</v>
      </c>
      <c r="Y181" s="860">
        <v>6441</v>
      </c>
      <c r="Z181" s="860">
        <v>5824</v>
      </c>
      <c r="AA181" s="860">
        <v>5206</v>
      </c>
      <c r="AC181" s="712">
        <f t="shared" si="88"/>
        <v>170</v>
      </c>
      <c r="AD181" s="711">
        <f t="shared" si="89"/>
        <v>266</v>
      </c>
      <c r="AE181" s="711">
        <f t="shared" si="102"/>
        <v>183</v>
      </c>
      <c r="AF181" s="711">
        <f t="shared" si="109"/>
        <v>168</v>
      </c>
      <c r="AG181" s="711">
        <f t="shared" si="110"/>
        <v>88</v>
      </c>
      <c r="AH181" s="711">
        <f t="shared" si="103"/>
        <v>1</v>
      </c>
      <c r="AI181" s="711">
        <f t="shared" si="104"/>
        <v>12</v>
      </c>
      <c r="AJ181" s="711">
        <f t="shared" si="105"/>
        <v>184</v>
      </c>
      <c r="AK181" s="711">
        <f t="shared" si="106"/>
        <v>413</v>
      </c>
      <c r="AL181" s="711">
        <f t="shared" si="107"/>
        <v>337</v>
      </c>
      <c r="AM181" s="711">
        <f t="shared" si="108"/>
        <v>348</v>
      </c>
      <c r="AN181" s="711">
        <f t="shared" si="98"/>
        <v>372</v>
      </c>
      <c r="AO181" s="711">
        <f t="shared" si="99"/>
        <v>323</v>
      </c>
      <c r="AP181" s="711">
        <f t="shared" si="100"/>
        <v>279</v>
      </c>
      <c r="AQ181" s="711">
        <f t="shared" si="81"/>
        <v>292</v>
      </c>
      <c r="AR181" s="711">
        <f t="shared" si="81"/>
        <v>140</v>
      </c>
      <c r="AS181" s="711">
        <f t="shared" si="81"/>
        <v>259</v>
      </c>
      <c r="AT181" s="711">
        <f t="shared" si="81"/>
        <v>139</v>
      </c>
      <c r="AU181" s="711">
        <f t="shared" si="81"/>
        <v>60</v>
      </c>
      <c r="AV181" s="711">
        <f t="shared" si="81"/>
        <v>194</v>
      </c>
      <c r="AW181" s="711">
        <f t="shared" si="81"/>
        <v>303</v>
      </c>
      <c r="AX181" s="711">
        <f t="shared" si="101"/>
        <v>247</v>
      </c>
      <c r="AY181" s="711">
        <f t="shared" si="101"/>
        <v>250</v>
      </c>
      <c r="AZ181" s="711">
        <f t="shared" si="101"/>
        <v>617</v>
      </c>
      <c r="BA181" s="711">
        <f t="shared" si="101"/>
        <v>618</v>
      </c>
    </row>
    <row r="182" spans="1:53">
      <c r="A182" s="106">
        <f t="shared" si="87"/>
        <v>171</v>
      </c>
      <c r="B182" s="858">
        <v>42175</v>
      </c>
      <c r="C182" s="859" t="s">
        <v>1725</v>
      </c>
      <c r="D182" s="860">
        <v>4746</v>
      </c>
      <c r="E182" s="860">
        <v>4474</v>
      </c>
      <c r="F182" s="860">
        <v>4460</v>
      </c>
      <c r="G182" s="860">
        <v>4332</v>
      </c>
      <c r="H182" s="860">
        <v>4243</v>
      </c>
      <c r="I182" s="860">
        <v>4218</v>
      </c>
      <c r="J182" s="860">
        <v>4331</v>
      </c>
      <c r="K182" s="860">
        <v>4548</v>
      </c>
      <c r="L182" s="860">
        <v>4773</v>
      </c>
      <c r="M182" s="860">
        <v>5108</v>
      </c>
      <c r="N182" s="860">
        <v>5402</v>
      </c>
      <c r="O182" s="860">
        <v>5591</v>
      </c>
      <c r="P182" s="860">
        <v>5825</v>
      </c>
      <c r="Q182" s="860">
        <v>6009</v>
      </c>
      <c r="R182" s="860">
        <v>6241</v>
      </c>
      <c r="S182" s="860">
        <v>6493</v>
      </c>
      <c r="T182" s="860">
        <v>6678</v>
      </c>
      <c r="U182" s="860">
        <v>6786</v>
      </c>
      <c r="V182" s="860">
        <v>6709</v>
      </c>
      <c r="W182" s="860">
        <v>6511</v>
      </c>
      <c r="X182" s="860">
        <v>6295</v>
      </c>
      <c r="Y182" s="860">
        <v>6115</v>
      </c>
      <c r="Z182" s="860">
        <v>5617</v>
      </c>
      <c r="AA182" s="860">
        <v>5146</v>
      </c>
      <c r="AC182" s="712">
        <f t="shared" si="88"/>
        <v>171</v>
      </c>
      <c r="AD182" s="711">
        <f t="shared" si="89"/>
        <v>460</v>
      </c>
      <c r="AE182" s="711">
        <f t="shared" si="102"/>
        <v>272</v>
      </c>
      <c r="AF182" s="711">
        <f t="shared" si="109"/>
        <v>14</v>
      </c>
      <c r="AG182" s="711">
        <f t="shared" si="110"/>
        <v>128</v>
      </c>
      <c r="AH182" s="711">
        <f t="shared" si="103"/>
        <v>89</v>
      </c>
      <c r="AI182" s="711">
        <f t="shared" si="104"/>
        <v>25</v>
      </c>
      <c r="AJ182" s="711">
        <f t="shared" si="105"/>
        <v>113</v>
      </c>
      <c r="AK182" s="711">
        <f t="shared" si="106"/>
        <v>217</v>
      </c>
      <c r="AL182" s="711">
        <f t="shared" si="107"/>
        <v>225</v>
      </c>
      <c r="AM182" s="711">
        <f t="shared" si="108"/>
        <v>335</v>
      </c>
      <c r="AN182" s="711">
        <f t="shared" si="98"/>
        <v>294</v>
      </c>
      <c r="AO182" s="711">
        <f t="shared" si="99"/>
        <v>189</v>
      </c>
      <c r="AP182" s="711">
        <f t="shared" si="100"/>
        <v>234</v>
      </c>
      <c r="AQ182" s="711">
        <f t="shared" ref="AQ182:AQ213" si="111">ABS(Q182-P182)</f>
        <v>184</v>
      </c>
      <c r="AR182" s="711">
        <f t="shared" ref="AR182:AR213" si="112">ABS(R182-Q182)</f>
        <v>232</v>
      </c>
      <c r="AS182" s="711">
        <f t="shared" ref="AS182:AS213" si="113">ABS(S182-R182)</f>
        <v>252</v>
      </c>
      <c r="AT182" s="711">
        <f t="shared" ref="AT182:AT213" si="114">ABS(T182-S182)</f>
        <v>185</v>
      </c>
      <c r="AU182" s="711">
        <f t="shared" ref="AU182:AU213" si="115">ABS(U182-T182)</f>
        <v>108</v>
      </c>
      <c r="AV182" s="711">
        <f t="shared" ref="AV182:AV213" si="116">ABS(V182-U182)</f>
        <v>77</v>
      </c>
      <c r="AW182" s="711">
        <f t="shared" ref="AW182:AW213" si="117">ABS(W182-V182)</f>
        <v>198</v>
      </c>
      <c r="AX182" s="711">
        <f t="shared" si="101"/>
        <v>216</v>
      </c>
      <c r="AY182" s="711">
        <f t="shared" si="101"/>
        <v>180</v>
      </c>
      <c r="AZ182" s="711">
        <f t="shared" si="101"/>
        <v>498</v>
      </c>
      <c r="BA182" s="711">
        <f t="shared" si="101"/>
        <v>471</v>
      </c>
    </row>
    <row r="183" spans="1:53">
      <c r="A183" s="106">
        <f t="shared" si="87"/>
        <v>172</v>
      </c>
      <c r="B183" s="858">
        <v>42176</v>
      </c>
      <c r="C183" s="859" t="s">
        <v>1725</v>
      </c>
      <c r="D183" s="860">
        <v>4877</v>
      </c>
      <c r="E183" s="860">
        <v>4648</v>
      </c>
      <c r="F183" s="860">
        <v>4448</v>
      </c>
      <c r="G183" s="860">
        <v>4327</v>
      </c>
      <c r="H183" s="860">
        <v>4250</v>
      </c>
      <c r="I183" s="860">
        <v>4106</v>
      </c>
      <c r="J183" s="860">
        <v>4000</v>
      </c>
      <c r="K183" s="860">
        <v>4173</v>
      </c>
      <c r="L183" s="860">
        <v>4535</v>
      </c>
      <c r="M183" s="860">
        <v>4883</v>
      </c>
      <c r="N183" s="860">
        <v>5226</v>
      </c>
      <c r="O183" s="860">
        <v>5593</v>
      </c>
      <c r="P183" s="860">
        <v>5879</v>
      </c>
      <c r="Q183" s="860">
        <v>6119</v>
      </c>
      <c r="R183" s="860">
        <v>6374</v>
      </c>
      <c r="S183" s="860">
        <v>6714</v>
      </c>
      <c r="T183" s="860">
        <v>7004</v>
      </c>
      <c r="U183" s="860">
        <v>7201</v>
      </c>
      <c r="V183" s="860">
        <v>7229</v>
      </c>
      <c r="W183" s="860">
        <v>7062</v>
      </c>
      <c r="X183" s="860">
        <v>6836</v>
      </c>
      <c r="Y183" s="860">
        <v>6644</v>
      </c>
      <c r="Z183" s="860">
        <v>5957</v>
      </c>
      <c r="AA183" s="860">
        <v>5357</v>
      </c>
      <c r="AC183" s="712">
        <f t="shared" si="88"/>
        <v>172</v>
      </c>
      <c r="AD183" s="711">
        <f t="shared" si="89"/>
        <v>269</v>
      </c>
      <c r="AE183" s="711">
        <f t="shared" si="102"/>
        <v>229</v>
      </c>
      <c r="AF183" s="711">
        <f t="shared" si="109"/>
        <v>200</v>
      </c>
      <c r="AG183" s="711">
        <f t="shared" si="110"/>
        <v>121</v>
      </c>
      <c r="AH183" s="711">
        <f t="shared" si="103"/>
        <v>77</v>
      </c>
      <c r="AI183" s="711">
        <f t="shared" si="104"/>
        <v>144</v>
      </c>
      <c r="AJ183" s="711">
        <f t="shared" si="105"/>
        <v>106</v>
      </c>
      <c r="AK183" s="711">
        <f t="shared" si="106"/>
        <v>173</v>
      </c>
      <c r="AL183" s="711">
        <f t="shared" si="107"/>
        <v>362</v>
      </c>
      <c r="AM183" s="711">
        <f t="shared" si="108"/>
        <v>348</v>
      </c>
      <c r="AN183" s="711">
        <f t="shared" si="98"/>
        <v>343</v>
      </c>
      <c r="AO183" s="711">
        <f t="shared" si="99"/>
        <v>367</v>
      </c>
      <c r="AP183" s="711">
        <f t="shared" si="100"/>
        <v>286</v>
      </c>
      <c r="AQ183" s="711">
        <f t="shared" si="111"/>
        <v>240</v>
      </c>
      <c r="AR183" s="711">
        <f t="shared" si="112"/>
        <v>255</v>
      </c>
      <c r="AS183" s="711">
        <f t="shared" si="113"/>
        <v>340</v>
      </c>
      <c r="AT183" s="711">
        <f t="shared" si="114"/>
        <v>290</v>
      </c>
      <c r="AU183" s="711">
        <f t="shared" si="115"/>
        <v>197</v>
      </c>
      <c r="AV183" s="711">
        <f t="shared" si="116"/>
        <v>28</v>
      </c>
      <c r="AW183" s="711">
        <f t="shared" si="117"/>
        <v>167</v>
      </c>
      <c r="AX183" s="711">
        <f t="shared" si="101"/>
        <v>226</v>
      </c>
      <c r="AY183" s="711">
        <f t="shared" si="101"/>
        <v>192</v>
      </c>
      <c r="AZ183" s="711">
        <f t="shared" si="101"/>
        <v>687</v>
      </c>
      <c r="BA183" s="711">
        <f t="shared" si="101"/>
        <v>600</v>
      </c>
    </row>
    <row r="184" spans="1:53">
      <c r="A184" s="106">
        <f t="shared" si="87"/>
        <v>173</v>
      </c>
      <c r="B184" s="858">
        <v>42177</v>
      </c>
      <c r="C184" s="859" t="s">
        <v>1725</v>
      </c>
      <c r="D184" s="860">
        <v>4990</v>
      </c>
      <c r="E184" s="860">
        <v>4740</v>
      </c>
      <c r="F184" s="860">
        <v>4496</v>
      </c>
      <c r="G184" s="860">
        <v>4390</v>
      </c>
      <c r="H184" s="860">
        <v>4406</v>
      </c>
      <c r="I184" s="860">
        <v>4475</v>
      </c>
      <c r="J184" s="860">
        <v>4575</v>
      </c>
      <c r="K184" s="860">
        <v>4825</v>
      </c>
      <c r="L184" s="860">
        <v>5036</v>
      </c>
      <c r="M184" s="860">
        <v>5264</v>
      </c>
      <c r="N184" s="860">
        <v>5501</v>
      </c>
      <c r="O184" s="860">
        <v>5732</v>
      </c>
      <c r="P184" s="860">
        <v>5870</v>
      </c>
      <c r="Q184" s="860">
        <v>5993</v>
      </c>
      <c r="R184" s="860">
        <v>6190</v>
      </c>
      <c r="S184" s="860">
        <v>6418</v>
      </c>
      <c r="T184" s="860">
        <v>6639</v>
      </c>
      <c r="U184" s="860">
        <v>6768</v>
      </c>
      <c r="V184" s="860">
        <v>6709</v>
      </c>
      <c r="W184" s="860">
        <v>6523</v>
      </c>
      <c r="X184" s="860">
        <v>6285</v>
      </c>
      <c r="Y184" s="860">
        <v>6095</v>
      </c>
      <c r="Z184" s="860">
        <v>5610</v>
      </c>
      <c r="AA184" s="860">
        <v>5146</v>
      </c>
      <c r="AC184" s="712">
        <f t="shared" si="88"/>
        <v>173</v>
      </c>
      <c r="AD184" s="711">
        <f t="shared" si="89"/>
        <v>367</v>
      </c>
      <c r="AE184" s="711">
        <f t="shared" si="102"/>
        <v>250</v>
      </c>
      <c r="AF184" s="711">
        <f t="shared" si="109"/>
        <v>244</v>
      </c>
      <c r="AG184" s="711">
        <f t="shared" si="110"/>
        <v>106</v>
      </c>
      <c r="AH184" s="711">
        <f t="shared" si="103"/>
        <v>16</v>
      </c>
      <c r="AI184" s="711">
        <f t="shared" si="104"/>
        <v>69</v>
      </c>
      <c r="AJ184" s="711">
        <f t="shared" si="105"/>
        <v>100</v>
      </c>
      <c r="AK184" s="711">
        <f t="shared" si="106"/>
        <v>250</v>
      </c>
      <c r="AL184" s="711">
        <f t="shared" si="107"/>
        <v>211</v>
      </c>
      <c r="AM184" s="711">
        <f t="shared" si="108"/>
        <v>228</v>
      </c>
      <c r="AN184" s="711">
        <f t="shared" si="98"/>
        <v>237</v>
      </c>
      <c r="AO184" s="711">
        <f t="shared" si="99"/>
        <v>231</v>
      </c>
      <c r="AP184" s="711">
        <f t="shared" si="100"/>
        <v>138</v>
      </c>
      <c r="AQ184" s="711">
        <f t="shared" si="111"/>
        <v>123</v>
      </c>
      <c r="AR184" s="711">
        <f t="shared" si="112"/>
        <v>197</v>
      </c>
      <c r="AS184" s="711">
        <f t="shared" si="113"/>
        <v>228</v>
      </c>
      <c r="AT184" s="711">
        <f t="shared" si="114"/>
        <v>221</v>
      </c>
      <c r="AU184" s="711">
        <f t="shared" si="115"/>
        <v>129</v>
      </c>
      <c r="AV184" s="711">
        <f t="shared" si="116"/>
        <v>59</v>
      </c>
      <c r="AW184" s="711">
        <f t="shared" si="117"/>
        <v>186</v>
      </c>
      <c r="AX184" s="711">
        <f t="shared" si="101"/>
        <v>238</v>
      </c>
      <c r="AY184" s="711">
        <f t="shared" si="101"/>
        <v>190</v>
      </c>
      <c r="AZ184" s="711">
        <f t="shared" si="101"/>
        <v>485</v>
      </c>
      <c r="BA184" s="711">
        <f t="shared" si="101"/>
        <v>464</v>
      </c>
    </row>
    <row r="185" spans="1:53">
      <c r="A185" s="106">
        <f t="shared" si="87"/>
        <v>174</v>
      </c>
      <c r="B185" s="858">
        <v>42178</v>
      </c>
      <c r="C185" s="859" t="s">
        <v>1725</v>
      </c>
      <c r="D185" s="860">
        <v>4753</v>
      </c>
      <c r="E185" s="860">
        <v>4503</v>
      </c>
      <c r="F185" s="860">
        <v>4343</v>
      </c>
      <c r="G185" s="860">
        <v>4208</v>
      </c>
      <c r="H185" s="860">
        <v>4081</v>
      </c>
      <c r="I185" s="860">
        <v>4224</v>
      </c>
      <c r="J185" s="860">
        <v>4494</v>
      </c>
      <c r="K185" s="860">
        <v>4936</v>
      </c>
      <c r="L185" s="860">
        <v>5312</v>
      </c>
      <c r="M185" s="860">
        <v>5579</v>
      </c>
      <c r="N185" s="860">
        <v>5870</v>
      </c>
      <c r="O185" s="860">
        <v>6123</v>
      </c>
      <c r="P185" s="860">
        <v>6487</v>
      </c>
      <c r="Q185" s="860">
        <v>6818</v>
      </c>
      <c r="R185" s="860">
        <v>7159</v>
      </c>
      <c r="S185" s="860">
        <v>7442</v>
      </c>
      <c r="T185" s="860">
        <v>7661</v>
      </c>
      <c r="U185" s="860">
        <v>7621</v>
      </c>
      <c r="V185" s="860">
        <v>7269</v>
      </c>
      <c r="W185" s="860">
        <v>6900</v>
      </c>
      <c r="X185" s="860">
        <v>6594</v>
      </c>
      <c r="Y185" s="860">
        <v>6360</v>
      </c>
      <c r="Z185" s="860">
        <v>5812</v>
      </c>
      <c r="AA185" s="860">
        <v>5373</v>
      </c>
      <c r="AC185" s="712">
        <f t="shared" si="88"/>
        <v>174</v>
      </c>
      <c r="AD185" s="711">
        <f t="shared" si="89"/>
        <v>393</v>
      </c>
      <c r="AE185" s="711">
        <f t="shared" si="102"/>
        <v>250</v>
      </c>
      <c r="AF185" s="711">
        <f t="shared" si="109"/>
        <v>160</v>
      </c>
      <c r="AG185" s="711">
        <f t="shared" si="110"/>
        <v>135</v>
      </c>
      <c r="AH185" s="711">
        <f t="shared" si="103"/>
        <v>127</v>
      </c>
      <c r="AI185" s="711">
        <f t="shared" si="104"/>
        <v>143</v>
      </c>
      <c r="AJ185" s="711">
        <f t="shared" si="105"/>
        <v>270</v>
      </c>
      <c r="AK185" s="711">
        <f t="shared" si="106"/>
        <v>442</v>
      </c>
      <c r="AL185" s="711">
        <f t="shared" si="107"/>
        <v>376</v>
      </c>
      <c r="AM185" s="711">
        <f t="shared" si="108"/>
        <v>267</v>
      </c>
      <c r="AN185" s="711">
        <f t="shared" si="98"/>
        <v>291</v>
      </c>
      <c r="AO185" s="711">
        <f t="shared" si="99"/>
        <v>253</v>
      </c>
      <c r="AP185" s="711">
        <f t="shared" si="100"/>
        <v>364</v>
      </c>
      <c r="AQ185" s="711">
        <f t="shared" si="111"/>
        <v>331</v>
      </c>
      <c r="AR185" s="711">
        <f t="shared" si="112"/>
        <v>341</v>
      </c>
      <c r="AS185" s="711">
        <f t="shared" si="113"/>
        <v>283</v>
      </c>
      <c r="AT185" s="711">
        <f t="shared" si="114"/>
        <v>219</v>
      </c>
      <c r="AU185" s="711">
        <f t="shared" si="115"/>
        <v>40</v>
      </c>
      <c r="AV185" s="711">
        <f t="shared" si="116"/>
        <v>352</v>
      </c>
      <c r="AW185" s="711">
        <f t="shared" si="117"/>
        <v>369</v>
      </c>
      <c r="AX185" s="711">
        <f t="shared" si="101"/>
        <v>306</v>
      </c>
      <c r="AY185" s="711">
        <f t="shared" si="101"/>
        <v>234</v>
      </c>
      <c r="AZ185" s="711">
        <f t="shared" si="101"/>
        <v>548</v>
      </c>
      <c r="BA185" s="711">
        <f t="shared" si="101"/>
        <v>439</v>
      </c>
    </row>
    <row r="186" spans="1:53">
      <c r="A186" s="106">
        <f t="shared" si="87"/>
        <v>175</v>
      </c>
      <c r="B186" s="858">
        <v>42179</v>
      </c>
      <c r="C186" s="859" t="s">
        <v>1725</v>
      </c>
      <c r="D186" s="860">
        <v>4971</v>
      </c>
      <c r="E186" s="860">
        <v>4697</v>
      </c>
      <c r="F186" s="860">
        <v>4518</v>
      </c>
      <c r="G186" s="860">
        <v>4414</v>
      </c>
      <c r="H186" s="860">
        <v>4307</v>
      </c>
      <c r="I186" s="860">
        <v>4408</v>
      </c>
      <c r="J186" s="860">
        <v>4704</v>
      </c>
      <c r="K186" s="860">
        <v>5058</v>
      </c>
      <c r="L186" s="860">
        <v>5455</v>
      </c>
      <c r="M186" s="860">
        <v>5818</v>
      </c>
      <c r="N186" s="860">
        <v>6194</v>
      </c>
      <c r="O186" s="860">
        <v>6535</v>
      </c>
      <c r="P186" s="860">
        <v>6834</v>
      </c>
      <c r="Q186" s="860">
        <v>7073</v>
      </c>
      <c r="R186" s="860">
        <v>7292</v>
      </c>
      <c r="S186" s="860">
        <v>7391</v>
      </c>
      <c r="T186" s="860">
        <v>7136</v>
      </c>
      <c r="U186" s="860">
        <v>6617</v>
      </c>
      <c r="V186" s="860">
        <v>6233</v>
      </c>
      <c r="W186" s="860">
        <v>5940</v>
      </c>
      <c r="X186" s="860">
        <v>5882</v>
      </c>
      <c r="Y186" s="860">
        <v>5654</v>
      </c>
      <c r="Z186" s="860">
        <v>5212</v>
      </c>
      <c r="AA186" s="860">
        <v>4826</v>
      </c>
      <c r="AC186" s="712">
        <f t="shared" si="88"/>
        <v>175</v>
      </c>
      <c r="AD186" s="711">
        <f t="shared" si="89"/>
        <v>402</v>
      </c>
      <c r="AE186" s="711">
        <f t="shared" si="102"/>
        <v>274</v>
      </c>
      <c r="AF186" s="711">
        <f t="shared" si="109"/>
        <v>179</v>
      </c>
      <c r="AG186" s="711">
        <f t="shared" si="110"/>
        <v>104</v>
      </c>
      <c r="AH186" s="711">
        <f t="shared" si="103"/>
        <v>107</v>
      </c>
      <c r="AI186" s="711">
        <f t="shared" si="104"/>
        <v>101</v>
      </c>
      <c r="AJ186" s="711">
        <f t="shared" si="105"/>
        <v>296</v>
      </c>
      <c r="AK186" s="711">
        <f t="shared" si="106"/>
        <v>354</v>
      </c>
      <c r="AL186" s="711">
        <f t="shared" si="107"/>
        <v>397</v>
      </c>
      <c r="AM186" s="711">
        <f t="shared" si="108"/>
        <v>363</v>
      </c>
      <c r="AN186" s="711">
        <f t="shared" si="98"/>
        <v>376</v>
      </c>
      <c r="AO186" s="711">
        <f t="shared" si="99"/>
        <v>341</v>
      </c>
      <c r="AP186" s="711">
        <f t="shared" si="100"/>
        <v>299</v>
      </c>
      <c r="AQ186" s="711">
        <f t="shared" si="111"/>
        <v>239</v>
      </c>
      <c r="AR186" s="711">
        <f t="shared" si="112"/>
        <v>219</v>
      </c>
      <c r="AS186" s="711">
        <f t="shared" si="113"/>
        <v>99</v>
      </c>
      <c r="AT186" s="711">
        <f t="shared" si="114"/>
        <v>255</v>
      </c>
      <c r="AU186" s="711">
        <f t="shared" si="115"/>
        <v>519</v>
      </c>
      <c r="AV186" s="711">
        <f t="shared" si="116"/>
        <v>384</v>
      </c>
      <c r="AW186" s="711">
        <f t="shared" si="117"/>
        <v>293</v>
      </c>
      <c r="AX186" s="711">
        <f t="shared" si="101"/>
        <v>58</v>
      </c>
      <c r="AY186" s="711">
        <f t="shared" si="101"/>
        <v>228</v>
      </c>
      <c r="AZ186" s="711">
        <f t="shared" si="101"/>
        <v>442</v>
      </c>
      <c r="BA186" s="711">
        <f t="shared" si="101"/>
        <v>386</v>
      </c>
    </row>
    <row r="187" spans="1:53">
      <c r="A187" s="106">
        <f t="shared" si="87"/>
        <v>176</v>
      </c>
      <c r="B187" s="858">
        <v>42180</v>
      </c>
      <c r="C187" s="859" t="s">
        <v>1725</v>
      </c>
      <c r="D187" s="860">
        <v>4493</v>
      </c>
      <c r="E187" s="860">
        <v>4418</v>
      </c>
      <c r="F187" s="860">
        <v>4264</v>
      </c>
      <c r="G187" s="860">
        <v>4238</v>
      </c>
      <c r="H187" s="860">
        <v>4248</v>
      </c>
      <c r="I187" s="860">
        <v>4293</v>
      </c>
      <c r="J187" s="860">
        <v>4419</v>
      </c>
      <c r="K187" s="860">
        <v>4782</v>
      </c>
      <c r="L187" s="860">
        <v>5050</v>
      </c>
      <c r="M187" s="860">
        <v>5329</v>
      </c>
      <c r="N187" s="860">
        <v>5557</v>
      </c>
      <c r="O187" s="860">
        <v>5806</v>
      </c>
      <c r="P187" s="860">
        <v>6072</v>
      </c>
      <c r="Q187" s="860">
        <v>6365</v>
      </c>
      <c r="R187" s="860">
        <v>6675</v>
      </c>
      <c r="S187" s="860">
        <v>6876</v>
      </c>
      <c r="T187" s="860">
        <v>7039</v>
      </c>
      <c r="U187" s="860">
        <v>6982</v>
      </c>
      <c r="V187" s="860">
        <v>6734</v>
      </c>
      <c r="W187" s="860">
        <v>6334</v>
      </c>
      <c r="X187" s="860">
        <v>6091</v>
      </c>
      <c r="Y187" s="860">
        <v>5912</v>
      </c>
      <c r="Z187" s="860">
        <v>5380</v>
      </c>
      <c r="AA187" s="860">
        <v>4961</v>
      </c>
      <c r="AC187" s="712">
        <f t="shared" si="88"/>
        <v>176</v>
      </c>
      <c r="AD187" s="711">
        <f t="shared" si="89"/>
        <v>333</v>
      </c>
      <c r="AE187" s="711">
        <f t="shared" si="102"/>
        <v>75</v>
      </c>
      <c r="AF187" s="711">
        <f t="shared" si="109"/>
        <v>154</v>
      </c>
      <c r="AG187" s="711">
        <f t="shared" si="110"/>
        <v>26</v>
      </c>
      <c r="AH187" s="711">
        <f t="shared" si="103"/>
        <v>10</v>
      </c>
      <c r="AI187" s="711">
        <f t="shared" si="104"/>
        <v>45</v>
      </c>
      <c r="AJ187" s="711">
        <f t="shared" si="105"/>
        <v>126</v>
      </c>
      <c r="AK187" s="711">
        <f t="shared" si="106"/>
        <v>363</v>
      </c>
      <c r="AL187" s="711">
        <f t="shared" si="107"/>
        <v>268</v>
      </c>
      <c r="AM187" s="711">
        <f t="shared" si="108"/>
        <v>279</v>
      </c>
      <c r="AN187" s="711">
        <f t="shared" si="98"/>
        <v>228</v>
      </c>
      <c r="AO187" s="711">
        <f t="shared" si="99"/>
        <v>249</v>
      </c>
      <c r="AP187" s="711">
        <f t="shared" si="100"/>
        <v>266</v>
      </c>
      <c r="AQ187" s="711">
        <f t="shared" si="111"/>
        <v>293</v>
      </c>
      <c r="AR187" s="711">
        <f t="shared" si="112"/>
        <v>310</v>
      </c>
      <c r="AS187" s="711">
        <f t="shared" si="113"/>
        <v>201</v>
      </c>
      <c r="AT187" s="711">
        <f t="shared" si="114"/>
        <v>163</v>
      </c>
      <c r="AU187" s="711">
        <f t="shared" si="115"/>
        <v>57</v>
      </c>
      <c r="AV187" s="711">
        <f t="shared" si="116"/>
        <v>248</v>
      </c>
      <c r="AW187" s="711">
        <f t="shared" si="117"/>
        <v>400</v>
      </c>
      <c r="AX187" s="711">
        <f t="shared" si="101"/>
        <v>243</v>
      </c>
      <c r="AY187" s="711">
        <f t="shared" si="101"/>
        <v>179</v>
      </c>
      <c r="AZ187" s="711">
        <f t="shared" si="101"/>
        <v>532</v>
      </c>
      <c r="BA187" s="711">
        <f t="shared" si="101"/>
        <v>419</v>
      </c>
    </row>
    <row r="188" spans="1:53">
      <c r="A188" s="106">
        <f t="shared" si="87"/>
        <v>177</v>
      </c>
      <c r="B188" s="858">
        <v>42181</v>
      </c>
      <c r="C188" s="859" t="s">
        <v>1725</v>
      </c>
      <c r="D188" s="860">
        <v>4583</v>
      </c>
      <c r="E188" s="860">
        <v>4372</v>
      </c>
      <c r="F188" s="860">
        <v>4374</v>
      </c>
      <c r="G188" s="860">
        <v>4320</v>
      </c>
      <c r="H188" s="860">
        <v>4363</v>
      </c>
      <c r="I188" s="860">
        <v>4456</v>
      </c>
      <c r="J188" s="860">
        <v>4550</v>
      </c>
      <c r="K188" s="860">
        <v>4886</v>
      </c>
      <c r="L188" s="860">
        <v>5212</v>
      </c>
      <c r="M188" s="860">
        <v>5450</v>
      </c>
      <c r="N188" s="860">
        <v>5675</v>
      </c>
      <c r="O188" s="860">
        <v>5854</v>
      </c>
      <c r="P188" s="860">
        <v>6009</v>
      </c>
      <c r="Q188" s="860">
        <v>6180</v>
      </c>
      <c r="R188" s="860">
        <v>6370</v>
      </c>
      <c r="S188" s="860">
        <v>6464</v>
      </c>
      <c r="T188" s="860">
        <v>6492</v>
      </c>
      <c r="U188" s="860">
        <v>6430</v>
      </c>
      <c r="V188" s="860">
        <v>6231</v>
      </c>
      <c r="W188" s="860">
        <v>6018</v>
      </c>
      <c r="X188" s="860">
        <v>5889</v>
      </c>
      <c r="Y188" s="860">
        <v>5835</v>
      </c>
      <c r="Z188" s="860">
        <v>5355</v>
      </c>
      <c r="AA188" s="860">
        <v>4919</v>
      </c>
      <c r="AC188" s="712">
        <f t="shared" si="88"/>
        <v>177</v>
      </c>
      <c r="AD188" s="711">
        <f t="shared" si="89"/>
        <v>378</v>
      </c>
      <c r="AE188" s="711">
        <f t="shared" si="102"/>
        <v>211</v>
      </c>
      <c r="AF188" s="711">
        <f t="shared" si="109"/>
        <v>2</v>
      </c>
      <c r="AG188" s="711">
        <f t="shared" si="110"/>
        <v>54</v>
      </c>
      <c r="AH188" s="711">
        <f t="shared" si="103"/>
        <v>43</v>
      </c>
      <c r="AI188" s="711">
        <f t="shared" si="104"/>
        <v>93</v>
      </c>
      <c r="AJ188" s="711">
        <f t="shared" si="105"/>
        <v>94</v>
      </c>
      <c r="AK188" s="711">
        <f t="shared" si="106"/>
        <v>336</v>
      </c>
      <c r="AL188" s="711">
        <f t="shared" si="107"/>
        <v>326</v>
      </c>
      <c r="AM188" s="711">
        <f t="shared" si="108"/>
        <v>238</v>
      </c>
      <c r="AN188" s="711">
        <f t="shared" si="98"/>
        <v>225</v>
      </c>
      <c r="AO188" s="711">
        <f t="shared" si="99"/>
        <v>179</v>
      </c>
      <c r="AP188" s="711">
        <f t="shared" si="100"/>
        <v>155</v>
      </c>
      <c r="AQ188" s="711">
        <f t="shared" si="111"/>
        <v>171</v>
      </c>
      <c r="AR188" s="711">
        <f t="shared" si="112"/>
        <v>190</v>
      </c>
      <c r="AS188" s="711">
        <f t="shared" si="113"/>
        <v>94</v>
      </c>
      <c r="AT188" s="711">
        <f t="shared" si="114"/>
        <v>28</v>
      </c>
      <c r="AU188" s="711">
        <f t="shared" si="115"/>
        <v>62</v>
      </c>
      <c r="AV188" s="711">
        <f t="shared" si="116"/>
        <v>199</v>
      </c>
      <c r="AW188" s="711">
        <f t="shared" si="117"/>
        <v>213</v>
      </c>
      <c r="AX188" s="711">
        <f t="shared" si="101"/>
        <v>129</v>
      </c>
      <c r="AY188" s="711">
        <f t="shared" si="101"/>
        <v>54</v>
      </c>
      <c r="AZ188" s="711">
        <f t="shared" si="101"/>
        <v>480</v>
      </c>
      <c r="BA188" s="711">
        <f t="shared" si="101"/>
        <v>436</v>
      </c>
    </row>
    <row r="189" spans="1:53">
      <c r="A189" s="106">
        <f t="shared" si="87"/>
        <v>178</v>
      </c>
      <c r="B189" s="858">
        <v>42182</v>
      </c>
      <c r="C189" s="859" t="s">
        <v>1725</v>
      </c>
      <c r="D189" s="860">
        <v>4598</v>
      </c>
      <c r="E189" s="860">
        <v>4460</v>
      </c>
      <c r="F189" s="860">
        <v>4299</v>
      </c>
      <c r="G189" s="860">
        <v>4205</v>
      </c>
      <c r="H189" s="860">
        <v>4134</v>
      </c>
      <c r="I189" s="860">
        <v>3984</v>
      </c>
      <c r="J189" s="860">
        <v>4048</v>
      </c>
      <c r="K189" s="860">
        <v>4362</v>
      </c>
      <c r="L189" s="860">
        <v>4757</v>
      </c>
      <c r="M189" s="860">
        <v>5062</v>
      </c>
      <c r="N189" s="860">
        <v>5376</v>
      </c>
      <c r="O189" s="860">
        <v>5636</v>
      </c>
      <c r="P189" s="860">
        <v>5880</v>
      </c>
      <c r="Q189" s="860">
        <v>6075</v>
      </c>
      <c r="R189" s="860">
        <v>6284</v>
      </c>
      <c r="S189" s="860">
        <v>6489</v>
      </c>
      <c r="T189" s="860">
        <v>6684</v>
      </c>
      <c r="U189" s="860">
        <v>6734</v>
      </c>
      <c r="V189" s="860">
        <v>6567</v>
      </c>
      <c r="W189" s="860">
        <v>6324</v>
      </c>
      <c r="X189" s="860">
        <v>6134</v>
      </c>
      <c r="Y189" s="860">
        <v>5899</v>
      </c>
      <c r="Z189" s="860">
        <v>5419</v>
      </c>
      <c r="AA189" s="860">
        <v>4913</v>
      </c>
      <c r="AC189" s="712">
        <f t="shared" si="88"/>
        <v>178</v>
      </c>
      <c r="AD189" s="711">
        <f t="shared" si="89"/>
        <v>321</v>
      </c>
      <c r="AE189" s="711">
        <f t="shared" si="102"/>
        <v>138</v>
      </c>
      <c r="AF189" s="711">
        <f t="shared" si="109"/>
        <v>161</v>
      </c>
      <c r="AG189" s="711">
        <f t="shared" si="110"/>
        <v>94</v>
      </c>
      <c r="AH189" s="711">
        <f t="shared" si="103"/>
        <v>71</v>
      </c>
      <c r="AI189" s="711">
        <f t="shared" si="104"/>
        <v>150</v>
      </c>
      <c r="AJ189" s="711">
        <f t="shared" si="105"/>
        <v>64</v>
      </c>
      <c r="AK189" s="711">
        <f t="shared" si="106"/>
        <v>314</v>
      </c>
      <c r="AL189" s="711">
        <f t="shared" si="107"/>
        <v>395</v>
      </c>
      <c r="AM189" s="711">
        <f t="shared" si="108"/>
        <v>305</v>
      </c>
      <c r="AN189" s="711">
        <f t="shared" si="98"/>
        <v>314</v>
      </c>
      <c r="AO189" s="711">
        <f t="shared" si="99"/>
        <v>260</v>
      </c>
      <c r="AP189" s="711">
        <f t="shared" si="100"/>
        <v>244</v>
      </c>
      <c r="AQ189" s="711">
        <f t="shared" si="111"/>
        <v>195</v>
      </c>
      <c r="AR189" s="711">
        <f t="shared" si="112"/>
        <v>209</v>
      </c>
      <c r="AS189" s="711">
        <f t="shared" si="113"/>
        <v>205</v>
      </c>
      <c r="AT189" s="711">
        <f t="shared" si="114"/>
        <v>195</v>
      </c>
      <c r="AU189" s="711">
        <f t="shared" si="115"/>
        <v>50</v>
      </c>
      <c r="AV189" s="711">
        <f t="shared" si="116"/>
        <v>167</v>
      </c>
      <c r="AW189" s="711">
        <f t="shared" si="117"/>
        <v>243</v>
      </c>
      <c r="AX189" s="711">
        <f t="shared" si="101"/>
        <v>190</v>
      </c>
      <c r="AY189" s="711">
        <f t="shared" si="101"/>
        <v>235</v>
      </c>
      <c r="AZ189" s="711">
        <f t="shared" si="101"/>
        <v>480</v>
      </c>
      <c r="BA189" s="711">
        <f t="shared" si="101"/>
        <v>506</v>
      </c>
    </row>
    <row r="190" spans="1:53">
      <c r="A190" s="106">
        <f t="shared" si="87"/>
        <v>179</v>
      </c>
      <c r="B190" s="858">
        <v>42183</v>
      </c>
      <c r="C190" s="859" t="s">
        <v>1725</v>
      </c>
      <c r="D190" s="860">
        <v>4659</v>
      </c>
      <c r="E190" s="860">
        <v>4384</v>
      </c>
      <c r="F190" s="860">
        <v>4274</v>
      </c>
      <c r="G190" s="860">
        <v>4263</v>
      </c>
      <c r="H190" s="860">
        <v>4205</v>
      </c>
      <c r="I190" s="860">
        <v>4153</v>
      </c>
      <c r="J190" s="860">
        <v>4134</v>
      </c>
      <c r="K190" s="860">
        <v>4287</v>
      </c>
      <c r="L190" s="860">
        <v>4648</v>
      </c>
      <c r="M190" s="860">
        <v>4984</v>
      </c>
      <c r="N190" s="860">
        <v>5323</v>
      </c>
      <c r="O190" s="860">
        <v>5636</v>
      </c>
      <c r="P190" s="860">
        <v>5967</v>
      </c>
      <c r="Q190" s="860">
        <v>6254</v>
      </c>
      <c r="R190" s="860">
        <v>6513</v>
      </c>
      <c r="S190" s="860">
        <v>6628</v>
      </c>
      <c r="T190" s="860">
        <v>6612</v>
      </c>
      <c r="U190" s="860">
        <v>6625</v>
      </c>
      <c r="V190" s="860">
        <v>6409</v>
      </c>
      <c r="W190" s="860">
        <v>6098</v>
      </c>
      <c r="X190" s="860">
        <v>5915</v>
      </c>
      <c r="Y190" s="860">
        <v>5805</v>
      </c>
      <c r="Z190" s="860">
        <v>5303</v>
      </c>
      <c r="AA190" s="860">
        <v>4850</v>
      </c>
      <c r="AC190" s="712">
        <f t="shared" si="88"/>
        <v>179</v>
      </c>
      <c r="AD190" s="711">
        <f t="shared" si="89"/>
        <v>254</v>
      </c>
      <c r="AE190" s="711">
        <f t="shared" si="102"/>
        <v>275</v>
      </c>
      <c r="AF190" s="711">
        <f t="shared" si="109"/>
        <v>110</v>
      </c>
      <c r="AG190" s="711">
        <f t="shared" si="110"/>
        <v>11</v>
      </c>
      <c r="AH190" s="711">
        <f t="shared" si="103"/>
        <v>58</v>
      </c>
      <c r="AI190" s="711">
        <f t="shared" si="104"/>
        <v>52</v>
      </c>
      <c r="AJ190" s="711">
        <f t="shared" si="105"/>
        <v>19</v>
      </c>
      <c r="AK190" s="711">
        <f t="shared" si="106"/>
        <v>153</v>
      </c>
      <c r="AL190" s="711">
        <f t="shared" si="107"/>
        <v>361</v>
      </c>
      <c r="AM190" s="711">
        <f t="shared" si="108"/>
        <v>336</v>
      </c>
      <c r="AN190" s="711">
        <f t="shared" ref="AN190:AN221" si="118">ABS(N190-M190)</f>
        <v>339</v>
      </c>
      <c r="AO190" s="711">
        <f t="shared" ref="AO190:AO221" si="119">ABS(O190-N190)</f>
        <v>313</v>
      </c>
      <c r="AP190" s="711">
        <f t="shared" ref="AP190:AP221" si="120">ABS(P190-O190)</f>
        <v>331</v>
      </c>
      <c r="AQ190" s="711">
        <f t="shared" si="111"/>
        <v>287</v>
      </c>
      <c r="AR190" s="711">
        <f t="shared" si="112"/>
        <v>259</v>
      </c>
      <c r="AS190" s="711">
        <f t="shared" si="113"/>
        <v>115</v>
      </c>
      <c r="AT190" s="711">
        <f t="shared" si="114"/>
        <v>16</v>
      </c>
      <c r="AU190" s="711">
        <f t="shared" si="115"/>
        <v>13</v>
      </c>
      <c r="AV190" s="711">
        <f t="shared" si="116"/>
        <v>216</v>
      </c>
      <c r="AW190" s="711">
        <f t="shared" si="117"/>
        <v>311</v>
      </c>
      <c r="AX190" s="711">
        <f t="shared" si="101"/>
        <v>183</v>
      </c>
      <c r="AY190" s="711">
        <f t="shared" si="101"/>
        <v>110</v>
      </c>
      <c r="AZ190" s="711">
        <f t="shared" si="101"/>
        <v>502</v>
      </c>
      <c r="BA190" s="711">
        <f t="shared" si="101"/>
        <v>453</v>
      </c>
    </row>
    <row r="191" spans="1:53">
      <c r="A191" s="106">
        <f t="shared" si="87"/>
        <v>180</v>
      </c>
      <c r="B191" s="858">
        <v>42184</v>
      </c>
      <c r="C191" s="859" t="s">
        <v>1725</v>
      </c>
      <c r="D191" s="860">
        <v>4586</v>
      </c>
      <c r="E191" s="860">
        <v>4377</v>
      </c>
      <c r="F191" s="860">
        <v>4274</v>
      </c>
      <c r="G191" s="860">
        <v>4225</v>
      </c>
      <c r="H191" s="860">
        <v>4307</v>
      </c>
      <c r="I191" s="860">
        <v>4377</v>
      </c>
      <c r="J191" s="860">
        <v>4635</v>
      </c>
      <c r="K191" s="860">
        <v>5019</v>
      </c>
      <c r="L191" s="860">
        <v>5320</v>
      </c>
      <c r="M191" s="860">
        <v>5701</v>
      </c>
      <c r="N191" s="860">
        <v>5977</v>
      </c>
      <c r="O191" s="860">
        <v>6260</v>
      </c>
      <c r="P191" s="860">
        <v>6508</v>
      </c>
      <c r="Q191" s="860">
        <v>6802</v>
      </c>
      <c r="R191" s="860">
        <v>7065</v>
      </c>
      <c r="S191" s="860">
        <v>7263</v>
      </c>
      <c r="T191" s="860">
        <v>7310</v>
      </c>
      <c r="U191" s="860">
        <v>7262</v>
      </c>
      <c r="V191" s="860">
        <v>7225</v>
      </c>
      <c r="W191" s="860">
        <v>7011</v>
      </c>
      <c r="X191" s="860">
        <v>6709</v>
      </c>
      <c r="Y191" s="860">
        <v>6486</v>
      </c>
      <c r="Z191" s="860">
        <v>5811</v>
      </c>
      <c r="AA191" s="860">
        <v>5171</v>
      </c>
      <c r="AC191" s="712">
        <f t="shared" si="88"/>
        <v>180</v>
      </c>
      <c r="AD191" s="711">
        <f t="shared" si="89"/>
        <v>264</v>
      </c>
      <c r="AE191" s="711">
        <f t="shared" si="102"/>
        <v>209</v>
      </c>
      <c r="AF191" s="711">
        <f t="shared" si="109"/>
        <v>103</v>
      </c>
      <c r="AG191" s="711">
        <f t="shared" si="110"/>
        <v>49</v>
      </c>
      <c r="AH191" s="711">
        <f t="shared" si="103"/>
        <v>82</v>
      </c>
      <c r="AI191" s="711">
        <f t="shared" si="104"/>
        <v>70</v>
      </c>
      <c r="AJ191" s="711">
        <f t="shared" si="105"/>
        <v>258</v>
      </c>
      <c r="AK191" s="711">
        <f t="shared" si="106"/>
        <v>384</v>
      </c>
      <c r="AL191" s="711">
        <f t="shared" si="107"/>
        <v>301</v>
      </c>
      <c r="AM191" s="711">
        <f t="shared" si="108"/>
        <v>381</v>
      </c>
      <c r="AN191" s="711">
        <f t="shared" si="118"/>
        <v>276</v>
      </c>
      <c r="AO191" s="711">
        <f t="shared" si="119"/>
        <v>283</v>
      </c>
      <c r="AP191" s="711">
        <f t="shared" si="120"/>
        <v>248</v>
      </c>
      <c r="AQ191" s="711">
        <f t="shared" si="111"/>
        <v>294</v>
      </c>
      <c r="AR191" s="711">
        <f t="shared" si="112"/>
        <v>263</v>
      </c>
      <c r="AS191" s="711">
        <f t="shared" si="113"/>
        <v>198</v>
      </c>
      <c r="AT191" s="711">
        <f t="shared" si="114"/>
        <v>47</v>
      </c>
      <c r="AU191" s="711">
        <f t="shared" si="115"/>
        <v>48</v>
      </c>
      <c r="AV191" s="711">
        <f t="shared" si="116"/>
        <v>37</v>
      </c>
      <c r="AW191" s="711">
        <f t="shared" si="117"/>
        <v>214</v>
      </c>
      <c r="AX191" s="711">
        <f t="shared" si="101"/>
        <v>302</v>
      </c>
      <c r="AY191" s="711">
        <f t="shared" si="101"/>
        <v>223</v>
      </c>
      <c r="AZ191" s="711">
        <f t="shared" si="101"/>
        <v>675</v>
      </c>
      <c r="BA191" s="711">
        <f t="shared" si="101"/>
        <v>640</v>
      </c>
    </row>
    <row r="192" spans="1:53">
      <c r="A192" s="106">
        <f t="shared" si="87"/>
        <v>181</v>
      </c>
      <c r="B192" s="858">
        <v>42185</v>
      </c>
      <c r="C192" s="859" t="s">
        <v>1725</v>
      </c>
      <c r="D192" s="860">
        <v>4743</v>
      </c>
      <c r="E192" s="860">
        <v>4454</v>
      </c>
      <c r="F192" s="860">
        <v>4425</v>
      </c>
      <c r="G192" s="860">
        <v>4449</v>
      </c>
      <c r="H192" s="860">
        <v>4460</v>
      </c>
      <c r="I192" s="860">
        <v>4548</v>
      </c>
      <c r="J192" s="860">
        <v>4697</v>
      </c>
      <c r="K192" s="860">
        <v>5023</v>
      </c>
      <c r="L192" s="860">
        <v>5428</v>
      </c>
      <c r="M192" s="860">
        <v>5872</v>
      </c>
      <c r="N192" s="860">
        <v>6268</v>
      </c>
      <c r="O192" s="860">
        <v>6659</v>
      </c>
      <c r="P192" s="860">
        <v>6963</v>
      </c>
      <c r="Q192" s="860">
        <v>7184</v>
      </c>
      <c r="R192" s="860">
        <v>7470</v>
      </c>
      <c r="S192" s="860">
        <v>7683</v>
      </c>
      <c r="T192" s="860">
        <v>7721</v>
      </c>
      <c r="U192" s="860">
        <v>7470</v>
      </c>
      <c r="V192" s="860">
        <v>7181</v>
      </c>
      <c r="W192" s="860">
        <v>7047</v>
      </c>
      <c r="X192" s="860">
        <v>6848</v>
      </c>
      <c r="Y192" s="860">
        <v>6547</v>
      </c>
      <c r="Z192" s="860">
        <v>5923</v>
      </c>
      <c r="AA192" s="860">
        <v>5499</v>
      </c>
      <c r="AC192" s="712">
        <f t="shared" si="88"/>
        <v>181</v>
      </c>
      <c r="AD192" s="711">
        <f t="shared" si="89"/>
        <v>428</v>
      </c>
      <c r="AE192" s="711">
        <f t="shared" si="102"/>
        <v>289</v>
      </c>
      <c r="AF192" s="711">
        <f t="shared" si="109"/>
        <v>29</v>
      </c>
      <c r="AG192" s="711">
        <f t="shared" si="110"/>
        <v>24</v>
      </c>
      <c r="AH192" s="711">
        <f t="shared" si="103"/>
        <v>11</v>
      </c>
      <c r="AI192" s="711">
        <f t="shared" si="104"/>
        <v>88</v>
      </c>
      <c r="AJ192" s="711">
        <f t="shared" si="105"/>
        <v>149</v>
      </c>
      <c r="AK192" s="711">
        <f t="shared" si="106"/>
        <v>326</v>
      </c>
      <c r="AL192" s="711">
        <f t="shared" si="107"/>
        <v>405</v>
      </c>
      <c r="AM192" s="711">
        <f t="shared" si="108"/>
        <v>444</v>
      </c>
      <c r="AN192" s="711">
        <f t="shared" si="118"/>
        <v>396</v>
      </c>
      <c r="AO192" s="711">
        <f t="shared" si="119"/>
        <v>391</v>
      </c>
      <c r="AP192" s="711">
        <f t="shared" si="120"/>
        <v>304</v>
      </c>
      <c r="AQ192" s="711">
        <f t="shared" si="111"/>
        <v>221</v>
      </c>
      <c r="AR192" s="711">
        <f t="shared" si="112"/>
        <v>286</v>
      </c>
      <c r="AS192" s="711">
        <f t="shared" si="113"/>
        <v>213</v>
      </c>
      <c r="AT192" s="711">
        <f t="shared" si="114"/>
        <v>38</v>
      </c>
      <c r="AU192" s="711">
        <f t="shared" si="115"/>
        <v>251</v>
      </c>
      <c r="AV192" s="711">
        <f t="shared" si="116"/>
        <v>289</v>
      </c>
      <c r="AW192" s="711">
        <f t="shared" si="117"/>
        <v>134</v>
      </c>
      <c r="AX192" s="711">
        <f t="shared" si="101"/>
        <v>199</v>
      </c>
      <c r="AY192" s="711">
        <f t="shared" si="101"/>
        <v>301</v>
      </c>
      <c r="AZ192" s="711">
        <f t="shared" si="101"/>
        <v>624</v>
      </c>
      <c r="BA192" s="711">
        <f t="shared" si="101"/>
        <v>424</v>
      </c>
    </row>
    <row r="193" spans="1:53">
      <c r="A193" s="106">
        <f t="shared" si="87"/>
        <v>182</v>
      </c>
      <c r="B193" s="858">
        <v>42186</v>
      </c>
      <c r="C193" s="859" t="s">
        <v>1725</v>
      </c>
      <c r="D193" s="860">
        <v>5117</v>
      </c>
      <c r="E193" s="860">
        <v>4857</v>
      </c>
      <c r="F193" s="860">
        <v>4661</v>
      </c>
      <c r="G193" s="860">
        <v>4574</v>
      </c>
      <c r="H193" s="860">
        <v>4514</v>
      </c>
      <c r="I193" s="860">
        <v>4505</v>
      </c>
      <c r="J193" s="860">
        <v>4811</v>
      </c>
      <c r="K193" s="860">
        <v>5224</v>
      </c>
      <c r="L193" s="860">
        <v>5640</v>
      </c>
      <c r="M193" s="860">
        <v>6088</v>
      </c>
      <c r="N193" s="860">
        <v>6456</v>
      </c>
      <c r="O193" s="860">
        <v>6773</v>
      </c>
      <c r="P193" s="860">
        <v>7066</v>
      </c>
      <c r="Q193" s="860">
        <v>7320</v>
      </c>
      <c r="R193" s="860">
        <v>7394</v>
      </c>
      <c r="S193" s="860">
        <v>7274</v>
      </c>
      <c r="T193" s="860">
        <v>7049</v>
      </c>
      <c r="U193" s="860">
        <v>6938</v>
      </c>
      <c r="V193" s="860">
        <v>6676</v>
      </c>
      <c r="W193" s="860">
        <v>6427</v>
      </c>
      <c r="X193" s="860">
        <v>6267</v>
      </c>
      <c r="Y193" s="860">
        <v>6100</v>
      </c>
      <c r="Z193" s="860">
        <v>5592</v>
      </c>
      <c r="AA193" s="860">
        <v>5026</v>
      </c>
      <c r="AC193" s="712">
        <f t="shared" si="88"/>
        <v>182</v>
      </c>
      <c r="AD193" s="711">
        <f t="shared" si="89"/>
        <v>382</v>
      </c>
      <c r="AE193" s="711">
        <f t="shared" si="102"/>
        <v>260</v>
      </c>
      <c r="AF193" s="711">
        <f t="shared" si="109"/>
        <v>196</v>
      </c>
      <c r="AG193" s="711">
        <f t="shared" si="110"/>
        <v>87</v>
      </c>
      <c r="AH193" s="711">
        <f t="shared" si="103"/>
        <v>60</v>
      </c>
      <c r="AI193" s="711">
        <f t="shared" si="104"/>
        <v>9</v>
      </c>
      <c r="AJ193" s="711">
        <f t="shared" si="105"/>
        <v>306</v>
      </c>
      <c r="AK193" s="711">
        <f t="shared" si="106"/>
        <v>413</v>
      </c>
      <c r="AL193" s="711">
        <f t="shared" si="107"/>
        <v>416</v>
      </c>
      <c r="AM193" s="711">
        <f t="shared" si="108"/>
        <v>448</v>
      </c>
      <c r="AN193" s="711">
        <f t="shared" si="118"/>
        <v>368</v>
      </c>
      <c r="AO193" s="711">
        <f t="shared" si="119"/>
        <v>317</v>
      </c>
      <c r="AP193" s="711">
        <f t="shared" si="120"/>
        <v>293</v>
      </c>
      <c r="AQ193" s="711">
        <f t="shared" si="111"/>
        <v>254</v>
      </c>
      <c r="AR193" s="711">
        <f t="shared" si="112"/>
        <v>74</v>
      </c>
      <c r="AS193" s="711">
        <f t="shared" si="113"/>
        <v>120</v>
      </c>
      <c r="AT193" s="711">
        <f t="shared" si="114"/>
        <v>225</v>
      </c>
      <c r="AU193" s="711">
        <f t="shared" si="115"/>
        <v>111</v>
      </c>
      <c r="AV193" s="711">
        <f t="shared" si="116"/>
        <v>262</v>
      </c>
      <c r="AW193" s="711">
        <f t="shared" si="117"/>
        <v>249</v>
      </c>
      <c r="AX193" s="711">
        <f t="shared" si="101"/>
        <v>160</v>
      </c>
      <c r="AY193" s="711">
        <f t="shared" si="101"/>
        <v>167</v>
      </c>
      <c r="AZ193" s="711">
        <f t="shared" si="101"/>
        <v>508</v>
      </c>
      <c r="BA193" s="711">
        <f t="shared" si="101"/>
        <v>566</v>
      </c>
    </row>
    <row r="194" spans="1:53">
      <c r="A194" s="106">
        <f t="shared" si="87"/>
        <v>183</v>
      </c>
      <c r="B194" s="858">
        <v>42187</v>
      </c>
      <c r="C194" s="859" t="s">
        <v>1725</v>
      </c>
      <c r="D194" s="860">
        <v>4802</v>
      </c>
      <c r="E194" s="860">
        <v>4669</v>
      </c>
      <c r="F194" s="860">
        <v>4509</v>
      </c>
      <c r="G194" s="860">
        <v>4366</v>
      </c>
      <c r="H194" s="860">
        <v>4421</v>
      </c>
      <c r="I194" s="860">
        <v>4432</v>
      </c>
      <c r="J194" s="860">
        <v>4679</v>
      </c>
      <c r="K194" s="860">
        <v>4925</v>
      </c>
      <c r="L194" s="860">
        <v>5092</v>
      </c>
      <c r="M194" s="860">
        <v>5260</v>
      </c>
      <c r="N194" s="860">
        <v>5445</v>
      </c>
      <c r="O194" s="860">
        <v>5715</v>
      </c>
      <c r="P194" s="860">
        <v>5936</v>
      </c>
      <c r="Q194" s="860">
        <v>6198</v>
      </c>
      <c r="R194" s="860">
        <v>6399</v>
      </c>
      <c r="S194" s="860">
        <v>6565</v>
      </c>
      <c r="T194" s="860">
        <v>6699</v>
      </c>
      <c r="U194" s="860">
        <v>6734</v>
      </c>
      <c r="V194" s="860">
        <v>6573</v>
      </c>
      <c r="W194" s="860">
        <v>6312</v>
      </c>
      <c r="X194" s="860">
        <v>5996</v>
      </c>
      <c r="Y194" s="860">
        <v>5780</v>
      </c>
      <c r="Z194" s="860">
        <v>5305</v>
      </c>
      <c r="AA194" s="860">
        <v>4808</v>
      </c>
      <c r="AB194" s="711">
        <f>MAX(D193:AA223)</f>
        <v>7935</v>
      </c>
      <c r="AC194" s="712">
        <f t="shared" si="88"/>
        <v>183</v>
      </c>
      <c r="AD194" s="711">
        <f t="shared" si="89"/>
        <v>224</v>
      </c>
      <c r="AE194" s="711">
        <f t="shared" si="102"/>
        <v>133</v>
      </c>
      <c r="AF194" s="711">
        <f t="shared" si="109"/>
        <v>160</v>
      </c>
      <c r="AG194" s="711">
        <f t="shared" si="110"/>
        <v>143</v>
      </c>
      <c r="AH194" s="711">
        <f t="shared" si="103"/>
        <v>55</v>
      </c>
      <c r="AI194" s="711">
        <f t="shared" si="104"/>
        <v>11</v>
      </c>
      <c r="AJ194" s="711">
        <f t="shared" si="105"/>
        <v>247</v>
      </c>
      <c r="AK194" s="711">
        <f t="shared" si="106"/>
        <v>246</v>
      </c>
      <c r="AL194" s="711">
        <f t="shared" si="107"/>
        <v>167</v>
      </c>
      <c r="AM194" s="711">
        <f t="shared" si="108"/>
        <v>168</v>
      </c>
      <c r="AN194" s="711">
        <f t="shared" si="118"/>
        <v>185</v>
      </c>
      <c r="AO194" s="711">
        <f t="shared" si="119"/>
        <v>270</v>
      </c>
      <c r="AP194" s="711">
        <f t="shared" si="120"/>
        <v>221</v>
      </c>
      <c r="AQ194" s="711">
        <f t="shared" si="111"/>
        <v>262</v>
      </c>
      <c r="AR194" s="711">
        <f t="shared" si="112"/>
        <v>201</v>
      </c>
      <c r="AS194" s="711">
        <f t="shared" si="113"/>
        <v>166</v>
      </c>
      <c r="AT194" s="711">
        <f t="shared" si="114"/>
        <v>134</v>
      </c>
      <c r="AU194" s="711">
        <f t="shared" si="115"/>
        <v>35</v>
      </c>
      <c r="AV194" s="711">
        <f t="shared" si="116"/>
        <v>161</v>
      </c>
      <c r="AW194" s="711">
        <f t="shared" si="117"/>
        <v>261</v>
      </c>
      <c r="AX194" s="711">
        <f t="shared" si="101"/>
        <v>316</v>
      </c>
      <c r="AY194" s="711">
        <f t="shared" si="101"/>
        <v>216</v>
      </c>
      <c r="AZ194" s="711">
        <f t="shared" si="101"/>
        <v>475</v>
      </c>
      <c r="BA194" s="711">
        <f t="shared" si="101"/>
        <v>497</v>
      </c>
    </row>
    <row r="195" spans="1:53">
      <c r="A195" s="106">
        <f t="shared" si="87"/>
        <v>184</v>
      </c>
      <c r="B195" s="858">
        <v>42188</v>
      </c>
      <c r="C195" s="859" t="s">
        <v>1725</v>
      </c>
      <c r="D195" s="860">
        <v>4458</v>
      </c>
      <c r="E195" s="860">
        <v>4356</v>
      </c>
      <c r="F195" s="860">
        <v>4356</v>
      </c>
      <c r="G195" s="860">
        <v>4271</v>
      </c>
      <c r="H195" s="860">
        <v>4280</v>
      </c>
      <c r="I195" s="860">
        <v>4324</v>
      </c>
      <c r="J195" s="860">
        <v>4284</v>
      </c>
      <c r="K195" s="860">
        <v>4445</v>
      </c>
      <c r="L195" s="860">
        <v>4694</v>
      </c>
      <c r="M195" s="860">
        <v>4969</v>
      </c>
      <c r="N195" s="860">
        <v>5239</v>
      </c>
      <c r="O195" s="860">
        <v>5508</v>
      </c>
      <c r="P195" s="860">
        <v>5711</v>
      </c>
      <c r="Q195" s="860">
        <v>5883</v>
      </c>
      <c r="R195" s="860">
        <v>6213</v>
      </c>
      <c r="S195" s="860">
        <v>6473</v>
      </c>
      <c r="T195" s="860">
        <v>6681</v>
      </c>
      <c r="U195" s="860">
        <v>6834</v>
      </c>
      <c r="V195" s="860">
        <v>6697</v>
      </c>
      <c r="W195" s="860">
        <v>6418</v>
      </c>
      <c r="X195" s="860">
        <v>6204</v>
      </c>
      <c r="Y195" s="860">
        <v>5979</v>
      </c>
      <c r="Z195" s="860">
        <v>5531</v>
      </c>
      <c r="AA195" s="860">
        <v>5033</v>
      </c>
      <c r="AC195" s="712">
        <f t="shared" si="88"/>
        <v>184</v>
      </c>
      <c r="AD195" s="711">
        <f t="shared" si="89"/>
        <v>350</v>
      </c>
      <c r="AE195" s="711">
        <f t="shared" si="102"/>
        <v>102</v>
      </c>
      <c r="AF195" s="711">
        <f t="shared" si="109"/>
        <v>0</v>
      </c>
      <c r="AG195" s="711">
        <f t="shared" si="110"/>
        <v>85</v>
      </c>
      <c r="AH195" s="711">
        <f t="shared" si="103"/>
        <v>9</v>
      </c>
      <c r="AI195" s="711">
        <f t="shared" si="104"/>
        <v>44</v>
      </c>
      <c r="AJ195" s="711">
        <f t="shared" si="105"/>
        <v>40</v>
      </c>
      <c r="AK195" s="711">
        <f t="shared" si="106"/>
        <v>161</v>
      </c>
      <c r="AL195" s="711">
        <f t="shared" si="107"/>
        <v>249</v>
      </c>
      <c r="AM195" s="711">
        <f t="shared" si="108"/>
        <v>275</v>
      </c>
      <c r="AN195" s="711">
        <f t="shared" si="118"/>
        <v>270</v>
      </c>
      <c r="AO195" s="711">
        <f t="shared" si="119"/>
        <v>269</v>
      </c>
      <c r="AP195" s="711">
        <f t="shared" si="120"/>
        <v>203</v>
      </c>
      <c r="AQ195" s="711">
        <f t="shared" si="111"/>
        <v>172</v>
      </c>
      <c r="AR195" s="711">
        <f t="shared" si="112"/>
        <v>330</v>
      </c>
      <c r="AS195" s="711">
        <f t="shared" si="113"/>
        <v>260</v>
      </c>
      <c r="AT195" s="711">
        <f t="shared" si="114"/>
        <v>208</v>
      </c>
      <c r="AU195" s="711">
        <f t="shared" si="115"/>
        <v>153</v>
      </c>
      <c r="AV195" s="711">
        <f t="shared" si="116"/>
        <v>137</v>
      </c>
      <c r="AW195" s="711">
        <f t="shared" si="117"/>
        <v>279</v>
      </c>
      <c r="AX195" s="711">
        <f t="shared" si="101"/>
        <v>214</v>
      </c>
      <c r="AY195" s="711">
        <f t="shared" si="101"/>
        <v>225</v>
      </c>
      <c r="AZ195" s="711">
        <f t="shared" si="101"/>
        <v>448</v>
      </c>
      <c r="BA195" s="711">
        <f t="shared" si="101"/>
        <v>498</v>
      </c>
    </row>
    <row r="196" spans="1:53">
      <c r="A196" s="106">
        <f t="shared" si="87"/>
        <v>185</v>
      </c>
      <c r="B196" s="858">
        <v>42189</v>
      </c>
      <c r="C196" s="859" t="s">
        <v>1725</v>
      </c>
      <c r="D196" s="860">
        <v>4637</v>
      </c>
      <c r="E196" s="860">
        <v>4491</v>
      </c>
      <c r="F196" s="860">
        <v>4363</v>
      </c>
      <c r="G196" s="860">
        <v>4240</v>
      </c>
      <c r="H196" s="860">
        <v>4196</v>
      </c>
      <c r="I196" s="860">
        <v>4177</v>
      </c>
      <c r="J196" s="860">
        <v>4171</v>
      </c>
      <c r="K196" s="860">
        <v>4342</v>
      </c>
      <c r="L196" s="860">
        <v>4641</v>
      </c>
      <c r="M196" s="860">
        <v>4998</v>
      </c>
      <c r="N196" s="860">
        <v>5409</v>
      </c>
      <c r="O196" s="860">
        <v>5773</v>
      </c>
      <c r="P196" s="860">
        <v>6130</v>
      </c>
      <c r="Q196" s="860">
        <v>6382</v>
      </c>
      <c r="R196" s="860">
        <v>6553</v>
      </c>
      <c r="S196" s="860">
        <v>6620</v>
      </c>
      <c r="T196" s="860">
        <v>6483</v>
      </c>
      <c r="U196" s="860">
        <v>6214</v>
      </c>
      <c r="V196" s="860">
        <v>5900</v>
      </c>
      <c r="W196" s="860">
        <v>5625</v>
      </c>
      <c r="X196" s="860">
        <v>5458</v>
      </c>
      <c r="Y196" s="860">
        <v>5263</v>
      </c>
      <c r="Z196" s="860">
        <v>5071</v>
      </c>
      <c r="AA196" s="860">
        <v>4802</v>
      </c>
      <c r="AC196" s="712">
        <f t="shared" si="88"/>
        <v>185</v>
      </c>
      <c r="AD196" s="711">
        <f t="shared" si="89"/>
        <v>396</v>
      </c>
      <c r="AE196" s="711">
        <f t="shared" si="102"/>
        <v>146</v>
      </c>
      <c r="AF196" s="711">
        <f t="shared" si="109"/>
        <v>128</v>
      </c>
      <c r="AG196" s="711">
        <f t="shared" si="110"/>
        <v>123</v>
      </c>
      <c r="AH196" s="711">
        <f t="shared" si="103"/>
        <v>44</v>
      </c>
      <c r="AI196" s="711">
        <f t="shared" si="104"/>
        <v>19</v>
      </c>
      <c r="AJ196" s="711">
        <f t="shared" si="105"/>
        <v>6</v>
      </c>
      <c r="AK196" s="711">
        <f t="shared" si="106"/>
        <v>171</v>
      </c>
      <c r="AL196" s="711">
        <f t="shared" si="107"/>
        <v>299</v>
      </c>
      <c r="AM196" s="711">
        <f t="shared" si="108"/>
        <v>357</v>
      </c>
      <c r="AN196" s="711">
        <f t="shared" si="118"/>
        <v>411</v>
      </c>
      <c r="AO196" s="711">
        <f t="shared" si="119"/>
        <v>364</v>
      </c>
      <c r="AP196" s="711">
        <f t="shared" si="120"/>
        <v>357</v>
      </c>
      <c r="AQ196" s="711">
        <f t="shared" si="111"/>
        <v>252</v>
      </c>
      <c r="AR196" s="711">
        <f t="shared" si="112"/>
        <v>171</v>
      </c>
      <c r="AS196" s="711">
        <f t="shared" si="113"/>
        <v>67</v>
      </c>
      <c r="AT196" s="711">
        <f t="shared" si="114"/>
        <v>137</v>
      </c>
      <c r="AU196" s="711">
        <f t="shared" si="115"/>
        <v>269</v>
      </c>
      <c r="AV196" s="711">
        <f t="shared" si="116"/>
        <v>314</v>
      </c>
      <c r="AW196" s="711">
        <f t="shared" si="117"/>
        <v>275</v>
      </c>
      <c r="AX196" s="711">
        <f t="shared" si="101"/>
        <v>167</v>
      </c>
      <c r="AY196" s="711">
        <f t="shared" si="101"/>
        <v>195</v>
      </c>
      <c r="AZ196" s="711">
        <f t="shared" si="101"/>
        <v>192</v>
      </c>
      <c r="BA196" s="711">
        <f t="shared" si="101"/>
        <v>269</v>
      </c>
    </row>
    <row r="197" spans="1:53">
      <c r="A197" s="106">
        <f t="shared" si="87"/>
        <v>186</v>
      </c>
      <c r="B197" s="858">
        <v>42190</v>
      </c>
      <c r="C197" s="859" t="s">
        <v>1725</v>
      </c>
      <c r="D197" s="860">
        <v>4576</v>
      </c>
      <c r="E197" s="860">
        <v>4490</v>
      </c>
      <c r="F197" s="860">
        <v>4312</v>
      </c>
      <c r="G197" s="860">
        <v>4208</v>
      </c>
      <c r="H197" s="860">
        <v>4157</v>
      </c>
      <c r="I197" s="860">
        <v>4111</v>
      </c>
      <c r="J197" s="860">
        <v>4024</v>
      </c>
      <c r="K197" s="860">
        <v>4211</v>
      </c>
      <c r="L197" s="860">
        <v>4565</v>
      </c>
      <c r="M197" s="860">
        <v>5012</v>
      </c>
      <c r="N197" s="860">
        <v>5445</v>
      </c>
      <c r="O197" s="860">
        <v>5880</v>
      </c>
      <c r="P197" s="860">
        <v>6210</v>
      </c>
      <c r="Q197" s="860">
        <v>6419</v>
      </c>
      <c r="R197" s="860">
        <v>6383</v>
      </c>
      <c r="S197" s="860">
        <v>6382</v>
      </c>
      <c r="T197" s="860">
        <v>6246</v>
      </c>
      <c r="U197" s="860">
        <v>6028</v>
      </c>
      <c r="V197" s="860">
        <v>5745</v>
      </c>
      <c r="W197" s="860">
        <v>5608</v>
      </c>
      <c r="X197" s="860">
        <v>5598</v>
      </c>
      <c r="Y197" s="860">
        <v>5536</v>
      </c>
      <c r="Z197" s="860">
        <v>5088</v>
      </c>
      <c r="AA197" s="860">
        <v>4614</v>
      </c>
      <c r="AC197" s="712">
        <f t="shared" si="88"/>
        <v>186</v>
      </c>
      <c r="AD197" s="711">
        <f t="shared" si="89"/>
        <v>226</v>
      </c>
      <c r="AE197" s="711">
        <f t="shared" si="102"/>
        <v>86</v>
      </c>
      <c r="AF197" s="711">
        <f t="shared" si="109"/>
        <v>178</v>
      </c>
      <c r="AG197" s="711">
        <f t="shared" si="110"/>
        <v>104</v>
      </c>
      <c r="AH197" s="711">
        <f t="shared" si="103"/>
        <v>51</v>
      </c>
      <c r="AI197" s="711">
        <f t="shared" si="104"/>
        <v>46</v>
      </c>
      <c r="AJ197" s="711">
        <f t="shared" si="105"/>
        <v>87</v>
      </c>
      <c r="AK197" s="711">
        <f t="shared" si="106"/>
        <v>187</v>
      </c>
      <c r="AL197" s="711">
        <f t="shared" si="107"/>
        <v>354</v>
      </c>
      <c r="AM197" s="711">
        <f t="shared" si="108"/>
        <v>447</v>
      </c>
      <c r="AN197" s="711">
        <f t="shared" si="118"/>
        <v>433</v>
      </c>
      <c r="AO197" s="711">
        <f t="shared" si="119"/>
        <v>435</v>
      </c>
      <c r="AP197" s="711">
        <f t="shared" si="120"/>
        <v>330</v>
      </c>
      <c r="AQ197" s="711">
        <f t="shared" si="111"/>
        <v>209</v>
      </c>
      <c r="AR197" s="711">
        <f t="shared" si="112"/>
        <v>36</v>
      </c>
      <c r="AS197" s="711">
        <f t="shared" si="113"/>
        <v>1</v>
      </c>
      <c r="AT197" s="711">
        <f t="shared" si="114"/>
        <v>136</v>
      </c>
      <c r="AU197" s="711">
        <f t="shared" si="115"/>
        <v>218</v>
      </c>
      <c r="AV197" s="711">
        <f t="shared" si="116"/>
        <v>283</v>
      </c>
      <c r="AW197" s="711">
        <f t="shared" si="117"/>
        <v>137</v>
      </c>
      <c r="AX197" s="711">
        <f t="shared" si="101"/>
        <v>10</v>
      </c>
      <c r="AY197" s="711">
        <f t="shared" si="101"/>
        <v>62</v>
      </c>
      <c r="AZ197" s="711">
        <f t="shared" si="101"/>
        <v>448</v>
      </c>
      <c r="BA197" s="711">
        <f t="shared" si="101"/>
        <v>474</v>
      </c>
    </row>
    <row r="198" spans="1:53">
      <c r="A198" s="106">
        <f t="shared" si="87"/>
        <v>187</v>
      </c>
      <c r="B198" s="858">
        <v>42191</v>
      </c>
      <c r="C198" s="859" t="s">
        <v>1725</v>
      </c>
      <c r="D198" s="860">
        <v>4428</v>
      </c>
      <c r="E198" s="860">
        <v>4365</v>
      </c>
      <c r="F198" s="860">
        <v>4267</v>
      </c>
      <c r="G198" s="860">
        <v>4221</v>
      </c>
      <c r="H198" s="860">
        <v>4287</v>
      </c>
      <c r="I198" s="860">
        <v>4452</v>
      </c>
      <c r="J198" s="860">
        <v>4636</v>
      </c>
      <c r="K198" s="860">
        <v>4840</v>
      </c>
      <c r="L198" s="860">
        <v>5045</v>
      </c>
      <c r="M198" s="860">
        <v>5233</v>
      </c>
      <c r="N198" s="860">
        <v>5336</v>
      </c>
      <c r="O198" s="860">
        <v>5383</v>
      </c>
      <c r="P198" s="860">
        <v>5364</v>
      </c>
      <c r="Q198" s="860">
        <v>5447</v>
      </c>
      <c r="R198" s="860">
        <v>5429</v>
      </c>
      <c r="S198" s="860">
        <v>5409</v>
      </c>
      <c r="T198" s="860">
        <v>5320</v>
      </c>
      <c r="U198" s="860">
        <v>5286</v>
      </c>
      <c r="V198" s="860">
        <v>5213</v>
      </c>
      <c r="W198" s="860">
        <v>5112</v>
      </c>
      <c r="X198" s="860">
        <v>5138</v>
      </c>
      <c r="Y198" s="860">
        <v>5066</v>
      </c>
      <c r="Z198" s="860">
        <v>4678</v>
      </c>
      <c r="AA198" s="860">
        <v>4429</v>
      </c>
      <c r="AC198" s="712">
        <f t="shared" si="88"/>
        <v>187</v>
      </c>
      <c r="AD198" s="711">
        <f t="shared" si="89"/>
        <v>186</v>
      </c>
      <c r="AE198" s="711">
        <f t="shared" si="102"/>
        <v>63</v>
      </c>
      <c r="AF198" s="711">
        <f t="shared" si="109"/>
        <v>98</v>
      </c>
      <c r="AG198" s="711">
        <f t="shared" si="110"/>
        <v>46</v>
      </c>
      <c r="AH198" s="711">
        <f t="shared" si="103"/>
        <v>66</v>
      </c>
      <c r="AI198" s="711">
        <f t="shared" si="104"/>
        <v>165</v>
      </c>
      <c r="AJ198" s="711">
        <f t="shared" si="105"/>
        <v>184</v>
      </c>
      <c r="AK198" s="711">
        <f t="shared" si="106"/>
        <v>204</v>
      </c>
      <c r="AL198" s="711">
        <f t="shared" si="107"/>
        <v>205</v>
      </c>
      <c r="AM198" s="711">
        <f t="shared" si="108"/>
        <v>188</v>
      </c>
      <c r="AN198" s="711">
        <f t="shared" si="118"/>
        <v>103</v>
      </c>
      <c r="AO198" s="711">
        <f t="shared" si="119"/>
        <v>47</v>
      </c>
      <c r="AP198" s="711">
        <f t="shared" si="120"/>
        <v>19</v>
      </c>
      <c r="AQ198" s="711">
        <f t="shared" si="111"/>
        <v>83</v>
      </c>
      <c r="AR198" s="711">
        <f t="shared" si="112"/>
        <v>18</v>
      </c>
      <c r="AS198" s="711">
        <f t="shared" si="113"/>
        <v>20</v>
      </c>
      <c r="AT198" s="711">
        <f t="shared" si="114"/>
        <v>89</v>
      </c>
      <c r="AU198" s="711">
        <f t="shared" si="115"/>
        <v>34</v>
      </c>
      <c r="AV198" s="711">
        <f t="shared" si="116"/>
        <v>73</v>
      </c>
      <c r="AW198" s="711">
        <f t="shared" si="117"/>
        <v>101</v>
      </c>
      <c r="AX198" s="711">
        <f t="shared" si="101"/>
        <v>26</v>
      </c>
      <c r="AY198" s="711">
        <f t="shared" si="101"/>
        <v>72</v>
      </c>
      <c r="AZ198" s="711">
        <f t="shared" si="101"/>
        <v>388</v>
      </c>
      <c r="BA198" s="711">
        <f t="shared" si="101"/>
        <v>249</v>
      </c>
    </row>
    <row r="199" spans="1:53">
      <c r="A199" s="106">
        <f t="shared" si="87"/>
        <v>188</v>
      </c>
      <c r="B199" s="858">
        <v>42192</v>
      </c>
      <c r="C199" s="859" t="s">
        <v>1725</v>
      </c>
      <c r="D199" s="860">
        <v>4202</v>
      </c>
      <c r="E199" s="860">
        <v>4029</v>
      </c>
      <c r="F199" s="860">
        <v>3959</v>
      </c>
      <c r="G199" s="860">
        <v>3918</v>
      </c>
      <c r="H199" s="860">
        <v>3940</v>
      </c>
      <c r="I199" s="860">
        <v>4092</v>
      </c>
      <c r="J199" s="860">
        <v>4331</v>
      </c>
      <c r="K199" s="860">
        <v>4572</v>
      </c>
      <c r="L199" s="860">
        <v>4791</v>
      </c>
      <c r="M199" s="860">
        <v>4976</v>
      </c>
      <c r="N199" s="860">
        <v>5088</v>
      </c>
      <c r="O199" s="860">
        <v>5194</v>
      </c>
      <c r="P199" s="860">
        <v>5301</v>
      </c>
      <c r="Q199" s="860">
        <v>5401</v>
      </c>
      <c r="R199" s="860">
        <v>5435</v>
      </c>
      <c r="S199" s="860">
        <v>5408</v>
      </c>
      <c r="T199" s="860">
        <v>5348</v>
      </c>
      <c r="U199" s="860">
        <v>5274</v>
      </c>
      <c r="V199" s="860">
        <v>5192</v>
      </c>
      <c r="W199" s="860">
        <v>5128</v>
      </c>
      <c r="X199" s="860">
        <v>5200</v>
      </c>
      <c r="Y199" s="860">
        <v>5109</v>
      </c>
      <c r="Z199" s="860">
        <v>4709</v>
      </c>
      <c r="AA199" s="860">
        <v>4469</v>
      </c>
      <c r="AC199" s="712">
        <f t="shared" si="88"/>
        <v>188</v>
      </c>
      <c r="AD199" s="711">
        <f t="shared" si="89"/>
        <v>227</v>
      </c>
      <c r="AE199" s="711">
        <f t="shared" si="102"/>
        <v>173</v>
      </c>
      <c r="AF199" s="711">
        <f t="shared" si="109"/>
        <v>70</v>
      </c>
      <c r="AG199" s="711">
        <f t="shared" si="110"/>
        <v>41</v>
      </c>
      <c r="AH199" s="711">
        <f t="shared" si="103"/>
        <v>22</v>
      </c>
      <c r="AI199" s="711">
        <f t="shared" si="104"/>
        <v>152</v>
      </c>
      <c r="AJ199" s="711">
        <f t="shared" si="105"/>
        <v>239</v>
      </c>
      <c r="AK199" s="711">
        <f t="shared" si="106"/>
        <v>241</v>
      </c>
      <c r="AL199" s="711">
        <f t="shared" si="107"/>
        <v>219</v>
      </c>
      <c r="AM199" s="711">
        <f t="shared" si="108"/>
        <v>185</v>
      </c>
      <c r="AN199" s="711">
        <f t="shared" si="118"/>
        <v>112</v>
      </c>
      <c r="AO199" s="711">
        <f t="shared" si="119"/>
        <v>106</v>
      </c>
      <c r="AP199" s="711">
        <f t="shared" si="120"/>
        <v>107</v>
      </c>
      <c r="AQ199" s="711">
        <f t="shared" si="111"/>
        <v>100</v>
      </c>
      <c r="AR199" s="711">
        <f t="shared" si="112"/>
        <v>34</v>
      </c>
      <c r="AS199" s="711">
        <f t="shared" si="113"/>
        <v>27</v>
      </c>
      <c r="AT199" s="711">
        <f t="shared" si="114"/>
        <v>60</v>
      </c>
      <c r="AU199" s="711">
        <f t="shared" si="115"/>
        <v>74</v>
      </c>
      <c r="AV199" s="711">
        <f t="shared" si="116"/>
        <v>82</v>
      </c>
      <c r="AW199" s="711">
        <f t="shared" si="117"/>
        <v>64</v>
      </c>
      <c r="AX199" s="711">
        <f t="shared" si="101"/>
        <v>72</v>
      </c>
      <c r="AY199" s="711">
        <f t="shared" si="101"/>
        <v>91</v>
      </c>
      <c r="AZ199" s="711">
        <f t="shared" si="101"/>
        <v>400</v>
      </c>
      <c r="BA199" s="711">
        <f t="shared" si="101"/>
        <v>240</v>
      </c>
    </row>
    <row r="200" spans="1:53">
      <c r="A200" s="106">
        <f t="shared" si="87"/>
        <v>189</v>
      </c>
      <c r="B200" s="858">
        <v>42193</v>
      </c>
      <c r="C200" s="859" t="s">
        <v>1725</v>
      </c>
      <c r="D200" s="860">
        <v>4270</v>
      </c>
      <c r="E200" s="860">
        <v>4089</v>
      </c>
      <c r="F200" s="860">
        <v>4007</v>
      </c>
      <c r="G200" s="860">
        <v>3993</v>
      </c>
      <c r="H200" s="860">
        <v>3914</v>
      </c>
      <c r="I200" s="860">
        <v>4153</v>
      </c>
      <c r="J200" s="860">
        <v>4374</v>
      </c>
      <c r="K200" s="860">
        <v>4642</v>
      </c>
      <c r="L200" s="860">
        <v>4856</v>
      </c>
      <c r="M200" s="860">
        <v>4986</v>
      </c>
      <c r="N200" s="860">
        <v>5083</v>
      </c>
      <c r="O200" s="860">
        <v>5170</v>
      </c>
      <c r="P200" s="860">
        <v>5264</v>
      </c>
      <c r="Q200" s="860">
        <v>5366</v>
      </c>
      <c r="R200" s="860">
        <v>5356</v>
      </c>
      <c r="S200" s="860">
        <v>5284</v>
      </c>
      <c r="T200" s="860">
        <v>5231</v>
      </c>
      <c r="U200" s="860">
        <v>5204</v>
      </c>
      <c r="V200" s="860">
        <v>5135</v>
      </c>
      <c r="W200" s="860">
        <v>5022</v>
      </c>
      <c r="X200" s="860">
        <v>5061</v>
      </c>
      <c r="Y200" s="860">
        <v>4979</v>
      </c>
      <c r="Z200" s="860">
        <v>4595</v>
      </c>
      <c r="AA200" s="860">
        <v>4288</v>
      </c>
      <c r="AC200" s="712">
        <f t="shared" si="88"/>
        <v>189</v>
      </c>
      <c r="AD200" s="711">
        <f t="shared" si="89"/>
        <v>199</v>
      </c>
      <c r="AE200" s="711">
        <f t="shared" si="102"/>
        <v>181</v>
      </c>
      <c r="AF200" s="711">
        <f t="shared" si="109"/>
        <v>82</v>
      </c>
      <c r="AG200" s="711">
        <f t="shared" si="110"/>
        <v>14</v>
      </c>
      <c r="AH200" s="711">
        <f t="shared" si="103"/>
        <v>79</v>
      </c>
      <c r="AI200" s="711">
        <f t="shared" si="104"/>
        <v>239</v>
      </c>
      <c r="AJ200" s="711">
        <f t="shared" si="105"/>
        <v>221</v>
      </c>
      <c r="AK200" s="711">
        <f t="shared" si="106"/>
        <v>268</v>
      </c>
      <c r="AL200" s="711">
        <f t="shared" si="107"/>
        <v>214</v>
      </c>
      <c r="AM200" s="711">
        <f t="shared" si="108"/>
        <v>130</v>
      </c>
      <c r="AN200" s="711">
        <f t="shared" si="118"/>
        <v>97</v>
      </c>
      <c r="AO200" s="711">
        <f t="shared" si="119"/>
        <v>87</v>
      </c>
      <c r="AP200" s="711">
        <f t="shared" si="120"/>
        <v>94</v>
      </c>
      <c r="AQ200" s="711">
        <f t="shared" si="111"/>
        <v>102</v>
      </c>
      <c r="AR200" s="711">
        <f t="shared" si="112"/>
        <v>10</v>
      </c>
      <c r="AS200" s="711">
        <f t="shared" si="113"/>
        <v>72</v>
      </c>
      <c r="AT200" s="711">
        <f t="shared" si="114"/>
        <v>53</v>
      </c>
      <c r="AU200" s="711">
        <f t="shared" si="115"/>
        <v>27</v>
      </c>
      <c r="AV200" s="711">
        <f t="shared" si="116"/>
        <v>69</v>
      </c>
      <c r="AW200" s="711">
        <f t="shared" si="117"/>
        <v>113</v>
      </c>
      <c r="AX200" s="711">
        <f t="shared" si="101"/>
        <v>39</v>
      </c>
      <c r="AY200" s="711">
        <f t="shared" si="101"/>
        <v>82</v>
      </c>
      <c r="AZ200" s="711">
        <f t="shared" si="101"/>
        <v>384</v>
      </c>
      <c r="BA200" s="711">
        <f t="shared" si="101"/>
        <v>307</v>
      </c>
    </row>
    <row r="201" spans="1:53">
      <c r="A201" s="106">
        <f t="shared" si="87"/>
        <v>190</v>
      </c>
      <c r="B201" s="858">
        <v>42194</v>
      </c>
      <c r="C201" s="859" t="s">
        <v>1725</v>
      </c>
      <c r="D201" s="860">
        <v>4169</v>
      </c>
      <c r="E201" s="860">
        <v>4050</v>
      </c>
      <c r="F201" s="860">
        <v>3968</v>
      </c>
      <c r="G201" s="860">
        <v>3959</v>
      </c>
      <c r="H201" s="860">
        <v>4009</v>
      </c>
      <c r="I201" s="860">
        <v>4108</v>
      </c>
      <c r="J201" s="860">
        <v>4284</v>
      </c>
      <c r="K201" s="860">
        <v>4497</v>
      </c>
      <c r="L201" s="860">
        <v>4714</v>
      </c>
      <c r="M201" s="860">
        <v>4872</v>
      </c>
      <c r="N201" s="860">
        <v>5003</v>
      </c>
      <c r="O201" s="860">
        <v>5186</v>
      </c>
      <c r="P201" s="860">
        <v>5295</v>
      </c>
      <c r="Q201" s="860">
        <v>5485</v>
      </c>
      <c r="R201" s="860">
        <v>5562</v>
      </c>
      <c r="S201" s="860">
        <v>5746</v>
      </c>
      <c r="T201" s="860">
        <v>5902</v>
      </c>
      <c r="U201" s="860">
        <v>5853</v>
      </c>
      <c r="V201" s="860">
        <v>5605</v>
      </c>
      <c r="W201" s="860">
        <v>5426</v>
      </c>
      <c r="X201" s="860">
        <v>5406</v>
      </c>
      <c r="Y201" s="860">
        <v>5307</v>
      </c>
      <c r="Z201" s="860">
        <v>4879</v>
      </c>
      <c r="AA201" s="860">
        <v>4527</v>
      </c>
      <c r="AC201" s="712">
        <f t="shared" si="88"/>
        <v>190</v>
      </c>
      <c r="AD201" s="711">
        <f t="shared" si="89"/>
        <v>119</v>
      </c>
      <c r="AE201" s="711">
        <f t="shared" si="102"/>
        <v>119</v>
      </c>
      <c r="AF201" s="711">
        <f t="shared" si="109"/>
        <v>82</v>
      </c>
      <c r="AG201" s="711">
        <f t="shared" si="110"/>
        <v>9</v>
      </c>
      <c r="AH201" s="711">
        <f t="shared" si="103"/>
        <v>50</v>
      </c>
      <c r="AI201" s="711">
        <f t="shared" si="104"/>
        <v>99</v>
      </c>
      <c r="AJ201" s="711">
        <f t="shared" si="105"/>
        <v>176</v>
      </c>
      <c r="AK201" s="711">
        <f t="shared" si="106"/>
        <v>213</v>
      </c>
      <c r="AL201" s="711">
        <f t="shared" si="107"/>
        <v>217</v>
      </c>
      <c r="AM201" s="711">
        <f t="shared" si="108"/>
        <v>158</v>
      </c>
      <c r="AN201" s="711">
        <f t="shared" si="118"/>
        <v>131</v>
      </c>
      <c r="AO201" s="711">
        <f t="shared" si="119"/>
        <v>183</v>
      </c>
      <c r="AP201" s="711">
        <f t="shared" si="120"/>
        <v>109</v>
      </c>
      <c r="AQ201" s="711">
        <f t="shared" si="111"/>
        <v>190</v>
      </c>
      <c r="AR201" s="711">
        <f t="shared" si="112"/>
        <v>77</v>
      </c>
      <c r="AS201" s="711">
        <f t="shared" si="113"/>
        <v>184</v>
      </c>
      <c r="AT201" s="711">
        <f t="shared" si="114"/>
        <v>156</v>
      </c>
      <c r="AU201" s="711">
        <f t="shared" si="115"/>
        <v>49</v>
      </c>
      <c r="AV201" s="711">
        <f t="shared" si="116"/>
        <v>248</v>
      </c>
      <c r="AW201" s="711">
        <f t="shared" si="117"/>
        <v>179</v>
      </c>
      <c r="AX201" s="711">
        <f t="shared" si="101"/>
        <v>20</v>
      </c>
      <c r="AY201" s="711">
        <f t="shared" si="101"/>
        <v>99</v>
      </c>
      <c r="AZ201" s="711">
        <f t="shared" si="101"/>
        <v>428</v>
      </c>
      <c r="BA201" s="711">
        <f t="shared" si="101"/>
        <v>352</v>
      </c>
    </row>
    <row r="202" spans="1:53">
      <c r="A202" s="106">
        <f t="shared" si="87"/>
        <v>191</v>
      </c>
      <c r="B202" s="858">
        <v>42195</v>
      </c>
      <c r="C202" s="859" t="s">
        <v>1725</v>
      </c>
      <c r="D202" s="860">
        <v>4377</v>
      </c>
      <c r="E202" s="860">
        <v>4161</v>
      </c>
      <c r="F202" s="860">
        <v>4083</v>
      </c>
      <c r="G202" s="860">
        <v>4069</v>
      </c>
      <c r="H202" s="860">
        <v>4088</v>
      </c>
      <c r="I202" s="860">
        <v>4144</v>
      </c>
      <c r="J202" s="860">
        <v>4297</v>
      </c>
      <c r="K202" s="860">
        <v>4599</v>
      </c>
      <c r="L202" s="860">
        <v>4896</v>
      </c>
      <c r="M202" s="860">
        <v>5173</v>
      </c>
      <c r="N202" s="860">
        <v>5347</v>
      </c>
      <c r="O202" s="860">
        <v>5517</v>
      </c>
      <c r="P202" s="860">
        <v>5702</v>
      </c>
      <c r="Q202" s="860">
        <v>5918</v>
      </c>
      <c r="R202" s="860">
        <v>6080</v>
      </c>
      <c r="S202" s="860">
        <v>6279</v>
      </c>
      <c r="T202" s="860">
        <v>6494</v>
      </c>
      <c r="U202" s="860">
        <v>6538</v>
      </c>
      <c r="V202" s="860">
        <v>6401</v>
      </c>
      <c r="W202" s="860">
        <v>6199</v>
      </c>
      <c r="X202" s="860">
        <v>5955</v>
      </c>
      <c r="Y202" s="860">
        <v>5702</v>
      </c>
      <c r="Z202" s="860">
        <v>5207</v>
      </c>
      <c r="AA202" s="860">
        <v>4719</v>
      </c>
      <c r="AC202" s="712">
        <f t="shared" si="88"/>
        <v>191</v>
      </c>
      <c r="AD202" s="711">
        <f t="shared" si="89"/>
        <v>150</v>
      </c>
      <c r="AE202" s="711">
        <f t="shared" si="102"/>
        <v>216</v>
      </c>
      <c r="AF202" s="711">
        <f t="shared" si="109"/>
        <v>78</v>
      </c>
      <c r="AG202" s="711">
        <f t="shared" si="110"/>
        <v>14</v>
      </c>
      <c r="AH202" s="711">
        <f t="shared" si="103"/>
        <v>19</v>
      </c>
      <c r="AI202" s="711">
        <f t="shared" si="104"/>
        <v>56</v>
      </c>
      <c r="AJ202" s="711">
        <f t="shared" si="105"/>
        <v>153</v>
      </c>
      <c r="AK202" s="711">
        <f t="shared" si="106"/>
        <v>302</v>
      </c>
      <c r="AL202" s="711">
        <f t="shared" si="107"/>
        <v>297</v>
      </c>
      <c r="AM202" s="711">
        <f t="shared" si="108"/>
        <v>277</v>
      </c>
      <c r="AN202" s="711">
        <f t="shared" si="118"/>
        <v>174</v>
      </c>
      <c r="AO202" s="711">
        <f t="shared" si="119"/>
        <v>170</v>
      </c>
      <c r="AP202" s="711">
        <f t="shared" si="120"/>
        <v>185</v>
      </c>
      <c r="AQ202" s="711">
        <f t="shared" si="111"/>
        <v>216</v>
      </c>
      <c r="AR202" s="711">
        <f t="shared" si="112"/>
        <v>162</v>
      </c>
      <c r="AS202" s="711">
        <f t="shared" si="113"/>
        <v>199</v>
      </c>
      <c r="AT202" s="711">
        <f t="shared" si="114"/>
        <v>215</v>
      </c>
      <c r="AU202" s="711">
        <f t="shared" si="115"/>
        <v>44</v>
      </c>
      <c r="AV202" s="711">
        <f t="shared" si="116"/>
        <v>137</v>
      </c>
      <c r="AW202" s="711">
        <f t="shared" si="117"/>
        <v>202</v>
      </c>
      <c r="AX202" s="711">
        <f t="shared" si="101"/>
        <v>244</v>
      </c>
      <c r="AY202" s="711">
        <f t="shared" si="101"/>
        <v>253</v>
      </c>
      <c r="AZ202" s="711">
        <f t="shared" si="101"/>
        <v>495</v>
      </c>
      <c r="BA202" s="711">
        <f t="shared" si="101"/>
        <v>488</v>
      </c>
    </row>
    <row r="203" spans="1:53">
      <c r="A203" s="106">
        <f t="shared" si="87"/>
        <v>192</v>
      </c>
      <c r="B203" s="858">
        <v>42196</v>
      </c>
      <c r="C203" s="859" t="s">
        <v>1725</v>
      </c>
      <c r="D203" s="860">
        <v>4352</v>
      </c>
      <c r="E203" s="860">
        <v>4224</v>
      </c>
      <c r="F203" s="860">
        <v>4192</v>
      </c>
      <c r="G203" s="860">
        <v>4107</v>
      </c>
      <c r="H203" s="860">
        <v>4040</v>
      </c>
      <c r="I203" s="860">
        <v>4086</v>
      </c>
      <c r="J203" s="860">
        <v>4153</v>
      </c>
      <c r="K203" s="860">
        <v>4280</v>
      </c>
      <c r="L203" s="860">
        <v>4604</v>
      </c>
      <c r="M203" s="860">
        <v>4923</v>
      </c>
      <c r="N203" s="860">
        <v>5208</v>
      </c>
      <c r="O203" s="860">
        <v>5469</v>
      </c>
      <c r="P203" s="860">
        <v>5669</v>
      </c>
      <c r="Q203" s="860">
        <v>5781</v>
      </c>
      <c r="R203" s="860">
        <v>5987</v>
      </c>
      <c r="S203" s="860">
        <v>6219</v>
      </c>
      <c r="T203" s="860">
        <v>6356</v>
      </c>
      <c r="U203" s="860">
        <v>6387</v>
      </c>
      <c r="V203" s="860">
        <v>6178</v>
      </c>
      <c r="W203" s="860">
        <v>5911</v>
      </c>
      <c r="X203" s="860">
        <v>5681</v>
      </c>
      <c r="Y203" s="860">
        <v>5514</v>
      </c>
      <c r="Z203" s="860">
        <v>5113</v>
      </c>
      <c r="AA203" s="860">
        <v>4700</v>
      </c>
      <c r="AC203" s="712">
        <f t="shared" si="88"/>
        <v>192</v>
      </c>
      <c r="AD203" s="711">
        <f t="shared" si="89"/>
        <v>367</v>
      </c>
      <c r="AE203" s="711">
        <f t="shared" ref="AE203:AK239" si="121">ABS(E203-D203)</f>
        <v>128</v>
      </c>
      <c r="AF203" s="711">
        <f t="shared" si="121"/>
        <v>32</v>
      </c>
      <c r="AG203" s="711">
        <f t="shared" si="121"/>
        <v>85</v>
      </c>
      <c r="AH203" s="711">
        <f t="shared" si="121"/>
        <v>67</v>
      </c>
      <c r="AI203" s="711">
        <f t="shared" si="121"/>
        <v>46</v>
      </c>
      <c r="AJ203" s="711">
        <f t="shared" si="121"/>
        <v>67</v>
      </c>
      <c r="AK203" s="711">
        <f t="shared" si="121"/>
        <v>127</v>
      </c>
      <c r="AL203" s="711">
        <f t="shared" ref="AL203:AL249" si="122">ABS(L203-K203)</f>
        <v>324</v>
      </c>
      <c r="AM203" s="711">
        <f t="shared" ref="AM203:AM249" si="123">ABS(M203-L203)</f>
        <v>319</v>
      </c>
      <c r="AN203" s="711">
        <f t="shared" si="118"/>
        <v>285</v>
      </c>
      <c r="AO203" s="711">
        <f t="shared" si="119"/>
        <v>261</v>
      </c>
      <c r="AP203" s="711">
        <f t="shared" si="120"/>
        <v>200</v>
      </c>
      <c r="AQ203" s="711">
        <f t="shared" si="111"/>
        <v>112</v>
      </c>
      <c r="AR203" s="711">
        <f t="shared" si="112"/>
        <v>206</v>
      </c>
      <c r="AS203" s="711">
        <f t="shared" si="113"/>
        <v>232</v>
      </c>
      <c r="AT203" s="711">
        <f t="shared" si="114"/>
        <v>137</v>
      </c>
      <c r="AU203" s="711">
        <f t="shared" si="115"/>
        <v>31</v>
      </c>
      <c r="AV203" s="711">
        <f t="shared" si="116"/>
        <v>209</v>
      </c>
      <c r="AW203" s="711">
        <f t="shared" si="117"/>
        <v>267</v>
      </c>
      <c r="AX203" s="711">
        <f t="shared" si="101"/>
        <v>230</v>
      </c>
      <c r="AY203" s="711">
        <f t="shared" si="101"/>
        <v>167</v>
      </c>
      <c r="AZ203" s="711">
        <f t="shared" si="101"/>
        <v>401</v>
      </c>
      <c r="BA203" s="711">
        <f t="shared" si="101"/>
        <v>413</v>
      </c>
    </row>
    <row r="204" spans="1:53">
      <c r="A204" s="106">
        <f t="shared" si="87"/>
        <v>193</v>
      </c>
      <c r="B204" s="858">
        <v>42197</v>
      </c>
      <c r="C204" s="859" t="s">
        <v>1725</v>
      </c>
      <c r="D204" s="860">
        <v>4342</v>
      </c>
      <c r="E204" s="860">
        <v>4165</v>
      </c>
      <c r="F204" s="860">
        <v>4191</v>
      </c>
      <c r="G204" s="860">
        <v>4046</v>
      </c>
      <c r="H204" s="860">
        <v>4007</v>
      </c>
      <c r="I204" s="860">
        <v>3968</v>
      </c>
      <c r="J204" s="860">
        <v>4014</v>
      </c>
      <c r="K204" s="860">
        <v>4175</v>
      </c>
      <c r="L204" s="860">
        <v>4427</v>
      </c>
      <c r="M204" s="860">
        <v>4701</v>
      </c>
      <c r="N204" s="860">
        <v>5015</v>
      </c>
      <c r="O204" s="860">
        <v>5305</v>
      </c>
      <c r="P204" s="860">
        <v>5581</v>
      </c>
      <c r="Q204" s="860">
        <v>5860</v>
      </c>
      <c r="R204" s="860">
        <v>6166</v>
      </c>
      <c r="S204" s="860">
        <v>6468</v>
      </c>
      <c r="T204" s="860">
        <v>6757</v>
      </c>
      <c r="U204" s="860">
        <v>6940</v>
      </c>
      <c r="V204" s="860">
        <v>6855</v>
      </c>
      <c r="W204" s="860">
        <v>6625</v>
      </c>
      <c r="X204" s="860">
        <v>6431</v>
      </c>
      <c r="Y204" s="860">
        <v>6245</v>
      </c>
      <c r="Z204" s="860">
        <v>5640</v>
      </c>
      <c r="AA204" s="860">
        <v>5042</v>
      </c>
      <c r="AC204" s="712">
        <f t="shared" si="88"/>
        <v>193</v>
      </c>
      <c r="AD204" s="711">
        <f t="shared" si="89"/>
        <v>358</v>
      </c>
      <c r="AE204" s="711">
        <f t="shared" si="121"/>
        <v>177</v>
      </c>
      <c r="AF204" s="711">
        <f t="shared" si="121"/>
        <v>26</v>
      </c>
      <c r="AG204" s="711">
        <f t="shared" si="121"/>
        <v>145</v>
      </c>
      <c r="AH204" s="711">
        <f t="shared" si="121"/>
        <v>39</v>
      </c>
      <c r="AI204" s="711">
        <f t="shared" si="121"/>
        <v>39</v>
      </c>
      <c r="AJ204" s="711">
        <f t="shared" si="121"/>
        <v>46</v>
      </c>
      <c r="AK204" s="711">
        <f t="shared" si="121"/>
        <v>161</v>
      </c>
      <c r="AL204" s="711">
        <f t="shared" si="122"/>
        <v>252</v>
      </c>
      <c r="AM204" s="711">
        <f t="shared" si="123"/>
        <v>274</v>
      </c>
      <c r="AN204" s="711">
        <f t="shared" si="118"/>
        <v>314</v>
      </c>
      <c r="AO204" s="711">
        <f t="shared" si="119"/>
        <v>290</v>
      </c>
      <c r="AP204" s="711">
        <f t="shared" si="120"/>
        <v>276</v>
      </c>
      <c r="AQ204" s="711">
        <f t="shared" si="111"/>
        <v>279</v>
      </c>
      <c r="AR204" s="711">
        <f t="shared" si="112"/>
        <v>306</v>
      </c>
      <c r="AS204" s="711">
        <f t="shared" si="113"/>
        <v>302</v>
      </c>
      <c r="AT204" s="711">
        <f t="shared" si="114"/>
        <v>289</v>
      </c>
      <c r="AU204" s="711">
        <f t="shared" si="115"/>
        <v>183</v>
      </c>
      <c r="AV204" s="711">
        <f t="shared" si="116"/>
        <v>85</v>
      </c>
      <c r="AW204" s="711">
        <f t="shared" si="117"/>
        <v>230</v>
      </c>
      <c r="AX204" s="711">
        <f t="shared" si="101"/>
        <v>194</v>
      </c>
      <c r="AY204" s="711">
        <f t="shared" si="101"/>
        <v>186</v>
      </c>
      <c r="AZ204" s="711">
        <f t="shared" si="101"/>
        <v>605</v>
      </c>
      <c r="BA204" s="711">
        <f t="shared" si="101"/>
        <v>598</v>
      </c>
    </row>
    <row r="205" spans="1:53">
      <c r="A205" s="106">
        <f t="shared" si="87"/>
        <v>194</v>
      </c>
      <c r="B205" s="858">
        <v>42198</v>
      </c>
      <c r="C205" s="859" t="s">
        <v>1725</v>
      </c>
      <c r="D205" s="860">
        <v>4741</v>
      </c>
      <c r="E205" s="860">
        <v>4616</v>
      </c>
      <c r="F205" s="860">
        <v>4440</v>
      </c>
      <c r="G205" s="860">
        <v>4360</v>
      </c>
      <c r="H205" s="860">
        <v>4413</v>
      </c>
      <c r="I205" s="860">
        <v>4571</v>
      </c>
      <c r="J205" s="860">
        <v>4708</v>
      </c>
      <c r="K205" s="860">
        <v>4961</v>
      </c>
      <c r="L205" s="860">
        <v>5320</v>
      </c>
      <c r="M205" s="860">
        <v>5683</v>
      </c>
      <c r="N205" s="860">
        <v>6045</v>
      </c>
      <c r="O205" s="860">
        <v>6333</v>
      </c>
      <c r="P205" s="860">
        <v>6620</v>
      </c>
      <c r="Q205" s="860">
        <v>6776</v>
      </c>
      <c r="R205" s="860">
        <v>6737</v>
      </c>
      <c r="S205" s="860">
        <v>6615</v>
      </c>
      <c r="T205" s="860">
        <v>6572</v>
      </c>
      <c r="U205" s="860">
        <v>6452</v>
      </c>
      <c r="V205" s="860">
        <v>6217</v>
      </c>
      <c r="W205" s="860">
        <v>5977</v>
      </c>
      <c r="X205" s="860">
        <v>5840</v>
      </c>
      <c r="Y205" s="860">
        <v>5717</v>
      </c>
      <c r="Z205" s="860">
        <v>5343</v>
      </c>
      <c r="AA205" s="860">
        <v>4856</v>
      </c>
      <c r="AC205" s="712">
        <f t="shared" si="88"/>
        <v>194</v>
      </c>
      <c r="AD205" s="711">
        <f t="shared" si="89"/>
        <v>301</v>
      </c>
      <c r="AE205" s="711">
        <f t="shared" si="121"/>
        <v>125</v>
      </c>
      <c r="AF205" s="711">
        <f t="shared" si="121"/>
        <v>176</v>
      </c>
      <c r="AG205" s="711">
        <f t="shared" si="121"/>
        <v>80</v>
      </c>
      <c r="AH205" s="711">
        <f t="shared" si="121"/>
        <v>53</v>
      </c>
      <c r="AI205" s="711">
        <f t="shared" si="121"/>
        <v>158</v>
      </c>
      <c r="AJ205" s="711">
        <f t="shared" si="121"/>
        <v>137</v>
      </c>
      <c r="AK205" s="711">
        <f t="shared" si="121"/>
        <v>253</v>
      </c>
      <c r="AL205" s="711">
        <f t="shared" si="122"/>
        <v>359</v>
      </c>
      <c r="AM205" s="711">
        <f t="shared" si="123"/>
        <v>363</v>
      </c>
      <c r="AN205" s="711">
        <f t="shared" si="118"/>
        <v>362</v>
      </c>
      <c r="AO205" s="711">
        <f t="shared" si="119"/>
        <v>288</v>
      </c>
      <c r="AP205" s="711">
        <f t="shared" si="120"/>
        <v>287</v>
      </c>
      <c r="AQ205" s="711">
        <f t="shared" si="111"/>
        <v>156</v>
      </c>
      <c r="AR205" s="711">
        <f t="shared" si="112"/>
        <v>39</v>
      </c>
      <c r="AS205" s="711">
        <f t="shared" si="113"/>
        <v>122</v>
      </c>
      <c r="AT205" s="711">
        <f t="shared" si="114"/>
        <v>43</v>
      </c>
      <c r="AU205" s="711">
        <f t="shared" si="115"/>
        <v>120</v>
      </c>
      <c r="AV205" s="711">
        <f t="shared" si="116"/>
        <v>235</v>
      </c>
      <c r="AW205" s="711">
        <f t="shared" si="117"/>
        <v>240</v>
      </c>
      <c r="AX205" s="711">
        <f t="shared" si="101"/>
        <v>137</v>
      </c>
      <c r="AY205" s="711">
        <f t="shared" si="101"/>
        <v>123</v>
      </c>
      <c r="AZ205" s="711">
        <f t="shared" si="101"/>
        <v>374</v>
      </c>
      <c r="BA205" s="711">
        <f t="shared" si="101"/>
        <v>487</v>
      </c>
    </row>
    <row r="206" spans="1:53">
      <c r="A206" s="106">
        <f t="shared" ref="A206:A269" si="124">A205+1</f>
        <v>195</v>
      </c>
      <c r="B206" s="858">
        <v>42199</v>
      </c>
      <c r="C206" s="859" t="s">
        <v>1725</v>
      </c>
      <c r="D206" s="860">
        <v>4459</v>
      </c>
      <c r="E206" s="860">
        <v>4425</v>
      </c>
      <c r="F206" s="860">
        <v>4321</v>
      </c>
      <c r="G206" s="860">
        <v>4280</v>
      </c>
      <c r="H206" s="860">
        <v>4263</v>
      </c>
      <c r="I206" s="860">
        <v>4314</v>
      </c>
      <c r="J206" s="860">
        <v>4517</v>
      </c>
      <c r="K206" s="860">
        <v>4915</v>
      </c>
      <c r="L206" s="860">
        <v>5270</v>
      </c>
      <c r="M206" s="860">
        <v>5572</v>
      </c>
      <c r="N206" s="860">
        <v>5905</v>
      </c>
      <c r="O206" s="860">
        <v>6203</v>
      </c>
      <c r="P206" s="860">
        <v>6482</v>
      </c>
      <c r="Q206" s="860">
        <v>6779</v>
      </c>
      <c r="R206" s="860">
        <v>7001</v>
      </c>
      <c r="S206" s="860">
        <v>7010</v>
      </c>
      <c r="T206" s="860">
        <v>6685</v>
      </c>
      <c r="U206" s="860">
        <v>6373</v>
      </c>
      <c r="V206" s="860">
        <v>6052</v>
      </c>
      <c r="W206" s="860">
        <v>5862</v>
      </c>
      <c r="X206" s="860">
        <v>5807</v>
      </c>
      <c r="Y206" s="860">
        <v>5595</v>
      </c>
      <c r="Z206" s="860">
        <v>5109</v>
      </c>
      <c r="AA206" s="860">
        <v>4664</v>
      </c>
      <c r="AC206" s="712">
        <f t="shared" ref="AC206:AC269" si="125">AC205+1</f>
        <v>195</v>
      </c>
      <c r="AD206" s="711">
        <f t="shared" ref="AD206:AD269" si="126">ABS(D206-AA205)</f>
        <v>397</v>
      </c>
      <c r="AE206" s="711">
        <f t="shared" si="121"/>
        <v>34</v>
      </c>
      <c r="AF206" s="711">
        <f t="shared" si="121"/>
        <v>104</v>
      </c>
      <c r="AG206" s="711">
        <f t="shared" si="121"/>
        <v>41</v>
      </c>
      <c r="AH206" s="711">
        <f t="shared" si="121"/>
        <v>17</v>
      </c>
      <c r="AI206" s="711">
        <f t="shared" si="121"/>
        <v>51</v>
      </c>
      <c r="AJ206" s="711">
        <f t="shared" si="121"/>
        <v>203</v>
      </c>
      <c r="AK206" s="711">
        <f t="shared" si="121"/>
        <v>398</v>
      </c>
      <c r="AL206" s="711">
        <f t="shared" si="122"/>
        <v>355</v>
      </c>
      <c r="AM206" s="711">
        <f t="shared" si="123"/>
        <v>302</v>
      </c>
      <c r="AN206" s="711">
        <f t="shared" si="118"/>
        <v>333</v>
      </c>
      <c r="AO206" s="711">
        <f t="shared" si="119"/>
        <v>298</v>
      </c>
      <c r="AP206" s="711">
        <f t="shared" si="120"/>
        <v>279</v>
      </c>
      <c r="AQ206" s="711">
        <f t="shared" si="111"/>
        <v>297</v>
      </c>
      <c r="AR206" s="711">
        <f t="shared" si="112"/>
        <v>222</v>
      </c>
      <c r="AS206" s="711">
        <f t="shared" si="113"/>
        <v>9</v>
      </c>
      <c r="AT206" s="711">
        <f t="shared" si="114"/>
        <v>325</v>
      </c>
      <c r="AU206" s="711">
        <f t="shared" si="115"/>
        <v>312</v>
      </c>
      <c r="AV206" s="711">
        <f t="shared" si="116"/>
        <v>321</v>
      </c>
      <c r="AW206" s="711">
        <f t="shared" si="117"/>
        <v>190</v>
      </c>
      <c r="AX206" s="711">
        <f t="shared" si="101"/>
        <v>55</v>
      </c>
      <c r="AY206" s="711">
        <f t="shared" si="101"/>
        <v>212</v>
      </c>
      <c r="AZ206" s="711">
        <f t="shared" si="101"/>
        <v>486</v>
      </c>
      <c r="BA206" s="711">
        <f t="shared" si="101"/>
        <v>445</v>
      </c>
    </row>
    <row r="207" spans="1:53">
      <c r="A207" s="106">
        <f t="shared" si="124"/>
        <v>196</v>
      </c>
      <c r="B207" s="858">
        <v>42200</v>
      </c>
      <c r="C207" s="859" t="s">
        <v>1725</v>
      </c>
      <c r="D207" s="860">
        <v>4549</v>
      </c>
      <c r="E207" s="860">
        <v>4438</v>
      </c>
      <c r="F207" s="860">
        <v>4309</v>
      </c>
      <c r="G207" s="860">
        <v>4248</v>
      </c>
      <c r="H207" s="860">
        <v>4297</v>
      </c>
      <c r="I207" s="860">
        <v>4376</v>
      </c>
      <c r="J207" s="860">
        <v>4538</v>
      </c>
      <c r="K207" s="860">
        <v>4884</v>
      </c>
      <c r="L207" s="860">
        <v>5221</v>
      </c>
      <c r="M207" s="860">
        <v>5495</v>
      </c>
      <c r="N207" s="860">
        <v>5777</v>
      </c>
      <c r="O207" s="860">
        <v>5996</v>
      </c>
      <c r="P207" s="860">
        <v>6239</v>
      </c>
      <c r="Q207" s="860">
        <v>6439</v>
      </c>
      <c r="R207" s="860">
        <v>6674</v>
      </c>
      <c r="S207" s="860">
        <v>6884</v>
      </c>
      <c r="T207" s="860">
        <v>6898</v>
      </c>
      <c r="U207" s="860">
        <v>6546</v>
      </c>
      <c r="V207" s="860">
        <v>6266</v>
      </c>
      <c r="W207" s="860">
        <v>6010</v>
      </c>
      <c r="X207" s="860">
        <v>5876</v>
      </c>
      <c r="Y207" s="860">
        <v>5708</v>
      </c>
      <c r="Z207" s="860">
        <v>5206</v>
      </c>
      <c r="AA207" s="860">
        <v>4713</v>
      </c>
      <c r="AC207" s="712">
        <f t="shared" si="125"/>
        <v>196</v>
      </c>
      <c r="AD207" s="711">
        <f t="shared" si="126"/>
        <v>115</v>
      </c>
      <c r="AE207" s="711">
        <f t="shared" si="121"/>
        <v>111</v>
      </c>
      <c r="AF207" s="711">
        <f t="shared" si="121"/>
        <v>129</v>
      </c>
      <c r="AG207" s="711">
        <f t="shared" si="121"/>
        <v>61</v>
      </c>
      <c r="AH207" s="711">
        <f t="shared" si="121"/>
        <v>49</v>
      </c>
      <c r="AI207" s="711">
        <f t="shared" si="121"/>
        <v>79</v>
      </c>
      <c r="AJ207" s="711">
        <f t="shared" si="121"/>
        <v>162</v>
      </c>
      <c r="AK207" s="711">
        <f t="shared" si="121"/>
        <v>346</v>
      </c>
      <c r="AL207" s="711">
        <f t="shared" si="122"/>
        <v>337</v>
      </c>
      <c r="AM207" s="711">
        <f t="shared" si="123"/>
        <v>274</v>
      </c>
      <c r="AN207" s="711">
        <f t="shared" si="118"/>
        <v>282</v>
      </c>
      <c r="AO207" s="711">
        <f t="shared" si="119"/>
        <v>219</v>
      </c>
      <c r="AP207" s="711">
        <f t="shared" si="120"/>
        <v>243</v>
      </c>
      <c r="AQ207" s="711">
        <f t="shared" si="111"/>
        <v>200</v>
      </c>
      <c r="AR207" s="711">
        <f t="shared" si="112"/>
        <v>235</v>
      </c>
      <c r="AS207" s="711">
        <f t="shared" si="113"/>
        <v>210</v>
      </c>
      <c r="AT207" s="711">
        <f t="shared" si="114"/>
        <v>14</v>
      </c>
      <c r="AU207" s="711">
        <f t="shared" si="115"/>
        <v>352</v>
      </c>
      <c r="AV207" s="711">
        <f t="shared" si="116"/>
        <v>280</v>
      </c>
      <c r="AW207" s="711">
        <f t="shared" si="117"/>
        <v>256</v>
      </c>
      <c r="AX207" s="711">
        <f t="shared" si="101"/>
        <v>134</v>
      </c>
      <c r="AY207" s="711">
        <f t="shared" si="101"/>
        <v>168</v>
      </c>
      <c r="AZ207" s="711">
        <f t="shared" si="101"/>
        <v>502</v>
      </c>
      <c r="BA207" s="711">
        <f t="shared" si="101"/>
        <v>493</v>
      </c>
    </row>
    <row r="208" spans="1:53">
      <c r="A208" s="106">
        <f t="shared" si="124"/>
        <v>197</v>
      </c>
      <c r="B208" s="858">
        <v>42201</v>
      </c>
      <c r="C208" s="859" t="s">
        <v>1725</v>
      </c>
      <c r="D208" s="860">
        <v>4483</v>
      </c>
      <c r="E208" s="860">
        <v>4378</v>
      </c>
      <c r="F208" s="860">
        <v>4258</v>
      </c>
      <c r="G208" s="860">
        <v>4200</v>
      </c>
      <c r="H208" s="860">
        <v>4239</v>
      </c>
      <c r="I208" s="860">
        <v>4346</v>
      </c>
      <c r="J208" s="860">
        <v>4536</v>
      </c>
      <c r="K208" s="860">
        <v>4824</v>
      </c>
      <c r="L208" s="860">
        <v>5125</v>
      </c>
      <c r="M208" s="860">
        <v>5411</v>
      </c>
      <c r="N208" s="860">
        <v>5679</v>
      </c>
      <c r="O208" s="860">
        <v>5943</v>
      </c>
      <c r="P208" s="860">
        <v>6213</v>
      </c>
      <c r="Q208" s="860">
        <v>6509</v>
      </c>
      <c r="R208" s="860">
        <v>6678</v>
      </c>
      <c r="S208" s="860">
        <v>6850</v>
      </c>
      <c r="T208" s="860">
        <v>6889</v>
      </c>
      <c r="U208" s="860">
        <v>6871</v>
      </c>
      <c r="V208" s="860">
        <v>6676</v>
      </c>
      <c r="W208" s="860">
        <v>6450</v>
      </c>
      <c r="X208" s="860">
        <v>6241</v>
      </c>
      <c r="Y208" s="860">
        <v>6046</v>
      </c>
      <c r="Z208" s="860">
        <v>5475</v>
      </c>
      <c r="AA208" s="860">
        <v>4984</v>
      </c>
      <c r="AC208" s="712">
        <f t="shared" si="125"/>
        <v>197</v>
      </c>
      <c r="AD208" s="711">
        <f t="shared" si="126"/>
        <v>230</v>
      </c>
      <c r="AE208" s="711">
        <f t="shared" si="121"/>
        <v>105</v>
      </c>
      <c r="AF208" s="711">
        <f t="shared" si="121"/>
        <v>120</v>
      </c>
      <c r="AG208" s="711">
        <f t="shared" si="121"/>
        <v>58</v>
      </c>
      <c r="AH208" s="711">
        <f t="shared" si="121"/>
        <v>39</v>
      </c>
      <c r="AI208" s="711">
        <f t="shared" si="121"/>
        <v>107</v>
      </c>
      <c r="AJ208" s="711">
        <f t="shared" si="121"/>
        <v>190</v>
      </c>
      <c r="AK208" s="711">
        <f t="shared" si="121"/>
        <v>288</v>
      </c>
      <c r="AL208" s="711">
        <f t="shared" si="122"/>
        <v>301</v>
      </c>
      <c r="AM208" s="711">
        <f t="shared" si="123"/>
        <v>286</v>
      </c>
      <c r="AN208" s="711">
        <f t="shared" si="118"/>
        <v>268</v>
      </c>
      <c r="AO208" s="711">
        <f t="shared" si="119"/>
        <v>264</v>
      </c>
      <c r="AP208" s="711">
        <f t="shared" si="120"/>
        <v>270</v>
      </c>
      <c r="AQ208" s="711">
        <f t="shared" si="111"/>
        <v>296</v>
      </c>
      <c r="AR208" s="711">
        <f t="shared" si="112"/>
        <v>169</v>
      </c>
      <c r="AS208" s="711">
        <f t="shared" si="113"/>
        <v>172</v>
      </c>
      <c r="AT208" s="711">
        <f t="shared" si="114"/>
        <v>39</v>
      </c>
      <c r="AU208" s="711">
        <f t="shared" si="115"/>
        <v>18</v>
      </c>
      <c r="AV208" s="711">
        <f t="shared" si="116"/>
        <v>195</v>
      </c>
      <c r="AW208" s="711">
        <f t="shared" si="117"/>
        <v>226</v>
      </c>
      <c r="AX208" s="711">
        <f t="shared" si="101"/>
        <v>209</v>
      </c>
      <c r="AY208" s="711">
        <f t="shared" si="101"/>
        <v>195</v>
      </c>
      <c r="AZ208" s="711">
        <f t="shared" si="101"/>
        <v>571</v>
      </c>
      <c r="BA208" s="711">
        <f t="shared" si="101"/>
        <v>491</v>
      </c>
    </row>
    <row r="209" spans="1:53">
      <c r="A209" s="106">
        <f t="shared" si="124"/>
        <v>198</v>
      </c>
      <c r="B209" s="858">
        <v>42202</v>
      </c>
      <c r="C209" s="859" t="s">
        <v>1725</v>
      </c>
      <c r="D209" s="860">
        <v>4743</v>
      </c>
      <c r="E209" s="860">
        <v>4496</v>
      </c>
      <c r="F209" s="860">
        <v>4344</v>
      </c>
      <c r="G209" s="860">
        <v>4259</v>
      </c>
      <c r="H209" s="860">
        <v>4230</v>
      </c>
      <c r="I209" s="860">
        <v>4332</v>
      </c>
      <c r="J209" s="860">
        <v>4458</v>
      </c>
      <c r="K209" s="860">
        <v>4829</v>
      </c>
      <c r="L209" s="860">
        <v>5118</v>
      </c>
      <c r="M209" s="860">
        <v>5563</v>
      </c>
      <c r="N209" s="860">
        <v>5913</v>
      </c>
      <c r="O209" s="860">
        <v>6245</v>
      </c>
      <c r="P209" s="860">
        <v>6506</v>
      </c>
      <c r="Q209" s="860">
        <v>6810</v>
      </c>
      <c r="R209" s="860">
        <v>6994</v>
      </c>
      <c r="S209" s="860">
        <v>6981</v>
      </c>
      <c r="T209" s="860">
        <v>6990</v>
      </c>
      <c r="U209" s="860">
        <v>7062</v>
      </c>
      <c r="V209" s="860">
        <v>6880</v>
      </c>
      <c r="W209" s="860">
        <v>6614</v>
      </c>
      <c r="X209" s="860">
        <v>6326</v>
      </c>
      <c r="Y209" s="860">
        <v>6072</v>
      </c>
      <c r="Z209" s="860">
        <v>5513</v>
      </c>
      <c r="AA209" s="860">
        <v>5043</v>
      </c>
      <c r="AC209" s="712">
        <f t="shared" si="125"/>
        <v>198</v>
      </c>
      <c r="AD209" s="711">
        <f t="shared" si="126"/>
        <v>241</v>
      </c>
      <c r="AE209" s="711">
        <f t="shared" si="121"/>
        <v>247</v>
      </c>
      <c r="AF209" s="711">
        <f t="shared" si="121"/>
        <v>152</v>
      </c>
      <c r="AG209" s="711">
        <f t="shared" si="121"/>
        <v>85</v>
      </c>
      <c r="AH209" s="711">
        <f t="shared" si="121"/>
        <v>29</v>
      </c>
      <c r="AI209" s="711">
        <f t="shared" si="121"/>
        <v>102</v>
      </c>
      <c r="AJ209" s="711">
        <f t="shared" si="121"/>
        <v>126</v>
      </c>
      <c r="AK209" s="711">
        <f t="shared" si="121"/>
        <v>371</v>
      </c>
      <c r="AL209" s="711">
        <f t="shared" si="122"/>
        <v>289</v>
      </c>
      <c r="AM209" s="711">
        <f t="shared" si="123"/>
        <v>445</v>
      </c>
      <c r="AN209" s="711">
        <f t="shared" si="118"/>
        <v>350</v>
      </c>
      <c r="AO209" s="711">
        <f t="shared" si="119"/>
        <v>332</v>
      </c>
      <c r="AP209" s="711">
        <f t="shared" si="120"/>
        <v>261</v>
      </c>
      <c r="AQ209" s="711">
        <f t="shared" si="111"/>
        <v>304</v>
      </c>
      <c r="AR209" s="711">
        <f t="shared" si="112"/>
        <v>184</v>
      </c>
      <c r="AS209" s="711">
        <f t="shared" si="113"/>
        <v>13</v>
      </c>
      <c r="AT209" s="711">
        <f t="shared" si="114"/>
        <v>9</v>
      </c>
      <c r="AU209" s="711">
        <f t="shared" si="115"/>
        <v>72</v>
      </c>
      <c r="AV209" s="711">
        <f t="shared" si="116"/>
        <v>182</v>
      </c>
      <c r="AW209" s="711">
        <f t="shared" si="117"/>
        <v>266</v>
      </c>
      <c r="AX209" s="711">
        <f t="shared" si="101"/>
        <v>288</v>
      </c>
      <c r="AY209" s="711">
        <f t="shared" si="101"/>
        <v>254</v>
      </c>
      <c r="AZ209" s="711">
        <f t="shared" si="101"/>
        <v>559</v>
      </c>
      <c r="BA209" s="711">
        <f t="shared" si="101"/>
        <v>470</v>
      </c>
    </row>
    <row r="210" spans="1:53">
      <c r="A210" s="106">
        <f t="shared" si="124"/>
        <v>199</v>
      </c>
      <c r="B210" s="858">
        <v>42203</v>
      </c>
      <c r="C210" s="859" t="s">
        <v>1725</v>
      </c>
      <c r="D210" s="860">
        <v>4670</v>
      </c>
      <c r="E210" s="860">
        <v>4471</v>
      </c>
      <c r="F210" s="860">
        <v>4341</v>
      </c>
      <c r="G210" s="860">
        <v>4234</v>
      </c>
      <c r="H210" s="860">
        <v>4189</v>
      </c>
      <c r="I210" s="860">
        <v>4144</v>
      </c>
      <c r="J210" s="860">
        <v>4146</v>
      </c>
      <c r="K210" s="860">
        <v>4363</v>
      </c>
      <c r="L210" s="860">
        <v>4677</v>
      </c>
      <c r="M210" s="860">
        <v>4998</v>
      </c>
      <c r="N210" s="860">
        <v>5324</v>
      </c>
      <c r="O210" s="860">
        <v>5558</v>
      </c>
      <c r="P210" s="860">
        <v>5794</v>
      </c>
      <c r="Q210" s="860">
        <v>6033</v>
      </c>
      <c r="R210" s="860">
        <v>6209</v>
      </c>
      <c r="S210" s="860">
        <v>6125</v>
      </c>
      <c r="T210" s="860">
        <v>5957</v>
      </c>
      <c r="U210" s="860">
        <v>5712</v>
      </c>
      <c r="V210" s="860">
        <v>5558</v>
      </c>
      <c r="W210" s="860">
        <v>5337</v>
      </c>
      <c r="X210" s="860">
        <v>5316</v>
      </c>
      <c r="Y210" s="860">
        <v>5277</v>
      </c>
      <c r="Z210" s="860">
        <v>4947</v>
      </c>
      <c r="AA210" s="860">
        <v>4547</v>
      </c>
      <c r="AC210" s="712">
        <f t="shared" si="125"/>
        <v>199</v>
      </c>
      <c r="AD210" s="711">
        <f t="shared" si="126"/>
        <v>373</v>
      </c>
      <c r="AE210" s="711">
        <f t="shared" si="121"/>
        <v>199</v>
      </c>
      <c r="AF210" s="711">
        <f t="shared" si="121"/>
        <v>130</v>
      </c>
      <c r="AG210" s="711">
        <f t="shared" si="121"/>
        <v>107</v>
      </c>
      <c r="AH210" s="711">
        <f t="shared" si="121"/>
        <v>45</v>
      </c>
      <c r="AI210" s="711">
        <f t="shared" si="121"/>
        <v>45</v>
      </c>
      <c r="AJ210" s="711">
        <f t="shared" si="121"/>
        <v>2</v>
      </c>
      <c r="AK210" s="711">
        <f t="shared" si="121"/>
        <v>217</v>
      </c>
      <c r="AL210" s="711">
        <f t="shared" si="122"/>
        <v>314</v>
      </c>
      <c r="AM210" s="711">
        <f t="shared" si="123"/>
        <v>321</v>
      </c>
      <c r="AN210" s="711">
        <f t="shared" si="118"/>
        <v>326</v>
      </c>
      <c r="AO210" s="711">
        <f t="shared" si="119"/>
        <v>234</v>
      </c>
      <c r="AP210" s="711">
        <f t="shared" si="120"/>
        <v>236</v>
      </c>
      <c r="AQ210" s="711">
        <f t="shared" si="111"/>
        <v>239</v>
      </c>
      <c r="AR210" s="711">
        <f t="shared" si="112"/>
        <v>176</v>
      </c>
      <c r="AS210" s="711">
        <f t="shared" si="113"/>
        <v>84</v>
      </c>
      <c r="AT210" s="711">
        <f t="shared" si="114"/>
        <v>168</v>
      </c>
      <c r="AU210" s="711">
        <f t="shared" si="115"/>
        <v>245</v>
      </c>
      <c r="AV210" s="711">
        <f t="shared" si="116"/>
        <v>154</v>
      </c>
      <c r="AW210" s="711">
        <f t="shared" si="117"/>
        <v>221</v>
      </c>
      <c r="AX210" s="711">
        <f t="shared" si="101"/>
        <v>21</v>
      </c>
      <c r="AY210" s="711">
        <f t="shared" si="101"/>
        <v>39</v>
      </c>
      <c r="AZ210" s="711">
        <f t="shared" si="101"/>
        <v>330</v>
      </c>
      <c r="BA210" s="711">
        <f t="shared" si="101"/>
        <v>400</v>
      </c>
    </row>
    <row r="211" spans="1:53">
      <c r="A211" s="106">
        <f t="shared" si="124"/>
        <v>200</v>
      </c>
      <c r="B211" s="858">
        <v>42204</v>
      </c>
      <c r="C211" s="859" t="s">
        <v>1725</v>
      </c>
      <c r="D211" s="860">
        <v>4269</v>
      </c>
      <c r="E211" s="860">
        <v>4170</v>
      </c>
      <c r="F211" s="860">
        <v>4099</v>
      </c>
      <c r="G211" s="860">
        <v>4027</v>
      </c>
      <c r="H211" s="860">
        <v>3974</v>
      </c>
      <c r="I211" s="860">
        <v>3877</v>
      </c>
      <c r="J211" s="860">
        <v>3878</v>
      </c>
      <c r="K211" s="860">
        <v>3990</v>
      </c>
      <c r="L211" s="860">
        <v>4231</v>
      </c>
      <c r="M211" s="860">
        <v>4477</v>
      </c>
      <c r="N211" s="860">
        <v>4675</v>
      </c>
      <c r="O211" s="860">
        <v>4997</v>
      </c>
      <c r="P211" s="860">
        <v>5234</v>
      </c>
      <c r="Q211" s="860">
        <v>5396</v>
      </c>
      <c r="R211" s="860">
        <v>5502</v>
      </c>
      <c r="S211" s="860">
        <v>5625</v>
      </c>
      <c r="T211" s="860">
        <v>5702</v>
      </c>
      <c r="U211" s="860">
        <v>5826</v>
      </c>
      <c r="V211" s="860">
        <v>5799</v>
      </c>
      <c r="W211" s="860">
        <v>5674</v>
      </c>
      <c r="X211" s="860">
        <v>5637</v>
      </c>
      <c r="Y211" s="860">
        <v>5573</v>
      </c>
      <c r="Z211" s="860">
        <v>5100</v>
      </c>
      <c r="AA211" s="860">
        <v>4706</v>
      </c>
      <c r="AC211" s="712">
        <f t="shared" si="125"/>
        <v>200</v>
      </c>
      <c r="AD211" s="711">
        <f t="shared" si="126"/>
        <v>278</v>
      </c>
      <c r="AE211" s="711">
        <f t="shared" si="121"/>
        <v>99</v>
      </c>
      <c r="AF211" s="711">
        <f t="shared" si="121"/>
        <v>71</v>
      </c>
      <c r="AG211" s="711">
        <f t="shared" si="121"/>
        <v>72</v>
      </c>
      <c r="AH211" s="711">
        <f t="shared" si="121"/>
        <v>53</v>
      </c>
      <c r="AI211" s="711">
        <f t="shared" si="121"/>
        <v>97</v>
      </c>
      <c r="AJ211" s="711">
        <f t="shared" si="121"/>
        <v>1</v>
      </c>
      <c r="AK211" s="711">
        <f t="shared" si="121"/>
        <v>112</v>
      </c>
      <c r="AL211" s="711">
        <f t="shared" si="122"/>
        <v>241</v>
      </c>
      <c r="AM211" s="711">
        <f t="shared" si="123"/>
        <v>246</v>
      </c>
      <c r="AN211" s="711">
        <f t="shared" si="118"/>
        <v>198</v>
      </c>
      <c r="AO211" s="711">
        <f t="shared" si="119"/>
        <v>322</v>
      </c>
      <c r="AP211" s="711">
        <f t="shared" si="120"/>
        <v>237</v>
      </c>
      <c r="AQ211" s="711">
        <f t="shared" si="111"/>
        <v>162</v>
      </c>
      <c r="AR211" s="711">
        <f t="shared" si="112"/>
        <v>106</v>
      </c>
      <c r="AS211" s="711">
        <f t="shared" si="113"/>
        <v>123</v>
      </c>
      <c r="AT211" s="711">
        <f t="shared" si="114"/>
        <v>77</v>
      </c>
      <c r="AU211" s="711">
        <f t="shared" si="115"/>
        <v>124</v>
      </c>
      <c r="AV211" s="711">
        <f t="shared" si="116"/>
        <v>27</v>
      </c>
      <c r="AW211" s="711">
        <f t="shared" si="117"/>
        <v>125</v>
      </c>
      <c r="AX211" s="711">
        <f t="shared" si="101"/>
        <v>37</v>
      </c>
      <c r="AY211" s="711">
        <f t="shared" si="101"/>
        <v>64</v>
      </c>
      <c r="AZ211" s="711">
        <f t="shared" si="101"/>
        <v>473</v>
      </c>
      <c r="BA211" s="711">
        <f t="shared" si="101"/>
        <v>394</v>
      </c>
    </row>
    <row r="212" spans="1:53">
      <c r="A212" s="106">
        <f t="shared" si="124"/>
        <v>201</v>
      </c>
      <c r="B212" s="858">
        <v>42205</v>
      </c>
      <c r="C212" s="859" t="s">
        <v>1725</v>
      </c>
      <c r="D212" s="860">
        <v>4453</v>
      </c>
      <c r="E212" s="860">
        <v>4281</v>
      </c>
      <c r="F212" s="860">
        <v>4162</v>
      </c>
      <c r="G212" s="860">
        <v>4128</v>
      </c>
      <c r="H212" s="860">
        <v>4187</v>
      </c>
      <c r="I212" s="860">
        <v>4250</v>
      </c>
      <c r="J212" s="860">
        <v>4491</v>
      </c>
      <c r="K212" s="860">
        <v>4840</v>
      </c>
      <c r="L212" s="860">
        <v>5141</v>
      </c>
      <c r="M212" s="860">
        <v>5441</v>
      </c>
      <c r="N212" s="860">
        <v>5682</v>
      </c>
      <c r="O212" s="860">
        <v>5919</v>
      </c>
      <c r="P212" s="860">
        <v>6155</v>
      </c>
      <c r="Q212" s="860">
        <v>6329</v>
      </c>
      <c r="R212" s="860">
        <v>6585</v>
      </c>
      <c r="S212" s="860">
        <v>6729</v>
      </c>
      <c r="T212" s="860">
        <v>6663</v>
      </c>
      <c r="U212" s="860">
        <v>6406</v>
      </c>
      <c r="V212" s="860">
        <v>6155</v>
      </c>
      <c r="W212" s="860">
        <v>5873</v>
      </c>
      <c r="X212" s="860">
        <v>5762</v>
      </c>
      <c r="Y212" s="860">
        <v>5643</v>
      </c>
      <c r="Z212" s="860">
        <v>5260</v>
      </c>
      <c r="AA212" s="860">
        <v>4743</v>
      </c>
      <c r="AC212" s="712">
        <f t="shared" si="125"/>
        <v>201</v>
      </c>
      <c r="AD212" s="711">
        <f t="shared" si="126"/>
        <v>253</v>
      </c>
      <c r="AE212" s="711">
        <f t="shared" si="121"/>
        <v>172</v>
      </c>
      <c r="AF212" s="711">
        <f t="shared" si="121"/>
        <v>119</v>
      </c>
      <c r="AG212" s="711">
        <f t="shared" si="121"/>
        <v>34</v>
      </c>
      <c r="AH212" s="711">
        <f t="shared" si="121"/>
        <v>59</v>
      </c>
      <c r="AI212" s="711">
        <f t="shared" si="121"/>
        <v>63</v>
      </c>
      <c r="AJ212" s="711">
        <f t="shared" si="121"/>
        <v>241</v>
      </c>
      <c r="AK212" s="711">
        <f t="shared" si="121"/>
        <v>349</v>
      </c>
      <c r="AL212" s="711">
        <f t="shared" si="122"/>
        <v>301</v>
      </c>
      <c r="AM212" s="711">
        <f t="shared" si="123"/>
        <v>300</v>
      </c>
      <c r="AN212" s="711">
        <f t="shared" si="118"/>
        <v>241</v>
      </c>
      <c r="AO212" s="711">
        <f t="shared" si="119"/>
        <v>237</v>
      </c>
      <c r="AP212" s="711">
        <f t="shared" si="120"/>
        <v>236</v>
      </c>
      <c r="AQ212" s="711">
        <f t="shared" si="111"/>
        <v>174</v>
      </c>
      <c r="AR212" s="711">
        <f t="shared" si="112"/>
        <v>256</v>
      </c>
      <c r="AS212" s="711">
        <f t="shared" si="113"/>
        <v>144</v>
      </c>
      <c r="AT212" s="711">
        <f t="shared" si="114"/>
        <v>66</v>
      </c>
      <c r="AU212" s="711">
        <f t="shared" si="115"/>
        <v>257</v>
      </c>
      <c r="AV212" s="711">
        <f t="shared" si="116"/>
        <v>251</v>
      </c>
      <c r="AW212" s="711">
        <f t="shared" si="117"/>
        <v>282</v>
      </c>
      <c r="AX212" s="711">
        <f t="shared" si="101"/>
        <v>111</v>
      </c>
      <c r="AY212" s="711">
        <f t="shared" si="101"/>
        <v>119</v>
      </c>
      <c r="AZ212" s="711">
        <f t="shared" si="101"/>
        <v>383</v>
      </c>
      <c r="BA212" s="711">
        <f t="shared" si="101"/>
        <v>517</v>
      </c>
    </row>
    <row r="213" spans="1:53">
      <c r="A213" s="106">
        <f t="shared" si="124"/>
        <v>202</v>
      </c>
      <c r="B213" s="858">
        <v>42206</v>
      </c>
      <c r="C213" s="859" t="s">
        <v>1725</v>
      </c>
      <c r="D213" s="860">
        <v>4473</v>
      </c>
      <c r="E213" s="860">
        <v>4350</v>
      </c>
      <c r="F213" s="860">
        <v>4230</v>
      </c>
      <c r="G213" s="860">
        <v>4242</v>
      </c>
      <c r="H213" s="860">
        <v>4151</v>
      </c>
      <c r="I213" s="860">
        <v>4358</v>
      </c>
      <c r="J213" s="860">
        <v>4528</v>
      </c>
      <c r="K213" s="860">
        <v>4833</v>
      </c>
      <c r="L213" s="860">
        <v>5068</v>
      </c>
      <c r="M213" s="860">
        <v>5273</v>
      </c>
      <c r="N213" s="860">
        <v>5472</v>
      </c>
      <c r="O213" s="860">
        <v>5653</v>
      </c>
      <c r="P213" s="860">
        <v>5862</v>
      </c>
      <c r="Q213" s="860">
        <v>5981</v>
      </c>
      <c r="R213" s="860">
        <v>5935</v>
      </c>
      <c r="S213" s="860">
        <v>5897</v>
      </c>
      <c r="T213" s="860">
        <v>6162</v>
      </c>
      <c r="U213" s="860">
        <v>6286</v>
      </c>
      <c r="V213" s="860">
        <v>6139</v>
      </c>
      <c r="W213" s="860">
        <v>5910</v>
      </c>
      <c r="X213" s="860">
        <v>5761</v>
      </c>
      <c r="Y213" s="860">
        <v>5624</v>
      </c>
      <c r="Z213" s="860">
        <v>5135</v>
      </c>
      <c r="AA213" s="860">
        <v>4758</v>
      </c>
      <c r="AC213" s="712">
        <f t="shared" si="125"/>
        <v>202</v>
      </c>
      <c r="AD213" s="711">
        <f t="shared" si="126"/>
        <v>270</v>
      </c>
      <c r="AE213" s="711">
        <f t="shared" si="121"/>
        <v>123</v>
      </c>
      <c r="AF213" s="711">
        <f t="shared" si="121"/>
        <v>120</v>
      </c>
      <c r="AG213" s="711">
        <f t="shared" si="121"/>
        <v>12</v>
      </c>
      <c r="AH213" s="711">
        <f t="shared" si="121"/>
        <v>91</v>
      </c>
      <c r="AI213" s="711">
        <f t="shared" si="121"/>
        <v>207</v>
      </c>
      <c r="AJ213" s="711">
        <f t="shared" si="121"/>
        <v>170</v>
      </c>
      <c r="AK213" s="711">
        <f t="shared" si="121"/>
        <v>305</v>
      </c>
      <c r="AL213" s="711">
        <f t="shared" si="122"/>
        <v>235</v>
      </c>
      <c r="AM213" s="711">
        <f t="shared" si="123"/>
        <v>205</v>
      </c>
      <c r="AN213" s="711">
        <f t="shared" si="118"/>
        <v>199</v>
      </c>
      <c r="AO213" s="711">
        <f t="shared" si="119"/>
        <v>181</v>
      </c>
      <c r="AP213" s="711">
        <f t="shared" si="120"/>
        <v>209</v>
      </c>
      <c r="AQ213" s="711">
        <f t="shared" si="111"/>
        <v>119</v>
      </c>
      <c r="AR213" s="711">
        <f t="shared" si="112"/>
        <v>46</v>
      </c>
      <c r="AS213" s="711">
        <f t="shared" si="113"/>
        <v>38</v>
      </c>
      <c r="AT213" s="711">
        <f t="shared" si="114"/>
        <v>265</v>
      </c>
      <c r="AU213" s="711">
        <f t="shared" si="115"/>
        <v>124</v>
      </c>
      <c r="AV213" s="711">
        <f t="shared" si="116"/>
        <v>147</v>
      </c>
      <c r="AW213" s="711">
        <f t="shared" si="117"/>
        <v>229</v>
      </c>
      <c r="AX213" s="711">
        <f t="shared" si="101"/>
        <v>149</v>
      </c>
      <c r="AY213" s="711">
        <f t="shared" si="101"/>
        <v>137</v>
      </c>
      <c r="AZ213" s="711">
        <f t="shared" si="101"/>
        <v>489</v>
      </c>
      <c r="BA213" s="711">
        <f t="shared" si="101"/>
        <v>377</v>
      </c>
    </row>
    <row r="214" spans="1:53">
      <c r="A214" s="106">
        <f t="shared" si="124"/>
        <v>203</v>
      </c>
      <c r="B214" s="858">
        <v>42207</v>
      </c>
      <c r="C214" s="859" t="s">
        <v>1725</v>
      </c>
      <c r="D214" s="860">
        <v>4509</v>
      </c>
      <c r="E214" s="860">
        <v>4268</v>
      </c>
      <c r="F214" s="860">
        <v>4224</v>
      </c>
      <c r="G214" s="860">
        <v>4165</v>
      </c>
      <c r="H214" s="860">
        <v>4137</v>
      </c>
      <c r="I214" s="860">
        <v>4275</v>
      </c>
      <c r="J214" s="860">
        <v>4476</v>
      </c>
      <c r="K214" s="860">
        <v>4750</v>
      </c>
      <c r="L214" s="860">
        <v>5048</v>
      </c>
      <c r="M214" s="860">
        <v>5403</v>
      </c>
      <c r="N214" s="860">
        <v>5716</v>
      </c>
      <c r="O214" s="860">
        <v>5918</v>
      </c>
      <c r="P214" s="860">
        <v>6147</v>
      </c>
      <c r="Q214" s="860">
        <v>6410</v>
      </c>
      <c r="R214" s="860">
        <v>6652</v>
      </c>
      <c r="S214" s="860">
        <v>6859</v>
      </c>
      <c r="T214" s="860">
        <v>7014</v>
      </c>
      <c r="U214" s="860">
        <v>7040</v>
      </c>
      <c r="V214" s="860">
        <v>6945</v>
      </c>
      <c r="W214" s="860">
        <v>6703</v>
      </c>
      <c r="X214" s="860">
        <v>6483</v>
      </c>
      <c r="Y214" s="860">
        <v>6227</v>
      </c>
      <c r="Z214" s="860">
        <v>5621</v>
      </c>
      <c r="AA214" s="860">
        <v>5200</v>
      </c>
      <c r="AC214" s="712">
        <f t="shared" si="125"/>
        <v>203</v>
      </c>
      <c r="AD214" s="711">
        <f t="shared" si="126"/>
        <v>249</v>
      </c>
      <c r="AE214" s="711">
        <f t="shared" si="121"/>
        <v>241</v>
      </c>
      <c r="AF214" s="711">
        <f t="shared" si="121"/>
        <v>44</v>
      </c>
      <c r="AG214" s="711">
        <f t="shared" si="121"/>
        <v>59</v>
      </c>
      <c r="AH214" s="711">
        <f t="shared" si="121"/>
        <v>28</v>
      </c>
      <c r="AI214" s="711">
        <f t="shared" si="121"/>
        <v>138</v>
      </c>
      <c r="AJ214" s="711">
        <f t="shared" si="121"/>
        <v>201</v>
      </c>
      <c r="AK214" s="711">
        <f t="shared" si="121"/>
        <v>274</v>
      </c>
      <c r="AL214" s="711">
        <f t="shared" si="122"/>
        <v>298</v>
      </c>
      <c r="AM214" s="711">
        <f t="shared" si="123"/>
        <v>355</v>
      </c>
      <c r="AN214" s="711">
        <f t="shared" si="118"/>
        <v>313</v>
      </c>
      <c r="AO214" s="711">
        <f t="shared" si="119"/>
        <v>202</v>
      </c>
      <c r="AP214" s="711">
        <f t="shared" si="120"/>
        <v>229</v>
      </c>
      <c r="AQ214" s="711">
        <f t="shared" ref="AQ214:AQ246" si="127">ABS(Q214-P214)</f>
        <v>263</v>
      </c>
      <c r="AR214" s="711">
        <f t="shared" ref="AR214:AR246" si="128">ABS(R214-Q214)</f>
        <v>242</v>
      </c>
      <c r="AS214" s="711">
        <f t="shared" ref="AS214:AS246" si="129">ABS(S214-R214)</f>
        <v>207</v>
      </c>
      <c r="AT214" s="711">
        <f t="shared" ref="AT214:AT246" si="130">ABS(T214-S214)</f>
        <v>155</v>
      </c>
      <c r="AU214" s="711">
        <f t="shared" ref="AU214:AU246" si="131">ABS(U214-T214)</f>
        <v>26</v>
      </c>
      <c r="AV214" s="711">
        <f t="shared" ref="AV214:AV246" si="132">ABS(V214-U214)</f>
        <v>95</v>
      </c>
      <c r="AW214" s="711">
        <f t="shared" ref="AW214:AW246" si="133">ABS(W214-V214)</f>
        <v>242</v>
      </c>
      <c r="AX214" s="711">
        <f t="shared" si="101"/>
        <v>220</v>
      </c>
      <c r="AY214" s="711">
        <f t="shared" si="101"/>
        <v>256</v>
      </c>
      <c r="AZ214" s="711">
        <f t="shared" si="101"/>
        <v>606</v>
      </c>
      <c r="BA214" s="711">
        <f t="shared" si="101"/>
        <v>421</v>
      </c>
    </row>
    <row r="215" spans="1:53">
      <c r="A215" s="106">
        <f t="shared" si="124"/>
        <v>204</v>
      </c>
      <c r="B215" s="858">
        <v>42208</v>
      </c>
      <c r="C215" s="859" t="s">
        <v>1725</v>
      </c>
      <c r="D215" s="860">
        <v>4861</v>
      </c>
      <c r="E215" s="860">
        <v>4610</v>
      </c>
      <c r="F215" s="860">
        <v>4437</v>
      </c>
      <c r="G215" s="860">
        <v>4354</v>
      </c>
      <c r="H215" s="860">
        <v>4271</v>
      </c>
      <c r="I215" s="860">
        <v>4402</v>
      </c>
      <c r="J215" s="860">
        <v>4546</v>
      </c>
      <c r="K215" s="860">
        <v>4946</v>
      </c>
      <c r="L215" s="860">
        <v>5346</v>
      </c>
      <c r="M215" s="860">
        <v>5724</v>
      </c>
      <c r="N215" s="860">
        <v>6095</v>
      </c>
      <c r="O215" s="860">
        <v>6460</v>
      </c>
      <c r="P215" s="860">
        <v>6744</v>
      </c>
      <c r="Q215" s="860">
        <v>7001</v>
      </c>
      <c r="R215" s="860">
        <v>7318</v>
      </c>
      <c r="S215" s="860">
        <v>7572</v>
      </c>
      <c r="T215" s="860">
        <v>7732</v>
      </c>
      <c r="U215" s="860">
        <v>7709</v>
      </c>
      <c r="V215" s="860">
        <v>7626</v>
      </c>
      <c r="W215" s="860">
        <v>7340</v>
      </c>
      <c r="X215" s="860">
        <v>7093</v>
      </c>
      <c r="Y215" s="860">
        <v>6730</v>
      </c>
      <c r="Z215" s="860">
        <v>6061</v>
      </c>
      <c r="AA215" s="860">
        <v>5493</v>
      </c>
      <c r="AC215" s="712">
        <f t="shared" si="125"/>
        <v>204</v>
      </c>
      <c r="AD215" s="711">
        <f t="shared" si="126"/>
        <v>339</v>
      </c>
      <c r="AE215" s="711">
        <f t="shared" si="121"/>
        <v>251</v>
      </c>
      <c r="AF215" s="711">
        <f t="shared" si="121"/>
        <v>173</v>
      </c>
      <c r="AG215" s="711">
        <f t="shared" si="121"/>
        <v>83</v>
      </c>
      <c r="AH215" s="711">
        <f t="shared" si="121"/>
        <v>83</v>
      </c>
      <c r="AI215" s="711">
        <f t="shared" si="121"/>
        <v>131</v>
      </c>
      <c r="AJ215" s="711">
        <f t="shared" si="121"/>
        <v>144</v>
      </c>
      <c r="AK215" s="711">
        <f t="shared" si="121"/>
        <v>400</v>
      </c>
      <c r="AL215" s="711">
        <f t="shared" si="122"/>
        <v>400</v>
      </c>
      <c r="AM215" s="711">
        <f t="shared" si="123"/>
        <v>378</v>
      </c>
      <c r="AN215" s="711">
        <f t="shared" si="118"/>
        <v>371</v>
      </c>
      <c r="AO215" s="711">
        <f t="shared" si="119"/>
        <v>365</v>
      </c>
      <c r="AP215" s="711">
        <f t="shared" si="120"/>
        <v>284</v>
      </c>
      <c r="AQ215" s="711">
        <f t="shared" si="127"/>
        <v>257</v>
      </c>
      <c r="AR215" s="711">
        <f t="shared" si="128"/>
        <v>317</v>
      </c>
      <c r="AS215" s="711">
        <f t="shared" si="129"/>
        <v>254</v>
      </c>
      <c r="AT215" s="711">
        <f t="shared" si="130"/>
        <v>160</v>
      </c>
      <c r="AU215" s="711">
        <f t="shared" si="131"/>
        <v>23</v>
      </c>
      <c r="AV215" s="711">
        <f t="shared" si="132"/>
        <v>83</v>
      </c>
      <c r="AW215" s="711">
        <f t="shared" si="133"/>
        <v>286</v>
      </c>
      <c r="AX215" s="711">
        <f t="shared" si="101"/>
        <v>247</v>
      </c>
      <c r="AY215" s="711">
        <f t="shared" si="101"/>
        <v>363</v>
      </c>
      <c r="AZ215" s="711">
        <f t="shared" si="101"/>
        <v>669</v>
      </c>
      <c r="BA215" s="711">
        <f t="shared" si="101"/>
        <v>568</v>
      </c>
    </row>
    <row r="216" spans="1:53">
      <c r="A216" s="106">
        <f t="shared" si="124"/>
        <v>205</v>
      </c>
      <c r="B216" s="858">
        <v>42209</v>
      </c>
      <c r="C216" s="859" t="s">
        <v>1725</v>
      </c>
      <c r="D216" s="860">
        <v>5130</v>
      </c>
      <c r="E216" s="860">
        <v>4853</v>
      </c>
      <c r="F216" s="860">
        <v>4605</v>
      </c>
      <c r="G216" s="860">
        <v>4515</v>
      </c>
      <c r="H216" s="860">
        <v>4473</v>
      </c>
      <c r="I216" s="860">
        <v>4511</v>
      </c>
      <c r="J216" s="860">
        <v>4665</v>
      </c>
      <c r="K216" s="860">
        <v>5014</v>
      </c>
      <c r="L216" s="860">
        <v>5432</v>
      </c>
      <c r="M216" s="860">
        <v>5746</v>
      </c>
      <c r="N216" s="860">
        <v>6104</v>
      </c>
      <c r="O216" s="860">
        <v>6413</v>
      </c>
      <c r="P216" s="860">
        <v>6622</v>
      </c>
      <c r="Q216" s="860">
        <v>6678</v>
      </c>
      <c r="R216" s="860">
        <v>6629</v>
      </c>
      <c r="S216" s="860">
        <v>6613</v>
      </c>
      <c r="T216" s="860">
        <v>6617</v>
      </c>
      <c r="U216" s="860">
        <v>6482</v>
      </c>
      <c r="V216" s="860">
        <v>6134</v>
      </c>
      <c r="W216" s="860">
        <v>5870</v>
      </c>
      <c r="X216" s="860">
        <v>5833</v>
      </c>
      <c r="Y216" s="860">
        <v>5718</v>
      </c>
      <c r="Z216" s="860">
        <v>5321</v>
      </c>
      <c r="AA216" s="860">
        <v>4900</v>
      </c>
      <c r="AC216" s="712">
        <f t="shared" si="125"/>
        <v>205</v>
      </c>
      <c r="AD216" s="711">
        <f t="shared" si="126"/>
        <v>363</v>
      </c>
      <c r="AE216" s="711">
        <f t="shared" si="121"/>
        <v>277</v>
      </c>
      <c r="AF216" s="711">
        <f t="shared" si="121"/>
        <v>248</v>
      </c>
      <c r="AG216" s="711">
        <f t="shared" si="121"/>
        <v>90</v>
      </c>
      <c r="AH216" s="711">
        <f t="shared" si="121"/>
        <v>42</v>
      </c>
      <c r="AI216" s="711">
        <f t="shared" si="121"/>
        <v>38</v>
      </c>
      <c r="AJ216" s="711">
        <f t="shared" si="121"/>
        <v>154</v>
      </c>
      <c r="AK216" s="711">
        <f t="shared" si="121"/>
        <v>349</v>
      </c>
      <c r="AL216" s="711">
        <f t="shared" si="122"/>
        <v>418</v>
      </c>
      <c r="AM216" s="711">
        <f t="shared" si="123"/>
        <v>314</v>
      </c>
      <c r="AN216" s="711">
        <f t="shared" si="118"/>
        <v>358</v>
      </c>
      <c r="AO216" s="711">
        <f t="shared" si="119"/>
        <v>309</v>
      </c>
      <c r="AP216" s="711">
        <f t="shared" si="120"/>
        <v>209</v>
      </c>
      <c r="AQ216" s="711">
        <f t="shared" si="127"/>
        <v>56</v>
      </c>
      <c r="AR216" s="711">
        <f t="shared" si="128"/>
        <v>49</v>
      </c>
      <c r="AS216" s="711">
        <f t="shared" si="129"/>
        <v>16</v>
      </c>
      <c r="AT216" s="711">
        <f t="shared" si="130"/>
        <v>4</v>
      </c>
      <c r="AU216" s="711">
        <f t="shared" si="131"/>
        <v>135</v>
      </c>
      <c r="AV216" s="711">
        <f t="shared" si="132"/>
        <v>348</v>
      </c>
      <c r="AW216" s="711">
        <f t="shared" si="133"/>
        <v>264</v>
      </c>
      <c r="AX216" s="711">
        <f t="shared" si="101"/>
        <v>37</v>
      </c>
      <c r="AY216" s="711">
        <f t="shared" si="101"/>
        <v>115</v>
      </c>
      <c r="AZ216" s="711">
        <f t="shared" si="101"/>
        <v>397</v>
      </c>
      <c r="BA216" s="711">
        <f t="shared" si="101"/>
        <v>421</v>
      </c>
    </row>
    <row r="217" spans="1:53">
      <c r="A217" s="106">
        <f t="shared" si="124"/>
        <v>206</v>
      </c>
      <c r="B217" s="858">
        <v>42210</v>
      </c>
      <c r="C217" s="859" t="s">
        <v>1725</v>
      </c>
      <c r="D217" s="860">
        <v>4699</v>
      </c>
      <c r="E217" s="860">
        <v>4556</v>
      </c>
      <c r="F217" s="860">
        <v>4437</v>
      </c>
      <c r="G217" s="860">
        <v>4326</v>
      </c>
      <c r="H217" s="860">
        <v>4274</v>
      </c>
      <c r="I217" s="860">
        <v>4255</v>
      </c>
      <c r="J217" s="860">
        <v>4233</v>
      </c>
      <c r="K217" s="860">
        <v>4487</v>
      </c>
      <c r="L217" s="860">
        <v>4871</v>
      </c>
      <c r="M217" s="860">
        <v>5307</v>
      </c>
      <c r="N217" s="860">
        <v>5697</v>
      </c>
      <c r="O217" s="860">
        <v>6006</v>
      </c>
      <c r="P217" s="860">
        <v>6243</v>
      </c>
      <c r="Q217" s="860">
        <v>6457</v>
      </c>
      <c r="R217" s="860">
        <v>6655</v>
      </c>
      <c r="S217" s="860">
        <v>6880</v>
      </c>
      <c r="T217" s="860">
        <v>7039</v>
      </c>
      <c r="U217" s="860">
        <v>7108</v>
      </c>
      <c r="V217" s="860">
        <v>7013</v>
      </c>
      <c r="W217" s="860">
        <v>6760</v>
      </c>
      <c r="X217" s="860">
        <v>6492</v>
      </c>
      <c r="Y217" s="860">
        <v>6201</v>
      </c>
      <c r="Z217" s="860">
        <v>5645</v>
      </c>
      <c r="AA217" s="860">
        <v>5096</v>
      </c>
      <c r="AC217" s="712">
        <f t="shared" si="125"/>
        <v>206</v>
      </c>
      <c r="AD217" s="711">
        <f t="shared" si="126"/>
        <v>201</v>
      </c>
      <c r="AE217" s="711">
        <f t="shared" si="121"/>
        <v>143</v>
      </c>
      <c r="AF217" s="711">
        <f t="shared" si="121"/>
        <v>119</v>
      </c>
      <c r="AG217" s="711">
        <f t="shared" si="121"/>
        <v>111</v>
      </c>
      <c r="AH217" s="711">
        <f t="shared" si="121"/>
        <v>52</v>
      </c>
      <c r="AI217" s="711">
        <f t="shared" si="121"/>
        <v>19</v>
      </c>
      <c r="AJ217" s="711">
        <f t="shared" si="121"/>
        <v>22</v>
      </c>
      <c r="AK217" s="711">
        <f t="shared" si="121"/>
        <v>254</v>
      </c>
      <c r="AL217" s="711">
        <f t="shared" si="122"/>
        <v>384</v>
      </c>
      <c r="AM217" s="711">
        <f t="shared" si="123"/>
        <v>436</v>
      </c>
      <c r="AN217" s="711">
        <f t="shared" si="118"/>
        <v>390</v>
      </c>
      <c r="AO217" s="711">
        <f t="shared" si="119"/>
        <v>309</v>
      </c>
      <c r="AP217" s="711">
        <f t="shared" si="120"/>
        <v>237</v>
      </c>
      <c r="AQ217" s="711">
        <f t="shared" si="127"/>
        <v>214</v>
      </c>
      <c r="AR217" s="711">
        <f t="shared" si="128"/>
        <v>198</v>
      </c>
      <c r="AS217" s="711">
        <f t="shared" si="129"/>
        <v>225</v>
      </c>
      <c r="AT217" s="711">
        <f t="shared" si="130"/>
        <v>159</v>
      </c>
      <c r="AU217" s="711">
        <f t="shared" si="131"/>
        <v>69</v>
      </c>
      <c r="AV217" s="711">
        <f t="shared" si="132"/>
        <v>95</v>
      </c>
      <c r="AW217" s="711">
        <f t="shared" si="133"/>
        <v>253</v>
      </c>
      <c r="AX217" s="711">
        <f t="shared" si="101"/>
        <v>268</v>
      </c>
      <c r="AY217" s="711">
        <f t="shared" si="101"/>
        <v>291</v>
      </c>
      <c r="AZ217" s="711">
        <f t="shared" si="101"/>
        <v>556</v>
      </c>
      <c r="BA217" s="711">
        <f t="shared" si="101"/>
        <v>549</v>
      </c>
    </row>
    <row r="218" spans="1:53">
      <c r="A218" s="106">
        <f t="shared" si="124"/>
        <v>207</v>
      </c>
      <c r="B218" s="858">
        <v>42211</v>
      </c>
      <c r="C218" s="859" t="s">
        <v>1725</v>
      </c>
      <c r="D218" s="860">
        <v>4824</v>
      </c>
      <c r="E218" s="860">
        <v>4568</v>
      </c>
      <c r="F218" s="860">
        <v>4466</v>
      </c>
      <c r="G218" s="860">
        <v>4328</v>
      </c>
      <c r="H218" s="860">
        <v>4265</v>
      </c>
      <c r="I218" s="860">
        <v>4249</v>
      </c>
      <c r="J218" s="860">
        <v>4185</v>
      </c>
      <c r="K218" s="860">
        <v>4382</v>
      </c>
      <c r="L218" s="860">
        <v>4677</v>
      </c>
      <c r="M218" s="860">
        <v>5099</v>
      </c>
      <c r="N218" s="860">
        <v>5524</v>
      </c>
      <c r="O218" s="860">
        <v>5930</v>
      </c>
      <c r="P218" s="860">
        <v>6234</v>
      </c>
      <c r="Q218" s="860">
        <v>6485</v>
      </c>
      <c r="R218" s="860">
        <v>6601</v>
      </c>
      <c r="S218" s="860">
        <v>6653</v>
      </c>
      <c r="T218" s="860">
        <v>6825</v>
      </c>
      <c r="U218" s="860">
        <v>7002</v>
      </c>
      <c r="V218" s="860">
        <v>6995</v>
      </c>
      <c r="W218" s="860">
        <v>6777</v>
      </c>
      <c r="X218" s="860">
        <v>6554</v>
      </c>
      <c r="Y218" s="860">
        <v>6342</v>
      </c>
      <c r="Z218" s="860">
        <v>5737</v>
      </c>
      <c r="AA218" s="860">
        <v>5165</v>
      </c>
      <c r="AC218" s="712">
        <f t="shared" si="125"/>
        <v>207</v>
      </c>
      <c r="AD218" s="711">
        <f t="shared" si="126"/>
        <v>272</v>
      </c>
      <c r="AE218" s="711">
        <f t="shared" si="121"/>
        <v>256</v>
      </c>
      <c r="AF218" s="711">
        <f t="shared" si="121"/>
        <v>102</v>
      </c>
      <c r="AG218" s="711">
        <f t="shared" si="121"/>
        <v>138</v>
      </c>
      <c r="AH218" s="711">
        <f t="shared" si="121"/>
        <v>63</v>
      </c>
      <c r="AI218" s="711">
        <f t="shared" si="121"/>
        <v>16</v>
      </c>
      <c r="AJ218" s="711">
        <f t="shared" si="121"/>
        <v>64</v>
      </c>
      <c r="AK218" s="711">
        <f t="shared" si="121"/>
        <v>197</v>
      </c>
      <c r="AL218" s="711">
        <f t="shared" si="122"/>
        <v>295</v>
      </c>
      <c r="AM218" s="711">
        <f t="shared" si="123"/>
        <v>422</v>
      </c>
      <c r="AN218" s="711">
        <f t="shared" si="118"/>
        <v>425</v>
      </c>
      <c r="AO218" s="711">
        <f t="shared" si="119"/>
        <v>406</v>
      </c>
      <c r="AP218" s="711">
        <f t="shared" si="120"/>
        <v>304</v>
      </c>
      <c r="AQ218" s="711">
        <f t="shared" si="127"/>
        <v>251</v>
      </c>
      <c r="AR218" s="711">
        <f t="shared" si="128"/>
        <v>116</v>
      </c>
      <c r="AS218" s="711">
        <f t="shared" si="129"/>
        <v>52</v>
      </c>
      <c r="AT218" s="711">
        <f t="shared" si="130"/>
        <v>172</v>
      </c>
      <c r="AU218" s="711">
        <f t="shared" si="131"/>
        <v>177</v>
      </c>
      <c r="AV218" s="711">
        <f t="shared" si="132"/>
        <v>7</v>
      </c>
      <c r="AW218" s="711">
        <f t="shared" si="133"/>
        <v>218</v>
      </c>
      <c r="AX218" s="711">
        <f t="shared" si="101"/>
        <v>223</v>
      </c>
      <c r="AY218" s="711">
        <f t="shared" si="101"/>
        <v>212</v>
      </c>
      <c r="AZ218" s="711">
        <f t="shared" si="101"/>
        <v>605</v>
      </c>
      <c r="BA218" s="711">
        <f t="shared" si="101"/>
        <v>572</v>
      </c>
    </row>
    <row r="219" spans="1:53">
      <c r="A219" s="106">
        <f t="shared" si="124"/>
        <v>208</v>
      </c>
      <c r="B219" s="858">
        <v>42212</v>
      </c>
      <c r="C219" s="859" t="s">
        <v>1725</v>
      </c>
      <c r="D219" s="860">
        <v>4772</v>
      </c>
      <c r="E219" s="860">
        <v>4708</v>
      </c>
      <c r="F219" s="860">
        <v>4558</v>
      </c>
      <c r="G219" s="860">
        <v>4465</v>
      </c>
      <c r="H219" s="860">
        <v>4508</v>
      </c>
      <c r="I219" s="860">
        <v>4666</v>
      </c>
      <c r="J219" s="860">
        <v>4878</v>
      </c>
      <c r="K219" s="860">
        <v>5258</v>
      </c>
      <c r="L219" s="860">
        <v>5648</v>
      </c>
      <c r="M219" s="860">
        <v>6111</v>
      </c>
      <c r="N219" s="860">
        <v>6410</v>
      </c>
      <c r="O219" s="860">
        <v>6761</v>
      </c>
      <c r="P219" s="860">
        <v>7192</v>
      </c>
      <c r="Q219" s="860">
        <v>7502</v>
      </c>
      <c r="R219" s="860">
        <v>7634</v>
      </c>
      <c r="S219" s="860">
        <v>7804</v>
      </c>
      <c r="T219" s="860">
        <v>7935</v>
      </c>
      <c r="U219" s="860">
        <v>7922</v>
      </c>
      <c r="V219" s="860">
        <v>7858</v>
      </c>
      <c r="W219" s="860">
        <v>7615</v>
      </c>
      <c r="X219" s="860">
        <v>7299</v>
      </c>
      <c r="Y219" s="860">
        <v>6938</v>
      </c>
      <c r="Z219" s="860">
        <v>6182</v>
      </c>
      <c r="AA219" s="860">
        <v>5480</v>
      </c>
      <c r="AC219" s="712">
        <f t="shared" si="125"/>
        <v>208</v>
      </c>
      <c r="AD219" s="711">
        <f t="shared" si="126"/>
        <v>393</v>
      </c>
      <c r="AE219" s="711">
        <f t="shared" si="121"/>
        <v>64</v>
      </c>
      <c r="AF219" s="711">
        <f t="shared" si="121"/>
        <v>150</v>
      </c>
      <c r="AG219" s="711">
        <f t="shared" si="121"/>
        <v>93</v>
      </c>
      <c r="AH219" s="711">
        <f t="shared" si="121"/>
        <v>43</v>
      </c>
      <c r="AI219" s="711">
        <f t="shared" si="121"/>
        <v>158</v>
      </c>
      <c r="AJ219" s="711">
        <f t="shared" si="121"/>
        <v>212</v>
      </c>
      <c r="AK219" s="711">
        <f t="shared" si="121"/>
        <v>380</v>
      </c>
      <c r="AL219" s="711">
        <f t="shared" si="122"/>
        <v>390</v>
      </c>
      <c r="AM219" s="711">
        <f t="shared" si="123"/>
        <v>463</v>
      </c>
      <c r="AN219" s="711">
        <f t="shared" si="118"/>
        <v>299</v>
      </c>
      <c r="AO219" s="711">
        <f t="shared" si="119"/>
        <v>351</v>
      </c>
      <c r="AP219" s="711">
        <f t="shared" si="120"/>
        <v>431</v>
      </c>
      <c r="AQ219" s="711">
        <f t="shared" si="127"/>
        <v>310</v>
      </c>
      <c r="AR219" s="711">
        <f t="shared" si="128"/>
        <v>132</v>
      </c>
      <c r="AS219" s="711">
        <f t="shared" si="129"/>
        <v>170</v>
      </c>
      <c r="AT219" s="711">
        <f t="shared" si="130"/>
        <v>131</v>
      </c>
      <c r="AU219" s="711">
        <f t="shared" si="131"/>
        <v>13</v>
      </c>
      <c r="AV219" s="711">
        <f t="shared" si="132"/>
        <v>64</v>
      </c>
      <c r="AW219" s="711">
        <f t="shared" si="133"/>
        <v>243</v>
      </c>
      <c r="AX219" s="711">
        <f t="shared" si="101"/>
        <v>316</v>
      </c>
      <c r="AY219" s="711">
        <f t="shared" si="101"/>
        <v>361</v>
      </c>
      <c r="AZ219" s="711">
        <f t="shared" si="101"/>
        <v>756</v>
      </c>
      <c r="BA219" s="711">
        <f t="shared" si="101"/>
        <v>702</v>
      </c>
    </row>
    <row r="220" spans="1:53">
      <c r="A220" s="106">
        <f t="shared" si="124"/>
        <v>209</v>
      </c>
      <c r="B220" s="858">
        <v>42213</v>
      </c>
      <c r="C220" s="859" t="s">
        <v>1725</v>
      </c>
      <c r="D220" s="860">
        <v>5005</v>
      </c>
      <c r="E220" s="860">
        <v>4833</v>
      </c>
      <c r="F220" s="860">
        <v>4655</v>
      </c>
      <c r="G220" s="860">
        <v>4500</v>
      </c>
      <c r="H220" s="860">
        <v>4514</v>
      </c>
      <c r="I220" s="860">
        <v>4673</v>
      </c>
      <c r="J220" s="860">
        <v>4826</v>
      </c>
      <c r="K220" s="860">
        <v>5082</v>
      </c>
      <c r="L220" s="860">
        <v>5288</v>
      </c>
      <c r="M220" s="860">
        <v>5464</v>
      </c>
      <c r="N220" s="860">
        <v>5707</v>
      </c>
      <c r="O220" s="860">
        <v>5947</v>
      </c>
      <c r="P220" s="860">
        <v>6177</v>
      </c>
      <c r="Q220" s="860">
        <v>6425</v>
      </c>
      <c r="R220" s="860">
        <v>6704</v>
      </c>
      <c r="S220" s="860">
        <v>6971</v>
      </c>
      <c r="T220" s="860">
        <v>7164</v>
      </c>
      <c r="U220" s="860">
        <v>7219</v>
      </c>
      <c r="V220" s="860">
        <v>7035</v>
      </c>
      <c r="W220" s="860">
        <v>6682</v>
      </c>
      <c r="X220" s="860">
        <v>6450</v>
      </c>
      <c r="Y220" s="860">
        <v>6159</v>
      </c>
      <c r="Z220" s="860">
        <v>5546</v>
      </c>
      <c r="AA220" s="860">
        <v>4965</v>
      </c>
      <c r="AC220" s="712">
        <f t="shared" si="125"/>
        <v>209</v>
      </c>
      <c r="AD220" s="711">
        <f t="shared" si="126"/>
        <v>475</v>
      </c>
      <c r="AE220" s="711">
        <f t="shared" si="121"/>
        <v>172</v>
      </c>
      <c r="AF220" s="711">
        <f t="shared" si="121"/>
        <v>178</v>
      </c>
      <c r="AG220" s="711">
        <f t="shared" si="121"/>
        <v>155</v>
      </c>
      <c r="AH220" s="711">
        <f t="shared" si="121"/>
        <v>14</v>
      </c>
      <c r="AI220" s="711">
        <f t="shared" si="121"/>
        <v>159</v>
      </c>
      <c r="AJ220" s="711">
        <f t="shared" si="121"/>
        <v>153</v>
      </c>
      <c r="AK220" s="711">
        <f t="shared" si="121"/>
        <v>256</v>
      </c>
      <c r="AL220" s="711">
        <f t="shared" si="122"/>
        <v>206</v>
      </c>
      <c r="AM220" s="711">
        <f t="shared" si="123"/>
        <v>176</v>
      </c>
      <c r="AN220" s="711">
        <f t="shared" si="118"/>
        <v>243</v>
      </c>
      <c r="AO220" s="711">
        <f t="shared" si="119"/>
        <v>240</v>
      </c>
      <c r="AP220" s="711">
        <f t="shared" si="120"/>
        <v>230</v>
      </c>
      <c r="AQ220" s="711">
        <f t="shared" si="127"/>
        <v>248</v>
      </c>
      <c r="AR220" s="711">
        <f t="shared" si="128"/>
        <v>279</v>
      </c>
      <c r="AS220" s="711">
        <f t="shared" si="129"/>
        <v>267</v>
      </c>
      <c r="AT220" s="711">
        <f t="shared" si="130"/>
        <v>193</v>
      </c>
      <c r="AU220" s="711">
        <f t="shared" si="131"/>
        <v>55</v>
      </c>
      <c r="AV220" s="711">
        <f t="shared" si="132"/>
        <v>184</v>
      </c>
      <c r="AW220" s="711">
        <f t="shared" si="133"/>
        <v>353</v>
      </c>
      <c r="AX220" s="711">
        <f t="shared" si="101"/>
        <v>232</v>
      </c>
      <c r="AY220" s="711">
        <f t="shared" si="101"/>
        <v>291</v>
      </c>
      <c r="AZ220" s="711">
        <f t="shared" si="101"/>
        <v>613</v>
      </c>
      <c r="BA220" s="711">
        <f t="shared" si="101"/>
        <v>581</v>
      </c>
    </row>
    <row r="221" spans="1:53">
      <c r="A221" s="106">
        <f t="shared" si="124"/>
        <v>210</v>
      </c>
      <c r="B221" s="858">
        <v>42214</v>
      </c>
      <c r="C221" s="859" t="s">
        <v>1725</v>
      </c>
      <c r="D221" s="860">
        <v>4606</v>
      </c>
      <c r="E221" s="860">
        <v>4503</v>
      </c>
      <c r="F221" s="860">
        <v>4346</v>
      </c>
      <c r="G221" s="860">
        <v>4321</v>
      </c>
      <c r="H221" s="860">
        <v>4373</v>
      </c>
      <c r="I221" s="860">
        <v>4561</v>
      </c>
      <c r="J221" s="860">
        <v>4748</v>
      </c>
      <c r="K221" s="860">
        <v>5006</v>
      </c>
      <c r="L221" s="860">
        <v>5249</v>
      </c>
      <c r="M221" s="860">
        <v>5487</v>
      </c>
      <c r="N221" s="860">
        <v>5766</v>
      </c>
      <c r="O221" s="860">
        <v>5969</v>
      </c>
      <c r="P221" s="860">
        <v>6219</v>
      </c>
      <c r="Q221" s="860">
        <v>6485</v>
      </c>
      <c r="R221" s="860">
        <v>6647</v>
      </c>
      <c r="S221" s="860">
        <v>6969</v>
      </c>
      <c r="T221" s="860">
        <v>7164</v>
      </c>
      <c r="U221" s="860">
        <v>7246</v>
      </c>
      <c r="V221" s="860">
        <v>6973</v>
      </c>
      <c r="W221" s="860">
        <v>6696</v>
      </c>
      <c r="X221" s="860">
        <v>6530</v>
      </c>
      <c r="Y221" s="860">
        <v>6265</v>
      </c>
      <c r="Z221" s="860">
        <v>5651</v>
      </c>
      <c r="AA221" s="860">
        <v>5086</v>
      </c>
      <c r="AC221" s="712">
        <f t="shared" si="125"/>
        <v>210</v>
      </c>
      <c r="AD221" s="711">
        <f t="shared" si="126"/>
        <v>359</v>
      </c>
      <c r="AE221" s="711">
        <f t="shared" si="121"/>
        <v>103</v>
      </c>
      <c r="AF221" s="711">
        <f t="shared" si="121"/>
        <v>157</v>
      </c>
      <c r="AG221" s="711">
        <f t="shared" si="121"/>
        <v>25</v>
      </c>
      <c r="AH221" s="711">
        <f t="shared" si="121"/>
        <v>52</v>
      </c>
      <c r="AI221" s="711">
        <f t="shared" si="121"/>
        <v>188</v>
      </c>
      <c r="AJ221" s="711">
        <f t="shared" si="121"/>
        <v>187</v>
      </c>
      <c r="AK221" s="711">
        <f t="shared" si="121"/>
        <v>258</v>
      </c>
      <c r="AL221" s="711">
        <f t="shared" si="122"/>
        <v>243</v>
      </c>
      <c r="AM221" s="711">
        <f t="shared" si="123"/>
        <v>238</v>
      </c>
      <c r="AN221" s="711">
        <f t="shared" si="118"/>
        <v>279</v>
      </c>
      <c r="AO221" s="711">
        <f t="shared" si="119"/>
        <v>203</v>
      </c>
      <c r="AP221" s="711">
        <f t="shared" si="120"/>
        <v>250</v>
      </c>
      <c r="AQ221" s="711">
        <f t="shared" si="127"/>
        <v>266</v>
      </c>
      <c r="AR221" s="711">
        <f t="shared" si="128"/>
        <v>162</v>
      </c>
      <c r="AS221" s="711">
        <f t="shared" si="129"/>
        <v>322</v>
      </c>
      <c r="AT221" s="711">
        <f t="shared" si="130"/>
        <v>195</v>
      </c>
      <c r="AU221" s="711">
        <f t="shared" si="131"/>
        <v>82</v>
      </c>
      <c r="AV221" s="711">
        <f t="shared" si="132"/>
        <v>273</v>
      </c>
      <c r="AW221" s="711">
        <f t="shared" si="133"/>
        <v>277</v>
      </c>
      <c r="AX221" s="711">
        <f t="shared" si="101"/>
        <v>166</v>
      </c>
      <c r="AY221" s="711">
        <f t="shared" si="101"/>
        <v>265</v>
      </c>
      <c r="AZ221" s="711">
        <f t="shared" si="101"/>
        <v>614</v>
      </c>
      <c r="BA221" s="711">
        <f t="shared" si="101"/>
        <v>565</v>
      </c>
    </row>
    <row r="222" spans="1:53">
      <c r="A222" s="106">
        <f t="shared" si="124"/>
        <v>211</v>
      </c>
      <c r="B222" s="858">
        <v>42215</v>
      </c>
      <c r="C222" s="859" t="s">
        <v>1725</v>
      </c>
      <c r="D222" s="860">
        <v>4714</v>
      </c>
      <c r="E222" s="860">
        <v>4442</v>
      </c>
      <c r="F222" s="860">
        <v>4275</v>
      </c>
      <c r="G222" s="860">
        <v>4234</v>
      </c>
      <c r="H222" s="860">
        <v>4234</v>
      </c>
      <c r="I222" s="860">
        <v>4408</v>
      </c>
      <c r="J222" s="860">
        <v>4651</v>
      </c>
      <c r="K222" s="860">
        <v>5021</v>
      </c>
      <c r="L222" s="860">
        <v>5313</v>
      </c>
      <c r="M222" s="860">
        <v>5631</v>
      </c>
      <c r="N222" s="860">
        <v>5992</v>
      </c>
      <c r="O222" s="860">
        <v>6293</v>
      </c>
      <c r="P222" s="860">
        <v>6595</v>
      </c>
      <c r="Q222" s="860">
        <v>6904</v>
      </c>
      <c r="R222" s="860">
        <v>7092</v>
      </c>
      <c r="S222" s="860">
        <v>7335</v>
      </c>
      <c r="T222" s="860">
        <v>7490</v>
      </c>
      <c r="U222" s="860">
        <v>7530</v>
      </c>
      <c r="V222" s="860">
        <v>7389</v>
      </c>
      <c r="W222" s="860">
        <v>7238</v>
      </c>
      <c r="X222" s="860">
        <v>6918</v>
      </c>
      <c r="Y222" s="860">
        <v>6623</v>
      </c>
      <c r="Z222" s="860">
        <v>5957</v>
      </c>
      <c r="AA222" s="860">
        <v>5323</v>
      </c>
      <c r="AC222" s="712">
        <f t="shared" si="125"/>
        <v>211</v>
      </c>
      <c r="AD222" s="711">
        <f t="shared" si="126"/>
        <v>372</v>
      </c>
      <c r="AE222" s="711">
        <f t="shared" si="121"/>
        <v>272</v>
      </c>
      <c r="AF222" s="711">
        <f t="shared" si="121"/>
        <v>167</v>
      </c>
      <c r="AG222" s="711">
        <f t="shared" si="121"/>
        <v>41</v>
      </c>
      <c r="AH222" s="711">
        <f t="shared" si="121"/>
        <v>0</v>
      </c>
      <c r="AI222" s="711">
        <f t="shared" si="121"/>
        <v>174</v>
      </c>
      <c r="AJ222" s="711">
        <f t="shared" si="121"/>
        <v>243</v>
      </c>
      <c r="AK222" s="711">
        <f t="shared" si="121"/>
        <v>370</v>
      </c>
      <c r="AL222" s="711">
        <f t="shared" si="122"/>
        <v>292</v>
      </c>
      <c r="AM222" s="711">
        <f t="shared" si="123"/>
        <v>318</v>
      </c>
      <c r="AN222" s="711">
        <f t="shared" ref="AN222:AN249" si="134">ABS(N222-M222)</f>
        <v>361</v>
      </c>
      <c r="AO222" s="711">
        <f t="shared" ref="AO222:AO249" si="135">ABS(O222-N222)</f>
        <v>301</v>
      </c>
      <c r="AP222" s="711">
        <f t="shared" ref="AP222:AP249" si="136">ABS(P222-O222)</f>
        <v>302</v>
      </c>
      <c r="AQ222" s="711">
        <f t="shared" si="127"/>
        <v>309</v>
      </c>
      <c r="AR222" s="711">
        <f t="shared" si="128"/>
        <v>188</v>
      </c>
      <c r="AS222" s="711">
        <f t="shared" si="129"/>
        <v>243</v>
      </c>
      <c r="AT222" s="711">
        <f t="shared" si="130"/>
        <v>155</v>
      </c>
      <c r="AU222" s="711">
        <f t="shared" si="131"/>
        <v>40</v>
      </c>
      <c r="AV222" s="711">
        <f t="shared" si="132"/>
        <v>141</v>
      </c>
      <c r="AW222" s="711">
        <f t="shared" si="133"/>
        <v>151</v>
      </c>
      <c r="AX222" s="711">
        <f t="shared" si="101"/>
        <v>320</v>
      </c>
      <c r="AY222" s="711">
        <f t="shared" si="101"/>
        <v>295</v>
      </c>
      <c r="AZ222" s="711">
        <f t="shared" si="101"/>
        <v>666</v>
      </c>
      <c r="BA222" s="711">
        <f t="shared" si="101"/>
        <v>634</v>
      </c>
    </row>
    <row r="223" spans="1:53">
      <c r="A223" s="106">
        <f t="shared" si="124"/>
        <v>212</v>
      </c>
      <c r="B223" s="858">
        <v>42216</v>
      </c>
      <c r="C223" s="859" t="s">
        <v>1725</v>
      </c>
      <c r="D223" s="860">
        <v>4887</v>
      </c>
      <c r="E223" s="860">
        <v>4586</v>
      </c>
      <c r="F223" s="860">
        <v>4416</v>
      </c>
      <c r="G223" s="860">
        <v>4325</v>
      </c>
      <c r="H223" s="860">
        <v>4340</v>
      </c>
      <c r="I223" s="860">
        <v>4506</v>
      </c>
      <c r="J223" s="860">
        <v>4653</v>
      </c>
      <c r="K223" s="860">
        <v>5028</v>
      </c>
      <c r="L223" s="860">
        <v>5407</v>
      </c>
      <c r="M223" s="860">
        <v>5751</v>
      </c>
      <c r="N223" s="860">
        <v>6093</v>
      </c>
      <c r="O223" s="860">
        <v>6414</v>
      </c>
      <c r="P223" s="860">
        <v>6716</v>
      </c>
      <c r="Q223" s="860">
        <v>7000</v>
      </c>
      <c r="R223" s="860">
        <v>7158</v>
      </c>
      <c r="S223" s="860">
        <v>7179</v>
      </c>
      <c r="T223" s="860">
        <v>7189</v>
      </c>
      <c r="U223" s="860">
        <v>7195</v>
      </c>
      <c r="V223" s="860">
        <v>6986</v>
      </c>
      <c r="W223" s="860">
        <v>6649</v>
      </c>
      <c r="X223" s="860">
        <v>6424</v>
      </c>
      <c r="Y223" s="860">
        <v>6165</v>
      </c>
      <c r="Z223" s="860">
        <v>5632</v>
      </c>
      <c r="AA223" s="860">
        <v>5115</v>
      </c>
      <c r="AC223" s="712">
        <f t="shared" si="125"/>
        <v>212</v>
      </c>
      <c r="AD223" s="711">
        <f t="shared" si="126"/>
        <v>436</v>
      </c>
      <c r="AE223" s="711">
        <f t="shared" si="121"/>
        <v>301</v>
      </c>
      <c r="AF223" s="711">
        <f t="shared" si="121"/>
        <v>170</v>
      </c>
      <c r="AG223" s="711">
        <f t="shared" si="121"/>
        <v>91</v>
      </c>
      <c r="AH223" s="711">
        <f t="shared" si="121"/>
        <v>15</v>
      </c>
      <c r="AI223" s="711">
        <f t="shared" si="121"/>
        <v>166</v>
      </c>
      <c r="AJ223" s="711">
        <f t="shared" si="121"/>
        <v>147</v>
      </c>
      <c r="AK223" s="711">
        <f t="shared" si="121"/>
        <v>375</v>
      </c>
      <c r="AL223" s="711">
        <f t="shared" si="122"/>
        <v>379</v>
      </c>
      <c r="AM223" s="711">
        <f t="shared" si="123"/>
        <v>344</v>
      </c>
      <c r="AN223" s="711">
        <f t="shared" si="134"/>
        <v>342</v>
      </c>
      <c r="AO223" s="711">
        <f t="shared" si="135"/>
        <v>321</v>
      </c>
      <c r="AP223" s="711">
        <f t="shared" si="136"/>
        <v>302</v>
      </c>
      <c r="AQ223" s="711">
        <f t="shared" si="127"/>
        <v>284</v>
      </c>
      <c r="AR223" s="711">
        <f t="shared" si="128"/>
        <v>158</v>
      </c>
      <c r="AS223" s="711">
        <f t="shared" si="129"/>
        <v>21</v>
      </c>
      <c r="AT223" s="711">
        <f t="shared" si="130"/>
        <v>10</v>
      </c>
      <c r="AU223" s="711">
        <f t="shared" si="131"/>
        <v>6</v>
      </c>
      <c r="AV223" s="711">
        <f t="shared" si="132"/>
        <v>209</v>
      </c>
      <c r="AW223" s="711">
        <f t="shared" si="133"/>
        <v>337</v>
      </c>
      <c r="AX223" s="711">
        <f t="shared" si="101"/>
        <v>225</v>
      </c>
      <c r="AY223" s="711">
        <f t="shared" si="101"/>
        <v>259</v>
      </c>
      <c r="AZ223" s="711">
        <f t="shared" si="101"/>
        <v>533</v>
      </c>
      <c r="BA223" s="711">
        <f t="shared" si="101"/>
        <v>517</v>
      </c>
    </row>
    <row r="224" spans="1:53">
      <c r="A224" s="106">
        <f t="shared" si="124"/>
        <v>213</v>
      </c>
      <c r="B224" s="858">
        <v>42217</v>
      </c>
      <c r="C224" s="859" t="s">
        <v>1725</v>
      </c>
      <c r="D224" s="860">
        <v>4712</v>
      </c>
      <c r="E224" s="860">
        <v>4431</v>
      </c>
      <c r="F224" s="860">
        <v>4232</v>
      </c>
      <c r="G224" s="860">
        <v>4134</v>
      </c>
      <c r="H224" s="860">
        <v>4101</v>
      </c>
      <c r="I224" s="860">
        <v>4177</v>
      </c>
      <c r="J224" s="860">
        <v>4236</v>
      </c>
      <c r="K224" s="860">
        <v>4537</v>
      </c>
      <c r="L224" s="860">
        <v>4953</v>
      </c>
      <c r="M224" s="860">
        <v>5289</v>
      </c>
      <c r="N224" s="860">
        <v>5682</v>
      </c>
      <c r="O224" s="860">
        <v>6087</v>
      </c>
      <c r="P224" s="860">
        <v>6456</v>
      </c>
      <c r="Q224" s="860">
        <v>6747</v>
      </c>
      <c r="R224" s="860">
        <v>6987</v>
      </c>
      <c r="S224" s="860">
        <v>7204</v>
      </c>
      <c r="T224" s="860">
        <v>7311</v>
      </c>
      <c r="U224" s="860">
        <v>7271</v>
      </c>
      <c r="V224" s="860">
        <v>7050</v>
      </c>
      <c r="W224" s="860">
        <v>6737</v>
      </c>
      <c r="X224" s="860">
        <v>6530</v>
      </c>
      <c r="Y224" s="860">
        <v>6234</v>
      </c>
      <c r="Z224" s="860">
        <v>5715</v>
      </c>
      <c r="AA224" s="860">
        <v>5226</v>
      </c>
      <c r="AC224" s="712">
        <f t="shared" si="125"/>
        <v>213</v>
      </c>
      <c r="AD224" s="711">
        <f t="shared" si="126"/>
        <v>403</v>
      </c>
      <c r="AE224" s="711">
        <f t="shared" si="121"/>
        <v>281</v>
      </c>
      <c r="AF224" s="711">
        <f t="shared" si="121"/>
        <v>199</v>
      </c>
      <c r="AG224" s="711">
        <f t="shared" si="121"/>
        <v>98</v>
      </c>
      <c r="AH224" s="711">
        <f t="shared" si="121"/>
        <v>33</v>
      </c>
      <c r="AI224" s="711">
        <f t="shared" si="121"/>
        <v>76</v>
      </c>
      <c r="AJ224" s="711">
        <f t="shared" si="121"/>
        <v>59</v>
      </c>
      <c r="AK224" s="711">
        <f t="shared" si="121"/>
        <v>301</v>
      </c>
      <c r="AL224" s="711">
        <f t="shared" si="122"/>
        <v>416</v>
      </c>
      <c r="AM224" s="711">
        <f t="shared" si="123"/>
        <v>336</v>
      </c>
      <c r="AN224" s="711">
        <f t="shared" si="134"/>
        <v>393</v>
      </c>
      <c r="AO224" s="711">
        <f t="shared" si="135"/>
        <v>405</v>
      </c>
      <c r="AP224" s="711">
        <f t="shared" si="136"/>
        <v>369</v>
      </c>
      <c r="AQ224" s="711">
        <f t="shared" si="127"/>
        <v>291</v>
      </c>
      <c r="AR224" s="711">
        <f t="shared" si="128"/>
        <v>240</v>
      </c>
      <c r="AS224" s="711">
        <f t="shared" si="129"/>
        <v>217</v>
      </c>
      <c r="AT224" s="711">
        <f t="shared" si="130"/>
        <v>107</v>
      </c>
      <c r="AU224" s="711">
        <f t="shared" si="131"/>
        <v>40</v>
      </c>
      <c r="AV224" s="711">
        <f t="shared" si="132"/>
        <v>221</v>
      </c>
      <c r="AW224" s="711">
        <f t="shared" si="133"/>
        <v>313</v>
      </c>
      <c r="AX224" s="711">
        <f t="shared" si="101"/>
        <v>207</v>
      </c>
      <c r="AY224" s="711">
        <f t="shared" si="101"/>
        <v>296</v>
      </c>
      <c r="AZ224" s="711">
        <f t="shared" si="101"/>
        <v>519</v>
      </c>
      <c r="BA224" s="711">
        <f t="shared" si="101"/>
        <v>489</v>
      </c>
    </row>
    <row r="225" spans="1:53">
      <c r="A225" s="106">
        <f t="shared" si="124"/>
        <v>214</v>
      </c>
      <c r="B225" s="858">
        <v>42218</v>
      </c>
      <c r="C225" s="859" t="s">
        <v>1725</v>
      </c>
      <c r="D225" s="860">
        <v>4881</v>
      </c>
      <c r="E225" s="860">
        <v>4601</v>
      </c>
      <c r="F225" s="860">
        <v>4353</v>
      </c>
      <c r="G225" s="860">
        <v>4226</v>
      </c>
      <c r="H225" s="860">
        <v>4147</v>
      </c>
      <c r="I225" s="860">
        <v>4152</v>
      </c>
      <c r="J225" s="860">
        <v>4160</v>
      </c>
      <c r="K225" s="860">
        <v>4414</v>
      </c>
      <c r="L225" s="860">
        <v>4803</v>
      </c>
      <c r="M225" s="860">
        <v>5239</v>
      </c>
      <c r="N225" s="860">
        <v>5624</v>
      </c>
      <c r="O225" s="860">
        <v>6029</v>
      </c>
      <c r="P225" s="860">
        <v>6407</v>
      </c>
      <c r="Q225" s="860">
        <v>6700</v>
      </c>
      <c r="R225" s="860">
        <v>6682</v>
      </c>
      <c r="S225" s="860">
        <v>6410</v>
      </c>
      <c r="T225" s="860">
        <v>6245</v>
      </c>
      <c r="U225" s="860">
        <v>6085</v>
      </c>
      <c r="V225" s="860">
        <v>5934</v>
      </c>
      <c r="W225" s="860">
        <v>5766</v>
      </c>
      <c r="X225" s="860">
        <v>5812</v>
      </c>
      <c r="Y225" s="860">
        <v>5647</v>
      </c>
      <c r="Z225" s="860">
        <v>5236</v>
      </c>
      <c r="AA225" s="860">
        <v>4860</v>
      </c>
      <c r="AB225" s="711">
        <f>MAX(D224:AA254)</f>
        <v>7975</v>
      </c>
      <c r="AC225" s="712">
        <f t="shared" si="125"/>
        <v>214</v>
      </c>
      <c r="AD225" s="711">
        <f t="shared" si="126"/>
        <v>345</v>
      </c>
      <c r="AE225" s="711">
        <f t="shared" si="121"/>
        <v>280</v>
      </c>
      <c r="AF225" s="711">
        <f t="shared" si="121"/>
        <v>248</v>
      </c>
      <c r="AG225" s="711">
        <f t="shared" si="121"/>
        <v>127</v>
      </c>
      <c r="AH225" s="711">
        <f t="shared" si="121"/>
        <v>79</v>
      </c>
      <c r="AI225" s="711">
        <f t="shared" si="121"/>
        <v>5</v>
      </c>
      <c r="AJ225" s="711">
        <f t="shared" si="121"/>
        <v>8</v>
      </c>
      <c r="AK225" s="711">
        <f t="shared" si="121"/>
        <v>254</v>
      </c>
      <c r="AL225" s="711">
        <f t="shared" si="122"/>
        <v>389</v>
      </c>
      <c r="AM225" s="711">
        <f t="shared" si="123"/>
        <v>436</v>
      </c>
      <c r="AN225" s="711">
        <f t="shared" si="134"/>
        <v>385</v>
      </c>
      <c r="AO225" s="711">
        <f t="shared" si="135"/>
        <v>405</v>
      </c>
      <c r="AP225" s="711">
        <f t="shared" si="136"/>
        <v>378</v>
      </c>
      <c r="AQ225" s="711">
        <f t="shared" si="127"/>
        <v>293</v>
      </c>
      <c r="AR225" s="711">
        <f t="shared" si="128"/>
        <v>18</v>
      </c>
      <c r="AS225" s="711">
        <f t="shared" si="129"/>
        <v>272</v>
      </c>
      <c r="AT225" s="711">
        <f t="shared" si="130"/>
        <v>165</v>
      </c>
      <c r="AU225" s="711">
        <f t="shared" si="131"/>
        <v>160</v>
      </c>
      <c r="AV225" s="711">
        <f t="shared" si="132"/>
        <v>151</v>
      </c>
      <c r="AW225" s="711">
        <f t="shared" si="133"/>
        <v>168</v>
      </c>
      <c r="AX225" s="711">
        <f t="shared" si="101"/>
        <v>46</v>
      </c>
      <c r="AY225" s="711">
        <f t="shared" si="101"/>
        <v>165</v>
      </c>
      <c r="AZ225" s="711">
        <f t="shared" si="101"/>
        <v>411</v>
      </c>
      <c r="BA225" s="711">
        <f t="shared" si="101"/>
        <v>376</v>
      </c>
    </row>
    <row r="226" spans="1:53">
      <c r="A226" s="106">
        <f t="shared" si="124"/>
        <v>215</v>
      </c>
      <c r="B226" s="858">
        <v>42219</v>
      </c>
      <c r="C226" s="859" t="s">
        <v>1725</v>
      </c>
      <c r="D226" s="860">
        <v>4558</v>
      </c>
      <c r="E226" s="860">
        <v>4357</v>
      </c>
      <c r="F226" s="860">
        <v>4247</v>
      </c>
      <c r="G226" s="860">
        <v>4197</v>
      </c>
      <c r="H226" s="860">
        <v>4258</v>
      </c>
      <c r="I226" s="860">
        <v>4472</v>
      </c>
      <c r="J226" s="860">
        <v>4660</v>
      </c>
      <c r="K226" s="860">
        <v>5003</v>
      </c>
      <c r="L226" s="860">
        <v>5329</v>
      </c>
      <c r="M226" s="860">
        <v>5579</v>
      </c>
      <c r="N226" s="860">
        <v>5798</v>
      </c>
      <c r="O226" s="860">
        <v>6038</v>
      </c>
      <c r="P226" s="860">
        <v>6223</v>
      </c>
      <c r="Q226" s="860">
        <v>6384</v>
      </c>
      <c r="R226" s="860">
        <v>6503</v>
      </c>
      <c r="S226" s="860">
        <v>6468</v>
      </c>
      <c r="T226" s="860">
        <v>6368</v>
      </c>
      <c r="U226" s="860">
        <v>6304</v>
      </c>
      <c r="V226" s="860">
        <v>6249</v>
      </c>
      <c r="W226" s="860">
        <v>6068</v>
      </c>
      <c r="X226" s="860">
        <v>6039</v>
      </c>
      <c r="Y226" s="860">
        <v>5784</v>
      </c>
      <c r="Z226" s="860">
        <v>5187</v>
      </c>
      <c r="AA226" s="860">
        <v>4769</v>
      </c>
      <c r="AC226" s="712">
        <f t="shared" si="125"/>
        <v>215</v>
      </c>
      <c r="AD226" s="711">
        <f t="shared" si="126"/>
        <v>302</v>
      </c>
      <c r="AE226" s="711">
        <f t="shared" si="121"/>
        <v>201</v>
      </c>
      <c r="AF226" s="711">
        <f t="shared" si="121"/>
        <v>110</v>
      </c>
      <c r="AG226" s="711">
        <f t="shared" si="121"/>
        <v>50</v>
      </c>
      <c r="AH226" s="711">
        <f t="shared" si="121"/>
        <v>61</v>
      </c>
      <c r="AI226" s="711">
        <f t="shared" si="121"/>
        <v>214</v>
      </c>
      <c r="AJ226" s="711">
        <f t="shared" si="121"/>
        <v>188</v>
      </c>
      <c r="AK226" s="711">
        <f t="shared" si="121"/>
        <v>343</v>
      </c>
      <c r="AL226" s="711">
        <f t="shared" si="122"/>
        <v>326</v>
      </c>
      <c r="AM226" s="711">
        <f t="shared" si="123"/>
        <v>250</v>
      </c>
      <c r="AN226" s="711">
        <f t="shared" si="134"/>
        <v>219</v>
      </c>
      <c r="AO226" s="711">
        <f t="shared" si="135"/>
        <v>240</v>
      </c>
      <c r="AP226" s="711">
        <f t="shared" si="136"/>
        <v>185</v>
      </c>
      <c r="AQ226" s="711">
        <f t="shared" si="127"/>
        <v>161</v>
      </c>
      <c r="AR226" s="711">
        <f t="shared" si="128"/>
        <v>119</v>
      </c>
      <c r="AS226" s="711">
        <f t="shared" si="129"/>
        <v>35</v>
      </c>
      <c r="AT226" s="711">
        <f t="shared" si="130"/>
        <v>100</v>
      </c>
      <c r="AU226" s="711">
        <f t="shared" si="131"/>
        <v>64</v>
      </c>
      <c r="AV226" s="711">
        <f t="shared" si="132"/>
        <v>55</v>
      </c>
      <c r="AW226" s="711">
        <f t="shared" si="133"/>
        <v>181</v>
      </c>
      <c r="AX226" s="711">
        <f t="shared" si="101"/>
        <v>29</v>
      </c>
      <c r="AY226" s="711">
        <f t="shared" si="101"/>
        <v>255</v>
      </c>
      <c r="AZ226" s="711">
        <f t="shared" si="101"/>
        <v>597</v>
      </c>
      <c r="BA226" s="711">
        <f t="shared" si="101"/>
        <v>418</v>
      </c>
    </row>
    <row r="227" spans="1:53">
      <c r="A227" s="106">
        <f t="shared" si="124"/>
        <v>216</v>
      </c>
      <c r="B227" s="858">
        <v>42220</v>
      </c>
      <c r="C227" s="859" t="s">
        <v>1725</v>
      </c>
      <c r="D227" s="860">
        <v>4516</v>
      </c>
      <c r="E227" s="860">
        <v>4299</v>
      </c>
      <c r="F227" s="860">
        <v>4171</v>
      </c>
      <c r="G227" s="860">
        <v>4108</v>
      </c>
      <c r="H227" s="860">
        <v>4195</v>
      </c>
      <c r="I227" s="860">
        <v>4376</v>
      </c>
      <c r="J227" s="860">
        <v>4532</v>
      </c>
      <c r="K227" s="860">
        <v>4895</v>
      </c>
      <c r="L227" s="860">
        <v>5187</v>
      </c>
      <c r="M227" s="860">
        <v>5444</v>
      </c>
      <c r="N227" s="860">
        <v>5689</v>
      </c>
      <c r="O227" s="860">
        <v>5903</v>
      </c>
      <c r="P227" s="860">
        <v>6155</v>
      </c>
      <c r="Q227" s="860">
        <v>6469</v>
      </c>
      <c r="R227" s="860">
        <v>6786</v>
      </c>
      <c r="S227" s="860">
        <v>7075</v>
      </c>
      <c r="T227" s="860">
        <v>7245</v>
      </c>
      <c r="U227" s="860">
        <v>7351</v>
      </c>
      <c r="V227" s="860">
        <v>7222</v>
      </c>
      <c r="W227" s="860">
        <v>6934</v>
      </c>
      <c r="X227" s="860">
        <v>6701</v>
      </c>
      <c r="Y227" s="860">
        <v>6320</v>
      </c>
      <c r="Z227" s="860">
        <v>5602</v>
      </c>
      <c r="AA227" s="860">
        <v>5007</v>
      </c>
      <c r="AC227" s="712">
        <f t="shared" si="125"/>
        <v>216</v>
      </c>
      <c r="AD227" s="711">
        <f t="shared" si="126"/>
        <v>253</v>
      </c>
      <c r="AE227" s="711">
        <f t="shared" si="121"/>
        <v>217</v>
      </c>
      <c r="AF227" s="711">
        <f t="shared" si="121"/>
        <v>128</v>
      </c>
      <c r="AG227" s="711">
        <f t="shared" si="121"/>
        <v>63</v>
      </c>
      <c r="AH227" s="711">
        <f t="shared" si="121"/>
        <v>87</v>
      </c>
      <c r="AI227" s="711">
        <f t="shared" si="121"/>
        <v>181</v>
      </c>
      <c r="AJ227" s="711">
        <f t="shared" si="121"/>
        <v>156</v>
      </c>
      <c r="AK227" s="711">
        <f t="shared" si="121"/>
        <v>363</v>
      </c>
      <c r="AL227" s="711">
        <f t="shared" si="122"/>
        <v>292</v>
      </c>
      <c r="AM227" s="711">
        <f t="shared" si="123"/>
        <v>257</v>
      </c>
      <c r="AN227" s="711">
        <f t="shared" si="134"/>
        <v>245</v>
      </c>
      <c r="AO227" s="711">
        <f t="shared" si="135"/>
        <v>214</v>
      </c>
      <c r="AP227" s="711">
        <f t="shared" si="136"/>
        <v>252</v>
      </c>
      <c r="AQ227" s="711">
        <f t="shared" si="127"/>
        <v>314</v>
      </c>
      <c r="AR227" s="711">
        <f t="shared" si="128"/>
        <v>317</v>
      </c>
      <c r="AS227" s="711">
        <f t="shared" si="129"/>
        <v>289</v>
      </c>
      <c r="AT227" s="711">
        <f t="shared" si="130"/>
        <v>170</v>
      </c>
      <c r="AU227" s="711">
        <f t="shared" si="131"/>
        <v>106</v>
      </c>
      <c r="AV227" s="711">
        <f t="shared" si="132"/>
        <v>129</v>
      </c>
      <c r="AW227" s="711">
        <f t="shared" si="133"/>
        <v>288</v>
      </c>
      <c r="AX227" s="711">
        <f t="shared" si="101"/>
        <v>233</v>
      </c>
      <c r="AY227" s="711">
        <f t="shared" si="101"/>
        <v>381</v>
      </c>
      <c r="AZ227" s="711">
        <f t="shared" si="101"/>
        <v>718</v>
      </c>
      <c r="BA227" s="711">
        <f t="shared" si="101"/>
        <v>595</v>
      </c>
    </row>
    <row r="228" spans="1:53">
      <c r="A228" s="106">
        <f t="shared" si="124"/>
        <v>217</v>
      </c>
      <c r="B228" s="858">
        <v>42221</v>
      </c>
      <c r="C228" s="859" t="s">
        <v>1725</v>
      </c>
      <c r="D228" s="860">
        <v>4684</v>
      </c>
      <c r="E228" s="860">
        <v>4511</v>
      </c>
      <c r="F228" s="860">
        <v>4338</v>
      </c>
      <c r="G228" s="860">
        <v>4226</v>
      </c>
      <c r="H228" s="860">
        <v>4298</v>
      </c>
      <c r="I228" s="860">
        <v>4466</v>
      </c>
      <c r="J228" s="860">
        <v>4754</v>
      </c>
      <c r="K228" s="860">
        <v>4986</v>
      </c>
      <c r="L228" s="860">
        <v>5344</v>
      </c>
      <c r="M228" s="860">
        <v>5703</v>
      </c>
      <c r="N228" s="860">
        <v>6072</v>
      </c>
      <c r="O228" s="860">
        <v>6438</v>
      </c>
      <c r="P228" s="860">
        <v>6781</v>
      </c>
      <c r="Q228" s="860">
        <v>7139</v>
      </c>
      <c r="R228" s="860">
        <v>7477</v>
      </c>
      <c r="S228" s="860">
        <v>7704</v>
      </c>
      <c r="T228" s="860">
        <v>7956</v>
      </c>
      <c r="U228" s="860">
        <v>7975</v>
      </c>
      <c r="V228" s="860">
        <v>7714</v>
      </c>
      <c r="W228" s="860">
        <v>7386</v>
      </c>
      <c r="X228" s="860">
        <v>7206</v>
      </c>
      <c r="Y228" s="860">
        <v>6828</v>
      </c>
      <c r="Z228" s="860">
        <v>6209</v>
      </c>
      <c r="AA228" s="860">
        <v>5639</v>
      </c>
      <c r="AC228" s="712">
        <f t="shared" si="125"/>
        <v>217</v>
      </c>
      <c r="AD228" s="711">
        <f t="shared" si="126"/>
        <v>323</v>
      </c>
      <c r="AE228" s="711">
        <f t="shared" si="121"/>
        <v>173</v>
      </c>
      <c r="AF228" s="711">
        <f t="shared" si="121"/>
        <v>173</v>
      </c>
      <c r="AG228" s="711">
        <f t="shared" si="121"/>
        <v>112</v>
      </c>
      <c r="AH228" s="711">
        <f t="shared" si="121"/>
        <v>72</v>
      </c>
      <c r="AI228" s="711">
        <f t="shared" si="121"/>
        <v>168</v>
      </c>
      <c r="AJ228" s="711">
        <f t="shared" si="121"/>
        <v>288</v>
      </c>
      <c r="AK228" s="711">
        <f t="shared" si="121"/>
        <v>232</v>
      </c>
      <c r="AL228" s="711">
        <f t="shared" si="122"/>
        <v>358</v>
      </c>
      <c r="AM228" s="711">
        <f t="shared" si="123"/>
        <v>359</v>
      </c>
      <c r="AN228" s="711">
        <f t="shared" si="134"/>
        <v>369</v>
      </c>
      <c r="AO228" s="711">
        <f t="shared" si="135"/>
        <v>366</v>
      </c>
      <c r="AP228" s="711">
        <f t="shared" si="136"/>
        <v>343</v>
      </c>
      <c r="AQ228" s="711">
        <f t="shared" si="127"/>
        <v>358</v>
      </c>
      <c r="AR228" s="711">
        <f t="shared" si="128"/>
        <v>338</v>
      </c>
      <c r="AS228" s="711">
        <f t="shared" si="129"/>
        <v>227</v>
      </c>
      <c r="AT228" s="711">
        <f t="shared" si="130"/>
        <v>252</v>
      </c>
      <c r="AU228" s="711">
        <f t="shared" si="131"/>
        <v>19</v>
      </c>
      <c r="AV228" s="711">
        <f t="shared" si="132"/>
        <v>261</v>
      </c>
      <c r="AW228" s="711">
        <f t="shared" si="133"/>
        <v>328</v>
      </c>
      <c r="AX228" s="711">
        <f t="shared" si="101"/>
        <v>180</v>
      </c>
      <c r="AY228" s="711">
        <f t="shared" si="101"/>
        <v>378</v>
      </c>
      <c r="AZ228" s="711">
        <f t="shared" si="101"/>
        <v>619</v>
      </c>
      <c r="BA228" s="711">
        <f t="shared" si="101"/>
        <v>570</v>
      </c>
    </row>
    <row r="229" spans="1:53">
      <c r="A229" s="106">
        <f t="shared" si="124"/>
        <v>218</v>
      </c>
      <c r="B229" s="858">
        <v>42222</v>
      </c>
      <c r="C229" s="859" t="s">
        <v>1725</v>
      </c>
      <c r="D229" s="860">
        <v>5109</v>
      </c>
      <c r="E229" s="860">
        <v>4840</v>
      </c>
      <c r="F229" s="860">
        <v>4607</v>
      </c>
      <c r="G229" s="860">
        <v>4495</v>
      </c>
      <c r="H229" s="860">
        <v>4516</v>
      </c>
      <c r="I229" s="860">
        <v>4702</v>
      </c>
      <c r="J229" s="860">
        <v>4909</v>
      </c>
      <c r="K229" s="860">
        <v>5187</v>
      </c>
      <c r="L229" s="860">
        <v>5429</v>
      </c>
      <c r="M229" s="860">
        <v>5787</v>
      </c>
      <c r="N229" s="860">
        <v>6115</v>
      </c>
      <c r="O229" s="860">
        <v>6528</v>
      </c>
      <c r="P229" s="860">
        <v>6857</v>
      </c>
      <c r="Q229" s="860">
        <v>7103</v>
      </c>
      <c r="R229" s="860">
        <v>7333</v>
      </c>
      <c r="S229" s="860">
        <v>7405</v>
      </c>
      <c r="T229" s="860">
        <v>7430</v>
      </c>
      <c r="U229" s="860">
        <v>7391</v>
      </c>
      <c r="V229" s="860">
        <v>7168</v>
      </c>
      <c r="W229" s="860">
        <v>6755</v>
      </c>
      <c r="X229" s="860">
        <v>6600</v>
      </c>
      <c r="Y229" s="860">
        <v>6282</v>
      </c>
      <c r="Z229" s="860">
        <v>5710</v>
      </c>
      <c r="AA229" s="860">
        <v>5220</v>
      </c>
      <c r="AC229" s="712">
        <f t="shared" si="125"/>
        <v>218</v>
      </c>
      <c r="AD229" s="711">
        <f t="shared" si="126"/>
        <v>530</v>
      </c>
      <c r="AE229" s="711">
        <f t="shared" si="121"/>
        <v>269</v>
      </c>
      <c r="AF229" s="711">
        <f t="shared" si="121"/>
        <v>233</v>
      </c>
      <c r="AG229" s="711">
        <f t="shared" si="121"/>
        <v>112</v>
      </c>
      <c r="AH229" s="711">
        <f t="shared" si="121"/>
        <v>21</v>
      </c>
      <c r="AI229" s="711">
        <f t="shared" si="121"/>
        <v>186</v>
      </c>
      <c r="AJ229" s="711">
        <f t="shared" si="121"/>
        <v>207</v>
      </c>
      <c r="AK229" s="711">
        <f t="shared" si="121"/>
        <v>278</v>
      </c>
      <c r="AL229" s="711">
        <f t="shared" si="122"/>
        <v>242</v>
      </c>
      <c r="AM229" s="711">
        <f t="shared" si="123"/>
        <v>358</v>
      </c>
      <c r="AN229" s="711">
        <f t="shared" si="134"/>
        <v>328</v>
      </c>
      <c r="AO229" s="711">
        <f t="shared" si="135"/>
        <v>413</v>
      </c>
      <c r="AP229" s="711">
        <f t="shared" si="136"/>
        <v>329</v>
      </c>
      <c r="AQ229" s="711">
        <f t="shared" si="127"/>
        <v>246</v>
      </c>
      <c r="AR229" s="711">
        <f t="shared" si="128"/>
        <v>230</v>
      </c>
      <c r="AS229" s="711">
        <f t="shared" si="129"/>
        <v>72</v>
      </c>
      <c r="AT229" s="711">
        <f t="shared" si="130"/>
        <v>25</v>
      </c>
      <c r="AU229" s="711">
        <f t="shared" si="131"/>
        <v>39</v>
      </c>
      <c r="AV229" s="711">
        <f t="shared" si="132"/>
        <v>223</v>
      </c>
      <c r="AW229" s="711">
        <f t="shared" si="133"/>
        <v>413</v>
      </c>
      <c r="AX229" s="711">
        <f t="shared" si="101"/>
        <v>155</v>
      </c>
      <c r="AY229" s="711">
        <f t="shared" si="101"/>
        <v>318</v>
      </c>
      <c r="AZ229" s="711">
        <f t="shared" si="101"/>
        <v>572</v>
      </c>
      <c r="BA229" s="711">
        <f t="shared" si="101"/>
        <v>490</v>
      </c>
    </row>
    <row r="230" spans="1:53">
      <c r="A230" s="106">
        <f t="shared" si="124"/>
        <v>219</v>
      </c>
      <c r="B230" s="858">
        <v>42223</v>
      </c>
      <c r="C230" s="859" t="s">
        <v>1725</v>
      </c>
      <c r="D230" s="860">
        <v>4810</v>
      </c>
      <c r="E230" s="860">
        <v>4547</v>
      </c>
      <c r="F230" s="860">
        <v>4331</v>
      </c>
      <c r="G230" s="860">
        <v>4307</v>
      </c>
      <c r="H230" s="860">
        <v>4292</v>
      </c>
      <c r="I230" s="860">
        <v>4518</v>
      </c>
      <c r="J230" s="860">
        <v>4710</v>
      </c>
      <c r="K230" s="860">
        <v>5002</v>
      </c>
      <c r="L230" s="860">
        <v>5280</v>
      </c>
      <c r="M230" s="860">
        <v>5644</v>
      </c>
      <c r="N230" s="860">
        <v>5963</v>
      </c>
      <c r="O230" s="860">
        <v>6268</v>
      </c>
      <c r="P230" s="860">
        <v>6530</v>
      </c>
      <c r="Q230" s="860">
        <v>6756</v>
      </c>
      <c r="R230" s="860">
        <v>6957</v>
      </c>
      <c r="S230" s="860">
        <v>7108</v>
      </c>
      <c r="T230" s="860">
        <v>7311</v>
      </c>
      <c r="U230" s="860">
        <v>7299</v>
      </c>
      <c r="V230" s="860">
        <v>6882</v>
      </c>
      <c r="W230" s="860">
        <v>6545</v>
      </c>
      <c r="X230" s="860">
        <v>6433</v>
      </c>
      <c r="Y230" s="860">
        <v>6162</v>
      </c>
      <c r="Z230" s="860">
        <v>5621</v>
      </c>
      <c r="AA230" s="860">
        <v>5118</v>
      </c>
      <c r="AC230" s="712">
        <f t="shared" si="125"/>
        <v>219</v>
      </c>
      <c r="AD230" s="711">
        <f t="shared" si="126"/>
        <v>410</v>
      </c>
      <c r="AE230" s="711">
        <f t="shared" si="121"/>
        <v>263</v>
      </c>
      <c r="AF230" s="711">
        <f t="shared" si="121"/>
        <v>216</v>
      </c>
      <c r="AG230" s="711">
        <f t="shared" si="121"/>
        <v>24</v>
      </c>
      <c r="AH230" s="711">
        <f t="shared" si="121"/>
        <v>15</v>
      </c>
      <c r="AI230" s="711">
        <f t="shared" si="121"/>
        <v>226</v>
      </c>
      <c r="AJ230" s="711">
        <f t="shared" si="121"/>
        <v>192</v>
      </c>
      <c r="AK230" s="711">
        <f t="shared" si="121"/>
        <v>292</v>
      </c>
      <c r="AL230" s="711">
        <f t="shared" si="122"/>
        <v>278</v>
      </c>
      <c r="AM230" s="711">
        <f t="shared" si="123"/>
        <v>364</v>
      </c>
      <c r="AN230" s="711">
        <f t="shared" si="134"/>
        <v>319</v>
      </c>
      <c r="AO230" s="711">
        <f t="shared" si="135"/>
        <v>305</v>
      </c>
      <c r="AP230" s="711">
        <f t="shared" si="136"/>
        <v>262</v>
      </c>
      <c r="AQ230" s="711">
        <f t="shared" si="127"/>
        <v>226</v>
      </c>
      <c r="AR230" s="711">
        <f t="shared" si="128"/>
        <v>201</v>
      </c>
      <c r="AS230" s="711">
        <f t="shared" si="129"/>
        <v>151</v>
      </c>
      <c r="AT230" s="711">
        <f t="shared" si="130"/>
        <v>203</v>
      </c>
      <c r="AU230" s="711">
        <f t="shared" si="131"/>
        <v>12</v>
      </c>
      <c r="AV230" s="711">
        <f t="shared" si="132"/>
        <v>417</v>
      </c>
      <c r="AW230" s="711">
        <f t="shared" si="133"/>
        <v>337</v>
      </c>
      <c r="AX230" s="711">
        <f t="shared" si="101"/>
        <v>112</v>
      </c>
      <c r="AY230" s="711">
        <f t="shared" si="101"/>
        <v>271</v>
      </c>
      <c r="AZ230" s="711">
        <f t="shared" si="101"/>
        <v>541</v>
      </c>
      <c r="BA230" s="711">
        <f t="shared" si="101"/>
        <v>503</v>
      </c>
    </row>
    <row r="231" spans="1:53">
      <c r="A231" s="106">
        <f t="shared" si="124"/>
        <v>220</v>
      </c>
      <c r="B231" s="858">
        <v>42224</v>
      </c>
      <c r="C231" s="859" t="s">
        <v>1725</v>
      </c>
      <c r="D231" s="860">
        <v>4794</v>
      </c>
      <c r="E231" s="860">
        <v>4619</v>
      </c>
      <c r="F231" s="860">
        <v>4454</v>
      </c>
      <c r="G231" s="860">
        <v>4355</v>
      </c>
      <c r="H231" s="860">
        <v>4320</v>
      </c>
      <c r="I231" s="860">
        <v>4374</v>
      </c>
      <c r="J231" s="860">
        <v>4412</v>
      </c>
      <c r="K231" s="860">
        <v>4636</v>
      </c>
      <c r="L231" s="860">
        <v>4933</v>
      </c>
      <c r="M231" s="860">
        <v>5243</v>
      </c>
      <c r="N231" s="860">
        <v>5513</v>
      </c>
      <c r="O231" s="860">
        <v>5782</v>
      </c>
      <c r="P231" s="860">
        <v>6032</v>
      </c>
      <c r="Q231" s="860">
        <v>6215</v>
      </c>
      <c r="R231" s="860">
        <v>6433</v>
      </c>
      <c r="S231" s="860">
        <v>6553</v>
      </c>
      <c r="T231" s="860">
        <v>6640</v>
      </c>
      <c r="U231" s="860">
        <v>6559</v>
      </c>
      <c r="V231" s="860">
        <v>6392</v>
      </c>
      <c r="W231" s="860">
        <v>6199</v>
      </c>
      <c r="X231" s="860">
        <v>6142</v>
      </c>
      <c r="Y231" s="860">
        <v>5958</v>
      </c>
      <c r="Z231" s="860">
        <v>5495</v>
      </c>
      <c r="AA231" s="860">
        <v>4980</v>
      </c>
      <c r="AC231" s="712">
        <f t="shared" si="125"/>
        <v>220</v>
      </c>
      <c r="AD231" s="711">
        <f t="shared" si="126"/>
        <v>324</v>
      </c>
      <c r="AE231" s="711">
        <f t="shared" si="121"/>
        <v>175</v>
      </c>
      <c r="AF231" s="711">
        <f t="shared" si="121"/>
        <v>165</v>
      </c>
      <c r="AG231" s="711">
        <f t="shared" si="121"/>
        <v>99</v>
      </c>
      <c r="AH231" s="711">
        <f t="shared" si="121"/>
        <v>35</v>
      </c>
      <c r="AI231" s="711">
        <f t="shared" si="121"/>
        <v>54</v>
      </c>
      <c r="AJ231" s="711">
        <f t="shared" si="121"/>
        <v>38</v>
      </c>
      <c r="AK231" s="711">
        <f t="shared" si="121"/>
        <v>224</v>
      </c>
      <c r="AL231" s="711">
        <f t="shared" si="122"/>
        <v>297</v>
      </c>
      <c r="AM231" s="711">
        <f t="shared" si="123"/>
        <v>310</v>
      </c>
      <c r="AN231" s="711">
        <f t="shared" si="134"/>
        <v>270</v>
      </c>
      <c r="AO231" s="711">
        <f t="shared" si="135"/>
        <v>269</v>
      </c>
      <c r="AP231" s="711">
        <f t="shared" si="136"/>
        <v>250</v>
      </c>
      <c r="AQ231" s="711">
        <f t="shared" si="127"/>
        <v>183</v>
      </c>
      <c r="AR231" s="711">
        <f t="shared" si="128"/>
        <v>218</v>
      </c>
      <c r="AS231" s="711">
        <f t="shared" si="129"/>
        <v>120</v>
      </c>
      <c r="AT231" s="711">
        <f t="shared" si="130"/>
        <v>87</v>
      </c>
      <c r="AU231" s="711">
        <f t="shared" si="131"/>
        <v>81</v>
      </c>
      <c r="AV231" s="711">
        <f t="shared" si="132"/>
        <v>167</v>
      </c>
      <c r="AW231" s="711">
        <f t="shared" si="133"/>
        <v>193</v>
      </c>
      <c r="AX231" s="711">
        <f t="shared" si="101"/>
        <v>57</v>
      </c>
      <c r="AY231" s="711">
        <f t="shared" si="101"/>
        <v>184</v>
      </c>
      <c r="AZ231" s="711">
        <f t="shared" si="101"/>
        <v>463</v>
      </c>
      <c r="BA231" s="711">
        <f t="shared" si="101"/>
        <v>515</v>
      </c>
    </row>
    <row r="232" spans="1:53">
      <c r="A232" s="106">
        <f t="shared" si="124"/>
        <v>221</v>
      </c>
      <c r="B232" s="858">
        <v>42225</v>
      </c>
      <c r="C232" s="859" t="s">
        <v>1725</v>
      </c>
      <c r="D232" s="860">
        <v>4732</v>
      </c>
      <c r="E232" s="860">
        <v>4545</v>
      </c>
      <c r="F232" s="860">
        <v>4334</v>
      </c>
      <c r="G232" s="860">
        <v>4188</v>
      </c>
      <c r="H232" s="860">
        <v>4124</v>
      </c>
      <c r="I232" s="860">
        <v>4105</v>
      </c>
      <c r="J232" s="860">
        <v>4102</v>
      </c>
      <c r="K232" s="860">
        <v>4285</v>
      </c>
      <c r="L232" s="860">
        <v>4649</v>
      </c>
      <c r="M232" s="860">
        <v>5022</v>
      </c>
      <c r="N232" s="860">
        <v>5274</v>
      </c>
      <c r="O232" s="860">
        <v>5606</v>
      </c>
      <c r="P232" s="860">
        <v>5898</v>
      </c>
      <c r="Q232" s="860">
        <v>6173</v>
      </c>
      <c r="R232" s="860">
        <v>6404</v>
      </c>
      <c r="S232" s="860">
        <v>6626</v>
      </c>
      <c r="T232" s="860">
        <v>6820</v>
      </c>
      <c r="U232" s="860">
        <v>6936</v>
      </c>
      <c r="V232" s="860">
        <v>6833</v>
      </c>
      <c r="W232" s="860">
        <v>6504</v>
      </c>
      <c r="X232" s="860">
        <v>6330</v>
      </c>
      <c r="Y232" s="860">
        <v>5964</v>
      </c>
      <c r="Z232" s="860">
        <v>5441</v>
      </c>
      <c r="AA232" s="860">
        <v>4980</v>
      </c>
      <c r="AC232" s="712">
        <f t="shared" si="125"/>
        <v>221</v>
      </c>
      <c r="AD232" s="711">
        <f t="shared" si="126"/>
        <v>248</v>
      </c>
      <c r="AE232" s="711">
        <f t="shared" si="121"/>
        <v>187</v>
      </c>
      <c r="AF232" s="711">
        <f t="shared" si="121"/>
        <v>211</v>
      </c>
      <c r="AG232" s="711">
        <f t="shared" si="121"/>
        <v>146</v>
      </c>
      <c r="AH232" s="711">
        <f t="shared" si="121"/>
        <v>64</v>
      </c>
      <c r="AI232" s="711">
        <f t="shared" si="121"/>
        <v>19</v>
      </c>
      <c r="AJ232" s="711">
        <f t="shared" si="121"/>
        <v>3</v>
      </c>
      <c r="AK232" s="711">
        <f t="shared" si="121"/>
        <v>183</v>
      </c>
      <c r="AL232" s="711">
        <f t="shared" si="122"/>
        <v>364</v>
      </c>
      <c r="AM232" s="711">
        <f t="shared" si="123"/>
        <v>373</v>
      </c>
      <c r="AN232" s="711">
        <f t="shared" si="134"/>
        <v>252</v>
      </c>
      <c r="AO232" s="711">
        <f t="shared" si="135"/>
        <v>332</v>
      </c>
      <c r="AP232" s="711">
        <f t="shared" si="136"/>
        <v>292</v>
      </c>
      <c r="AQ232" s="711">
        <f t="shared" si="127"/>
        <v>275</v>
      </c>
      <c r="AR232" s="711">
        <f t="shared" si="128"/>
        <v>231</v>
      </c>
      <c r="AS232" s="711">
        <f t="shared" si="129"/>
        <v>222</v>
      </c>
      <c r="AT232" s="711">
        <f t="shared" si="130"/>
        <v>194</v>
      </c>
      <c r="AU232" s="711">
        <f t="shared" si="131"/>
        <v>116</v>
      </c>
      <c r="AV232" s="711">
        <f t="shared" si="132"/>
        <v>103</v>
      </c>
      <c r="AW232" s="711">
        <f t="shared" si="133"/>
        <v>329</v>
      </c>
      <c r="AX232" s="711">
        <f t="shared" si="101"/>
        <v>174</v>
      </c>
      <c r="AY232" s="711">
        <f t="shared" si="101"/>
        <v>366</v>
      </c>
      <c r="AZ232" s="711">
        <f t="shared" si="101"/>
        <v>523</v>
      </c>
      <c r="BA232" s="711">
        <f t="shared" ref="BA232:BA295" si="137">ABS(AA232-Z232)</f>
        <v>461</v>
      </c>
    </row>
    <row r="233" spans="1:53">
      <c r="A233" s="106">
        <f t="shared" si="124"/>
        <v>222</v>
      </c>
      <c r="B233" s="858">
        <v>42226</v>
      </c>
      <c r="C233" s="859" t="s">
        <v>1725</v>
      </c>
      <c r="D233" s="860">
        <v>4623</v>
      </c>
      <c r="E233" s="860">
        <v>4401</v>
      </c>
      <c r="F233" s="860">
        <v>4250</v>
      </c>
      <c r="G233" s="860">
        <v>4187</v>
      </c>
      <c r="H233" s="860">
        <v>4238</v>
      </c>
      <c r="I233" s="860">
        <v>4440</v>
      </c>
      <c r="J233" s="860">
        <v>4613</v>
      </c>
      <c r="K233" s="860">
        <v>4978</v>
      </c>
      <c r="L233" s="860">
        <v>5330</v>
      </c>
      <c r="M233" s="860">
        <v>5585</v>
      </c>
      <c r="N233" s="860">
        <v>5834</v>
      </c>
      <c r="O233" s="860">
        <v>6175</v>
      </c>
      <c r="P233" s="860">
        <v>6516</v>
      </c>
      <c r="Q233" s="860">
        <v>6771</v>
      </c>
      <c r="R233" s="860">
        <v>6661</v>
      </c>
      <c r="S233" s="860">
        <v>6488</v>
      </c>
      <c r="T233" s="860">
        <v>6579</v>
      </c>
      <c r="U233" s="860">
        <v>6409</v>
      </c>
      <c r="V233" s="860">
        <v>6339</v>
      </c>
      <c r="W233" s="860">
        <v>6167</v>
      </c>
      <c r="X233" s="860">
        <v>6126</v>
      </c>
      <c r="Y233" s="860">
        <v>5849</v>
      </c>
      <c r="Z233" s="860">
        <v>5300</v>
      </c>
      <c r="AA233" s="860">
        <v>4921</v>
      </c>
      <c r="AC233" s="712">
        <f t="shared" si="125"/>
        <v>222</v>
      </c>
      <c r="AD233" s="711">
        <f t="shared" si="126"/>
        <v>357</v>
      </c>
      <c r="AE233" s="711">
        <f t="shared" si="121"/>
        <v>222</v>
      </c>
      <c r="AF233" s="711">
        <f t="shared" si="121"/>
        <v>151</v>
      </c>
      <c r="AG233" s="711">
        <f t="shared" si="121"/>
        <v>63</v>
      </c>
      <c r="AH233" s="711">
        <f t="shared" si="121"/>
        <v>51</v>
      </c>
      <c r="AI233" s="711">
        <f t="shared" si="121"/>
        <v>202</v>
      </c>
      <c r="AJ233" s="711">
        <f t="shared" si="121"/>
        <v>173</v>
      </c>
      <c r="AK233" s="711">
        <f t="shared" si="121"/>
        <v>365</v>
      </c>
      <c r="AL233" s="711">
        <f t="shared" si="122"/>
        <v>352</v>
      </c>
      <c r="AM233" s="711">
        <f t="shared" si="123"/>
        <v>255</v>
      </c>
      <c r="AN233" s="711">
        <f t="shared" si="134"/>
        <v>249</v>
      </c>
      <c r="AO233" s="711">
        <f t="shared" si="135"/>
        <v>341</v>
      </c>
      <c r="AP233" s="711">
        <f t="shared" si="136"/>
        <v>341</v>
      </c>
      <c r="AQ233" s="711">
        <f t="shared" si="127"/>
        <v>255</v>
      </c>
      <c r="AR233" s="711">
        <f t="shared" si="128"/>
        <v>110</v>
      </c>
      <c r="AS233" s="711">
        <f t="shared" si="129"/>
        <v>173</v>
      </c>
      <c r="AT233" s="711">
        <f t="shared" si="130"/>
        <v>91</v>
      </c>
      <c r="AU233" s="711">
        <f t="shared" si="131"/>
        <v>170</v>
      </c>
      <c r="AV233" s="711">
        <f t="shared" si="132"/>
        <v>70</v>
      </c>
      <c r="AW233" s="711">
        <f t="shared" si="133"/>
        <v>172</v>
      </c>
      <c r="AX233" s="711">
        <f t="shared" ref="AX233:AX246" si="138">ABS(X233-W233)</f>
        <v>41</v>
      </c>
      <c r="AY233" s="711">
        <f t="shared" ref="AY233:AY246" si="139">ABS(Y233-X233)</f>
        <v>277</v>
      </c>
      <c r="AZ233" s="711">
        <f t="shared" ref="AZ233:AZ246" si="140">ABS(Z233-Y233)</f>
        <v>549</v>
      </c>
      <c r="BA233" s="711">
        <f t="shared" si="137"/>
        <v>379</v>
      </c>
    </row>
    <row r="234" spans="1:53">
      <c r="A234" s="106">
        <f t="shared" si="124"/>
        <v>223</v>
      </c>
      <c r="B234" s="858">
        <v>42227</v>
      </c>
      <c r="C234" s="859" t="s">
        <v>1725</v>
      </c>
      <c r="D234" s="860">
        <v>4551</v>
      </c>
      <c r="E234" s="860">
        <v>4375</v>
      </c>
      <c r="F234" s="860">
        <v>4321</v>
      </c>
      <c r="G234" s="860">
        <v>4272</v>
      </c>
      <c r="H234" s="860">
        <v>4395</v>
      </c>
      <c r="I234" s="860">
        <v>4641</v>
      </c>
      <c r="J234" s="860">
        <v>4792</v>
      </c>
      <c r="K234" s="860">
        <v>5142</v>
      </c>
      <c r="L234" s="860">
        <v>5369</v>
      </c>
      <c r="M234" s="860">
        <v>5666</v>
      </c>
      <c r="N234" s="860">
        <v>5932</v>
      </c>
      <c r="O234" s="860">
        <v>6204</v>
      </c>
      <c r="P234" s="860">
        <v>6450</v>
      </c>
      <c r="Q234" s="860">
        <v>6765</v>
      </c>
      <c r="R234" s="860">
        <v>7011</v>
      </c>
      <c r="S234" s="860">
        <v>7084</v>
      </c>
      <c r="T234" s="860">
        <v>6968</v>
      </c>
      <c r="U234" s="860">
        <v>6838</v>
      </c>
      <c r="V234" s="860">
        <v>6443</v>
      </c>
      <c r="W234" s="860">
        <v>6219</v>
      </c>
      <c r="X234" s="860">
        <v>6220</v>
      </c>
      <c r="Y234" s="860">
        <v>5958</v>
      </c>
      <c r="Z234" s="860">
        <v>5429</v>
      </c>
      <c r="AA234" s="860">
        <v>5031</v>
      </c>
      <c r="AC234" s="712">
        <f t="shared" si="125"/>
        <v>223</v>
      </c>
      <c r="AD234" s="711">
        <f t="shared" si="126"/>
        <v>370</v>
      </c>
      <c r="AE234" s="711">
        <f t="shared" si="121"/>
        <v>176</v>
      </c>
      <c r="AF234" s="711">
        <f t="shared" si="121"/>
        <v>54</v>
      </c>
      <c r="AG234" s="711">
        <f t="shared" si="121"/>
        <v>49</v>
      </c>
      <c r="AH234" s="711">
        <f t="shared" si="121"/>
        <v>123</v>
      </c>
      <c r="AI234" s="711">
        <f t="shared" si="121"/>
        <v>246</v>
      </c>
      <c r="AJ234" s="711">
        <f t="shared" si="121"/>
        <v>151</v>
      </c>
      <c r="AK234" s="711">
        <f t="shared" si="121"/>
        <v>350</v>
      </c>
      <c r="AL234" s="711">
        <f t="shared" si="122"/>
        <v>227</v>
      </c>
      <c r="AM234" s="711">
        <f t="shared" si="123"/>
        <v>297</v>
      </c>
      <c r="AN234" s="711">
        <f t="shared" si="134"/>
        <v>266</v>
      </c>
      <c r="AO234" s="711">
        <f t="shared" si="135"/>
        <v>272</v>
      </c>
      <c r="AP234" s="711">
        <f t="shared" si="136"/>
        <v>246</v>
      </c>
      <c r="AQ234" s="711">
        <f t="shared" si="127"/>
        <v>315</v>
      </c>
      <c r="AR234" s="711">
        <f t="shared" si="128"/>
        <v>246</v>
      </c>
      <c r="AS234" s="711">
        <f t="shared" si="129"/>
        <v>73</v>
      </c>
      <c r="AT234" s="711">
        <f t="shared" si="130"/>
        <v>116</v>
      </c>
      <c r="AU234" s="711">
        <f t="shared" si="131"/>
        <v>130</v>
      </c>
      <c r="AV234" s="711">
        <f t="shared" si="132"/>
        <v>395</v>
      </c>
      <c r="AW234" s="711">
        <f t="shared" si="133"/>
        <v>224</v>
      </c>
      <c r="AX234" s="711">
        <f t="shared" si="138"/>
        <v>1</v>
      </c>
      <c r="AY234" s="711">
        <f t="shared" si="139"/>
        <v>262</v>
      </c>
      <c r="AZ234" s="711">
        <f t="shared" si="140"/>
        <v>529</v>
      </c>
      <c r="BA234" s="711">
        <f t="shared" si="137"/>
        <v>398</v>
      </c>
    </row>
    <row r="235" spans="1:53">
      <c r="A235" s="106">
        <f t="shared" si="124"/>
        <v>224</v>
      </c>
      <c r="B235" s="858">
        <v>42228</v>
      </c>
      <c r="C235" s="859" t="s">
        <v>1725</v>
      </c>
      <c r="D235" s="860">
        <v>4812</v>
      </c>
      <c r="E235" s="860">
        <v>4568</v>
      </c>
      <c r="F235" s="860">
        <v>4428</v>
      </c>
      <c r="G235" s="860">
        <v>4372</v>
      </c>
      <c r="H235" s="860">
        <v>4380</v>
      </c>
      <c r="I235" s="860">
        <v>4546</v>
      </c>
      <c r="J235" s="860">
        <v>4799</v>
      </c>
      <c r="K235" s="860">
        <v>5025</v>
      </c>
      <c r="L235" s="860">
        <v>5383</v>
      </c>
      <c r="M235" s="860">
        <v>5765</v>
      </c>
      <c r="N235" s="860">
        <v>6121</v>
      </c>
      <c r="O235" s="860">
        <v>6462</v>
      </c>
      <c r="P235" s="860">
        <v>6739</v>
      </c>
      <c r="Q235" s="860">
        <v>7095</v>
      </c>
      <c r="R235" s="860">
        <v>7276</v>
      </c>
      <c r="S235" s="860">
        <v>7467</v>
      </c>
      <c r="T235" s="860">
        <v>7585</v>
      </c>
      <c r="U235" s="860">
        <v>7560</v>
      </c>
      <c r="V235" s="860">
        <v>7311</v>
      </c>
      <c r="W235" s="860">
        <v>7040</v>
      </c>
      <c r="X235" s="860">
        <v>6916</v>
      </c>
      <c r="Y235" s="860">
        <v>6546</v>
      </c>
      <c r="Z235" s="860">
        <v>5907</v>
      </c>
      <c r="AA235" s="860">
        <v>5373</v>
      </c>
      <c r="AC235" s="712">
        <f t="shared" si="125"/>
        <v>224</v>
      </c>
      <c r="AD235" s="711">
        <f t="shared" si="126"/>
        <v>219</v>
      </c>
      <c r="AE235" s="711">
        <f t="shared" si="121"/>
        <v>244</v>
      </c>
      <c r="AF235" s="711">
        <f t="shared" si="121"/>
        <v>140</v>
      </c>
      <c r="AG235" s="711">
        <f t="shared" si="121"/>
        <v>56</v>
      </c>
      <c r="AH235" s="711">
        <f t="shared" si="121"/>
        <v>8</v>
      </c>
      <c r="AI235" s="711">
        <f t="shared" si="121"/>
        <v>166</v>
      </c>
      <c r="AJ235" s="711">
        <f t="shared" si="121"/>
        <v>253</v>
      </c>
      <c r="AK235" s="711">
        <f t="shared" si="121"/>
        <v>226</v>
      </c>
      <c r="AL235" s="711">
        <f t="shared" si="122"/>
        <v>358</v>
      </c>
      <c r="AM235" s="711">
        <f t="shared" si="123"/>
        <v>382</v>
      </c>
      <c r="AN235" s="711">
        <f t="shared" si="134"/>
        <v>356</v>
      </c>
      <c r="AO235" s="711">
        <f t="shared" si="135"/>
        <v>341</v>
      </c>
      <c r="AP235" s="711">
        <f t="shared" si="136"/>
        <v>277</v>
      </c>
      <c r="AQ235" s="711">
        <f t="shared" si="127"/>
        <v>356</v>
      </c>
      <c r="AR235" s="711">
        <f t="shared" si="128"/>
        <v>181</v>
      </c>
      <c r="AS235" s="711">
        <f t="shared" si="129"/>
        <v>191</v>
      </c>
      <c r="AT235" s="711">
        <f t="shared" si="130"/>
        <v>118</v>
      </c>
      <c r="AU235" s="711">
        <f t="shared" si="131"/>
        <v>25</v>
      </c>
      <c r="AV235" s="711">
        <f t="shared" si="132"/>
        <v>249</v>
      </c>
      <c r="AW235" s="711">
        <f t="shared" si="133"/>
        <v>271</v>
      </c>
      <c r="AX235" s="711">
        <f t="shared" si="138"/>
        <v>124</v>
      </c>
      <c r="AY235" s="711">
        <f t="shared" si="139"/>
        <v>370</v>
      </c>
      <c r="AZ235" s="711">
        <f t="shared" si="140"/>
        <v>639</v>
      </c>
      <c r="BA235" s="711">
        <f t="shared" si="137"/>
        <v>534</v>
      </c>
    </row>
    <row r="236" spans="1:53">
      <c r="A236" s="106">
        <f t="shared" si="124"/>
        <v>225</v>
      </c>
      <c r="B236" s="858">
        <v>42229</v>
      </c>
      <c r="C236" s="859" t="s">
        <v>1725</v>
      </c>
      <c r="D236" s="860">
        <v>5186</v>
      </c>
      <c r="E236" s="860">
        <v>4924</v>
      </c>
      <c r="F236" s="860">
        <v>4745</v>
      </c>
      <c r="G236" s="860">
        <v>4636</v>
      </c>
      <c r="H236" s="860">
        <v>4607</v>
      </c>
      <c r="I236" s="860">
        <v>4799</v>
      </c>
      <c r="J236" s="860">
        <v>5020</v>
      </c>
      <c r="K236" s="860">
        <v>5331</v>
      </c>
      <c r="L236" s="860">
        <v>5751</v>
      </c>
      <c r="M236" s="860">
        <v>6150</v>
      </c>
      <c r="N236" s="860">
        <v>6525</v>
      </c>
      <c r="O236" s="860">
        <v>6876</v>
      </c>
      <c r="P236" s="860">
        <v>7143</v>
      </c>
      <c r="Q236" s="860">
        <v>7536</v>
      </c>
      <c r="R236" s="860">
        <v>7673</v>
      </c>
      <c r="S236" s="860">
        <v>7795</v>
      </c>
      <c r="T236" s="860">
        <v>7715</v>
      </c>
      <c r="U236" s="860">
        <v>7443</v>
      </c>
      <c r="V236" s="860">
        <v>7005</v>
      </c>
      <c r="W236" s="860">
        <v>6666</v>
      </c>
      <c r="X236" s="860">
        <v>6587</v>
      </c>
      <c r="Y236" s="860">
        <v>6214</v>
      </c>
      <c r="Z236" s="860">
        <v>5613</v>
      </c>
      <c r="AA236" s="860">
        <v>5082</v>
      </c>
      <c r="AC236" s="712">
        <f t="shared" si="125"/>
        <v>225</v>
      </c>
      <c r="AD236" s="711">
        <f t="shared" si="126"/>
        <v>187</v>
      </c>
      <c r="AE236" s="711">
        <f t="shared" si="121"/>
        <v>262</v>
      </c>
      <c r="AF236" s="711">
        <f t="shared" si="121"/>
        <v>179</v>
      </c>
      <c r="AG236" s="711">
        <f t="shared" si="121"/>
        <v>109</v>
      </c>
      <c r="AH236" s="711">
        <f t="shared" si="121"/>
        <v>29</v>
      </c>
      <c r="AI236" s="711">
        <f t="shared" si="121"/>
        <v>192</v>
      </c>
      <c r="AJ236" s="711">
        <f t="shared" si="121"/>
        <v>221</v>
      </c>
      <c r="AK236" s="711">
        <f t="shared" si="121"/>
        <v>311</v>
      </c>
      <c r="AL236" s="711">
        <f t="shared" si="122"/>
        <v>420</v>
      </c>
      <c r="AM236" s="711">
        <f t="shared" si="123"/>
        <v>399</v>
      </c>
      <c r="AN236" s="711">
        <f t="shared" si="134"/>
        <v>375</v>
      </c>
      <c r="AO236" s="711">
        <f t="shared" si="135"/>
        <v>351</v>
      </c>
      <c r="AP236" s="711">
        <f t="shared" si="136"/>
        <v>267</v>
      </c>
      <c r="AQ236" s="711">
        <f t="shared" si="127"/>
        <v>393</v>
      </c>
      <c r="AR236" s="711">
        <f t="shared" si="128"/>
        <v>137</v>
      </c>
      <c r="AS236" s="711">
        <f t="shared" si="129"/>
        <v>122</v>
      </c>
      <c r="AT236" s="711">
        <f t="shared" si="130"/>
        <v>80</v>
      </c>
      <c r="AU236" s="711">
        <f t="shared" si="131"/>
        <v>272</v>
      </c>
      <c r="AV236" s="711">
        <f t="shared" si="132"/>
        <v>438</v>
      </c>
      <c r="AW236" s="711">
        <f t="shared" si="133"/>
        <v>339</v>
      </c>
      <c r="AX236" s="711">
        <f t="shared" si="138"/>
        <v>79</v>
      </c>
      <c r="AY236" s="711">
        <f t="shared" si="139"/>
        <v>373</v>
      </c>
      <c r="AZ236" s="711">
        <f t="shared" si="140"/>
        <v>601</v>
      </c>
      <c r="BA236" s="711">
        <f t="shared" si="137"/>
        <v>531</v>
      </c>
    </row>
    <row r="237" spans="1:53">
      <c r="A237" s="106">
        <f t="shared" si="124"/>
        <v>226</v>
      </c>
      <c r="B237" s="858">
        <v>42230</v>
      </c>
      <c r="C237" s="859" t="s">
        <v>1725</v>
      </c>
      <c r="D237" s="860">
        <v>4770</v>
      </c>
      <c r="E237" s="860">
        <v>4570</v>
      </c>
      <c r="F237" s="860">
        <v>4533</v>
      </c>
      <c r="G237" s="860">
        <v>4460</v>
      </c>
      <c r="H237" s="860">
        <v>4364</v>
      </c>
      <c r="I237" s="860">
        <v>4585</v>
      </c>
      <c r="J237" s="860">
        <v>4837</v>
      </c>
      <c r="K237" s="860">
        <v>5147</v>
      </c>
      <c r="L237" s="860">
        <v>5572</v>
      </c>
      <c r="M237" s="860">
        <v>5951</v>
      </c>
      <c r="N237" s="860">
        <v>6307</v>
      </c>
      <c r="O237" s="860">
        <v>6691</v>
      </c>
      <c r="P237" s="860">
        <v>7096</v>
      </c>
      <c r="Q237" s="860">
        <v>7448</v>
      </c>
      <c r="R237" s="860">
        <v>7678</v>
      </c>
      <c r="S237" s="860">
        <v>7742</v>
      </c>
      <c r="T237" s="860">
        <v>7770</v>
      </c>
      <c r="U237" s="860">
        <v>7544</v>
      </c>
      <c r="V237" s="860">
        <v>7064</v>
      </c>
      <c r="W237" s="860">
        <v>6682</v>
      </c>
      <c r="X237" s="860">
        <v>6510</v>
      </c>
      <c r="Y237" s="860">
        <v>6210</v>
      </c>
      <c r="Z237" s="860">
        <v>5668</v>
      </c>
      <c r="AA237" s="860">
        <v>5179</v>
      </c>
      <c r="AC237" s="712">
        <f t="shared" si="125"/>
        <v>226</v>
      </c>
      <c r="AD237" s="711">
        <f t="shared" si="126"/>
        <v>312</v>
      </c>
      <c r="AE237" s="711">
        <f t="shared" si="121"/>
        <v>200</v>
      </c>
      <c r="AF237" s="711">
        <f t="shared" si="121"/>
        <v>37</v>
      </c>
      <c r="AG237" s="711">
        <f t="shared" si="121"/>
        <v>73</v>
      </c>
      <c r="AH237" s="711">
        <f t="shared" si="121"/>
        <v>96</v>
      </c>
      <c r="AI237" s="711">
        <f t="shared" si="121"/>
        <v>221</v>
      </c>
      <c r="AJ237" s="711">
        <f t="shared" si="121"/>
        <v>252</v>
      </c>
      <c r="AK237" s="711">
        <f t="shared" si="121"/>
        <v>310</v>
      </c>
      <c r="AL237" s="711">
        <f t="shared" si="122"/>
        <v>425</v>
      </c>
      <c r="AM237" s="711">
        <f t="shared" si="123"/>
        <v>379</v>
      </c>
      <c r="AN237" s="711">
        <f t="shared" si="134"/>
        <v>356</v>
      </c>
      <c r="AO237" s="711">
        <f t="shared" si="135"/>
        <v>384</v>
      </c>
      <c r="AP237" s="711">
        <f t="shared" si="136"/>
        <v>405</v>
      </c>
      <c r="AQ237" s="711">
        <f t="shared" si="127"/>
        <v>352</v>
      </c>
      <c r="AR237" s="711">
        <f t="shared" si="128"/>
        <v>230</v>
      </c>
      <c r="AS237" s="711">
        <f t="shared" si="129"/>
        <v>64</v>
      </c>
      <c r="AT237" s="711">
        <f t="shared" si="130"/>
        <v>28</v>
      </c>
      <c r="AU237" s="711">
        <f t="shared" si="131"/>
        <v>226</v>
      </c>
      <c r="AV237" s="711">
        <f t="shared" si="132"/>
        <v>480</v>
      </c>
      <c r="AW237" s="711">
        <f t="shared" si="133"/>
        <v>382</v>
      </c>
      <c r="AX237" s="711">
        <f t="shared" si="138"/>
        <v>172</v>
      </c>
      <c r="AY237" s="711">
        <f t="shared" si="139"/>
        <v>300</v>
      </c>
      <c r="AZ237" s="711">
        <f t="shared" si="140"/>
        <v>542</v>
      </c>
      <c r="BA237" s="711">
        <f t="shared" si="137"/>
        <v>489</v>
      </c>
    </row>
    <row r="238" spans="1:53">
      <c r="A238" s="106">
        <f t="shared" si="124"/>
        <v>227</v>
      </c>
      <c r="B238" s="858">
        <v>42231</v>
      </c>
      <c r="C238" s="859" t="s">
        <v>1725</v>
      </c>
      <c r="D238" s="860">
        <v>4804</v>
      </c>
      <c r="E238" s="860">
        <v>4661</v>
      </c>
      <c r="F238" s="860">
        <v>4476</v>
      </c>
      <c r="G238" s="860">
        <v>4494</v>
      </c>
      <c r="H238" s="860">
        <v>4443</v>
      </c>
      <c r="I238" s="860">
        <v>4515</v>
      </c>
      <c r="J238" s="860">
        <v>4494</v>
      </c>
      <c r="K238" s="860">
        <v>4697</v>
      </c>
      <c r="L238" s="860">
        <v>5048</v>
      </c>
      <c r="M238" s="860">
        <v>5424</v>
      </c>
      <c r="N238" s="860">
        <v>5962</v>
      </c>
      <c r="O238" s="860">
        <v>6408</v>
      </c>
      <c r="P238" s="860">
        <v>6839</v>
      </c>
      <c r="Q238" s="860">
        <v>7154</v>
      </c>
      <c r="R238" s="860">
        <v>7398</v>
      </c>
      <c r="S238" s="860">
        <v>7525</v>
      </c>
      <c r="T238" s="860">
        <v>7556</v>
      </c>
      <c r="U238" s="860">
        <v>7433</v>
      </c>
      <c r="V238" s="860">
        <v>7108</v>
      </c>
      <c r="W238" s="860">
        <v>6722</v>
      </c>
      <c r="X238" s="860">
        <v>6606</v>
      </c>
      <c r="Y238" s="860">
        <v>6234</v>
      </c>
      <c r="Z238" s="860">
        <v>5723</v>
      </c>
      <c r="AA238" s="860">
        <v>5267</v>
      </c>
      <c r="AC238" s="712">
        <f t="shared" si="125"/>
        <v>227</v>
      </c>
      <c r="AD238" s="711">
        <f t="shared" si="126"/>
        <v>375</v>
      </c>
      <c r="AE238" s="711">
        <f t="shared" si="121"/>
        <v>143</v>
      </c>
      <c r="AF238" s="711">
        <f t="shared" si="121"/>
        <v>185</v>
      </c>
      <c r="AG238" s="711">
        <f t="shared" si="121"/>
        <v>18</v>
      </c>
      <c r="AH238" s="711">
        <f t="shared" si="121"/>
        <v>51</v>
      </c>
      <c r="AI238" s="711">
        <f t="shared" si="121"/>
        <v>72</v>
      </c>
      <c r="AJ238" s="711">
        <f t="shared" si="121"/>
        <v>21</v>
      </c>
      <c r="AK238" s="711">
        <f t="shared" si="121"/>
        <v>203</v>
      </c>
      <c r="AL238" s="711">
        <f t="shared" si="122"/>
        <v>351</v>
      </c>
      <c r="AM238" s="711">
        <f t="shared" si="123"/>
        <v>376</v>
      </c>
      <c r="AN238" s="711">
        <f t="shared" si="134"/>
        <v>538</v>
      </c>
      <c r="AO238" s="711">
        <f t="shared" si="135"/>
        <v>446</v>
      </c>
      <c r="AP238" s="711">
        <f t="shared" si="136"/>
        <v>431</v>
      </c>
      <c r="AQ238" s="711">
        <f t="shared" si="127"/>
        <v>315</v>
      </c>
      <c r="AR238" s="711">
        <f t="shared" si="128"/>
        <v>244</v>
      </c>
      <c r="AS238" s="711">
        <f t="shared" si="129"/>
        <v>127</v>
      </c>
      <c r="AT238" s="711">
        <f t="shared" si="130"/>
        <v>31</v>
      </c>
      <c r="AU238" s="711">
        <f t="shared" si="131"/>
        <v>123</v>
      </c>
      <c r="AV238" s="711">
        <f t="shared" si="132"/>
        <v>325</v>
      </c>
      <c r="AW238" s="711">
        <f t="shared" si="133"/>
        <v>386</v>
      </c>
      <c r="AX238" s="711">
        <f t="shared" si="138"/>
        <v>116</v>
      </c>
      <c r="AY238" s="711">
        <f t="shared" si="139"/>
        <v>372</v>
      </c>
      <c r="AZ238" s="711">
        <f t="shared" si="140"/>
        <v>511</v>
      </c>
      <c r="BA238" s="711">
        <f t="shared" si="137"/>
        <v>456</v>
      </c>
    </row>
    <row r="239" spans="1:53">
      <c r="A239" s="106">
        <f t="shared" si="124"/>
        <v>228</v>
      </c>
      <c r="B239" s="858">
        <v>42232</v>
      </c>
      <c r="C239" s="859" t="s">
        <v>1725</v>
      </c>
      <c r="D239" s="860">
        <v>4919</v>
      </c>
      <c r="E239" s="860">
        <v>4802</v>
      </c>
      <c r="F239" s="860">
        <v>4662</v>
      </c>
      <c r="G239" s="860">
        <v>4480</v>
      </c>
      <c r="H239" s="860">
        <v>4406</v>
      </c>
      <c r="I239" s="860">
        <v>4319</v>
      </c>
      <c r="J239" s="860">
        <v>4296</v>
      </c>
      <c r="K239" s="860">
        <v>4429</v>
      </c>
      <c r="L239" s="860">
        <v>4790</v>
      </c>
      <c r="M239" s="860">
        <v>5232</v>
      </c>
      <c r="N239" s="860">
        <v>5630</v>
      </c>
      <c r="O239" s="860">
        <v>5948</v>
      </c>
      <c r="P239" s="860">
        <v>6213</v>
      </c>
      <c r="Q239" s="860">
        <v>6481</v>
      </c>
      <c r="R239" s="860">
        <v>6695</v>
      </c>
      <c r="S239" s="860">
        <v>6703</v>
      </c>
      <c r="T239" s="860">
        <v>6609</v>
      </c>
      <c r="U239" s="860">
        <v>6352</v>
      </c>
      <c r="V239" s="860">
        <v>6108</v>
      </c>
      <c r="W239" s="860">
        <v>5952</v>
      </c>
      <c r="X239" s="860">
        <v>5983</v>
      </c>
      <c r="Y239" s="860">
        <v>5696</v>
      </c>
      <c r="Z239" s="860">
        <v>5240</v>
      </c>
      <c r="AA239" s="860">
        <v>4811</v>
      </c>
      <c r="AC239" s="712">
        <f t="shared" si="125"/>
        <v>228</v>
      </c>
      <c r="AD239" s="711">
        <f t="shared" si="126"/>
        <v>348</v>
      </c>
      <c r="AE239" s="711">
        <f t="shared" si="121"/>
        <v>117</v>
      </c>
      <c r="AF239" s="711">
        <f t="shared" si="121"/>
        <v>140</v>
      </c>
      <c r="AG239" s="711">
        <f t="shared" si="121"/>
        <v>182</v>
      </c>
      <c r="AH239" s="711">
        <f t="shared" ref="AH239:AN280" si="141">ABS(H239-G239)</f>
        <v>74</v>
      </c>
      <c r="AI239" s="711">
        <f t="shared" si="141"/>
        <v>87</v>
      </c>
      <c r="AJ239" s="711">
        <f t="shared" si="141"/>
        <v>23</v>
      </c>
      <c r="AK239" s="711">
        <f t="shared" si="141"/>
        <v>133</v>
      </c>
      <c r="AL239" s="711">
        <f t="shared" si="122"/>
        <v>361</v>
      </c>
      <c r="AM239" s="711">
        <f t="shared" si="123"/>
        <v>442</v>
      </c>
      <c r="AN239" s="711">
        <f t="shared" si="134"/>
        <v>398</v>
      </c>
      <c r="AO239" s="711">
        <f t="shared" si="135"/>
        <v>318</v>
      </c>
      <c r="AP239" s="711">
        <f t="shared" si="136"/>
        <v>265</v>
      </c>
      <c r="AQ239" s="711">
        <f t="shared" si="127"/>
        <v>268</v>
      </c>
      <c r="AR239" s="711">
        <f t="shared" si="128"/>
        <v>214</v>
      </c>
      <c r="AS239" s="711">
        <f t="shared" si="129"/>
        <v>8</v>
      </c>
      <c r="AT239" s="711">
        <f t="shared" si="130"/>
        <v>94</v>
      </c>
      <c r="AU239" s="711">
        <f t="shared" si="131"/>
        <v>257</v>
      </c>
      <c r="AV239" s="711">
        <f t="shared" si="132"/>
        <v>244</v>
      </c>
      <c r="AW239" s="711">
        <f t="shared" si="133"/>
        <v>156</v>
      </c>
      <c r="AX239" s="711">
        <f t="shared" si="138"/>
        <v>31</v>
      </c>
      <c r="AY239" s="711">
        <f t="shared" si="139"/>
        <v>287</v>
      </c>
      <c r="AZ239" s="711">
        <f t="shared" si="140"/>
        <v>456</v>
      </c>
      <c r="BA239" s="711">
        <f t="shared" si="137"/>
        <v>429</v>
      </c>
    </row>
    <row r="240" spans="1:53">
      <c r="A240" s="106">
        <f t="shared" si="124"/>
        <v>229</v>
      </c>
      <c r="B240" s="858">
        <v>42233</v>
      </c>
      <c r="C240" s="859" t="s">
        <v>1725</v>
      </c>
      <c r="D240" s="860">
        <v>4512</v>
      </c>
      <c r="E240" s="860">
        <v>4443</v>
      </c>
      <c r="F240" s="860">
        <v>4358</v>
      </c>
      <c r="G240" s="860">
        <v>4325</v>
      </c>
      <c r="H240" s="860">
        <v>4387</v>
      </c>
      <c r="I240" s="860">
        <v>4523</v>
      </c>
      <c r="J240" s="860">
        <v>4823</v>
      </c>
      <c r="K240" s="860">
        <v>5032</v>
      </c>
      <c r="L240" s="860">
        <v>5346</v>
      </c>
      <c r="M240" s="860">
        <v>5671</v>
      </c>
      <c r="N240" s="860">
        <v>5929</v>
      </c>
      <c r="O240" s="860">
        <v>6195</v>
      </c>
      <c r="P240" s="860">
        <v>6405</v>
      </c>
      <c r="Q240" s="860">
        <v>6576</v>
      </c>
      <c r="R240" s="860">
        <v>6667</v>
      </c>
      <c r="S240" s="860">
        <v>6420</v>
      </c>
      <c r="T240" s="860">
        <v>6471</v>
      </c>
      <c r="U240" s="860">
        <v>6446</v>
      </c>
      <c r="V240" s="860">
        <v>6232</v>
      </c>
      <c r="W240" s="860">
        <v>6017</v>
      </c>
      <c r="X240" s="860">
        <v>6005</v>
      </c>
      <c r="Y240" s="860">
        <v>5694</v>
      </c>
      <c r="Z240" s="860">
        <v>5104</v>
      </c>
      <c r="AA240" s="860">
        <v>4636</v>
      </c>
      <c r="AC240" s="712">
        <f t="shared" si="125"/>
        <v>229</v>
      </c>
      <c r="AD240" s="711">
        <f t="shared" si="126"/>
        <v>299</v>
      </c>
      <c r="AE240" s="711">
        <f t="shared" ref="AE240:AH303" si="142">ABS(E240-D240)</f>
        <v>69</v>
      </c>
      <c r="AF240" s="711">
        <f t="shared" si="142"/>
        <v>85</v>
      </c>
      <c r="AG240" s="711">
        <f t="shared" si="142"/>
        <v>33</v>
      </c>
      <c r="AH240" s="711">
        <f t="shared" si="141"/>
        <v>62</v>
      </c>
      <c r="AI240" s="711">
        <f t="shared" si="141"/>
        <v>136</v>
      </c>
      <c r="AJ240" s="711">
        <f t="shared" si="141"/>
        <v>300</v>
      </c>
      <c r="AK240" s="711">
        <f t="shared" si="141"/>
        <v>209</v>
      </c>
      <c r="AL240" s="711">
        <f t="shared" si="122"/>
        <v>314</v>
      </c>
      <c r="AM240" s="711">
        <f t="shared" si="123"/>
        <v>325</v>
      </c>
      <c r="AN240" s="711">
        <f t="shared" si="134"/>
        <v>258</v>
      </c>
      <c r="AO240" s="711">
        <f t="shared" si="135"/>
        <v>266</v>
      </c>
      <c r="AP240" s="711">
        <f t="shared" si="136"/>
        <v>210</v>
      </c>
      <c r="AQ240" s="711">
        <f t="shared" si="127"/>
        <v>171</v>
      </c>
      <c r="AR240" s="711">
        <f t="shared" si="128"/>
        <v>91</v>
      </c>
      <c r="AS240" s="711">
        <f t="shared" si="129"/>
        <v>247</v>
      </c>
      <c r="AT240" s="711">
        <f t="shared" si="130"/>
        <v>51</v>
      </c>
      <c r="AU240" s="711">
        <f t="shared" si="131"/>
        <v>25</v>
      </c>
      <c r="AV240" s="711">
        <f t="shared" si="132"/>
        <v>214</v>
      </c>
      <c r="AW240" s="711">
        <f t="shared" si="133"/>
        <v>215</v>
      </c>
      <c r="AX240" s="711">
        <f t="shared" si="138"/>
        <v>12</v>
      </c>
      <c r="AY240" s="711">
        <f t="shared" si="139"/>
        <v>311</v>
      </c>
      <c r="AZ240" s="711">
        <f t="shared" si="140"/>
        <v>590</v>
      </c>
      <c r="BA240" s="711">
        <f t="shared" si="137"/>
        <v>468</v>
      </c>
    </row>
    <row r="241" spans="1:53">
      <c r="A241" s="106">
        <f t="shared" si="124"/>
        <v>230</v>
      </c>
      <c r="B241" s="858">
        <v>42234</v>
      </c>
      <c r="C241" s="859" t="s">
        <v>1725</v>
      </c>
      <c r="D241" s="860">
        <v>4363</v>
      </c>
      <c r="E241" s="860">
        <v>4375</v>
      </c>
      <c r="F241" s="860">
        <v>4260</v>
      </c>
      <c r="G241" s="860">
        <v>4179</v>
      </c>
      <c r="H241" s="860">
        <v>4213</v>
      </c>
      <c r="I241" s="860">
        <v>4393</v>
      </c>
      <c r="J241" s="860">
        <v>4539</v>
      </c>
      <c r="K241" s="860">
        <v>4721</v>
      </c>
      <c r="L241" s="860">
        <v>4915</v>
      </c>
      <c r="M241" s="860">
        <v>5115</v>
      </c>
      <c r="N241" s="860">
        <v>5274</v>
      </c>
      <c r="O241" s="860">
        <v>5417</v>
      </c>
      <c r="P241" s="860">
        <v>5493</v>
      </c>
      <c r="Q241" s="860">
        <v>5535</v>
      </c>
      <c r="R241" s="860">
        <v>5696</v>
      </c>
      <c r="S241" s="860">
        <v>5798</v>
      </c>
      <c r="T241" s="860">
        <v>5871</v>
      </c>
      <c r="U241" s="860">
        <v>5779</v>
      </c>
      <c r="V241" s="860">
        <v>5595</v>
      </c>
      <c r="W241" s="860">
        <v>5488</v>
      </c>
      <c r="X241" s="860">
        <v>5441</v>
      </c>
      <c r="Y241" s="860">
        <v>5112</v>
      </c>
      <c r="Z241" s="860">
        <v>4681</v>
      </c>
      <c r="AA241" s="860">
        <v>4330</v>
      </c>
      <c r="AC241" s="712">
        <f t="shared" si="125"/>
        <v>230</v>
      </c>
      <c r="AD241" s="711">
        <f t="shared" si="126"/>
        <v>273</v>
      </c>
      <c r="AE241" s="711">
        <f t="shared" si="142"/>
        <v>12</v>
      </c>
      <c r="AF241" s="711">
        <f t="shared" si="142"/>
        <v>115</v>
      </c>
      <c r="AG241" s="711">
        <f t="shared" si="142"/>
        <v>81</v>
      </c>
      <c r="AH241" s="711">
        <f t="shared" si="141"/>
        <v>34</v>
      </c>
      <c r="AI241" s="711">
        <f t="shared" si="141"/>
        <v>180</v>
      </c>
      <c r="AJ241" s="711">
        <f t="shared" si="141"/>
        <v>146</v>
      </c>
      <c r="AK241" s="711">
        <f t="shared" si="141"/>
        <v>182</v>
      </c>
      <c r="AL241" s="711">
        <f t="shared" si="122"/>
        <v>194</v>
      </c>
      <c r="AM241" s="711">
        <f t="shared" si="123"/>
        <v>200</v>
      </c>
      <c r="AN241" s="711">
        <f t="shared" si="134"/>
        <v>159</v>
      </c>
      <c r="AO241" s="711">
        <f t="shared" si="135"/>
        <v>143</v>
      </c>
      <c r="AP241" s="711">
        <f t="shared" si="136"/>
        <v>76</v>
      </c>
      <c r="AQ241" s="711">
        <f t="shared" si="127"/>
        <v>42</v>
      </c>
      <c r="AR241" s="711">
        <f t="shared" si="128"/>
        <v>161</v>
      </c>
      <c r="AS241" s="711">
        <f t="shared" si="129"/>
        <v>102</v>
      </c>
      <c r="AT241" s="711">
        <f t="shared" si="130"/>
        <v>73</v>
      </c>
      <c r="AU241" s="711">
        <f t="shared" si="131"/>
        <v>92</v>
      </c>
      <c r="AV241" s="711">
        <f t="shared" si="132"/>
        <v>184</v>
      </c>
      <c r="AW241" s="711">
        <f t="shared" si="133"/>
        <v>107</v>
      </c>
      <c r="AX241" s="711">
        <f t="shared" si="138"/>
        <v>47</v>
      </c>
      <c r="AY241" s="711">
        <f t="shared" si="139"/>
        <v>329</v>
      </c>
      <c r="AZ241" s="711">
        <f t="shared" si="140"/>
        <v>431</v>
      </c>
      <c r="BA241" s="711">
        <f t="shared" si="137"/>
        <v>351</v>
      </c>
    </row>
    <row r="242" spans="1:53">
      <c r="A242" s="106">
        <f t="shared" si="124"/>
        <v>231</v>
      </c>
      <c r="B242" s="858">
        <v>42235</v>
      </c>
      <c r="C242" s="859" t="s">
        <v>1725</v>
      </c>
      <c r="D242" s="860">
        <v>4159</v>
      </c>
      <c r="E242" s="860">
        <v>4125</v>
      </c>
      <c r="F242" s="860">
        <v>4043</v>
      </c>
      <c r="G242" s="860">
        <v>4015</v>
      </c>
      <c r="H242" s="860">
        <v>4064</v>
      </c>
      <c r="I242" s="860">
        <v>4197</v>
      </c>
      <c r="J242" s="860">
        <v>4437</v>
      </c>
      <c r="K242" s="860">
        <v>4624</v>
      </c>
      <c r="L242" s="860">
        <v>4749</v>
      </c>
      <c r="M242" s="860">
        <v>4871</v>
      </c>
      <c r="N242" s="860">
        <v>4985</v>
      </c>
      <c r="O242" s="860">
        <v>5027</v>
      </c>
      <c r="P242" s="860">
        <v>5044</v>
      </c>
      <c r="Q242" s="860">
        <v>5157</v>
      </c>
      <c r="R242" s="860">
        <v>5270</v>
      </c>
      <c r="S242" s="860">
        <v>5370</v>
      </c>
      <c r="T242" s="860">
        <v>5495</v>
      </c>
      <c r="U242" s="860">
        <v>5555</v>
      </c>
      <c r="V242" s="860">
        <v>5512</v>
      </c>
      <c r="W242" s="860">
        <v>5410</v>
      </c>
      <c r="X242" s="860">
        <v>5463</v>
      </c>
      <c r="Y242" s="860">
        <v>5175</v>
      </c>
      <c r="Z242" s="860">
        <v>4729</v>
      </c>
      <c r="AA242" s="860">
        <v>4292</v>
      </c>
      <c r="AC242" s="712">
        <f t="shared" si="125"/>
        <v>231</v>
      </c>
      <c r="AD242" s="711">
        <f t="shared" si="126"/>
        <v>171</v>
      </c>
      <c r="AE242" s="711">
        <f t="shared" si="142"/>
        <v>34</v>
      </c>
      <c r="AF242" s="711">
        <f t="shared" si="142"/>
        <v>82</v>
      </c>
      <c r="AG242" s="711">
        <f t="shared" si="142"/>
        <v>28</v>
      </c>
      <c r="AH242" s="711">
        <f t="shared" si="141"/>
        <v>49</v>
      </c>
      <c r="AI242" s="711">
        <f t="shared" si="141"/>
        <v>133</v>
      </c>
      <c r="AJ242" s="711">
        <f t="shared" si="141"/>
        <v>240</v>
      </c>
      <c r="AK242" s="711">
        <f t="shared" si="141"/>
        <v>187</v>
      </c>
      <c r="AL242" s="711">
        <f t="shared" si="122"/>
        <v>125</v>
      </c>
      <c r="AM242" s="711">
        <f t="shared" si="123"/>
        <v>122</v>
      </c>
      <c r="AN242" s="711">
        <f t="shared" si="134"/>
        <v>114</v>
      </c>
      <c r="AO242" s="711">
        <f t="shared" si="135"/>
        <v>42</v>
      </c>
      <c r="AP242" s="711">
        <f t="shared" si="136"/>
        <v>17</v>
      </c>
      <c r="AQ242" s="711">
        <f t="shared" si="127"/>
        <v>113</v>
      </c>
      <c r="AR242" s="711">
        <f t="shared" si="128"/>
        <v>113</v>
      </c>
      <c r="AS242" s="711">
        <f t="shared" si="129"/>
        <v>100</v>
      </c>
      <c r="AT242" s="711">
        <f t="shared" si="130"/>
        <v>125</v>
      </c>
      <c r="AU242" s="711">
        <f t="shared" si="131"/>
        <v>60</v>
      </c>
      <c r="AV242" s="711">
        <f t="shared" si="132"/>
        <v>43</v>
      </c>
      <c r="AW242" s="711">
        <f t="shared" si="133"/>
        <v>102</v>
      </c>
      <c r="AX242" s="711">
        <f t="shared" si="138"/>
        <v>53</v>
      </c>
      <c r="AY242" s="711">
        <f t="shared" si="139"/>
        <v>288</v>
      </c>
      <c r="AZ242" s="711">
        <f t="shared" si="140"/>
        <v>446</v>
      </c>
      <c r="BA242" s="711">
        <f t="shared" si="137"/>
        <v>437</v>
      </c>
    </row>
    <row r="243" spans="1:53">
      <c r="A243" s="106">
        <f t="shared" si="124"/>
        <v>232</v>
      </c>
      <c r="B243" s="858">
        <v>42236</v>
      </c>
      <c r="C243" s="859" t="s">
        <v>1725</v>
      </c>
      <c r="D243" s="860">
        <v>4047</v>
      </c>
      <c r="E243" s="860">
        <v>4115</v>
      </c>
      <c r="F243" s="860">
        <v>4059</v>
      </c>
      <c r="G243" s="860">
        <v>4023</v>
      </c>
      <c r="H243" s="860">
        <v>4110</v>
      </c>
      <c r="I243" s="860">
        <v>4354</v>
      </c>
      <c r="J243" s="860">
        <v>4583</v>
      </c>
      <c r="K243" s="860">
        <v>4785</v>
      </c>
      <c r="L243" s="860">
        <v>4867</v>
      </c>
      <c r="M243" s="860">
        <v>5082</v>
      </c>
      <c r="N243" s="860">
        <v>5306</v>
      </c>
      <c r="O243" s="860">
        <v>5501</v>
      </c>
      <c r="P243" s="860">
        <v>5653</v>
      </c>
      <c r="Q243" s="860">
        <v>5859</v>
      </c>
      <c r="R243" s="860">
        <v>6076</v>
      </c>
      <c r="S243" s="860">
        <v>6322</v>
      </c>
      <c r="T243" s="860">
        <v>6524</v>
      </c>
      <c r="U243" s="860">
        <v>6611</v>
      </c>
      <c r="V243" s="860">
        <v>6416</v>
      </c>
      <c r="W243" s="860">
        <v>6212</v>
      </c>
      <c r="X243" s="860">
        <v>6158</v>
      </c>
      <c r="Y243" s="860">
        <v>5775</v>
      </c>
      <c r="Z243" s="860">
        <v>5183</v>
      </c>
      <c r="AA243" s="860">
        <v>4677</v>
      </c>
      <c r="AC243" s="712">
        <f t="shared" si="125"/>
        <v>232</v>
      </c>
      <c r="AD243" s="711">
        <f t="shared" si="126"/>
        <v>245</v>
      </c>
      <c r="AE243" s="711">
        <f t="shared" si="142"/>
        <v>68</v>
      </c>
      <c r="AF243" s="711">
        <f t="shared" si="142"/>
        <v>56</v>
      </c>
      <c r="AG243" s="711">
        <f t="shared" si="142"/>
        <v>36</v>
      </c>
      <c r="AH243" s="711">
        <f t="shared" si="141"/>
        <v>87</v>
      </c>
      <c r="AI243" s="711">
        <f t="shared" si="141"/>
        <v>244</v>
      </c>
      <c r="AJ243" s="711">
        <f t="shared" si="141"/>
        <v>229</v>
      </c>
      <c r="AK243" s="711">
        <f t="shared" si="141"/>
        <v>202</v>
      </c>
      <c r="AL243" s="711">
        <f t="shared" si="122"/>
        <v>82</v>
      </c>
      <c r="AM243" s="711">
        <f t="shared" si="123"/>
        <v>215</v>
      </c>
      <c r="AN243" s="711">
        <f t="shared" si="134"/>
        <v>224</v>
      </c>
      <c r="AO243" s="711">
        <f t="shared" si="135"/>
        <v>195</v>
      </c>
      <c r="AP243" s="711">
        <f t="shared" si="136"/>
        <v>152</v>
      </c>
      <c r="AQ243" s="711">
        <f t="shared" si="127"/>
        <v>206</v>
      </c>
      <c r="AR243" s="711">
        <f t="shared" si="128"/>
        <v>217</v>
      </c>
      <c r="AS243" s="711">
        <f t="shared" si="129"/>
        <v>246</v>
      </c>
      <c r="AT243" s="711">
        <f t="shared" si="130"/>
        <v>202</v>
      </c>
      <c r="AU243" s="711">
        <f t="shared" si="131"/>
        <v>87</v>
      </c>
      <c r="AV243" s="711">
        <f t="shared" si="132"/>
        <v>195</v>
      </c>
      <c r="AW243" s="711">
        <f t="shared" si="133"/>
        <v>204</v>
      </c>
      <c r="AX243" s="711">
        <f t="shared" si="138"/>
        <v>54</v>
      </c>
      <c r="AY243" s="711">
        <f t="shared" si="139"/>
        <v>383</v>
      </c>
      <c r="AZ243" s="711">
        <f t="shared" si="140"/>
        <v>592</v>
      </c>
      <c r="BA243" s="711">
        <f t="shared" si="137"/>
        <v>506</v>
      </c>
    </row>
    <row r="244" spans="1:53">
      <c r="A244" s="106">
        <f t="shared" si="124"/>
        <v>233</v>
      </c>
      <c r="B244" s="858">
        <v>42237</v>
      </c>
      <c r="C244" s="859" t="s">
        <v>1725</v>
      </c>
      <c r="D244" s="860">
        <v>4472</v>
      </c>
      <c r="E244" s="860">
        <v>4329</v>
      </c>
      <c r="F244" s="860">
        <v>4224</v>
      </c>
      <c r="G244" s="860">
        <v>4157</v>
      </c>
      <c r="H244" s="860">
        <v>4178</v>
      </c>
      <c r="I244" s="860">
        <v>4386</v>
      </c>
      <c r="J244" s="860">
        <v>4641</v>
      </c>
      <c r="K244" s="860">
        <v>4823</v>
      </c>
      <c r="L244" s="860">
        <v>5043</v>
      </c>
      <c r="M244" s="860">
        <v>5314</v>
      </c>
      <c r="N244" s="860">
        <v>5568</v>
      </c>
      <c r="O244" s="860">
        <v>5786</v>
      </c>
      <c r="P244" s="860">
        <v>6088</v>
      </c>
      <c r="Q244" s="860">
        <v>6358</v>
      </c>
      <c r="R244" s="860">
        <v>6678</v>
      </c>
      <c r="S244" s="860">
        <v>6943</v>
      </c>
      <c r="T244" s="860">
        <v>7089</v>
      </c>
      <c r="U244" s="860">
        <v>7078</v>
      </c>
      <c r="V244" s="860">
        <v>6845</v>
      </c>
      <c r="W244" s="860">
        <v>6498</v>
      </c>
      <c r="X244" s="860">
        <v>6411</v>
      </c>
      <c r="Y244" s="860">
        <v>6045</v>
      </c>
      <c r="Z244" s="860">
        <v>5494</v>
      </c>
      <c r="AA244" s="860">
        <v>5125</v>
      </c>
      <c r="AC244" s="712">
        <f t="shared" si="125"/>
        <v>233</v>
      </c>
      <c r="AD244" s="711">
        <f t="shared" si="126"/>
        <v>205</v>
      </c>
      <c r="AE244" s="711">
        <f t="shared" si="142"/>
        <v>143</v>
      </c>
      <c r="AF244" s="711">
        <f t="shared" si="142"/>
        <v>105</v>
      </c>
      <c r="AG244" s="711">
        <f t="shared" si="142"/>
        <v>67</v>
      </c>
      <c r="AH244" s="711">
        <f t="shared" si="141"/>
        <v>21</v>
      </c>
      <c r="AI244" s="711">
        <f t="shared" si="141"/>
        <v>208</v>
      </c>
      <c r="AJ244" s="711">
        <f t="shared" si="141"/>
        <v>255</v>
      </c>
      <c r="AK244" s="711">
        <f t="shared" si="141"/>
        <v>182</v>
      </c>
      <c r="AL244" s="711">
        <f t="shared" si="122"/>
        <v>220</v>
      </c>
      <c r="AM244" s="711">
        <f t="shared" si="123"/>
        <v>271</v>
      </c>
      <c r="AN244" s="711">
        <f t="shared" si="134"/>
        <v>254</v>
      </c>
      <c r="AO244" s="711">
        <f t="shared" si="135"/>
        <v>218</v>
      </c>
      <c r="AP244" s="711">
        <f t="shared" si="136"/>
        <v>302</v>
      </c>
      <c r="AQ244" s="711">
        <f t="shared" si="127"/>
        <v>270</v>
      </c>
      <c r="AR244" s="711">
        <f t="shared" si="128"/>
        <v>320</v>
      </c>
      <c r="AS244" s="711">
        <f t="shared" si="129"/>
        <v>265</v>
      </c>
      <c r="AT244" s="711">
        <f t="shared" si="130"/>
        <v>146</v>
      </c>
      <c r="AU244" s="711">
        <f t="shared" si="131"/>
        <v>11</v>
      </c>
      <c r="AV244" s="711">
        <f t="shared" si="132"/>
        <v>233</v>
      </c>
      <c r="AW244" s="711">
        <f t="shared" si="133"/>
        <v>347</v>
      </c>
      <c r="AX244" s="711">
        <f t="shared" si="138"/>
        <v>87</v>
      </c>
      <c r="AY244" s="711">
        <f t="shared" si="139"/>
        <v>366</v>
      </c>
      <c r="AZ244" s="711">
        <f t="shared" si="140"/>
        <v>551</v>
      </c>
      <c r="BA244" s="711">
        <f t="shared" si="137"/>
        <v>369</v>
      </c>
    </row>
    <row r="245" spans="1:53">
      <c r="A245" s="106">
        <f t="shared" si="124"/>
        <v>234</v>
      </c>
      <c r="B245" s="858">
        <v>42238</v>
      </c>
      <c r="C245" s="859" t="s">
        <v>1725</v>
      </c>
      <c r="D245" s="860">
        <v>4791</v>
      </c>
      <c r="E245" s="860">
        <v>4563</v>
      </c>
      <c r="F245" s="860">
        <v>4385</v>
      </c>
      <c r="G245" s="860">
        <v>4280</v>
      </c>
      <c r="H245" s="860">
        <v>4248</v>
      </c>
      <c r="I245" s="860">
        <v>4191</v>
      </c>
      <c r="J245" s="860">
        <v>4149</v>
      </c>
      <c r="K245" s="860">
        <v>4382</v>
      </c>
      <c r="L245" s="860">
        <v>4805</v>
      </c>
      <c r="M245" s="860">
        <v>5216</v>
      </c>
      <c r="N245" s="860">
        <v>5623</v>
      </c>
      <c r="O245" s="860">
        <v>5982</v>
      </c>
      <c r="P245" s="860">
        <v>6243</v>
      </c>
      <c r="Q245" s="860">
        <v>6329</v>
      </c>
      <c r="R245" s="860">
        <v>6280</v>
      </c>
      <c r="S245" s="860">
        <v>6283</v>
      </c>
      <c r="T245" s="860">
        <v>6216</v>
      </c>
      <c r="U245" s="860">
        <v>6137</v>
      </c>
      <c r="V245" s="860">
        <v>5788</v>
      </c>
      <c r="W245" s="860">
        <v>5566</v>
      </c>
      <c r="X245" s="860">
        <v>5541</v>
      </c>
      <c r="Y245" s="860">
        <v>5282</v>
      </c>
      <c r="Z245" s="860">
        <v>4957</v>
      </c>
      <c r="AA245" s="860">
        <v>4609</v>
      </c>
      <c r="AC245" s="712">
        <f t="shared" si="125"/>
        <v>234</v>
      </c>
      <c r="AD245" s="711">
        <f t="shared" si="126"/>
        <v>334</v>
      </c>
      <c r="AE245" s="711">
        <f t="shared" si="142"/>
        <v>228</v>
      </c>
      <c r="AF245" s="711">
        <f t="shared" si="142"/>
        <v>178</v>
      </c>
      <c r="AG245" s="711">
        <f t="shared" si="142"/>
        <v>105</v>
      </c>
      <c r="AH245" s="711">
        <f t="shared" si="141"/>
        <v>32</v>
      </c>
      <c r="AI245" s="711">
        <f t="shared" si="141"/>
        <v>57</v>
      </c>
      <c r="AJ245" s="711">
        <f t="shared" si="141"/>
        <v>42</v>
      </c>
      <c r="AK245" s="711">
        <f t="shared" si="141"/>
        <v>233</v>
      </c>
      <c r="AL245" s="711">
        <f t="shared" si="122"/>
        <v>423</v>
      </c>
      <c r="AM245" s="711">
        <f t="shared" si="123"/>
        <v>411</v>
      </c>
      <c r="AN245" s="711">
        <f t="shared" si="134"/>
        <v>407</v>
      </c>
      <c r="AO245" s="711">
        <f t="shared" si="135"/>
        <v>359</v>
      </c>
      <c r="AP245" s="711">
        <f t="shared" si="136"/>
        <v>261</v>
      </c>
      <c r="AQ245" s="711">
        <f t="shared" si="127"/>
        <v>86</v>
      </c>
      <c r="AR245" s="711">
        <f t="shared" si="128"/>
        <v>49</v>
      </c>
      <c r="AS245" s="711">
        <f t="shared" si="129"/>
        <v>3</v>
      </c>
      <c r="AT245" s="711">
        <f t="shared" si="130"/>
        <v>67</v>
      </c>
      <c r="AU245" s="711">
        <f t="shared" si="131"/>
        <v>79</v>
      </c>
      <c r="AV245" s="711">
        <f t="shared" si="132"/>
        <v>349</v>
      </c>
      <c r="AW245" s="711">
        <f t="shared" si="133"/>
        <v>222</v>
      </c>
      <c r="AX245" s="711">
        <f t="shared" si="138"/>
        <v>25</v>
      </c>
      <c r="AY245" s="711">
        <f t="shared" si="139"/>
        <v>259</v>
      </c>
      <c r="AZ245" s="711">
        <f t="shared" si="140"/>
        <v>325</v>
      </c>
      <c r="BA245" s="711">
        <f t="shared" si="137"/>
        <v>348</v>
      </c>
    </row>
    <row r="246" spans="1:53">
      <c r="A246" s="106">
        <f t="shared" si="124"/>
        <v>235</v>
      </c>
      <c r="B246" s="858">
        <v>42239</v>
      </c>
      <c r="C246" s="859" t="s">
        <v>1725</v>
      </c>
      <c r="D246" s="860">
        <v>4357</v>
      </c>
      <c r="E246" s="860">
        <v>4179</v>
      </c>
      <c r="F246" s="860">
        <v>4013</v>
      </c>
      <c r="G246" s="860">
        <v>3928</v>
      </c>
      <c r="H246" s="860">
        <v>3851</v>
      </c>
      <c r="I246" s="860">
        <v>3816</v>
      </c>
      <c r="J246" s="860">
        <v>3803</v>
      </c>
      <c r="K246" s="860">
        <v>3836</v>
      </c>
      <c r="L246" s="860">
        <v>4059</v>
      </c>
      <c r="M246" s="860">
        <v>4243</v>
      </c>
      <c r="N246" s="860">
        <v>4406</v>
      </c>
      <c r="O246" s="860">
        <v>4530</v>
      </c>
      <c r="P246" s="860">
        <v>4660</v>
      </c>
      <c r="Q246" s="860">
        <v>4794</v>
      </c>
      <c r="R246" s="860">
        <v>4968</v>
      </c>
      <c r="S246" s="860">
        <v>5183</v>
      </c>
      <c r="T246" s="860">
        <v>5417</v>
      </c>
      <c r="U246" s="860">
        <v>5550</v>
      </c>
      <c r="V246" s="860">
        <v>5553</v>
      </c>
      <c r="W246" s="860">
        <v>5468</v>
      </c>
      <c r="X246" s="860">
        <v>5541</v>
      </c>
      <c r="Y246" s="860">
        <v>5248</v>
      </c>
      <c r="Z246" s="860">
        <v>4849</v>
      </c>
      <c r="AA246" s="860">
        <v>4526</v>
      </c>
      <c r="AC246" s="712">
        <f t="shared" si="125"/>
        <v>235</v>
      </c>
      <c r="AD246" s="711">
        <f t="shared" si="126"/>
        <v>252</v>
      </c>
      <c r="AE246" s="711">
        <f t="shared" si="142"/>
        <v>178</v>
      </c>
      <c r="AF246" s="711">
        <f t="shared" si="142"/>
        <v>166</v>
      </c>
      <c r="AG246" s="711">
        <f t="shared" si="142"/>
        <v>85</v>
      </c>
      <c r="AH246" s="711">
        <f t="shared" si="141"/>
        <v>77</v>
      </c>
      <c r="AI246" s="711">
        <f t="shared" si="141"/>
        <v>35</v>
      </c>
      <c r="AJ246" s="711">
        <f t="shared" si="141"/>
        <v>13</v>
      </c>
      <c r="AK246" s="711">
        <f t="shared" si="141"/>
        <v>33</v>
      </c>
      <c r="AL246" s="711">
        <f t="shared" si="122"/>
        <v>223</v>
      </c>
      <c r="AM246" s="711">
        <f t="shared" si="123"/>
        <v>184</v>
      </c>
      <c r="AN246" s="711">
        <f t="shared" si="134"/>
        <v>163</v>
      </c>
      <c r="AO246" s="711">
        <f t="shared" si="135"/>
        <v>124</v>
      </c>
      <c r="AP246" s="711">
        <f t="shared" si="136"/>
        <v>130</v>
      </c>
      <c r="AQ246" s="711">
        <f t="shared" si="127"/>
        <v>134</v>
      </c>
      <c r="AR246" s="711">
        <f t="shared" si="128"/>
        <v>174</v>
      </c>
      <c r="AS246" s="711">
        <f t="shared" si="129"/>
        <v>215</v>
      </c>
      <c r="AT246" s="711">
        <f t="shared" si="130"/>
        <v>234</v>
      </c>
      <c r="AU246" s="711">
        <f t="shared" si="131"/>
        <v>133</v>
      </c>
      <c r="AV246" s="711">
        <f t="shared" si="132"/>
        <v>3</v>
      </c>
      <c r="AW246" s="711">
        <f t="shared" si="133"/>
        <v>85</v>
      </c>
      <c r="AX246" s="711">
        <f t="shared" si="138"/>
        <v>73</v>
      </c>
      <c r="AY246" s="711">
        <f t="shared" si="139"/>
        <v>293</v>
      </c>
      <c r="AZ246" s="711">
        <f t="shared" si="140"/>
        <v>399</v>
      </c>
      <c r="BA246" s="711">
        <f t="shared" si="137"/>
        <v>323</v>
      </c>
    </row>
    <row r="247" spans="1:53">
      <c r="A247" s="106">
        <f t="shared" si="124"/>
        <v>236</v>
      </c>
      <c r="B247" s="858">
        <v>42240</v>
      </c>
      <c r="C247" s="859" t="s">
        <v>1725</v>
      </c>
      <c r="D247" s="860">
        <v>4242</v>
      </c>
      <c r="E247" s="860">
        <v>4077</v>
      </c>
      <c r="F247" s="860">
        <v>3990</v>
      </c>
      <c r="G247" s="860">
        <v>3902</v>
      </c>
      <c r="H247" s="860">
        <v>3929</v>
      </c>
      <c r="I247" s="860">
        <v>4182</v>
      </c>
      <c r="J247" s="860">
        <v>4443</v>
      </c>
      <c r="K247" s="860">
        <v>4700</v>
      </c>
      <c r="L247" s="860">
        <v>4999</v>
      </c>
      <c r="M247" s="860">
        <v>5222</v>
      </c>
      <c r="N247" s="860">
        <v>5404</v>
      </c>
      <c r="O247" s="860">
        <v>5676</v>
      </c>
      <c r="P247" s="860">
        <v>5943</v>
      </c>
      <c r="Q247" s="860">
        <v>6261</v>
      </c>
      <c r="R247" s="860">
        <v>6576</v>
      </c>
      <c r="S247" s="860">
        <v>6878</v>
      </c>
      <c r="T247" s="860">
        <v>7109</v>
      </c>
      <c r="U247" s="860">
        <v>7184</v>
      </c>
      <c r="V247" s="860">
        <v>7023</v>
      </c>
      <c r="W247" s="860">
        <v>6749</v>
      </c>
      <c r="X247" s="860">
        <v>6590</v>
      </c>
      <c r="Y247" s="860">
        <v>6071</v>
      </c>
      <c r="Z247" s="860">
        <v>5418</v>
      </c>
      <c r="AA247" s="860">
        <v>4943</v>
      </c>
      <c r="AC247" s="712">
        <f t="shared" si="125"/>
        <v>236</v>
      </c>
      <c r="AD247" s="711">
        <f t="shared" si="126"/>
        <v>284</v>
      </c>
      <c r="AE247" s="711">
        <f t="shared" si="142"/>
        <v>165</v>
      </c>
      <c r="AF247" s="711">
        <f t="shared" si="142"/>
        <v>87</v>
      </c>
      <c r="AG247" s="711">
        <f t="shared" si="142"/>
        <v>88</v>
      </c>
      <c r="AH247" s="711">
        <f t="shared" si="141"/>
        <v>27</v>
      </c>
      <c r="AI247" s="711">
        <f t="shared" si="141"/>
        <v>253</v>
      </c>
      <c r="AJ247" s="711">
        <f t="shared" si="141"/>
        <v>261</v>
      </c>
      <c r="AK247" s="711">
        <f t="shared" si="141"/>
        <v>257</v>
      </c>
      <c r="AL247" s="711">
        <f t="shared" si="122"/>
        <v>299</v>
      </c>
      <c r="AM247" s="711">
        <f t="shared" si="123"/>
        <v>223</v>
      </c>
      <c r="AN247" s="711">
        <f t="shared" si="134"/>
        <v>182</v>
      </c>
      <c r="AO247" s="711">
        <f t="shared" si="135"/>
        <v>272</v>
      </c>
      <c r="AP247" s="711">
        <f t="shared" si="136"/>
        <v>267</v>
      </c>
      <c r="AQ247" s="711">
        <f t="shared" ref="AQ247:AQ278" si="143">ABS(Q247-P247)</f>
        <v>318</v>
      </c>
      <c r="AR247" s="711">
        <f t="shared" ref="AR247:AR278" si="144">ABS(R247-Q247)</f>
        <v>315</v>
      </c>
      <c r="AS247" s="711">
        <f t="shared" ref="AS247:AS278" si="145">ABS(S247-R247)</f>
        <v>302</v>
      </c>
      <c r="AT247" s="711">
        <f t="shared" ref="AT247:AT278" si="146">ABS(T247-S247)</f>
        <v>231</v>
      </c>
      <c r="AU247" s="711">
        <f t="shared" ref="AU247:AZ289" si="147">ABS(U247-T247)</f>
        <v>75</v>
      </c>
      <c r="AV247" s="711">
        <f t="shared" si="147"/>
        <v>161</v>
      </c>
      <c r="AW247" s="711">
        <f t="shared" si="147"/>
        <v>274</v>
      </c>
      <c r="AX247" s="711">
        <f t="shared" si="147"/>
        <v>159</v>
      </c>
      <c r="AY247" s="711">
        <f t="shared" si="147"/>
        <v>519</v>
      </c>
      <c r="AZ247" s="711">
        <f t="shared" si="147"/>
        <v>653</v>
      </c>
      <c r="BA247" s="711">
        <f t="shared" si="137"/>
        <v>475</v>
      </c>
    </row>
    <row r="248" spans="1:53">
      <c r="A248" s="106">
        <f t="shared" si="124"/>
        <v>237</v>
      </c>
      <c r="B248" s="858">
        <v>42241</v>
      </c>
      <c r="C248" s="859" t="s">
        <v>1725</v>
      </c>
      <c r="D248" s="860">
        <v>4686</v>
      </c>
      <c r="E248" s="860">
        <v>4453</v>
      </c>
      <c r="F248" s="860">
        <v>4315</v>
      </c>
      <c r="G248" s="860">
        <v>4235</v>
      </c>
      <c r="H248" s="860">
        <v>4194</v>
      </c>
      <c r="I248" s="860">
        <v>4437</v>
      </c>
      <c r="J248" s="860">
        <v>4656</v>
      </c>
      <c r="K248" s="860">
        <v>4918</v>
      </c>
      <c r="L248" s="860">
        <v>5204</v>
      </c>
      <c r="M248" s="860">
        <v>5512</v>
      </c>
      <c r="N248" s="860">
        <v>5805</v>
      </c>
      <c r="O248" s="860">
        <v>6155</v>
      </c>
      <c r="P248" s="860">
        <v>6524</v>
      </c>
      <c r="Q248" s="860">
        <v>6894</v>
      </c>
      <c r="R248" s="860">
        <v>7242</v>
      </c>
      <c r="S248" s="860">
        <v>7510</v>
      </c>
      <c r="T248" s="860">
        <v>7714</v>
      </c>
      <c r="U248" s="860">
        <v>7659</v>
      </c>
      <c r="V248" s="860">
        <v>7319</v>
      </c>
      <c r="W248" s="860">
        <v>7057</v>
      </c>
      <c r="X248" s="860">
        <v>6853</v>
      </c>
      <c r="Y248" s="860">
        <v>6327</v>
      </c>
      <c r="Z248" s="860">
        <v>5660</v>
      </c>
      <c r="AA248" s="860">
        <v>5177</v>
      </c>
      <c r="AC248" s="712">
        <f t="shared" si="125"/>
        <v>237</v>
      </c>
      <c r="AD248" s="711">
        <f t="shared" si="126"/>
        <v>257</v>
      </c>
      <c r="AE248" s="711">
        <f t="shared" si="142"/>
        <v>233</v>
      </c>
      <c r="AF248" s="711">
        <f t="shared" si="142"/>
        <v>138</v>
      </c>
      <c r="AG248" s="711">
        <f t="shared" si="142"/>
        <v>80</v>
      </c>
      <c r="AH248" s="711">
        <f t="shared" si="141"/>
        <v>41</v>
      </c>
      <c r="AI248" s="711">
        <f t="shared" si="141"/>
        <v>243</v>
      </c>
      <c r="AJ248" s="711">
        <f t="shared" si="141"/>
        <v>219</v>
      </c>
      <c r="AK248" s="711">
        <f t="shared" si="141"/>
        <v>262</v>
      </c>
      <c r="AL248" s="711">
        <f t="shared" si="122"/>
        <v>286</v>
      </c>
      <c r="AM248" s="711">
        <f t="shared" si="123"/>
        <v>308</v>
      </c>
      <c r="AN248" s="711">
        <f t="shared" si="134"/>
        <v>293</v>
      </c>
      <c r="AO248" s="711">
        <f t="shared" si="135"/>
        <v>350</v>
      </c>
      <c r="AP248" s="711">
        <f t="shared" si="136"/>
        <v>369</v>
      </c>
      <c r="AQ248" s="711">
        <f t="shared" si="143"/>
        <v>370</v>
      </c>
      <c r="AR248" s="711">
        <f t="shared" si="144"/>
        <v>348</v>
      </c>
      <c r="AS248" s="711">
        <f t="shared" si="145"/>
        <v>268</v>
      </c>
      <c r="AT248" s="711">
        <f t="shared" si="146"/>
        <v>204</v>
      </c>
      <c r="AU248" s="711">
        <f t="shared" si="147"/>
        <v>55</v>
      </c>
      <c r="AV248" s="711">
        <f t="shared" si="147"/>
        <v>340</v>
      </c>
      <c r="AW248" s="711">
        <f t="shared" si="147"/>
        <v>262</v>
      </c>
      <c r="AX248" s="711">
        <f t="shared" si="147"/>
        <v>204</v>
      </c>
      <c r="AY248" s="711">
        <f t="shared" si="147"/>
        <v>526</v>
      </c>
      <c r="AZ248" s="711">
        <f t="shared" si="147"/>
        <v>667</v>
      </c>
      <c r="BA248" s="711">
        <f t="shared" si="137"/>
        <v>483</v>
      </c>
    </row>
    <row r="249" spans="1:53">
      <c r="A249" s="106">
        <f t="shared" si="124"/>
        <v>238</v>
      </c>
      <c r="B249" s="858">
        <v>42242</v>
      </c>
      <c r="C249" s="859" t="s">
        <v>1725</v>
      </c>
      <c r="D249" s="860">
        <v>4888</v>
      </c>
      <c r="E249" s="860">
        <v>4627</v>
      </c>
      <c r="F249" s="860">
        <v>4470</v>
      </c>
      <c r="G249" s="860">
        <v>4390</v>
      </c>
      <c r="H249" s="860">
        <v>4330</v>
      </c>
      <c r="I249" s="860">
        <v>4568</v>
      </c>
      <c r="J249" s="860">
        <v>4845</v>
      </c>
      <c r="K249" s="860">
        <v>5105</v>
      </c>
      <c r="L249" s="860">
        <v>5423</v>
      </c>
      <c r="M249" s="860">
        <v>5760</v>
      </c>
      <c r="N249" s="860">
        <v>6084</v>
      </c>
      <c r="O249" s="860">
        <v>6428</v>
      </c>
      <c r="P249" s="860">
        <v>6858</v>
      </c>
      <c r="Q249" s="860">
        <v>7274</v>
      </c>
      <c r="R249" s="860">
        <v>7443</v>
      </c>
      <c r="S249" s="860">
        <v>7549</v>
      </c>
      <c r="T249" s="860">
        <v>7566</v>
      </c>
      <c r="U249" s="860">
        <v>7428</v>
      </c>
      <c r="V249" s="860">
        <v>7164</v>
      </c>
      <c r="W249" s="860">
        <v>6905</v>
      </c>
      <c r="X249" s="860">
        <v>6724</v>
      </c>
      <c r="Y249" s="860">
        <v>6276</v>
      </c>
      <c r="Z249" s="860">
        <v>5667</v>
      </c>
      <c r="AA249" s="860">
        <v>5155</v>
      </c>
      <c r="AC249" s="712">
        <f t="shared" si="125"/>
        <v>238</v>
      </c>
      <c r="AD249" s="711">
        <f t="shared" si="126"/>
        <v>289</v>
      </c>
      <c r="AE249" s="711">
        <f t="shared" si="142"/>
        <v>261</v>
      </c>
      <c r="AF249" s="711">
        <f t="shared" si="142"/>
        <v>157</v>
      </c>
      <c r="AG249" s="711">
        <f t="shared" si="142"/>
        <v>80</v>
      </c>
      <c r="AH249" s="711">
        <f t="shared" si="141"/>
        <v>60</v>
      </c>
      <c r="AI249" s="711">
        <f t="shared" si="141"/>
        <v>238</v>
      </c>
      <c r="AJ249" s="711">
        <f t="shared" si="141"/>
        <v>277</v>
      </c>
      <c r="AK249" s="711">
        <f t="shared" si="141"/>
        <v>260</v>
      </c>
      <c r="AL249" s="711">
        <f t="shared" si="122"/>
        <v>318</v>
      </c>
      <c r="AM249" s="711">
        <f t="shared" si="123"/>
        <v>337</v>
      </c>
      <c r="AN249" s="711">
        <f t="shared" si="134"/>
        <v>324</v>
      </c>
      <c r="AO249" s="711">
        <f t="shared" si="135"/>
        <v>344</v>
      </c>
      <c r="AP249" s="711">
        <f t="shared" si="136"/>
        <v>430</v>
      </c>
      <c r="AQ249" s="711">
        <f t="shared" si="143"/>
        <v>416</v>
      </c>
      <c r="AR249" s="711">
        <f t="shared" si="144"/>
        <v>169</v>
      </c>
      <c r="AS249" s="711">
        <f t="shared" si="145"/>
        <v>106</v>
      </c>
      <c r="AT249" s="711">
        <f t="shared" si="146"/>
        <v>17</v>
      </c>
      <c r="AU249" s="711">
        <f t="shared" si="147"/>
        <v>138</v>
      </c>
      <c r="AV249" s="711">
        <f t="shared" si="147"/>
        <v>264</v>
      </c>
      <c r="AW249" s="711">
        <f t="shared" si="147"/>
        <v>259</v>
      </c>
      <c r="AX249" s="711">
        <f t="shared" si="147"/>
        <v>181</v>
      </c>
      <c r="AY249" s="711">
        <f t="shared" si="147"/>
        <v>448</v>
      </c>
      <c r="AZ249" s="711">
        <f t="shared" si="147"/>
        <v>609</v>
      </c>
      <c r="BA249" s="711">
        <f t="shared" si="137"/>
        <v>512</v>
      </c>
    </row>
    <row r="250" spans="1:53">
      <c r="A250" s="106">
        <f t="shared" si="124"/>
        <v>239</v>
      </c>
      <c r="B250" s="858">
        <v>42243</v>
      </c>
      <c r="C250" s="859" t="s">
        <v>1725</v>
      </c>
      <c r="D250" s="860">
        <v>4873</v>
      </c>
      <c r="E250" s="860">
        <v>4663</v>
      </c>
      <c r="F250" s="860">
        <v>4504</v>
      </c>
      <c r="G250" s="860">
        <v>4425</v>
      </c>
      <c r="H250" s="860">
        <v>4396</v>
      </c>
      <c r="I250" s="860">
        <v>4624</v>
      </c>
      <c r="J250" s="860">
        <v>4893</v>
      </c>
      <c r="K250" s="860">
        <v>5208</v>
      </c>
      <c r="L250" s="860">
        <v>5478</v>
      </c>
      <c r="M250" s="860">
        <v>5747</v>
      </c>
      <c r="N250" s="860">
        <v>6014</v>
      </c>
      <c r="O250" s="860">
        <v>6250</v>
      </c>
      <c r="P250" s="860">
        <v>6499</v>
      </c>
      <c r="Q250" s="860">
        <v>6722</v>
      </c>
      <c r="R250" s="860">
        <v>6886</v>
      </c>
      <c r="S250" s="860">
        <v>6846</v>
      </c>
      <c r="T250" s="860">
        <v>6704</v>
      </c>
      <c r="U250" s="860">
        <v>6517</v>
      </c>
      <c r="V250" s="860">
        <v>6314</v>
      </c>
      <c r="W250" s="860">
        <v>6201</v>
      </c>
      <c r="X250" s="860">
        <v>6160</v>
      </c>
      <c r="Y250" s="860">
        <v>5833</v>
      </c>
      <c r="Z250" s="860">
        <v>5323</v>
      </c>
      <c r="AA250" s="860">
        <v>5005</v>
      </c>
      <c r="AC250" s="712">
        <f t="shared" si="125"/>
        <v>239</v>
      </c>
      <c r="AD250" s="711">
        <f t="shared" si="126"/>
        <v>282</v>
      </c>
      <c r="AE250" s="711">
        <f t="shared" si="142"/>
        <v>210</v>
      </c>
      <c r="AF250" s="711">
        <f t="shared" si="142"/>
        <v>159</v>
      </c>
      <c r="AG250" s="711">
        <f t="shared" si="142"/>
        <v>79</v>
      </c>
      <c r="AH250" s="711">
        <f t="shared" si="141"/>
        <v>29</v>
      </c>
      <c r="AI250" s="711">
        <f t="shared" si="141"/>
        <v>228</v>
      </c>
      <c r="AJ250" s="711">
        <f t="shared" si="141"/>
        <v>269</v>
      </c>
      <c r="AK250" s="711">
        <f t="shared" si="141"/>
        <v>315</v>
      </c>
      <c r="AL250" s="711">
        <f t="shared" si="141"/>
        <v>270</v>
      </c>
      <c r="AM250" s="711">
        <f t="shared" si="141"/>
        <v>269</v>
      </c>
      <c r="AN250" s="711">
        <f t="shared" si="141"/>
        <v>267</v>
      </c>
      <c r="AO250" s="711">
        <f t="shared" ref="AO250:AO281" si="148">ABS(O250-N250)</f>
        <v>236</v>
      </c>
      <c r="AP250" s="711">
        <f t="shared" ref="AP250:AP281" si="149">ABS(P250-O250)</f>
        <v>249</v>
      </c>
      <c r="AQ250" s="711">
        <f t="shared" si="143"/>
        <v>223</v>
      </c>
      <c r="AR250" s="711">
        <f t="shared" si="144"/>
        <v>164</v>
      </c>
      <c r="AS250" s="711">
        <f t="shared" si="145"/>
        <v>40</v>
      </c>
      <c r="AT250" s="711">
        <f t="shared" si="146"/>
        <v>142</v>
      </c>
      <c r="AU250" s="711">
        <f t="shared" si="147"/>
        <v>187</v>
      </c>
      <c r="AV250" s="711">
        <f t="shared" si="147"/>
        <v>203</v>
      </c>
      <c r="AW250" s="711">
        <f t="shared" si="147"/>
        <v>113</v>
      </c>
      <c r="AX250" s="711">
        <f t="shared" si="147"/>
        <v>41</v>
      </c>
      <c r="AY250" s="711">
        <f t="shared" si="147"/>
        <v>327</v>
      </c>
      <c r="AZ250" s="711">
        <f t="shared" si="147"/>
        <v>510</v>
      </c>
      <c r="BA250" s="711">
        <f t="shared" si="137"/>
        <v>318</v>
      </c>
    </row>
    <row r="251" spans="1:53">
      <c r="A251" s="106">
        <f t="shared" si="124"/>
        <v>240</v>
      </c>
      <c r="B251" s="858">
        <v>42244</v>
      </c>
      <c r="C251" s="859" t="s">
        <v>1725</v>
      </c>
      <c r="D251" s="860">
        <v>4714</v>
      </c>
      <c r="E251" s="860">
        <v>4496</v>
      </c>
      <c r="F251" s="860">
        <v>4393</v>
      </c>
      <c r="G251" s="860">
        <v>4325</v>
      </c>
      <c r="H251" s="860">
        <v>4316</v>
      </c>
      <c r="I251" s="860">
        <v>4493</v>
      </c>
      <c r="J251" s="860">
        <v>4689</v>
      </c>
      <c r="K251" s="860">
        <v>4885</v>
      </c>
      <c r="L251" s="860">
        <v>5180</v>
      </c>
      <c r="M251" s="860">
        <v>5460</v>
      </c>
      <c r="N251" s="860">
        <v>5683</v>
      </c>
      <c r="O251" s="860">
        <v>5916</v>
      </c>
      <c r="P251" s="860">
        <v>6094</v>
      </c>
      <c r="Q251" s="860">
        <v>6319</v>
      </c>
      <c r="R251" s="860">
        <v>6449</v>
      </c>
      <c r="S251" s="860">
        <v>6695</v>
      </c>
      <c r="T251" s="860">
        <v>6848</v>
      </c>
      <c r="U251" s="860">
        <v>6784</v>
      </c>
      <c r="V251" s="860">
        <v>6486</v>
      </c>
      <c r="W251" s="860">
        <v>6182</v>
      </c>
      <c r="X251" s="860">
        <v>6027</v>
      </c>
      <c r="Y251" s="860">
        <v>5709</v>
      </c>
      <c r="Z251" s="860">
        <v>5218</v>
      </c>
      <c r="AA251" s="860">
        <v>4743</v>
      </c>
      <c r="AC251" s="712">
        <f t="shared" si="125"/>
        <v>240</v>
      </c>
      <c r="AD251" s="711">
        <f t="shared" si="126"/>
        <v>291</v>
      </c>
      <c r="AE251" s="711">
        <f t="shared" si="142"/>
        <v>218</v>
      </c>
      <c r="AF251" s="711">
        <f t="shared" si="142"/>
        <v>103</v>
      </c>
      <c r="AG251" s="711">
        <f t="shared" si="142"/>
        <v>68</v>
      </c>
      <c r="AH251" s="711">
        <f t="shared" si="141"/>
        <v>9</v>
      </c>
      <c r="AI251" s="711">
        <f t="shared" si="141"/>
        <v>177</v>
      </c>
      <c r="AJ251" s="711">
        <f t="shared" si="141"/>
        <v>196</v>
      </c>
      <c r="AK251" s="711">
        <f t="shared" si="141"/>
        <v>196</v>
      </c>
      <c r="AL251" s="711">
        <f t="shared" si="141"/>
        <v>295</v>
      </c>
      <c r="AM251" s="711">
        <f t="shared" si="141"/>
        <v>280</v>
      </c>
      <c r="AN251" s="711">
        <f t="shared" si="141"/>
        <v>223</v>
      </c>
      <c r="AO251" s="711">
        <f t="shared" si="148"/>
        <v>233</v>
      </c>
      <c r="AP251" s="711">
        <f t="shared" si="149"/>
        <v>178</v>
      </c>
      <c r="AQ251" s="711">
        <f t="shared" si="143"/>
        <v>225</v>
      </c>
      <c r="AR251" s="711">
        <f t="shared" si="144"/>
        <v>130</v>
      </c>
      <c r="AS251" s="711">
        <f t="shared" si="145"/>
        <v>246</v>
      </c>
      <c r="AT251" s="711">
        <f t="shared" si="146"/>
        <v>153</v>
      </c>
      <c r="AU251" s="711">
        <f t="shared" si="147"/>
        <v>64</v>
      </c>
      <c r="AV251" s="711">
        <f t="shared" si="147"/>
        <v>298</v>
      </c>
      <c r="AW251" s="711">
        <f t="shared" si="147"/>
        <v>304</v>
      </c>
      <c r="AX251" s="711">
        <f t="shared" si="147"/>
        <v>155</v>
      </c>
      <c r="AY251" s="711">
        <f t="shared" si="147"/>
        <v>318</v>
      </c>
      <c r="AZ251" s="711">
        <f t="shared" si="147"/>
        <v>491</v>
      </c>
      <c r="BA251" s="711">
        <f t="shared" si="137"/>
        <v>475</v>
      </c>
    </row>
    <row r="252" spans="1:53">
      <c r="A252" s="106">
        <f t="shared" si="124"/>
        <v>241</v>
      </c>
      <c r="B252" s="858">
        <v>42245</v>
      </c>
      <c r="C252" s="859" t="s">
        <v>1725</v>
      </c>
      <c r="D252" s="860">
        <v>4494</v>
      </c>
      <c r="E252" s="860">
        <v>4310</v>
      </c>
      <c r="F252" s="860">
        <v>4203</v>
      </c>
      <c r="G252" s="860">
        <v>4121</v>
      </c>
      <c r="H252" s="860">
        <v>4159</v>
      </c>
      <c r="I252" s="860">
        <v>4228</v>
      </c>
      <c r="J252" s="860">
        <v>4167</v>
      </c>
      <c r="K252" s="860">
        <v>4296</v>
      </c>
      <c r="L252" s="860">
        <v>4495</v>
      </c>
      <c r="M252" s="860">
        <v>4845</v>
      </c>
      <c r="N252" s="860">
        <v>5129</v>
      </c>
      <c r="O252" s="860">
        <v>5411</v>
      </c>
      <c r="P252" s="860">
        <v>5714</v>
      </c>
      <c r="Q252" s="860">
        <v>6006</v>
      </c>
      <c r="R252" s="860">
        <v>6269</v>
      </c>
      <c r="S252" s="860">
        <v>6584</v>
      </c>
      <c r="T252" s="860">
        <v>6790</v>
      </c>
      <c r="U252" s="860">
        <v>6865</v>
      </c>
      <c r="V252" s="860">
        <v>6706</v>
      </c>
      <c r="W252" s="860">
        <v>6422</v>
      </c>
      <c r="X252" s="860">
        <v>6247</v>
      </c>
      <c r="Y252" s="860">
        <v>5888</v>
      </c>
      <c r="Z252" s="860">
        <v>5377</v>
      </c>
      <c r="AA252" s="860">
        <v>4907</v>
      </c>
      <c r="AC252" s="712">
        <f t="shared" si="125"/>
        <v>241</v>
      </c>
      <c r="AD252" s="711">
        <f t="shared" si="126"/>
        <v>249</v>
      </c>
      <c r="AE252" s="711">
        <f t="shared" si="142"/>
        <v>184</v>
      </c>
      <c r="AF252" s="711">
        <f t="shared" si="142"/>
        <v>107</v>
      </c>
      <c r="AG252" s="711">
        <f t="shared" si="142"/>
        <v>82</v>
      </c>
      <c r="AH252" s="711">
        <f t="shared" si="141"/>
        <v>38</v>
      </c>
      <c r="AI252" s="711">
        <f t="shared" si="141"/>
        <v>69</v>
      </c>
      <c r="AJ252" s="711">
        <f t="shared" si="141"/>
        <v>61</v>
      </c>
      <c r="AK252" s="711">
        <f t="shared" si="141"/>
        <v>129</v>
      </c>
      <c r="AL252" s="711">
        <f t="shared" si="141"/>
        <v>199</v>
      </c>
      <c r="AM252" s="711">
        <f t="shared" si="141"/>
        <v>350</v>
      </c>
      <c r="AN252" s="711">
        <f t="shared" si="141"/>
        <v>284</v>
      </c>
      <c r="AO252" s="711">
        <f t="shared" si="148"/>
        <v>282</v>
      </c>
      <c r="AP252" s="711">
        <f t="shared" si="149"/>
        <v>303</v>
      </c>
      <c r="AQ252" s="711">
        <f t="shared" si="143"/>
        <v>292</v>
      </c>
      <c r="AR252" s="711">
        <f t="shared" si="144"/>
        <v>263</v>
      </c>
      <c r="AS252" s="711">
        <f t="shared" si="145"/>
        <v>315</v>
      </c>
      <c r="AT252" s="711">
        <f t="shared" si="146"/>
        <v>206</v>
      </c>
      <c r="AU252" s="711">
        <f t="shared" si="147"/>
        <v>75</v>
      </c>
      <c r="AV252" s="711">
        <f t="shared" si="147"/>
        <v>159</v>
      </c>
      <c r="AW252" s="711">
        <f t="shared" si="147"/>
        <v>284</v>
      </c>
      <c r="AX252" s="711">
        <f t="shared" si="147"/>
        <v>175</v>
      </c>
      <c r="AY252" s="711">
        <f t="shared" si="147"/>
        <v>359</v>
      </c>
      <c r="AZ252" s="711">
        <f t="shared" si="147"/>
        <v>511</v>
      </c>
      <c r="BA252" s="711">
        <f t="shared" si="137"/>
        <v>470</v>
      </c>
    </row>
    <row r="253" spans="1:53">
      <c r="A253" s="106">
        <f t="shared" si="124"/>
        <v>242</v>
      </c>
      <c r="B253" s="858">
        <v>42246</v>
      </c>
      <c r="C253" s="859" t="s">
        <v>1725</v>
      </c>
      <c r="D253" s="860">
        <v>4643</v>
      </c>
      <c r="E253" s="860">
        <v>4450</v>
      </c>
      <c r="F253" s="860">
        <v>4271</v>
      </c>
      <c r="G253" s="860">
        <v>4157</v>
      </c>
      <c r="H253" s="860">
        <v>4101</v>
      </c>
      <c r="I253" s="860">
        <v>4030</v>
      </c>
      <c r="J253" s="860">
        <v>4017</v>
      </c>
      <c r="K253" s="860">
        <v>4060</v>
      </c>
      <c r="L253" s="860">
        <v>4408</v>
      </c>
      <c r="M253" s="860">
        <v>4829</v>
      </c>
      <c r="N253" s="860">
        <v>5254</v>
      </c>
      <c r="O253" s="860">
        <v>5688</v>
      </c>
      <c r="P253" s="860">
        <v>6085</v>
      </c>
      <c r="Q253" s="860">
        <v>6441</v>
      </c>
      <c r="R253" s="860">
        <v>6762</v>
      </c>
      <c r="S253" s="860">
        <v>7037</v>
      </c>
      <c r="T253" s="860">
        <v>7253</v>
      </c>
      <c r="U253" s="860">
        <v>7380</v>
      </c>
      <c r="V253" s="860">
        <v>7188</v>
      </c>
      <c r="W253" s="860">
        <v>6950</v>
      </c>
      <c r="X253" s="860">
        <v>6781</v>
      </c>
      <c r="Y253" s="860">
        <v>6301</v>
      </c>
      <c r="Z253" s="860">
        <v>5621</v>
      </c>
      <c r="AA253" s="860">
        <v>5141</v>
      </c>
      <c r="AC253" s="712">
        <f t="shared" si="125"/>
        <v>242</v>
      </c>
      <c r="AD253" s="711">
        <f t="shared" si="126"/>
        <v>264</v>
      </c>
      <c r="AE253" s="711">
        <f t="shared" si="142"/>
        <v>193</v>
      </c>
      <c r="AF253" s="711">
        <f t="shared" si="142"/>
        <v>179</v>
      </c>
      <c r="AG253" s="711">
        <f t="shared" si="142"/>
        <v>114</v>
      </c>
      <c r="AH253" s="711">
        <f t="shared" si="141"/>
        <v>56</v>
      </c>
      <c r="AI253" s="711">
        <f t="shared" si="141"/>
        <v>71</v>
      </c>
      <c r="AJ253" s="711">
        <f t="shared" si="141"/>
        <v>13</v>
      </c>
      <c r="AK253" s="711">
        <f t="shared" si="141"/>
        <v>43</v>
      </c>
      <c r="AL253" s="711">
        <f t="shared" si="141"/>
        <v>348</v>
      </c>
      <c r="AM253" s="711">
        <f t="shared" si="141"/>
        <v>421</v>
      </c>
      <c r="AN253" s="711">
        <f t="shared" si="141"/>
        <v>425</v>
      </c>
      <c r="AO253" s="711">
        <f t="shared" si="148"/>
        <v>434</v>
      </c>
      <c r="AP253" s="711">
        <f t="shared" si="149"/>
        <v>397</v>
      </c>
      <c r="AQ253" s="711">
        <f t="shared" si="143"/>
        <v>356</v>
      </c>
      <c r="AR253" s="711">
        <f t="shared" si="144"/>
        <v>321</v>
      </c>
      <c r="AS253" s="711">
        <f t="shared" si="145"/>
        <v>275</v>
      </c>
      <c r="AT253" s="711">
        <f t="shared" si="146"/>
        <v>216</v>
      </c>
      <c r="AU253" s="711">
        <f t="shared" si="147"/>
        <v>127</v>
      </c>
      <c r="AV253" s="711">
        <f t="shared" si="147"/>
        <v>192</v>
      </c>
      <c r="AW253" s="711">
        <f t="shared" si="147"/>
        <v>238</v>
      </c>
      <c r="AX253" s="711">
        <f t="shared" si="147"/>
        <v>169</v>
      </c>
      <c r="AY253" s="711">
        <f t="shared" si="147"/>
        <v>480</v>
      </c>
      <c r="AZ253" s="711">
        <f t="shared" si="147"/>
        <v>680</v>
      </c>
      <c r="BA253" s="711">
        <f t="shared" si="137"/>
        <v>480</v>
      </c>
    </row>
    <row r="254" spans="1:53">
      <c r="A254" s="106">
        <f t="shared" si="124"/>
        <v>243</v>
      </c>
      <c r="B254" s="858">
        <v>42247</v>
      </c>
      <c r="C254" s="859" t="s">
        <v>1725</v>
      </c>
      <c r="D254" s="860">
        <v>4867</v>
      </c>
      <c r="E254" s="860">
        <v>4671</v>
      </c>
      <c r="F254" s="860">
        <v>4518</v>
      </c>
      <c r="G254" s="860">
        <v>4444</v>
      </c>
      <c r="H254" s="860">
        <v>4478</v>
      </c>
      <c r="I254" s="860">
        <v>4675</v>
      </c>
      <c r="J254" s="860">
        <v>5047</v>
      </c>
      <c r="K254" s="860">
        <v>5257</v>
      </c>
      <c r="L254" s="860">
        <v>5504</v>
      </c>
      <c r="M254" s="860">
        <v>5681</v>
      </c>
      <c r="N254" s="860">
        <v>5858</v>
      </c>
      <c r="O254" s="860">
        <v>6062</v>
      </c>
      <c r="P254" s="860">
        <v>6385</v>
      </c>
      <c r="Q254" s="860">
        <v>6684</v>
      </c>
      <c r="R254" s="860">
        <v>6810</v>
      </c>
      <c r="S254" s="860">
        <v>6952</v>
      </c>
      <c r="T254" s="860">
        <v>6570</v>
      </c>
      <c r="U254" s="860">
        <v>6218</v>
      </c>
      <c r="V254" s="860">
        <v>6028</v>
      </c>
      <c r="W254" s="860">
        <v>5977</v>
      </c>
      <c r="X254" s="860">
        <v>5931</v>
      </c>
      <c r="Y254" s="860">
        <v>5539</v>
      </c>
      <c r="Z254" s="860">
        <v>5000</v>
      </c>
      <c r="AA254" s="860">
        <v>4584</v>
      </c>
      <c r="AC254" s="712">
        <f t="shared" si="125"/>
        <v>243</v>
      </c>
      <c r="AD254" s="711">
        <f t="shared" si="126"/>
        <v>274</v>
      </c>
      <c r="AE254" s="711">
        <f t="shared" si="142"/>
        <v>196</v>
      </c>
      <c r="AF254" s="711">
        <f t="shared" si="142"/>
        <v>153</v>
      </c>
      <c r="AG254" s="711">
        <f t="shared" si="142"/>
        <v>74</v>
      </c>
      <c r="AH254" s="711">
        <f t="shared" si="141"/>
        <v>34</v>
      </c>
      <c r="AI254" s="711">
        <f t="shared" si="141"/>
        <v>197</v>
      </c>
      <c r="AJ254" s="711">
        <f t="shared" si="141"/>
        <v>372</v>
      </c>
      <c r="AK254" s="711">
        <f t="shared" si="141"/>
        <v>210</v>
      </c>
      <c r="AL254" s="711">
        <f t="shared" si="141"/>
        <v>247</v>
      </c>
      <c r="AM254" s="711">
        <f t="shared" si="141"/>
        <v>177</v>
      </c>
      <c r="AN254" s="711">
        <f t="shared" si="141"/>
        <v>177</v>
      </c>
      <c r="AO254" s="711">
        <f t="shared" si="148"/>
        <v>204</v>
      </c>
      <c r="AP254" s="711">
        <f t="shared" si="149"/>
        <v>323</v>
      </c>
      <c r="AQ254" s="711">
        <f t="shared" si="143"/>
        <v>299</v>
      </c>
      <c r="AR254" s="711">
        <f t="shared" si="144"/>
        <v>126</v>
      </c>
      <c r="AS254" s="711">
        <f t="shared" si="145"/>
        <v>142</v>
      </c>
      <c r="AT254" s="711">
        <f t="shared" si="146"/>
        <v>382</v>
      </c>
      <c r="AU254" s="711">
        <f t="shared" si="147"/>
        <v>352</v>
      </c>
      <c r="AV254" s="711">
        <f t="shared" si="147"/>
        <v>190</v>
      </c>
      <c r="AW254" s="711">
        <f t="shared" si="147"/>
        <v>51</v>
      </c>
      <c r="AX254" s="711">
        <f t="shared" si="147"/>
        <v>46</v>
      </c>
      <c r="AY254" s="711">
        <f t="shared" si="147"/>
        <v>392</v>
      </c>
      <c r="AZ254" s="711">
        <f t="shared" si="147"/>
        <v>539</v>
      </c>
      <c r="BA254" s="711">
        <f t="shared" si="137"/>
        <v>416</v>
      </c>
    </row>
    <row r="255" spans="1:53">
      <c r="A255" s="106">
        <f t="shared" si="124"/>
        <v>244</v>
      </c>
      <c r="B255" s="858">
        <v>42248</v>
      </c>
      <c r="C255" s="859" t="s">
        <v>1725</v>
      </c>
      <c r="D255" s="860">
        <v>4335</v>
      </c>
      <c r="E255" s="860">
        <v>4160</v>
      </c>
      <c r="F255" s="860">
        <v>4054</v>
      </c>
      <c r="G255" s="860">
        <v>4015</v>
      </c>
      <c r="H255" s="860">
        <v>4087</v>
      </c>
      <c r="I255" s="860">
        <v>4304</v>
      </c>
      <c r="J255" s="860">
        <v>4563</v>
      </c>
      <c r="K255" s="860">
        <v>4827</v>
      </c>
      <c r="L255" s="860">
        <v>5080</v>
      </c>
      <c r="M255" s="860">
        <v>5336</v>
      </c>
      <c r="N255" s="860">
        <v>5635</v>
      </c>
      <c r="O255" s="860">
        <v>5919</v>
      </c>
      <c r="P255" s="860">
        <v>6159</v>
      </c>
      <c r="Q255" s="860">
        <v>6420</v>
      </c>
      <c r="R255" s="860">
        <v>6708</v>
      </c>
      <c r="S255" s="860">
        <v>6961</v>
      </c>
      <c r="T255" s="860">
        <v>7043</v>
      </c>
      <c r="U255" s="860">
        <v>6951</v>
      </c>
      <c r="V255" s="860">
        <v>6853</v>
      </c>
      <c r="W255" s="860">
        <v>6506</v>
      </c>
      <c r="X255" s="860">
        <v>6364</v>
      </c>
      <c r="Y255" s="860">
        <v>5896</v>
      </c>
      <c r="Z255" s="860">
        <v>5277</v>
      </c>
      <c r="AA255" s="860">
        <v>4892</v>
      </c>
      <c r="AC255" s="712">
        <f t="shared" si="125"/>
        <v>244</v>
      </c>
      <c r="AD255" s="711">
        <f t="shared" si="126"/>
        <v>249</v>
      </c>
      <c r="AE255" s="711">
        <f t="shared" si="142"/>
        <v>175</v>
      </c>
      <c r="AF255" s="711">
        <f t="shared" si="142"/>
        <v>106</v>
      </c>
      <c r="AG255" s="711">
        <f t="shared" si="142"/>
        <v>39</v>
      </c>
      <c r="AH255" s="711">
        <f t="shared" si="141"/>
        <v>72</v>
      </c>
      <c r="AI255" s="711">
        <f t="shared" si="141"/>
        <v>217</v>
      </c>
      <c r="AJ255" s="711">
        <f t="shared" si="141"/>
        <v>259</v>
      </c>
      <c r="AK255" s="711">
        <f t="shared" si="141"/>
        <v>264</v>
      </c>
      <c r="AL255" s="711">
        <f t="shared" si="141"/>
        <v>253</v>
      </c>
      <c r="AM255" s="711">
        <f t="shared" si="141"/>
        <v>256</v>
      </c>
      <c r="AN255" s="711">
        <f t="shared" si="141"/>
        <v>299</v>
      </c>
      <c r="AO255" s="711">
        <f t="shared" si="148"/>
        <v>284</v>
      </c>
      <c r="AP255" s="711">
        <f t="shared" si="149"/>
        <v>240</v>
      </c>
      <c r="AQ255" s="711">
        <f t="shared" si="143"/>
        <v>261</v>
      </c>
      <c r="AR255" s="711">
        <f t="shared" si="144"/>
        <v>288</v>
      </c>
      <c r="AS255" s="711">
        <f t="shared" si="145"/>
        <v>253</v>
      </c>
      <c r="AT255" s="711">
        <f t="shared" si="146"/>
        <v>82</v>
      </c>
      <c r="AU255" s="711">
        <f t="shared" si="147"/>
        <v>92</v>
      </c>
      <c r="AV255" s="711">
        <f t="shared" si="147"/>
        <v>98</v>
      </c>
      <c r="AW255" s="711">
        <f t="shared" si="147"/>
        <v>347</v>
      </c>
      <c r="AX255" s="711">
        <f t="shared" si="147"/>
        <v>142</v>
      </c>
      <c r="AY255" s="711">
        <f t="shared" si="147"/>
        <v>468</v>
      </c>
      <c r="AZ255" s="711">
        <f t="shared" si="147"/>
        <v>619</v>
      </c>
      <c r="BA255" s="711">
        <f t="shared" si="137"/>
        <v>385</v>
      </c>
    </row>
    <row r="256" spans="1:53">
      <c r="A256" s="106">
        <f t="shared" si="124"/>
        <v>245</v>
      </c>
      <c r="B256" s="858">
        <v>42249</v>
      </c>
      <c r="C256" s="859" t="s">
        <v>1725</v>
      </c>
      <c r="D256" s="860">
        <v>4561</v>
      </c>
      <c r="E256" s="860">
        <v>4350</v>
      </c>
      <c r="F256" s="860">
        <v>4224</v>
      </c>
      <c r="G256" s="860">
        <v>4159</v>
      </c>
      <c r="H256" s="860">
        <v>4229</v>
      </c>
      <c r="I256" s="860">
        <v>4476</v>
      </c>
      <c r="J256" s="860">
        <v>4818</v>
      </c>
      <c r="K256" s="860">
        <v>5007</v>
      </c>
      <c r="L256" s="860">
        <v>5305</v>
      </c>
      <c r="M256" s="860">
        <v>5559</v>
      </c>
      <c r="N256" s="860">
        <v>5857</v>
      </c>
      <c r="O256" s="860">
        <v>6133</v>
      </c>
      <c r="P256" s="860">
        <v>6423</v>
      </c>
      <c r="Q256" s="860">
        <v>6741</v>
      </c>
      <c r="R256" s="860">
        <v>7012</v>
      </c>
      <c r="S256" s="860">
        <v>7153</v>
      </c>
      <c r="T256" s="860">
        <v>7290</v>
      </c>
      <c r="U256" s="860">
        <v>7268</v>
      </c>
      <c r="V256" s="860">
        <v>6997</v>
      </c>
      <c r="W256" s="860">
        <v>6780</v>
      </c>
      <c r="X256" s="860">
        <v>6618</v>
      </c>
      <c r="Y256" s="860">
        <v>6134</v>
      </c>
      <c r="Z256" s="860">
        <v>5579</v>
      </c>
      <c r="AA256" s="860">
        <v>5032</v>
      </c>
      <c r="AB256" s="711">
        <f>MAX(D255:AA284)</f>
        <v>7290</v>
      </c>
      <c r="AC256" s="712">
        <f t="shared" si="125"/>
        <v>245</v>
      </c>
      <c r="AD256" s="711">
        <f t="shared" si="126"/>
        <v>331</v>
      </c>
      <c r="AE256" s="711">
        <f t="shared" si="142"/>
        <v>211</v>
      </c>
      <c r="AF256" s="711">
        <f t="shared" si="142"/>
        <v>126</v>
      </c>
      <c r="AG256" s="711">
        <f t="shared" si="142"/>
        <v>65</v>
      </c>
      <c r="AH256" s="711">
        <f t="shared" si="141"/>
        <v>70</v>
      </c>
      <c r="AI256" s="711">
        <f t="shared" si="141"/>
        <v>247</v>
      </c>
      <c r="AJ256" s="711">
        <f t="shared" si="141"/>
        <v>342</v>
      </c>
      <c r="AK256" s="711">
        <f t="shared" si="141"/>
        <v>189</v>
      </c>
      <c r="AL256" s="711">
        <f t="shared" si="141"/>
        <v>298</v>
      </c>
      <c r="AM256" s="711">
        <f t="shared" si="141"/>
        <v>254</v>
      </c>
      <c r="AN256" s="711">
        <f t="shared" si="141"/>
        <v>298</v>
      </c>
      <c r="AO256" s="711">
        <f t="shared" si="148"/>
        <v>276</v>
      </c>
      <c r="AP256" s="711">
        <f t="shared" si="149"/>
        <v>290</v>
      </c>
      <c r="AQ256" s="711">
        <f t="shared" si="143"/>
        <v>318</v>
      </c>
      <c r="AR256" s="711">
        <f t="shared" si="144"/>
        <v>271</v>
      </c>
      <c r="AS256" s="711">
        <f t="shared" si="145"/>
        <v>141</v>
      </c>
      <c r="AT256" s="711">
        <f t="shared" si="146"/>
        <v>137</v>
      </c>
      <c r="AU256" s="711">
        <f t="shared" si="147"/>
        <v>22</v>
      </c>
      <c r="AV256" s="711">
        <f t="shared" si="147"/>
        <v>271</v>
      </c>
      <c r="AW256" s="711">
        <f t="shared" si="147"/>
        <v>217</v>
      </c>
      <c r="AX256" s="711">
        <f t="shared" si="147"/>
        <v>162</v>
      </c>
      <c r="AY256" s="711">
        <f t="shared" si="147"/>
        <v>484</v>
      </c>
      <c r="AZ256" s="711">
        <f t="shared" si="147"/>
        <v>555</v>
      </c>
      <c r="BA256" s="711">
        <f t="shared" si="137"/>
        <v>547</v>
      </c>
    </row>
    <row r="257" spans="1:53">
      <c r="A257" s="106">
        <f t="shared" si="124"/>
        <v>246</v>
      </c>
      <c r="B257" s="858">
        <v>42250</v>
      </c>
      <c r="C257" s="859" t="s">
        <v>1725</v>
      </c>
      <c r="D257" s="860">
        <v>4661</v>
      </c>
      <c r="E257" s="860">
        <v>4433</v>
      </c>
      <c r="F257" s="860">
        <v>4290</v>
      </c>
      <c r="G257" s="860">
        <v>4223</v>
      </c>
      <c r="H257" s="860">
        <v>4275</v>
      </c>
      <c r="I257" s="860">
        <v>4526</v>
      </c>
      <c r="J257" s="860">
        <v>4836</v>
      </c>
      <c r="K257" s="860">
        <v>5085</v>
      </c>
      <c r="L257" s="860">
        <v>5299</v>
      </c>
      <c r="M257" s="860">
        <v>5494</v>
      </c>
      <c r="N257" s="860">
        <v>5664</v>
      </c>
      <c r="O257" s="860">
        <v>5776</v>
      </c>
      <c r="P257" s="860">
        <v>5926</v>
      </c>
      <c r="Q257" s="860">
        <v>6155</v>
      </c>
      <c r="R257" s="860">
        <v>6412</v>
      </c>
      <c r="S257" s="860">
        <v>6491</v>
      </c>
      <c r="T257" s="860">
        <v>6280</v>
      </c>
      <c r="U257" s="860">
        <v>6017</v>
      </c>
      <c r="V257" s="860">
        <v>5789</v>
      </c>
      <c r="W257" s="860">
        <v>5753</v>
      </c>
      <c r="X257" s="860">
        <v>5768</v>
      </c>
      <c r="Y257" s="860">
        <v>5437</v>
      </c>
      <c r="Z257" s="860">
        <v>4930</v>
      </c>
      <c r="AA257" s="860">
        <v>4584</v>
      </c>
      <c r="AC257" s="712">
        <f t="shared" si="125"/>
        <v>246</v>
      </c>
      <c r="AD257" s="711">
        <f t="shared" si="126"/>
        <v>371</v>
      </c>
      <c r="AE257" s="711">
        <f t="shared" si="142"/>
        <v>228</v>
      </c>
      <c r="AF257" s="711">
        <f t="shared" si="142"/>
        <v>143</v>
      </c>
      <c r="AG257" s="711">
        <f t="shared" si="142"/>
        <v>67</v>
      </c>
      <c r="AH257" s="711">
        <f t="shared" si="141"/>
        <v>52</v>
      </c>
      <c r="AI257" s="711">
        <f t="shared" si="141"/>
        <v>251</v>
      </c>
      <c r="AJ257" s="711">
        <f t="shared" si="141"/>
        <v>310</v>
      </c>
      <c r="AK257" s="711">
        <f t="shared" si="141"/>
        <v>249</v>
      </c>
      <c r="AL257" s="711">
        <f t="shared" si="141"/>
        <v>214</v>
      </c>
      <c r="AM257" s="711">
        <f t="shared" si="141"/>
        <v>195</v>
      </c>
      <c r="AN257" s="711">
        <f t="shared" si="141"/>
        <v>170</v>
      </c>
      <c r="AO257" s="711">
        <f t="shared" si="148"/>
        <v>112</v>
      </c>
      <c r="AP257" s="711">
        <f t="shared" si="149"/>
        <v>150</v>
      </c>
      <c r="AQ257" s="711">
        <f t="shared" si="143"/>
        <v>229</v>
      </c>
      <c r="AR257" s="711">
        <f t="shared" si="144"/>
        <v>257</v>
      </c>
      <c r="AS257" s="711">
        <f t="shared" si="145"/>
        <v>79</v>
      </c>
      <c r="AT257" s="711">
        <f t="shared" si="146"/>
        <v>211</v>
      </c>
      <c r="AU257" s="711">
        <f t="shared" si="147"/>
        <v>263</v>
      </c>
      <c r="AV257" s="711">
        <f t="shared" si="147"/>
        <v>228</v>
      </c>
      <c r="AW257" s="711">
        <f t="shared" si="147"/>
        <v>36</v>
      </c>
      <c r="AX257" s="711">
        <f t="shared" si="147"/>
        <v>15</v>
      </c>
      <c r="AY257" s="711">
        <f t="shared" si="147"/>
        <v>331</v>
      </c>
      <c r="AZ257" s="711">
        <f t="shared" si="147"/>
        <v>507</v>
      </c>
      <c r="BA257" s="711">
        <f t="shared" si="137"/>
        <v>346</v>
      </c>
    </row>
    <row r="258" spans="1:53">
      <c r="A258" s="106">
        <f t="shared" si="124"/>
        <v>247</v>
      </c>
      <c r="B258" s="858">
        <v>42251</v>
      </c>
      <c r="C258" s="859" t="s">
        <v>1725</v>
      </c>
      <c r="D258" s="860">
        <v>4278</v>
      </c>
      <c r="E258" s="860">
        <v>4094</v>
      </c>
      <c r="F258" s="860">
        <v>4000</v>
      </c>
      <c r="G258" s="860">
        <v>3957</v>
      </c>
      <c r="H258" s="860">
        <v>4005</v>
      </c>
      <c r="I258" s="860">
        <v>4218</v>
      </c>
      <c r="J258" s="860">
        <v>4519</v>
      </c>
      <c r="K258" s="860">
        <v>4675</v>
      </c>
      <c r="L258" s="860">
        <v>4883</v>
      </c>
      <c r="M258" s="860">
        <v>5124</v>
      </c>
      <c r="N258" s="860">
        <v>5374</v>
      </c>
      <c r="O258" s="860">
        <v>5577</v>
      </c>
      <c r="P258" s="860">
        <v>5788</v>
      </c>
      <c r="Q258" s="860">
        <v>5986</v>
      </c>
      <c r="R258" s="860">
        <v>6256</v>
      </c>
      <c r="S258" s="860">
        <v>6206</v>
      </c>
      <c r="T258" s="860">
        <v>6143</v>
      </c>
      <c r="U258" s="860">
        <v>5974</v>
      </c>
      <c r="V258" s="860">
        <v>5739</v>
      </c>
      <c r="W258" s="860">
        <v>5701</v>
      </c>
      <c r="X258" s="860">
        <v>5657</v>
      </c>
      <c r="Y258" s="860">
        <v>5396</v>
      </c>
      <c r="Z258" s="860">
        <v>4979</v>
      </c>
      <c r="AA258" s="860">
        <v>4566</v>
      </c>
      <c r="AC258" s="712">
        <f t="shared" si="125"/>
        <v>247</v>
      </c>
      <c r="AD258" s="711">
        <f t="shared" si="126"/>
        <v>306</v>
      </c>
      <c r="AE258" s="711">
        <f t="shared" si="142"/>
        <v>184</v>
      </c>
      <c r="AF258" s="711">
        <f t="shared" si="142"/>
        <v>94</v>
      </c>
      <c r="AG258" s="711">
        <f t="shared" si="142"/>
        <v>43</v>
      </c>
      <c r="AH258" s="711">
        <f t="shared" si="141"/>
        <v>48</v>
      </c>
      <c r="AI258" s="711">
        <f t="shared" si="141"/>
        <v>213</v>
      </c>
      <c r="AJ258" s="711">
        <f t="shared" si="141"/>
        <v>301</v>
      </c>
      <c r="AK258" s="711">
        <f t="shared" si="141"/>
        <v>156</v>
      </c>
      <c r="AL258" s="711">
        <f t="shared" si="141"/>
        <v>208</v>
      </c>
      <c r="AM258" s="711">
        <f t="shared" si="141"/>
        <v>241</v>
      </c>
      <c r="AN258" s="711">
        <f t="shared" si="141"/>
        <v>250</v>
      </c>
      <c r="AO258" s="711">
        <f t="shared" si="148"/>
        <v>203</v>
      </c>
      <c r="AP258" s="711">
        <f t="shared" si="149"/>
        <v>211</v>
      </c>
      <c r="AQ258" s="711">
        <f t="shared" si="143"/>
        <v>198</v>
      </c>
      <c r="AR258" s="711">
        <f t="shared" si="144"/>
        <v>270</v>
      </c>
      <c r="AS258" s="711">
        <f t="shared" si="145"/>
        <v>50</v>
      </c>
      <c r="AT258" s="711">
        <f t="shared" si="146"/>
        <v>63</v>
      </c>
      <c r="AU258" s="711">
        <f t="shared" si="147"/>
        <v>169</v>
      </c>
      <c r="AV258" s="711">
        <f t="shared" si="147"/>
        <v>235</v>
      </c>
      <c r="AW258" s="711">
        <f t="shared" si="147"/>
        <v>38</v>
      </c>
      <c r="AX258" s="711">
        <f t="shared" si="147"/>
        <v>44</v>
      </c>
      <c r="AY258" s="711">
        <f t="shared" si="147"/>
        <v>261</v>
      </c>
      <c r="AZ258" s="711">
        <f t="shared" si="147"/>
        <v>417</v>
      </c>
      <c r="BA258" s="711">
        <f t="shared" si="137"/>
        <v>413</v>
      </c>
    </row>
    <row r="259" spans="1:53">
      <c r="A259" s="106">
        <f t="shared" si="124"/>
        <v>248</v>
      </c>
      <c r="B259" s="858">
        <v>42252</v>
      </c>
      <c r="C259" s="859" t="s">
        <v>1725</v>
      </c>
      <c r="D259" s="860">
        <v>4284</v>
      </c>
      <c r="E259" s="860">
        <v>4202</v>
      </c>
      <c r="F259" s="860">
        <v>4086</v>
      </c>
      <c r="G259" s="860">
        <v>4008</v>
      </c>
      <c r="H259" s="860">
        <v>3993</v>
      </c>
      <c r="I259" s="860">
        <v>4056</v>
      </c>
      <c r="J259" s="860">
        <v>4173</v>
      </c>
      <c r="K259" s="860">
        <v>4207</v>
      </c>
      <c r="L259" s="860">
        <v>4500</v>
      </c>
      <c r="M259" s="860">
        <v>4807</v>
      </c>
      <c r="N259" s="860">
        <v>5026</v>
      </c>
      <c r="O259" s="860">
        <v>5247</v>
      </c>
      <c r="P259" s="860">
        <v>5500</v>
      </c>
      <c r="Q259" s="860">
        <v>5682</v>
      </c>
      <c r="R259" s="860">
        <v>5799</v>
      </c>
      <c r="S259" s="860">
        <v>6001</v>
      </c>
      <c r="T259" s="860">
        <v>6140</v>
      </c>
      <c r="U259" s="860">
        <v>6153</v>
      </c>
      <c r="V259" s="860">
        <v>5905</v>
      </c>
      <c r="W259" s="860">
        <v>5734</v>
      </c>
      <c r="X259" s="860">
        <v>5628</v>
      </c>
      <c r="Y259" s="860">
        <v>5327</v>
      </c>
      <c r="Z259" s="860">
        <v>4912</v>
      </c>
      <c r="AA259" s="860">
        <v>4497</v>
      </c>
      <c r="AC259" s="712">
        <f t="shared" si="125"/>
        <v>248</v>
      </c>
      <c r="AD259" s="711">
        <f t="shared" si="126"/>
        <v>282</v>
      </c>
      <c r="AE259" s="711">
        <f t="shared" si="142"/>
        <v>82</v>
      </c>
      <c r="AF259" s="711">
        <f t="shared" si="142"/>
        <v>116</v>
      </c>
      <c r="AG259" s="711">
        <f t="shared" si="142"/>
        <v>78</v>
      </c>
      <c r="AH259" s="711">
        <f t="shared" si="141"/>
        <v>15</v>
      </c>
      <c r="AI259" s="711">
        <f t="shared" si="141"/>
        <v>63</v>
      </c>
      <c r="AJ259" s="711">
        <f t="shared" si="141"/>
        <v>117</v>
      </c>
      <c r="AK259" s="711">
        <f t="shared" si="141"/>
        <v>34</v>
      </c>
      <c r="AL259" s="711">
        <f t="shared" si="141"/>
        <v>293</v>
      </c>
      <c r="AM259" s="711">
        <f t="shared" si="141"/>
        <v>307</v>
      </c>
      <c r="AN259" s="711">
        <f t="shared" si="141"/>
        <v>219</v>
      </c>
      <c r="AO259" s="711">
        <f t="shared" si="148"/>
        <v>221</v>
      </c>
      <c r="AP259" s="711">
        <f t="shared" si="149"/>
        <v>253</v>
      </c>
      <c r="AQ259" s="711">
        <f t="shared" si="143"/>
        <v>182</v>
      </c>
      <c r="AR259" s="711">
        <f t="shared" si="144"/>
        <v>117</v>
      </c>
      <c r="AS259" s="711">
        <f t="shared" si="145"/>
        <v>202</v>
      </c>
      <c r="AT259" s="711">
        <f t="shared" si="146"/>
        <v>139</v>
      </c>
      <c r="AU259" s="711">
        <f t="shared" si="147"/>
        <v>13</v>
      </c>
      <c r="AV259" s="711">
        <f t="shared" si="147"/>
        <v>248</v>
      </c>
      <c r="AW259" s="711">
        <f t="shared" si="147"/>
        <v>171</v>
      </c>
      <c r="AX259" s="711">
        <f t="shared" si="147"/>
        <v>106</v>
      </c>
      <c r="AY259" s="711">
        <f t="shared" si="147"/>
        <v>301</v>
      </c>
      <c r="AZ259" s="711">
        <f t="shared" si="147"/>
        <v>415</v>
      </c>
      <c r="BA259" s="711">
        <f t="shared" si="137"/>
        <v>415</v>
      </c>
    </row>
    <row r="260" spans="1:53">
      <c r="A260" s="106">
        <f t="shared" si="124"/>
        <v>249</v>
      </c>
      <c r="B260" s="858">
        <v>42253</v>
      </c>
      <c r="C260" s="859" t="s">
        <v>1725</v>
      </c>
      <c r="D260" s="860">
        <v>4296</v>
      </c>
      <c r="E260" s="860">
        <v>4119</v>
      </c>
      <c r="F260" s="860">
        <v>3991</v>
      </c>
      <c r="G260" s="860">
        <v>3886</v>
      </c>
      <c r="H260" s="860">
        <v>3868</v>
      </c>
      <c r="I260" s="860">
        <v>3895</v>
      </c>
      <c r="J260" s="860">
        <v>3932</v>
      </c>
      <c r="K260" s="860">
        <v>4048</v>
      </c>
      <c r="L260" s="860">
        <v>4277</v>
      </c>
      <c r="M260" s="860">
        <v>4465</v>
      </c>
      <c r="N260" s="860">
        <v>4740</v>
      </c>
      <c r="O260" s="860">
        <v>5010</v>
      </c>
      <c r="P260" s="860">
        <v>5256</v>
      </c>
      <c r="Q260" s="860">
        <v>5497</v>
      </c>
      <c r="R260" s="860">
        <v>5726</v>
      </c>
      <c r="S260" s="860">
        <v>5918</v>
      </c>
      <c r="T260" s="860">
        <v>6055</v>
      </c>
      <c r="U260" s="860">
        <v>6074</v>
      </c>
      <c r="V260" s="860">
        <v>5857</v>
      </c>
      <c r="W260" s="860">
        <v>5739</v>
      </c>
      <c r="X260" s="860">
        <v>5640</v>
      </c>
      <c r="Y260" s="860">
        <v>5310</v>
      </c>
      <c r="Z260" s="860">
        <v>4899</v>
      </c>
      <c r="AA260" s="860">
        <v>4493</v>
      </c>
      <c r="AC260" s="712">
        <f t="shared" si="125"/>
        <v>249</v>
      </c>
      <c r="AD260" s="711">
        <f t="shared" si="126"/>
        <v>201</v>
      </c>
      <c r="AE260" s="711">
        <f t="shared" si="142"/>
        <v>177</v>
      </c>
      <c r="AF260" s="711">
        <f t="shared" si="142"/>
        <v>128</v>
      </c>
      <c r="AG260" s="711">
        <f t="shared" si="142"/>
        <v>105</v>
      </c>
      <c r="AH260" s="711">
        <f t="shared" si="141"/>
        <v>18</v>
      </c>
      <c r="AI260" s="711">
        <f t="shared" si="141"/>
        <v>27</v>
      </c>
      <c r="AJ260" s="711">
        <f t="shared" si="141"/>
        <v>37</v>
      </c>
      <c r="AK260" s="711">
        <f t="shared" si="141"/>
        <v>116</v>
      </c>
      <c r="AL260" s="711">
        <f t="shared" si="141"/>
        <v>229</v>
      </c>
      <c r="AM260" s="711">
        <f t="shared" si="141"/>
        <v>188</v>
      </c>
      <c r="AN260" s="711">
        <f t="shared" si="141"/>
        <v>275</v>
      </c>
      <c r="AO260" s="711">
        <f t="shared" si="148"/>
        <v>270</v>
      </c>
      <c r="AP260" s="711">
        <f t="shared" si="149"/>
        <v>246</v>
      </c>
      <c r="AQ260" s="711">
        <f t="shared" si="143"/>
        <v>241</v>
      </c>
      <c r="AR260" s="711">
        <f t="shared" si="144"/>
        <v>229</v>
      </c>
      <c r="AS260" s="711">
        <f t="shared" si="145"/>
        <v>192</v>
      </c>
      <c r="AT260" s="711">
        <f t="shared" si="146"/>
        <v>137</v>
      </c>
      <c r="AU260" s="711">
        <f t="shared" si="147"/>
        <v>19</v>
      </c>
      <c r="AV260" s="711">
        <f t="shared" si="147"/>
        <v>217</v>
      </c>
      <c r="AW260" s="711">
        <f t="shared" si="147"/>
        <v>118</v>
      </c>
      <c r="AX260" s="711">
        <f t="shared" si="147"/>
        <v>99</v>
      </c>
      <c r="AY260" s="711">
        <f t="shared" si="147"/>
        <v>330</v>
      </c>
      <c r="AZ260" s="711">
        <f t="shared" si="147"/>
        <v>411</v>
      </c>
      <c r="BA260" s="711">
        <f t="shared" si="137"/>
        <v>406</v>
      </c>
    </row>
    <row r="261" spans="1:53">
      <c r="A261" s="106">
        <f t="shared" si="124"/>
        <v>250</v>
      </c>
      <c r="B261" s="858">
        <v>42254</v>
      </c>
      <c r="C261" s="859" t="s">
        <v>1725</v>
      </c>
      <c r="D261" s="860">
        <v>4173</v>
      </c>
      <c r="E261" s="860">
        <v>4042</v>
      </c>
      <c r="F261" s="860">
        <v>3961</v>
      </c>
      <c r="G261" s="860">
        <v>3889</v>
      </c>
      <c r="H261" s="860">
        <v>3892</v>
      </c>
      <c r="I261" s="860">
        <v>3968</v>
      </c>
      <c r="J261" s="860">
        <v>4048</v>
      </c>
      <c r="K261" s="860">
        <v>4097</v>
      </c>
      <c r="L261" s="860">
        <v>4324</v>
      </c>
      <c r="M261" s="860">
        <v>4614</v>
      </c>
      <c r="N261" s="860">
        <v>4886</v>
      </c>
      <c r="O261" s="860">
        <v>5094</v>
      </c>
      <c r="P261" s="860">
        <v>5319</v>
      </c>
      <c r="Q261" s="860">
        <v>5515</v>
      </c>
      <c r="R261" s="860">
        <v>5550</v>
      </c>
      <c r="S261" s="860">
        <v>5423</v>
      </c>
      <c r="T261" s="860">
        <v>5462</v>
      </c>
      <c r="U261" s="860">
        <v>5519</v>
      </c>
      <c r="V261" s="860">
        <v>5478</v>
      </c>
      <c r="W261" s="860">
        <v>5497</v>
      </c>
      <c r="X261" s="860">
        <v>5510</v>
      </c>
      <c r="Y261" s="860">
        <v>5188</v>
      </c>
      <c r="Z261" s="860">
        <v>4664</v>
      </c>
      <c r="AA261" s="860">
        <v>4244</v>
      </c>
      <c r="AC261" s="712">
        <f t="shared" si="125"/>
        <v>250</v>
      </c>
      <c r="AD261" s="711">
        <f t="shared" si="126"/>
        <v>320</v>
      </c>
      <c r="AE261" s="711">
        <f t="shared" si="142"/>
        <v>131</v>
      </c>
      <c r="AF261" s="711">
        <f t="shared" si="142"/>
        <v>81</v>
      </c>
      <c r="AG261" s="711">
        <f t="shared" si="142"/>
        <v>72</v>
      </c>
      <c r="AH261" s="711">
        <f t="shared" si="141"/>
        <v>3</v>
      </c>
      <c r="AI261" s="711">
        <f t="shared" si="141"/>
        <v>76</v>
      </c>
      <c r="AJ261" s="711">
        <f t="shared" si="141"/>
        <v>80</v>
      </c>
      <c r="AK261" s="711">
        <f t="shared" si="141"/>
        <v>49</v>
      </c>
      <c r="AL261" s="711">
        <f t="shared" si="141"/>
        <v>227</v>
      </c>
      <c r="AM261" s="711">
        <f t="shared" si="141"/>
        <v>290</v>
      </c>
      <c r="AN261" s="711">
        <f t="shared" si="141"/>
        <v>272</v>
      </c>
      <c r="AO261" s="711">
        <f t="shared" si="148"/>
        <v>208</v>
      </c>
      <c r="AP261" s="711">
        <f t="shared" si="149"/>
        <v>225</v>
      </c>
      <c r="AQ261" s="711">
        <f t="shared" si="143"/>
        <v>196</v>
      </c>
      <c r="AR261" s="711">
        <f t="shared" si="144"/>
        <v>35</v>
      </c>
      <c r="AS261" s="711">
        <f t="shared" si="145"/>
        <v>127</v>
      </c>
      <c r="AT261" s="711">
        <f t="shared" si="146"/>
        <v>39</v>
      </c>
      <c r="AU261" s="711">
        <f t="shared" si="147"/>
        <v>57</v>
      </c>
      <c r="AV261" s="711">
        <f t="shared" si="147"/>
        <v>41</v>
      </c>
      <c r="AW261" s="711">
        <f t="shared" si="147"/>
        <v>19</v>
      </c>
      <c r="AX261" s="711">
        <f t="shared" si="147"/>
        <v>13</v>
      </c>
      <c r="AY261" s="711">
        <f t="shared" si="147"/>
        <v>322</v>
      </c>
      <c r="AZ261" s="711">
        <f t="shared" si="147"/>
        <v>524</v>
      </c>
      <c r="BA261" s="711">
        <f t="shared" si="137"/>
        <v>420</v>
      </c>
    </row>
    <row r="262" spans="1:53">
      <c r="A262" s="106">
        <f t="shared" si="124"/>
        <v>251</v>
      </c>
      <c r="B262" s="858">
        <v>42255</v>
      </c>
      <c r="C262" s="859" t="s">
        <v>1725</v>
      </c>
      <c r="D262" s="860">
        <v>4066</v>
      </c>
      <c r="E262" s="860">
        <v>3942</v>
      </c>
      <c r="F262" s="860">
        <v>3875</v>
      </c>
      <c r="G262" s="860">
        <v>3835</v>
      </c>
      <c r="H262" s="860">
        <v>3924</v>
      </c>
      <c r="I262" s="860">
        <v>4169</v>
      </c>
      <c r="J262" s="860">
        <v>4516</v>
      </c>
      <c r="K262" s="860">
        <v>4687</v>
      </c>
      <c r="L262" s="860">
        <v>4899</v>
      </c>
      <c r="M262" s="860">
        <v>5109</v>
      </c>
      <c r="N262" s="860">
        <v>5302</v>
      </c>
      <c r="O262" s="860">
        <v>5432</v>
      </c>
      <c r="P262" s="860">
        <v>5561</v>
      </c>
      <c r="Q262" s="860">
        <v>5746</v>
      </c>
      <c r="R262" s="860">
        <v>5957</v>
      </c>
      <c r="S262" s="860">
        <v>6150</v>
      </c>
      <c r="T262" s="860">
        <v>6321</v>
      </c>
      <c r="U262" s="860">
        <v>6399</v>
      </c>
      <c r="V262" s="860">
        <v>6236</v>
      </c>
      <c r="W262" s="860">
        <v>6085</v>
      </c>
      <c r="X262" s="860">
        <v>5916</v>
      </c>
      <c r="Y262" s="860">
        <v>5459</v>
      </c>
      <c r="Z262" s="860">
        <v>4893</v>
      </c>
      <c r="AA262" s="860">
        <v>4484</v>
      </c>
      <c r="AC262" s="712">
        <f t="shared" si="125"/>
        <v>251</v>
      </c>
      <c r="AD262" s="711">
        <f t="shared" si="126"/>
        <v>178</v>
      </c>
      <c r="AE262" s="711">
        <f t="shared" si="142"/>
        <v>124</v>
      </c>
      <c r="AF262" s="711">
        <f t="shared" si="142"/>
        <v>67</v>
      </c>
      <c r="AG262" s="711">
        <f t="shared" si="142"/>
        <v>40</v>
      </c>
      <c r="AH262" s="711">
        <f t="shared" si="141"/>
        <v>89</v>
      </c>
      <c r="AI262" s="711">
        <f t="shared" si="141"/>
        <v>245</v>
      </c>
      <c r="AJ262" s="711">
        <f t="shared" si="141"/>
        <v>347</v>
      </c>
      <c r="AK262" s="711">
        <f t="shared" si="141"/>
        <v>171</v>
      </c>
      <c r="AL262" s="711">
        <f t="shared" si="141"/>
        <v>212</v>
      </c>
      <c r="AM262" s="711">
        <f t="shared" si="141"/>
        <v>210</v>
      </c>
      <c r="AN262" s="711">
        <f t="shared" si="141"/>
        <v>193</v>
      </c>
      <c r="AO262" s="711">
        <f t="shared" si="148"/>
        <v>130</v>
      </c>
      <c r="AP262" s="711">
        <f t="shared" si="149"/>
        <v>129</v>
      </c>
      <c r="AQ262" s="711">
        <f t="shared" si="143"/>
        <v>185</v>
      </c>
      <c r="AR262" s="711">
        <f t="shared" si="144"/>
        <v>211</v>
      </c>
      <c r="AS262" s="711">
        <f t="shared" si="145"/>
        <v>193</v>
      </c>
      <c r="AT262" s="711">
        <f t="shared" si="146"/>
        <v>171</v>
      </c>
      <c r="AU262" s="711">
        <f t="shared" si="147"/>
        <v>78</v>
      </c>
      <c r="AV262" s="711">
        <f t="shared" si="147"/>
        <v>163</v>
      </c>
      <c r="AW262" s="711">
        <f t="shared" si="147"/>
        <v>151</v>
      </c>
      <c r="AX262" s="711">
        <f t="shared" si="147"/>
        <v>169</v>
      </c>
      <c r="AY262" s="711">
        <f t="shared" si="147"/>
        <v>457</v>
      </c>
      <c r="AZ262" s="711">
        <f t="shared" si="147"/>
        <v>566</v>
      </c>
      <c r="BA262" s="711">
        <f t="shared" si="137"/>
        <v>409</v>
      </c>
    </row>
    <row r="263" spans="1:53">
      <c r="A263" s="106">
        <f t="shared" si="124"/>
        <v>252</v>
      </c>
      <c r="B263" s="858">
        <v>42256</v>
      </c>
      <c r="C263" s="859" t="s">
        <v>1725</v>
      </c>
      <c r="D263" s="860">
        <v>4203</v>
      </c>
      <c r="E263" s="860">
        <v>4026</v>
      </c>
      <c r="F263" s="860">
        <v>3930</v>
      </c>
      <c r="G263" s="860">
        <v>3895</v>
      </c>
      <c r="H263" s="860">
        <v>3945</v>
      </c>
      <c r="I263" s="860">
        <v>4179</v>
      </c>
      <c r="J263" s="860">
        <v>4477</v>
      </c>
      <c r="K263" s="860">
        <v>4653</v>
      </c>
      <c r="L263" s="860">
        <v>4859</v>
      </c>
      <c r="M263" s="860">
        <v>5100</v>
      </c>
      <c r="N263" s="860">
        <v>5305</v>
      </c>
      <c r="O263" s="860">
        <v>5420</v>
      </c>
      <c r="P263" s="860">
        <v>5693</v>
      </c>
      <c r="Q263" s="860">
        <v>5938</v>
      </c>
      <c r="R263" s="860">
        <v>6187</v>
      </c>
      <c r="S263" s="860">
        <v>6464</v>
      </c>
      <c r="T263" s="860">
        <v>6654</v>
      </c>
      <c r="U263" s="860">
        <v>6743</v>
      </c>
      <c r="V263" s="860">
        <v>6559</v>
      </c>
      <c r="W263" s="860">
        <v>6368</v>
      </c>
      <c r="X263" s="860">
        <v>6161</v>
      </c>
      <c r="Y263" s="860">
        <v>5628</v>
      </c>
      <c r="Z263" s="860">
        <v>4991</v>
      </c>
      <c r="AA263" s="860">
        <v>4496</v>
      </c>
      <c r="AC263" s="712">
        <f t="shared" si="125"/>
        <v>252</v>
      </c>
      <c r="AD263" s="711">
        <f t="shared" si="126"/>
        <v>281</v>
      </c>
      <c r="AE263" s="711">
        <f t="shared" si="142"/>
        <v>177</v>
      </c>
      <c r="AF263" s="711">
        <f t="shared" si="142"/>
        <v>96</v>
      </c>
      <c r="AG263" s="711">
        <f t="shared" si="142"/>
        <v>35</v>
      </c>
      <c r="AH263" s="711">
        <f t="shared" si="141"/>
        <v>50</v>
      </c>
      <c r="AI263" s="711">
        <f t="shared" si="141"/>
        <v>234</v>
      </c>
      <c r="AJ263" s="711">
        <f t="shared" si="141"/>
        <v>298</v>
      </c>
      <c r="AK263" s="711">
        <f t="shared" si="141"/>
        <v>176</v>
      </c>
      <c r="AL263" s="711">
        <f t="shared" si="141"/>
        <v>206</v>
      </c>
      <c r="AM263" s="711">
        <f t="shared" si="141"/>
        <v>241</v>
      </c>
      <c r="AN263" s="711">
        <f t="shared" si="141"/>
        <v>205</v>
      </c>
      <c r="AO263" s="711">
        <f t="shared" si="148"/>
        <v>115</v>
      </c>
      <c r="AP263" s="711">
        <f t="shared" si="149"/>
        <v>273</v>
      </c>
      <c r="AQ263" s="711">
        <f t="shared" si="143"/>
        <v>245</v>
      </c>
      <c r="AR263" s="711">
        <f t="shared" si="144"/>
        <v>249</v>
      </c>
      <c r="AS263" s="711">
        <f t="shared" si="145"/>
        <v>277</v>
      </c>
      <c r="AT263" s="711">
        <f t="shared" si="146"/>
        <v>190</v>
      </c>
      <c r="AU263" s="711">
        <f t="shared" si="147"/>
        <v>89</v>
      </c>
      <c r="AV263" s="711">
        <f t="shared" si="147"/>
        <v>184</v>
      </c>
      <c r="AW263" s="711">
        <f t="shared" si="147"/>
        <v>191</v>
      </c>
      <c r="AX263" s="711">
        <f t="shared" si="147"/>
        <v>207</v>
      </c>
      <c r="AY263" s="711">
        <f t="shared" si="147"/>
        <v>533</v>
      </c>
      <c r="AZ263" s="711">
        <f t="shared" si="147"/>
        <v>637</v>
      </c>
      <c r="BA263" s="711">
        <f t="shared" si="137"/>
        <v>495</v>
      </c>
    </row>
    <row r="264" spans="1:53">
      <c r="A264" s="106">
        <f t="shared" si="124"/>
        <v>253</v>
      </c>
      <c r="B264" s="858">
        <v>42257</v>
      </c>
      <c r="C264" s="859" t="s">
        <v>1725</v>
      </c>
      <c r="D264" s="860">
        <v>4266</v>
      </c>
      <c r="E264" s="860">
        <v>4064</v>
      </c>
      <c r="F264" s="860">
        <v>3946</v>
      </c>
      <c r="G264" s="860">
        <v>3923</v>
      </c>
      <c r="H264" s="860">
        <v>3964</v>
      </c>
      <c r="I264" s="860">
        <v>4193</v>
      </c>
      <c r="J264" s="860">
        <v>4453</v>
      </c>
      <c r="K264" s="860">
        <v>4661</v>
      </c>
      <c r="L264" s="860">
        <v>4862</v>
      </c>
      <c r="M264" s="860">
        <v>5085</v>
      </c>
      <c r="N264" s="860">
        <v>5327</v>
      </c>
      <c r="O264" s="860">
        <v>5554</v>
      </c>
      <c r="P264" s="860">
        <v>5765</v>
      </c>
      <c r="Q264" s="860">
        <v>6011</v>
      </c>
      <c r="R264" s="860">
        <v>6274</v>
      </c>
      <c r="S264" s="860">
        <v>6502</v>
      </c>
      <c r="T264" s="860">
        <v>6677</v>
      </c>
      <c r="U264" s="860">
        <v>6700</v>
      </c>
      <c r="V264" s="860">
        <v>6433</v>
      </c>
      <c r="W264" s="860">
        <v>6230</v>
      </c>
      <c r="X264" s="860">
        <v>6039</v>
      </c>
      <c r="Y264" s="860">
        <v>5711</v>
      </c>
      <c r="Z264" s="860">
        <v>5105</v>
      </c>
      <c r="AA264" s="860">
        <v>4617</v>
      </c>
      <c r="AC264" s="712">
        <f t="shared" si="125"/>
        <v>253</v>
      </c>
      <c r="AD264" s="711">
        <f t="shared" si="126"/>
        <v>230</v>
      </c>
      <c r="AE264" s="711">
        <f t="shared" si="142"/>
        <v>202</v>
      </c>
      <c r="AF264" s="711">
        <f t="shared" si="142"/>
        <v>118</v>
      </c>
      <c r="AG264" s="711">
        <f t="shared" si="142"/>
        <v>23</v>
      </c>
      <c r="AH264" s="711">
        <f t="shared" si="141"/>
        <v>41</v>
      </c>
      <c r="AI264" s="711">
        <f t="shared" si="141"/>
        <v>229</v>
      </c>
      <c r="AJ264" s="711">
        <f t="shared" si="141"/>
        <v>260</v>
      </c>
      <c r="AK264" s="711">
        <f t="shared" si="141"/>
        <v>208</v>
      </c>
      <c r="AL264" s="711">
        <f t="shared" si="141"/>
        <v>201</v>
      </c>
      <c r="AM264" s="711">
        <f t="shared" si="141"/>
        <v>223</v>
      </c>
      <c r="AN264" s="711">
        <f t="shared" si="141"/>
        <v>242</v>
      </c>
      <c r="AO264" s="711">
        <f t="shared" si="148"/>
        <v>227</v>
      </c>
      <c r="AP264" s="711">
        <f t="shared" si="149"/>
        <v>211</v>
      </c>
      <c r="AQ264" s="711">
        <f t="shared" si="143"/>
        <v>246</v>
      </c>
      <c r="AR264" s="711">
        <f t="shared" si="144"/>
        <v>263</v>
      </c>
      <c r="AS264" s="711">
        <f t="shared" si="145"/>
        <v>228</v>
      </c>
      <c r="AT264" s="711">
        <f t="shared" si="146"/>
        <v>175</v>
      </c>
      <c r="AU264" s="711">
        <f t="shared" si="147"/>
        <v>23</v>
      </c>
      <c r="AV264" s="711">
        <f t="shared" si="147"/>
        <v>267</v>
      </c>
      <c r="AW264" s="711">
        <f t="shared" si="147"/>
        <v>203</v>
      </c>
      <c r="AX264" s="711">
        <f t="shared" si="147"/>
        <v>191</v>
      </c>
      <c r="AY264" s="711">
        <f t="shared" si="147"/>
        <v>328</v>
      </c>
      <c r="AZ264" s="711">
        <f t="shared" si="147"/>
        <v>606</v>
      </c>
      <c r="BA264" s="711">
        <f t="shared" si="137"/>
        <v>488</v>
      </c>
    </row>
    <row r="265" spans="1:53">
      <c r="A265" s="106">
        <f t="shared" si="124"/>
        <v>254</v>
      </c>
      <c r="B265" s="858">
        <v>42258</v>
      </c>
      <c r="C265" s="859" t="s">
        <v>1725</v>
      </c>
      <c r="D265" s="860">
        <v>4281</v>
      </c>
      <c r="E265" s="860">
        <v>4083</v>
      </c>
      <c r="F265" s="860">
        <v>3972</v>
      </c>
      <c r="G265" s="860">
        <v>3906</v>
      </c>
      <c r="H265" s="860">
        <v>3854</v>
      </c>
      <c r="I265" s="860">
        <v>4083</v>
      </c>
      <c r="J265" s="860">
        <v>4466</v>
      </c>
      <c r="K265" s="860">
        <v>4681</v>
      </c>
      <c r="L265" s="860">
        <v>4830</v>
      </c>
      <c r="M265" s="860">
        <v>4902</v>
      </c>
      <c r="N265" s="860">
        <v>5006</v>
      </c>
      <c r="O265" s="860">
        <v>5124</v>
      </c>
      <c r="P265" s="860">
        <v>5232</v>
      </c>
      <c r="Q265" s="860">
        <v>5400</v>
      </c>
      <c r="R265" s="860">
        <v>5540</v>
      </c>
      <c r="S265" s="860">
        <v>5690</v>
      </c>
      <c r="T265" s="860">
        <v>5871</v>
      </c>
      <c r="U265" s="860">
        <v>5897</v>
      </c>
      <c r="V265" s="860">
        <v>5711</v>
      </c>
      <c r="W265" s="860">
        <v>5610</v>
      </c>
      <c r="X265" s="860">
        <v>5512</v>
      </c>
      <c r="Y265" s="860">
        <v>5192</v>
      </c>
      <c r="Z265" s="860">
        <v>4879</v>
      </c>
      <c r="AA265" s="860">
        <v>4468</v>
      </c>
      <c r="AC265" s="712">
        <f t="shared" si="125"/>
        <v>254</v>
      </c>
      <c r="AD265" s="711">
        <f t="shared" si="126"/>
        <v>336</v>
      </c>
      <c r="AE265" s="711">
        <f t="shared" si="142"/>
        <v>198</v>
      </c>
      <c r="AF265" s="711">
        <f t="shared" si="142"/>
        <v>111</v>
      </c>
      <c r="AG265" s="711">
        <f t="shared" si="142"/>
        <v>66</v>
      </c>
      <c r="AH265" s="711">
        <f t="shared" si="141"/>
        <v>52</v>
      </c>
      <c r="AI265" s="711">
        <f t="shared" si="141"/>
        <v>229</v>
      </c>
      <c r="AJ265" s="711">
        <f t="shared" si="141"/>
        <v>383</v>
      </c>
      <c r="AK265" s="711">
        <f t="shared" si="141"/>
        <v>215</v>
      </c>
      <c r="AL265" s="711">
        <f t="shared" si="141"/>
        <v>149</v>
      </c>
      <c r="AM265" s="711">
        <f t="shared" si="141"/>
        <v>72</v>
      </c>
      <c r="AN265" s="711">
        <f t="shared" si="141"/>
        <v>104</v>
      </c>
      <c r="AO265" s="711">
        <f t="shared" si="148"/>
        <v>118</v>
      </c>
      <c r="AP265" s="711">
        <f t="shared" si="149"/>
        <v>108</v>
      </c>
      <c r="AQ265" s="711">
        <f t="shared" si="143"/>
        <v>168</v>
      </c>
      <c r="AR265" s="711">
        <f t="shared" si="144"/>
        <v>140</v>
      </c>
      <c r="AS265" s="711">
        <f t="shared" si="145"/>
        <v>150</v>
      </c>
      <c r="AT265" s="711">
        <f t="shared" si="146"/>
        <v>181</v>
      </c>
      <c r="AU265" s="711">
        <f t="shared" si="147"/>
        <v>26</v>
      </c>
      <c r="AV265" s="711">
        <f t="shared" si="147"/>
        <v>186</v>
      </c>
      <c r="AW265" s="711">
        <f t="shared" si="147"/>
        <v>101</v>
      </c>
      <c r="AX265" s="711">
        <f t="shared" si="147"/>
        <v>98</v>
      </c>
      <c r="AY265" s="711">
        <f t="shared" si="147"/>
        <v>320</v>
      </c>
      <c r="AZ265" s="711">
        <f t="shared" si="147"/>
        <v>313</v>
      </c>
      <c r="BA265" s="711">
        <f t="shared" si="137"/>
        <v>411</v>
      </c>
    </row>
    <row r="266" spans="1:53">
      <c r="A266" s="106">
        <f t="shared" si="124"/>
        <v>255</v>
      </c>
      <c r="B266" s="858">
        <v>42259</v>
      </c>
      <c r="C266" s="859" t="s">
        <v>1725</v>
      </c>
      <c r="D266" s="860">
        <v>4169</v>
      </c>
      <c r="E266" s="860">
        <v>3973</v>
      </c>
      <c r="F266" s="860">
        <v>3858</v>
      </c>
      <c r="G266" s="860">
        <v>3786</v>
      </c>
      <c r="H266" s="860">
        <v>3775</v>
      </c>
      <c r="I266" s="860">
        <v>3841</v>
      </c>
      <c r="J266" s="860">
        <v>3918</v>
      </c>
      <c r="K266" s="860">
        <v>3970</v>
      </c>
      <c r="L266" s="860">
        <v>4250</v>
      </c>
      <c r="M266" s="860">
        <v>4493</v>
      </c>
      <c r="N266" s="860">
        <v>4698</v>
      </c>
      <c r="O266" s="860">
        <v>4879</v>
      </c>
      <c r="P266" s="860">
        <v>5026</v>
      </c>
      <c r="Q266" s="860">
        <v>5202</v>
      </c>
      <c r="R266" s="860">
        <v>5422</v>
      </c>
      <c r="S266" s="860">
        <v>5662</v>
      </c>
      <c r="T266" s="860">
        <v>5883</v>
      </c>
      <c r="U266" s="860">
        <v>5994</v>
      </c>
      <c r="V266" s="860">
        <v>5911</v>
      </c>
      <c r="W266" s="860">
        <v>5759</v>
      </c>
      <c r="X266" s="860">
        <v>5582</v>
      </c>
      <c r="Y266" s="860">
        <v>5245</v>
      </c>
      <c r="Z266" s="860">
        <v>4784</v>
      </c>
      <c r="AA266" s="860">
        <v>4473</v>
      </c>
      <c r="AC266" s="712">
        <f t="shared" si="125"/>
        <v>255</v>
      </c>
      <c r="AD266" s="711">
        <f t="shared" si="126"/>
        <v>299</v>
      </c>
      <c r="AE266" s="711">
        <f t="shared" si="142"/>
        <v>196</v>
      </c>
      <c r="AF266" s="711">
        <f t="shared" si="142"/>
        <v>115</v>
      </c>
      <c r="AG266" s="711">
        <f t="shared" si="142"/>
        <v>72</v>
      </c>
      <c r="AH266" s="711">
        <f t="shared" si="141"/>
        <v>11</v>
      </c>
      <c r="AI266" s="711">
        <f t="shared" si="141"/>
        <v>66</v>
      </c>
      <c r="AJ266" s="711">
        <f t="shared" si="141"/>
        <v>77</v>
      </c>
      <c r="AK266" s="711">
        <f t="shared" si="141"/>
        <v>52</v>
      </c>
      <c r="AL266" s="711">
        <f t="shared" si="141"/>
        <v>280</v>
      </c>
      <c r="AM266" s="711">
        <f t="shared" si="141"/>
        <v>243</v>
      </c>
      <c r="AN266" s="711">
        <f t="shared" si="141"/>
        <v>205</v>
      </c>
      <c r="AO266" s="711">
        <f t="shared" si="148"/>
        <v>181</v>
      </c>
      <c r="AP266" s="711">
        <f t="shared" si="149"/>
        <v>147</v>
      </c>
      <c r="AQ266" s="711">
        <f t="shared" si="143"/>
        <v>176</v>
      </c>
      <c r="AR266" s="711">
        <f t="shared" si="144"/>
        <v>220</v>
      </c>
      <c r="AS266" s="711">
        <f t="shared" si="145"/>
        <v>240</v>
      </c>
      <c r="AT266" s="711">
        <f t="shared" si="146"/>
        <v>221</v>
      </c>
      <c r="AU266" s="711">
        <f t="shared" si="147"/>
        <v>111</v>
      </c>
      <c r="AV266" s="711">
        <f t="shared" si="147"/>
        <v>83</v>
      </c>
      <c r="AW266" s="711">
        <f t="shared" si="147"/>
        <v>152</v>
      </c>
      <c r="AX266" s="711">
        <f t="shared" si="147"/>
        <v>177</v>
      </c>
      <c r="AY266" s="711">
        <f t="shared" si="147"/>
        <v>337</v>
      </c>
      <c r="AZ266" s="711">
        <f t="shared" si="147"/>
        <v>461</v>
      </c>
      <c r="BA266" s="711">
        <f t="shared" si="137"/>
        <v>311</v>
      </c>
    </row>
    <row r="267" spans="1:53">
      <c r="A267" s="106">
        <f t="shared" si="124"/>
        <v>256</v>
      </c>
      <c r="B267" s="858">
        <v>42260</v>
      </c>
      <c r="C267" s="859" t="s">
        <v>1725</v>
      </c>
      <c r="D267" s="860">
        <v>4194</v>
      </c>
      <c r="E267" s="860">
        <v>3991</v>
      </c>
      <c r="F267" s="860">
        <v>3865</v>
      </c>
      <c r="G267" s="860">
        <v>3776</v>
      </c>
      <c r="H267" s="860">
        <v>3765</v>
      </c>
      <c r="I267" s="860">
        <v>3796</v>
      </c>
      <c r="J267" s="860">
        <v>3875</v>
      </c>
      <c r="K267" s="860">
        <v>4020</v>
      </c>
      <c r="L267" s="860">
        <v>4215</v>
      </c>
      <c r="M267" s="860">
        <v>4473</v>
      </c>
      <c r="N267" s="860">
        <v>4749</v>
      </c>
      <c r="O267" s="860">
        <v>5047</v>
      </c>
      <c r="P267" s="860">
        <v>5349</v>
      </c>
      <c r="Q267" s="860">
        <v>5627</v>
      </c>
      <c r="R267" s="860">
        <v>5903</v>
      </c>
      <c r="S267" s="860">
        <v>6085</v>
      </c>
      <c r="T267" s="860">
        <v>6224</v>
      </c>
      <c r="U267" s="860">
        <v>6232</v>
      </c>
      <c r="V267" s="860">
        <v>6092</v>
      </c>
      <c r="W267" s="860">
        <v>5998</v>
      </c>
      <c r="X267" s="860">
        <v>5783</v>
      </c>
      <c r="Y267" s="860">
        <v>5316</v>
      </c>
      <c r="Z267" s="860">
        <v>4791</v>
      </c>
      <c r="AA267" s="860">
        <v>4398</v>
      </c>
      <c r="AC267" s="712">
        <f t="shared" si="125"/>
        <v>256</v>
      </c>
      <c r="AD267" s="711">
        <f t="shared" si="126"/>
        <v>279</v>
      </c>
      <c r="AE267" s="711">
        <f t="shared" si="142"/>
        <v>203</v>
      </c>
      <c r="AF267" s="711">
        <f t="shared" si="142"/>
        <v>126</v>
      </c>
      <c r="AG267" s="711">
        <f t="shared" si="142"/>
        <v>89</v>
      </c>
      <c r="AH267" s="711">
        <f t="shared" si="141"/>
        <v>11</v>
      </c>
      <c r="AI267" s="711">
        <f t="shared" si="141"/>
        <v>31</v>
      </c>
      <c r="AJ267" s="711">
        <f t="shared" si="141"/>
        <v>79</v>
      </c>
      <c r="AK267" s="711">
        <f t="shared" si="141"/>
        <v>145</v>
      </c>
      <c r="AL267" s="711">
        <f t="shared" si="141"/>
        <v>195</v>
      </c>
      <c r="AM267" s="711">
        <f t="shared" si="141"/>
        <v>258</v>
      </c>
      <c r="AN267" s="711">
        <f t="shared" si="141"/>
        <v>276</v>
      </c>
      <c r="AO267" s="711">
        <f t="shared" si="148"/>
        <v>298</v>
      </c>
      <c r="AP267" s="711">
        <f t="shared" si="149"/>
        <v>302</v>
      </c>
      <c r="AQ267" s="711">
        <f t="shared" si="143"/>
        <v>278</v>
      </c>
      <c r="AR267" s="711">
        <f t="shared" si="144"/>
        <v>276</v>
      </c>
      <c r="AS267" s="711">
        <f t="shared" si="145"/>
        <v>182</v>
      </c>
      <c r="AT267" s="711">
        <f t="shared" si="146"/>
        <v>139</v>
      </c>
      <c r="AU267" s="711">
        <f t="shared" si="147"/>
        <v>8</v>
      </c>
      <c r="AV267" s="711">
        <f t="shared" si="147"/>
        <v>140</v>
      </c>
      <c r="AW267" s="711">
        <f t="shared" si="147"/>
        <v>94</v>
      </c>
      <c r="AX267" s="711">
        <f t="shared" si="147"/>
        <v>215</v>
      </c>
      <c r="AY267" s="711">
        <f t="shared" si="147"/>
        <v>467</v>
      </c>
      <c r="AZ267" s="711">
        <f t="shared" si="147"/>
        <v>525</v>
      </c>
      <c r="BA267" s="711">
        <f t="shared" si="137"/>
        <v>393</v>
      </c>
    </row>
    <row r="268" spans="1:53">
      <c r="A268" s="106">
        <f t="shared" si="124"/>
        <v>257</v>
      </c>
      <c r="B268" s="858">
        <v>42261</v>
      </c>
      <c r="C268" s="859" t="s">
        <v>1725</v>
      </c>
      <c r="D268" s="860">
        <v>4187</v>
      </c>
      <c r="E268" s="860">
        <v>4009</v>
      </c>
      <c r="F268" s="860">
        <v>3915</v>
      </c>
      <c r="G268" s="860">
        <v>3881</v>
      </c>
      <c r="H268" s="860">
        <v>3968</v>
      </c>
      <c r="I268" s="860">
        <v>4206</v>
      </c>
      <c r="J268" s="860">
        <v>4549</v>
      </c>
      <c r="K268" s="860">
        <v>4706</v>
      </c>
      <c r="L268" s="860">
        <v>4931</v>
      </c>
      <c r="M268" s="860">
        <v>5127</v>
      </c>
      <c r="N268" s="860">
        <v>5334</v>
      </c>
      <c r="O268" s="860">
        <v>5599</v>
      </c>
      <c r="P268" s="860">
        <v>5873</v>
      </c>
      <c r="Q268" s="860">
        <v>6150</v>
      </c>
      <c r="R268" s="860">
        <v>6401</v>
      </c>
      <c r="S268" s="860">
        <v>6418</v>
      </c>
      <c r="T268" s="860">
        <v>6485</v>
      </c>
      <c r="U268" s="860">
        <v>6422</v>
      </c>
      <c r="V268" s="860">
        <v>6286</v>
      </c>
      <c r="W268" s="860">
        <v>6247</v>
      </c>
      <c r="X268" s="860">
        <v>6070</v>
      </c>
      <c r="Y268" s="860">
        <v>5661</v>
      </c>
      <c r="Z268" s="860">
        <v>5179</v>
      </c>
      <c r="AA268" s="860">
        <v>4695</v>
      </c>
      <c r="AC268" s="712">
        <f t="shared" si="125"/>
        <v>257</v>
      </c>
      <c r="AD268" s="711">
        <f t="shared" si="126"/>
        <v>211</v>
      </c>
      <c r="AE268" s="711">
        <f t="shared" si="142"/>
        <v>178</v>
      </c>
      <c r="AF268" s="711">
        <f t="shared" si="142"/>
        <v>94</v>
      </c>
      <c r="AG268" s="711">
        <f t="shared" si="142"/>
        <v>34</v>
      </c>
      <c r="AH268" s="711">
        <f t="shared" si="141"/>
        <v>87</v>
      </c>
      <c r="AI268" s="711">
        <f t="shared" si="141"/>
        <v>238</v>
      </c>
      <c r="AJ268" s="711">
        <f t="shared" si="141"/>
        <v>343</v>
      </c>
      <c r="AK268" s="711">
        <f t="shared" si="141"/>
        <v>157</v>
      </c>
      <c r="AL268" s="711">
        <f t="shared" si="141"/>
        <v>225</v>
      </c>
      <c r="AM268" s="711">
        <f t="shared" si="141"/>
        <v>196</v>
      </c>
      <c r="AN268" s="711">
        <f t="shared" si="141"/>
        <v>207</v>
      </c>
      <c r="AO268" s="711">
        <f t="shared" si="148"/>
        <v>265</v>
      </c>
      <c r="AP268" s="711">
        <f t="shared" si="149"/>
        <v>274</v>
      </c>
      <c r="AQ268" s="711">
        <f t="shared" si="143"/>
        <v>277</v>
      </c>
      <c r="AR268" s="711">
        <f t="shared" si="144"/>
        <v>251</v>
      </c>
      <c r="AS268" s="711">
        <f t="shared" si="145"/>
        <v>17</v>
      </c>
      <c r="AT268" s="711">
        <f t="shared" si="146"/>
        <v>67</v>
      </c>
      <c r="AU268" s="711">
        <f t="shared" si="147"/>
        <v>63</v>
      </c>
      <c r="AV268" s="711">
        <f t="shared" si="147"/>
        <v>136</v>
      </c>
      <c r="AW268" s="711">
        <f t="shared" si="147"/>
        <v>39</v>
      </c>
      <c r="AX268" s="711">
        <f t="shared" si="147"/>
        <v>177</v>
      </c>
      <c r="AY268" s="711">
        <f t="shared" si="147"/>
        <v>409</v>
      </c>
      <c r="AZ268" s="711">
        <f t="shared" si="147"/>
        <v>482</v>
      </c>
      <c r="BA268" s="711">
        <f t="shared" si="137"/>
        <v>484</v>
      </c>
    </row>
    <row r="269" spans="1:53">
      <c r="A269" s="106">
        <f t="shared" si="124"/>
        <v>258</v>
      </c>
      <c r="B269" s="858">
        <v>42262</v>
      </c>
      <c r="C269" s="859" t="s">
        <v>1725</v>
      </c>
      <c r="D269" s="860">
        <v>4377</v>
      </c>
      <c r="E269" s="860">
        <v>4192</v>
      </c>
      <c r="F269" s="860">
        <v>4081</v>
      </c>
      <c r="G269" s="860">
        <v>3982</v>
      </c>
      <c r="H269" s="860">
        <v>4116</v>
      </c>
      <c r="I269" s="860">
        <v>4398</v>
      </c>
      <c r="J269" s="860">
        <v>4853</v>
      </c>
      <c r="K269" s="860">
        <v>5041</v>
      </c>
      <c r="L269" s="860">
        <v>5113</v>
      </c>
      <c r="M269" s="860">
        <v>5276</v>
      </c>
      <c r="N269" s="860">
        <v>5427</v>
      </c>
      <c r="O269" s="860">
        <v>5644</v>
      </c>
      <c r="P269" s="860">
        <v>5917</v>
      </c>
      <c r="Q269" s="860">
        <v>6167</v>
      </c>
      <c r="R269" s="860">
        <v>6347</v>
      </c>
      <c r="S269" s="860">
        <v>6523</v>
      </c>
      <c r="T269" s="860">
        <v>6653</v>
      </c>
      <c r="U269" s="860">
        <v>6676</v>
      </c>
      <c r="V269" s="860">
        <v>6455</v>
      </c>
      <c r="W269" s="860">
        <v>6332</v>
      </c>
      <c r="X269" s="860">
        <v>6085</v>
      </c>
      <c r="Y269" s="860">
        <v>5671</v>
      </c>
      <c r="Z269" s="860">
        <v>5080</v>
      </c>
      <c r="AA269" s="860">
        <v>4702</v>
      </c>
      <c r="AC269" s="712">
        <f t="shared" si="125"/>
        <v>258</v>
      </c>
      <c r="AD269" s="711">
        <f t="shared" si="126"/>
        <v>318</v>
      </c>
      <c r="AE269" s="711">
        <f t="shared" si="142"/>
        <v>185</v>
      </c>
      <c r="AF269" s="711">
        <f t="shared" si="142"/>
        <v>111</v>
      </c>
      <c r="AG269" s="711">
        <f t="shared" si="142"/>
        <v>99</v>
      </c>
      <c r="AH269" s="711">
        <f t="shared" si="141"/>
        <v>134</v>
      </c>
      <c r="AI269" s="711">
        <f t="shared" si="141"/>
        <v>282</v>
      </c>
      <c r="AJ269" s="711">
        <f t="shared" si="141"/>
        <v>455</v>
      </c>
      <c r="AK269" s="711">
        <f t="shared" si="141"/>
        <v>188</v>
      </c>
      <c r="AL269" s="711">
        <f t="shared" si="141"/>
        <v>72</v>
      </c>
      <c r="AM269" s="711">
        <f t="shared" si="141"/>
        <v>163</v>
      </c>
      <c r="AN269" s="711">
        <f t="shared" si="141"/>
        <v>151</v>
      </c>
      <c r="AO269" s="711">
        <f t="shared" si="148"/>
        <v>217</v>
      </c>
      <c r="AP269" s="711">
        <f t="shared" si="149"/>
        <v>273</v>
      </c>
      <c r="AQ269" s="711">
        <f t="shared" si="143"/>
        <v>250</v>
      </c>
      <c r="AR269" s="711">
        <f t="shared" si="144"/>
        <v>180</v>
      </c>
      <c r="AS269" s="711">
        <f t="shared" si="145"/>
        <v>176</v>
      </c>
      <c r="AT269" s="711">
        <f t="shared" si="146"/>
        <v>130</v>
      </c>
      <c r="AU269" s="711">
        <f t="shared" si="147"/>
        <v>23</v>
      </c>
      <c r="AV269" s="711">
        <f t="shared" si="147"/>
        <v>221</v>
      </c>
      <c r="AW269" s="711">
        <f t="shared" si="147"/>
        <v>123</v>
      </c>
      <c r="AX269" s="711">
        <f t="shared" si="147"/>
        <v>247</v>
      </c>
      <c r="AY269" s="711">
        <f t="shared" si="147"/>
        <v>414</v>
      </c>
      <c r="AZ269" s="711">
        <f t="shared" si="147"/>
        <v>591</v>
      </c>
      <c r="BA269" s="711">
        <f t="shared" si="137"/>
        <v>378</v>
      </c>
    </row>
    <row r="270" spans="1:53">
      <c r="A270" s="106">
        <f t="shared" ref="A270:A333" si="150">A269+1</f>
        <v>259</v>
      </c>
      <c r="B270" s="858">
        <v>42263</v>
      </c>
      <c r="C270" s="859" t="s">
        <v>1725</v>
      </c>
      <c r="D270" s="860">
        <v>4345</v>
      </c>
      <c r="E270" s="860">
        <v>4145</v>
      </c>
      <c r="F270" s="860">
        <v>3958</v>
      </c>
      <c r="G270" s="860">
        <v>3921</v>
      </c>
      <c r="H270" s="860">
        <v>3959</v>
      </c>
      <c r="I270" s="860">
        <v>4176</v>
      </c>
      <c r="J270" s="860">
        <v>4564</v>
      </c>
      <c r="K270" s="860">
        <v>4832</v>
      </c>
      <c r="L270" s="860">
        <v>5086</v>
      </c>
      <c r="M270" s="860">
        <v>5343</v>
      </c>
      <c r="N270" s="860">
        <v>5557</v>
      </c>
      <c r="O270" s="860">
        <v>5765</v>
      </c>
      <c r="P270" s="860">
        <v>5972</v>
      </c>
      <c r="Q270" s="860">
        <v>6199</v>
      </c>
      <c r="R270" s="860">
        <v>6456</v>
      </c>
      <c r="S270" s="860">
        <v>6703</v>
      </c>
      <c r="T270" s="860">
        <v>6853</v>
      </c>
      <c r="U270" s="860">
        <v>6844</v>
      </c>
      <c r="V270" s="860">
        <v>6614</v>
      </c>
      <c r="W270" s="860">
        <v>6464</v>
      </c>
      <c r="X270" s="860">
        <v>6204</v>
      </c>
      <c r="Y270" s="860">
        <v>5808</v>
      </c>
      <c r="Z270" s="860">
        <v>5259</v>
      </c>
      <c r="AA270" s="860">
        <v>4724</v>
      </c>
      <c r="AC270" s="712">
        <f t="shared" ref="AC270:AC333" si="151">AC269+1</f>
        <v>259</v>
      </c>
      <c r="AD270" s="711">
        <f t="shared" ref="AD270:AD333" si="152">ABS(D270-AA269)</f>
        <v>357</v>
      </c>
      <c r="AE270" s="711">
        <f t="shared" si="142"/>
        <v>200</v>
      </c>
      <c r="AF270" s="711">
        <f t="shared" si="142"/>
        <v>187</v>
      </c>
      <c r="AG270" s="711">
        <f t="shared" si="142"/>
        <v>37</v>
      </c>
      <c r="AH270" s="711">
        <f t="shared" si="141"/>
        <v>38</v>
      </c>
      <c r="AI270" s="711">
        <f t="shared" si="141"/>
        <v>217</v>
      </c>
      <c r="AJ270" s="711">
        <f t="shared" si="141"/>
        <v>388</v>
      </c>
      <c r="AK270" s="711">
        <f t="shared" si="141"/>
        <v>268</v>
      </c>
      <c r="AL270" s="711">
        <f t="shared" si="141"/>
        <v>254</v>
      </c>
      <c r="AM270" s="711">
        <f t="shared" si="141"/>
        <v>257</v>
      </c>
      <c r="AN270" s="711">
        <f t="shared" si="141"/>
        <v>214</v>
      </c>
      <c r="AO270" s="711">
        <f t="shared" si="148"/>
        <v>208</v>
      </c>
      <c r="AP270" s="711">
        <f t="shared" si="149"/>
        <v>207</v>
      </c>
      <c r="AQ270" s="711">
        <f t="shared" si="143"/>
        <v>227</v>
      </c>
      <c r="AR270" s="711">
        <f t="shared" si="144"/>
        <v>257</v>
      </c>
      <c r="AS270" s="711">
        <f t="shared" si="145"/>
        <v>247</v>
      </c>
      <c r="AT270" s="711">
        <f t="shared" si="146"/>
        <v>150</v>
      </c>
      <c r="AU270" s="711">
        <f t="shared" si="147"/>
        <v>9</v>
      </c>
      <c r="AV270" s="711">
        <f t="shared" si="147"/>
        <v>230</v>
      </c>
      <c r="AW270" s="711">
        <f t="shared" si="147"/>
        <v>150</v>
      </c>
      <c r="AX270" s="711">
        <f t="shared" si="147"/>
        <v>260</v>
      </c>
      <c r="AY270" s="711">
        <f t="shared" si="147"/>
        <v>396</v>
      </c>
      <c r="AZ270" s="711">
        <f t="shared" si="147"/>
        <v>549</v>
      </c>
      <c r="BA270" s="711">
        <f t="shared" si="137"/>
        <v>535</v>
      </c>
    </row>
    <row r="271" spans="1:53">
      <c r="A271" s="106">
        <f t="shared" si="150"/>
        <v>260</v>
      </c>
      <c r="B271" s="858">
        <v>42264</v>
      </c>
      <c r="C271" s="859" t="s">
        <v>1725</v>
      </c>
      <c r="D271" s="860">
        <v>4385</v>
      </c>
      <c r="E271" s="860">
        <v>4160</v>
      </c>
      <c r="F271" s="860">
        <v>4042</v>
      </c>
      <c r="G271" s="860">
        <v>3974</v>
      </c>
      <c r="H271" s="860">
        <v>4015</v>
      </c>
      <c r="I271" s="860">
        <v>4250</v>
      </c>
      <c r="J271" s="860">
        <v>4634</v>
      </c>
      <c r="K271" s="860">
        <v>4832</v>
      </c>
      <c r="L271" s="860">
        <v>4904</v>
      </c>
      <c r="M271" s="860">
        <v>5053</v>
      </c>
      <c r="N271" s="860">
        <v>5211</v>
      </c>
      <c r="O271" s="860">
        <v>5338</v>
      </c>
      <c r="P271" s="860">
        <v>5405</v>
      </c>
      <c r="Q271" s="860">
        <v>5540</v>
      </c>
      <c r="R271" s="860">
        <v>5755</v>
      </c>
      <c r="S271" s="860">
        <v>5867</v>
      </c>
      <c r="T271" s="860">
        <v>5961</v>
      </c>
      <c r="U271" s="860">
        <v>5917</v>
      </c>
      <c r="V271" s="860">
        <v>5744</v>
      </c>
      <c r="W271" s="860">
        <v>5701</v>
      </c>
      <c r="X271" s="860">
        <v>5601</v>
      </c>
      <c r="Y271" s="860">
        <v>5244</v>
      </c>
      <c r="Z271" s="860">
        <v>4781</v>
      </c>
      <c r="AA271" s="860">
        <v>4394</v>
      </c>
      <c r="AC271" s="712">
        <f t="shared" si="151"/>
        <v>260</v>
      </c>
      <c r="AD271" s="711">
        <f t="shared" si="152"/>
        <v>339</v>
      </c>
      <c r="AE271" s="711">
        <f t="shared" si="142"/>
        <v>225</v>
      </c>
      <c r="AF271" s="711">
        <f t="shared" si="142"/>
        <v>118</v>
      </c>
      <c r="AG271" s="711">
        <f t="shared" si="142"/>
        <v>68</v>
      </c>
      <c r="AH271" s="711">
        <f t="shared" si="141"/>
        <v>41</v>
      </c>
      <c r="AI271" s="711">
        <f t="shared" si="141"/>
        <v>235</v>
      </c>
      <c r="AJ271" s="711">
        <f t="shared" si="141"/>
        <v>384</v>
      </c>
      <c r="AK271" s="711">
        <f t="shared" si="141"/>
        <v>198</v>
      </c>
      <c r="AL271" s="711">
        <f t="shared" si="141"/>
        <v>72</v>
      </c>
      <c r="AM271" s="711">
        <f t="shared" si="141"/>
        <v>149</v>
      </c>
      <c r="AN271" s="711">
        <f t="shared" si="141"/>
        <v>158</v>
      </c>
      <c r="AO271" s="711">
        <f t="shared" si="148"/>
        <v>127</v>
      </c>
      <c r="AP271" s="711">
        <f t="shared" si="149"/>
        <v>67</v>
      </c>
      <c r="AQ271" s="711">
        <f t="shared" si="143"/>
        <v>135</v>
      </c>
      <c r="AR271" s="711">
        <f t="shared" si="144"/>
        <v>215</v>
      </c>
      <c r="AS271" s="711">
        <f t="shared" si="145"/>
        <v>112</v>
      </c>
      <c r="AT271" s="711">
        <f t="shared" si="146"/>
        <v>94</v>
      </c>
      <c r="AU271" s="711">
        <f t="shared" si="147"/>
        <v>44</v>
      </c>
      <c r="AV271" s="711">
        <f t="shared" si="147"/>
        <v>173</v>
      </c>
      <c r="AW271" s="711">
        <f t="shared" si="147"/>
        <v>43</v>
      </c>
      <c r="AX271" s="711">
        <f t="shared" si="147"/>
        <v>100</v>
      </c>
      <c r="AY271" s="711">
        <f t="shared" si="147"/>
        <v>357</v>
      </c>
      <c r="AZ271" s="711">
        <f t="shared" si="147"/>
        <v>463</v>
      </c>
      <c r="BA271" s="711">
        <f t="shared" si="137"/>
        <v>387</v>
      </c>
    </row>
    <row r="272" spans="1:53">
      <c r="A272" s="106">
        <f t="shared" si="150"/>
        <v>261</v>
      </c>
      <c r="B272" s="858">
        <v>42265</v>
      </c>
      <c r="C272" s="859" t="s">
        <v>1725</v>
      </c>
      <c r="D272" s="860">
        <v>4099</v>
      </c>
      <c r="E272" s="860">
        <v>3979</v>
      </c>
      <c r="F272" s="860">
        <v>3888</v>
      </c>
      <c r="G272" s="860">
        <v>3849</v>
      </c>
      <c r="H272" s="860">
        <v>3901</v>
      </c>
      <c r="I272" s="860">
        <v>4086</v>
      </c>
      <c r="J272" s="860">
        <v>4396</v>
      </c>
      <c r="K272" s="860">
        <v>4536</v>
      </c>
      <c r="L272" s="860">
        <v>4695</v>
      </c>
      <c r="M272" s="860">
        <v>4800</v>
      </c>
      <c r="N272" s="860">
        <v>4961</v>
      </c>
      <c r="O272" s="860">
        <v>5022</v>
      </c>
      <c r="P272" s="860">
        <v>5093</v>
      </c>
      <c r="Q272" s="860">
        <v>5159</v>
      </c>
      <c r="R272" s="860">
        <v>5209</v>
      </c>
      <c r="S272" s="860">
        <v>5268</v>
      </c>
      <c r="T272" s="860">
        <v>5283</v>
      </c>
      <c r="U272" s="860">
        <v>5255</v>
      </c>
      <c r="V272" s="860">
        <v>5246</v>
      </c>
      <c r="W272" s="860">
        <v>5192</v>
      </c>
      <c r="X272" s="860">
        <v>5075</v>
      </c>
      <c r="Y272" s="860">
        <v>4833</v>
      </c>
      <c r="Z272" s="860">
        <v>4458</v>
      </c>
      <c r="AA272" s="860">
        <v>4101</v>
      </c>
      <c r="AC272" s="712">
        <f t="shared" si="151"/>
        <v>261</v>
      </c>
      <c r="AD272" s="711">
        <f t="shared" si="152"/>
        <v>295</v>
      </c>
      <c r="AE272" s="711">
        <f t="shared" si="142"/>
        <v>120</v>
      </c>
      <c r="AF272" s="711">
        <f t="shared" si="142"/>
        <v>91</v>
      </c>
      <c r="AG272" s="711">
        <f t="shared" si="142"/>
        <v>39</v>
      </c>
      <c r="AH272" s="711">
        <f t="shared" si="141"/>
        <v>52</v>
      </c>
      <c r="AI272" s="711">
        <f t="shared" si="141"/>
        <v>185</v>
      </c>
      <c r="AJ272" s="711">
        <f t="shared" si="141"/>
        <v>310</v>
      </c>
      <c r="AK272" s="711">
        <f t="shared" si="141"/>
        <v>140</v>
      </c>
      <c r="AL272" s="711">
        <f t="shared" si="141"/>
        <v>159</v>
      </c>
      <c r="AM272" s="711">
        <f t="shared" si="141"/>
        <v>105</v>
      </c>
      <c r="AN272" s="711">
        <f t="shared" si="141"/>
        <v>161</v>
      </c>
      <c r="AO272" s="711">
        <f t="shared" si="148"/>
        <v>61</v>
      </c>
      <c r="AP272" s="711">
        <f t="shared" si="149"/>
        <v>71</v>
      </c>
      <c r="AQ272" s="711">
        <f t="shared" si="143"/>
        <v>66</v>
      </c>
      <c r="AR272" s="711">
        <f t="shared" si="144"/>
        <v>50</v>
      </c>
      <c r="AS272" s="711">
        <f t="shared" si="145"/>
        <v>59</v>
      </c>
      <c r="AT272" s="711">
        <f t="shared" si="146"/>
        <v>15</v>
      </c>
      <c r="AU272" s="711">
        <f t="shared" si="147"/>
        <v>28</v>
      </c>
      <c r="AV272" s="711">
        <f t="shared" si="147"/>
        <v>9</v>
      </c>
      <c r="AW272" s="711">
        <f t="shared" si="147"/>
        <v>54</v>
      </c>
      <c r="AX272" s="711">
        <f t="shared" si="147"/>
        <v>117</v>
      </c>
      <c r="AY272" s="711">
        <f t="shared" si="147"/>
        <v>242</v>
      </c>
      <c r="AZ272" s="711">
        <f t="shared" si="147"/>
        <v>375</v>
      </c>
      <c r="BA272" s="711">
        <f t="shared" si="137"/>
        <v>357</v>
      </c>
    </row>
    <row r="273" spans="1:53">
      <c r="A273" s="106">
        <f t="shared" si="150"/>
        <v>262</v>
      </c>
      <c r="B273" s="858">
        <v>42266</v>
      </c>
      <c r="C273" s="859" t="s">
        <v>1725</v>
      </c>
      <c r="D273" s="860">
        <v>3867</v>
      </c>
      <c r="E273" s="860">
        <v>3720</v>
      </c>
      <c r="F273" s="860">
        <v>3628</v>
      </c>
      <c r="G273" s="860">
        <v>3571</v>
      </c>
      <c r="H273" s="860">
        <v>3589</v>
      </c>
      <c r="I273" s="860">
        <v>3672</v>
      </c>
      <c r="J273" s="860">
        <v>3821</v>
      </c>
      <c r="K273" s="860">
        <v>3966</v>
      </c>
      <c r="L273" s="860">
        <v>4224</v>
      </c>
      <c r="M273" s="860">
        <v>4465</v>
      </c>
      <c r="N273" s="860">
        <v>4596</v>
      </c>
      <c r="O273" s="860">
        <v>4579</v>
      </c>
      <c r="P273" s="860">
        <v>4755</v>
      </c>
      <c r="Q273" s="860">
        <v>4770</v>
      </c>
      <c r="R273" s="860">
        <v>4894</v>
      </c>
      <c r="S273" s="860">
        <v>5020</v>
      </c>
      <c r="T273" s="860">
        <v>5019</v>
      </c>
      <c r="U273" s="860">
        <v>5268</v>
      </c>
      <c r="V273" s="860">
        <v>5096</v>
      </c>
      <c r="W273" s="860">
        <v>5173</v>
      </c>
      <c r="X273" s="860">
        <v>5091</v>
      </c>
      <c r="Y273" s="860">
        <v>4843</v>
      </c>
      <c r="Z273" s="860">
        <v>4533</v>
      </c>
      <c r="AA273" s="860">
        <v>4212</v>
      </c>
      <c r="AC273" s="712">
        <f t="shared" si="151"/>
        <v>262</v>
      </c>
      <c r="AD273" s="711">
        <f t="shared" si="152"/>
        <v>234</v>
      </c>
      <c r="AE273" s="711">
        <f t="shared" si="142"/>
        <v>147</v>
      </c>
      <c r="AF273" s="711">
        <f t="shared" si="142"/>
        <v>92</v>
      </c>
      <c r="AG273" s="711">
        <f t="shared" si="142"/>
        <v>57</v>
      </c>
      <c r="AH273" s="711">
        <f t="shared" si="141"/>
        <v>18</v>
      </c>
      <c r="AI273" s="711">
        <f t="shared" si="141"/>
        <v>83</v>
      </c>
      <c r="AJ273" s="711">
        <f t="shared" si="141"/>
        <v>149</v>
      </c>
      <c r="AK273" s="711">
        <f t="shared" si="141"/>
        <v>145</v>
      </c>
      <c r="AL273" s="711">
        <f t="shared" si="141"/>
        <v>258</v>
      </c>
      <c r="AM273" s="711">
        <f t="shared" si="141"/>
        <v>241</v>
      </c>
      <c r="AN273" s="711">
        <f t="shared" si="141"/>
        <v>131</v>
      </c>
      <c r="AO273" s="711">
        <f t="shared" si="148"/>
        <v>17</v>
      </c>
      <c r="AP273" s="711">
        <f t="shared" si="149"/>
        <v>176</v>
      </c>
      <c r="AQ273" s="711">
        <f t="shared" si="143"/>
        <v>15</v>
      </c>
      <c r="AR273" s="711">
        <f t="shared" si="144"/>
        <v>124</v>
      </c>
      <c r="AS273" s="711">
        <f t="shared" si="145"/>
        <v>126</v>
      </c>
      <c r="AT273" s="711">
        <f t="shared" si="146"/>
        <v>1</v>
      </c>
      <c r="AU273" s="711">
        <f t="shared" si="147"/>
        <v>249</v>
      </c>
      <c r="AV273" s="711">
        <f t="shared" si="147"/>
        <v>172</v>
      </c>
      <c r="AW273" s="711">
        <f t="shared" si="147"/>
        <v>77</v>
      </c>
      <c r="AX273" s="711">
        <f t="shared" si="147"/>
        <v>82</v>
      </c>
      <c r="AY273" s="711">
        <f t="shared" si="147"/>
        <v>248</v>
      </c>
      <c r="AZ273" s="711">
        <f t="shared" si="147"/>
        <v>310</v>
      </c>
      <c r="BA273" s="711">
        <f t="shared" si="137"/>
        <v>321</v>
      </c>
    </row>
    <row r="274" spans="1:53">
      <c r="A274" s="106">
        <f t="shared" si="150"/>
        <v>263</v>
      </c>
      <c r="B274" s="858">
        <v>42267</v>
      </c>
      <c r="C274" s="859" t="s">
        <v>1725</v>
      </c>
      <c r="D274" s="860">
        <v>4031</v>
      </c>
      <c r="E274" s="860">
        <v>3899</v>
      </c>
      <c r="F274" s="860">
        <v>3837</v>
      </c>
      <c r="G274" s="860">
        <v>3806</v>
      </c>
      <c r="H274" s="860">
        <v>3743</v>
      </c>
      <c r="I274" s="860">
        <v>3823</v>
      </c>
      <c r="J274" s="860">
        <v>3963</v>
      </c>
      <c r="K274" s="860">
        <v>3965</v>
      </c>
      <c r="L274" s="860">
        <v>4047</v>
      </c>
      <c r="M274" s="860">
        <v>4182</v>
      </c>
      <c r="N274" s="860">
        <v>4382</v>
      </c>
      <c r="O274" s="860">
        <v>4513</v>
      </c>
      <c r="P274" s="860">
        <v>4624</v>
      </c>
      <c r="Q274" s="860">
        <v>4818</v>
      </c>
      <c r="R274" s="860">
        <v>4967</v>
      </c>
      <c r="S274" s="860">
        <v>5204</v>
      </c>
      <c r="T274" s="860">
        <v>5469</v>
      </c>
      <c r="U274" s="860">
        <v>5637</v>
      </c>
      <c r="V274" s="860">
        <v>5612</v>
      </c>
      <c r="W274" s="860">
        <v>5621</v>
      </c>
      <c r="X274" s="860">
        <v>5426</v>
      </c>
      <c r="Y274" s="860">
        <v>5027</v>
      </c>
      <c r="Z274" s="860">
        <v>4539</v>
      </c>
      <c r="AA274" s="860">
        <v>4159</v>
      </c>
      <c r="AC274" s="712">
        <f t="shared" si="151"/>
        <v>263</v>
      </c>
      <c r="AD274" s="711">
        <f t="shared" si="152"/>
        <v>181</v>
      </c>
      <c r="AE274" s="711">
        <f t="shared" si="142"/>
        <v>132</v>
      </c>
      <c r="AF274" s="711">
        <f t="shared" si="142"/>
        <v>62</v>
      </c>
      <c r="AG274" s="711">
        <f t="shared" si="142"/>
        <v>31</v>
      </c>
      <c r="AH274" s="711">
        <f t="shared" si="141"/>
        <v>63</v>
      </c>
      <c r="AI274" s="711">
        <f t="shared" si="141"/>
        <v>80</v>
      </c>
      <c r="AJ274" s="711">
        <f t="shared" si="141"/>
        <v>140</v>
      </c>
      <c r="AK274" s="711">
        <f t="shared" si="141"/>
        <v>2</v>
      </c>
      <c r="AL274" s="711">
        <f t="shared" si="141"/>
        <v>82</v>
      </c>
      <c r="AM274" s="711">
        <f t="shared" si="141"/>
        <v>135</v>
      </c>
      <c r="AN274" s="711">
        <f t="shared" si="141"/>
        <v>200</v>
      </c>
      <c r="AO274" s="711">
        <f t="shared" si="148"/>
        <v>131</v>
      </c>
      <c r="AP274" s="711">
        <f t="shared" si="149"/>
        <v>111</v>
      </c>
      <c r="AQ274" s="711">
        <f t="shared" si="143"/>
        <v>194</v>
      </c>
      <c r="AR274" s="711">
        <f t="shared" si="144"/>
        <v>149</v>
      </c>
      <c r="AS274" s="711">
        <f t="shared" si="145"/>
        <v>237</v>
      </c>
      <c r="AT274" s="711">
        <f t="shared" si="146"/>
        <v>265</v>
      </c>
      <c r="AU274" s="711">
        <f t="shared" si="147"/>
        <v>168</v>
      </c>
      <c r="AV274" s="711">
        <f t="shared" si="147"/>
        <v>25</v>
      </c>
      <c r="AW274" s="711">
        <f t="shared" si="147"/>
        <v>9</v>
      </c>
      <c r="AX274" s="711">
        <f t="shared" si="147"/>
        <v>195</v>
      </c>
      <c r="AY274" s="711">
        <f t="shared" si="147"/>
        <v>399</v>
      </c>
      <c r="AZ274" s="711">
        <f t="shared" si="147"/>
        <v>488</v>
      </c>
      <c r="BA274" s="711">
        <f t="shared" si="137"/>
        <v>380</v>
      </c>
    </row>
    <row r="275" spans="1:53">
      <c r="A275" s="106">
        <f t="shared" si="150"/>
        <v>264</v>
      </c>
      <c r="B275" s="858">
        <v>42268</v>
      </c>
      <c r="C275" s="859" t="s">
        <v>1725</v>
      </c>
      <c r="D275" s="860">
        <v>4051</v>
      </c>
      <c r="E275" s="860">
        <v>3971</v>
      </c>
      <c r="F275" s="860">
        <v>3902</v>
      </c>
      <c r="G275" s="860">
        <v>3881</v>
      </c>
      <c r="H275" s="860">
        <v>3943</v>
      </c>
      <c r="I275" s="860">
        <v>4076</v>
      </c>
      <c r="J275" s="860">
        <v>4502</v>
      </c>
      <c r="K275" s="860">
        <v>4597</v>
      </c>
      <c r="L275" s="860">
        <v>4719</v>
      </c>
      <c r="M275" s="860">
        <v>4905</v>
      </c>
      <c r="N275" s="860">
        <v>5118</v>
      </c>
      <c r="O275" s="860">
        <v>5357</v>
      </c>
      <c r="P275" s="860">
        <v>5539</v>
      </c>
      <c r="Q275" s="860">
        <v>5753</v>
      </c>
      <c r="R275" s="860">
        <v>5996</v>
      </c>
      <c r="S275" s="860">
        <v>6207</v>
      </c>
      <c r="T275" s="860">
        <v>6385</v>
      </c>
      <c r="U275" s="860">
        <v>6400</v>
      </c>
      <c r="V275" s="860">
        <v>6203</v>
      </c>
      <c r="W275" s="860">
        <v>6180</v>
      </c>
      <c r="X275" s="860">
        <v>5902</v>
      </c>
      <c r="Y275" s="860">
        <v>5433</v>
      </c>
      <c r="Z275" s="860">
        <v>4846</v>
      </c>
      <c r="AA275" s="860">
        <v>4401</v>
      </c>
      <c r="AC275" s="712">
        <f t="shared" si="151"/>
        <v>264</v>
      </c>
      <c r="AD275" s="711">
        <f t="shared" si="152"/>
        <v>108</v>
      </c>
      <c r="AE275" s="711">
        <f t="shared" si="142"/>
        <v>80</v>
      </c>
      <c r="AF275" s="711">
        <f t="shared" si="142"/>
        <v>69</v>
      </c>
      <c r="AG275" s="711">
        <f t="shared" si="142"/>
        <v>21</v>
      </c>
      <c r="AH275" s="711">
        <f t="shared" si="141"/>
        <v>62</v>
      </c>
      <c r="AI275" s="711">
        <f t="shared" si="141"/>
        <v>133</v>
      </c>
      <c r="AJ275" s="711">
        <f t="shared" si="141"/>
        <v>426</v>
      </c>
      <c r="AK275" s="711">
        <f t="shared" si="141"/>
        <v>95</v>
      </c>
      <c r="AL275" s="711">
        <f t="shared" si="141"/>
        <v>122</v>
      </c>
      <c r="AM275" s="711">
        <f t="shared" si="141"/>
        <v>186</v>
      </c>
      <c r="AN275" s="711">
        <f t="shared" si="141"/>
        <v>213</v>
      </c>
      <c r="AO275" s="711">
        <f t="shared" si="148"/>
        <v>239</v>
      </c>
      <c r="AP275" s="711">
        <f t="shared" si="149"/>
        <v>182</v>
      </c>
      <c r="AQ275" s="711">
        <f t="shared" si="143"/>
        <v>214</v>
      </c>
      <c r="AR275" s="711">
        <f t="shared" si="144"/>
        <v>243</v>
      </c>
      <c r="AS275" s="711">
        <f t="shared" si="145"/>
        <v>211</v>
      </c>
      <c r="AT275" s="711">
        <f t="shared" si="146"/>
        <v>178</v>
      </c>
      <c r="AU275" s="711">
        <f t="shared" si="147"/>
        <v>15</v>
      </c>
      <c r="AV275" s="711">
        <f t="shared" si="147"/>
        <v>197</v>
      </c>
      <c r="AW275" s="711">
        <f t="shared" si="147"/>
        <v>23</v>
      </c>
      <c r="AX275" s="711">
        <f t="shared" si="147"/>
        <v>278</v>
      </c>
      <c r="AY275" s="711">
        <f t="shared" si="147"/>
        <v>469</v>
      </c>
      <c r="AZ275" s="711">
        <f t="shared" si="147"/>
        <v>587</v>
      </c>
      <c r="BA275" s="711">
        <f t="shared" si="137"/>
        <v>445</v>
      </c>
    </row>
    <row r="276" spans="1:53">
      <c r="A276" s="106">
        <f t="shared" si="150"/>
        <v>265</v>
      </c>
      <c r="B276" s="858">
        <v>42269</v>
      </c>
      <c r="C276" s="859" t="s">
        <v>1725</v>
      </c>
      <c r="D276" s="860">
        <v>4171</v>
      </c>
      <c r="E276" s="860">
        <v>4165</v>
      </c>
      <c r="F276" s="860">
        <v>4045</v>
      </c>
      <c r="G276" s="860">
        <v>4013</v>
      </c>
      <c r="H276" s="860">
        <v>4020</v>
      </c>
      <c r="I276" s="860">
        <v>4190</v>
      </c>
      <c r="J276" s="860">
        <v>4592</v>
      </c>
      <c r="K276" s="860">
        <v>4724</v>
      </c>
      <c r="L276" s="860">
        <v>4806</v>
      </c>
      <c r="M276" s="860">
        <v>4974</v>
      </c>
      <c r="N276" s="860">
        <v>5195</v>
      </c>
      <c r="O276" s="860">
        <v>5302</v>
      </c>
      <c r="P276" s="860">
        <v>5482</v>
      </c>
      <c r="Q276" s="860">
        <v>5579</v>
      </c>
      <c r="R276" s="860">
        <v>5525</v>
      </c>
      <c r="S276" s="860">
        <v>5566</v>
      </c>
      <c r="T276" s="860">
        <v>5707</v>
      </c>
      <c r="U276" s="860">
        <v>5829</v>
      </c>
      <c r="V276" s="860">
        <v>5757</v>
      </c>
      <c r="W276" s="860">
        <v>5864</v>
      </c>
      <c r="X276" s="860">
        <v>5524</v>
      </c>
      <c r="Y276" s="860">
        <v>5274</v>
      </c>
      <c r="Z276" s="860">
        <v>4803</v>
      </c>
      <c r="AA276" s="860">
        <v>4512</v>
      </c>
      <c r="AC276" s="712">
        <f t="shared" si="151"/>
        <v>265</v>
      </c>
      <c r="AD276" s="711">
        <f t="shared" si="152"/>
        <v>230</v>
      </c>
      <c r="AE276" s="711">
        <f t="shared" si="142"/>
        <v>6</v>
      </c>
      <c r="AF276" s="711">
        <f t="shared" si="142"/>
        <v>120</v>
      </c>
      <c r="AG276" s="711">
        <f t="shared" si="142"/>
        <v>32</v>
      </c>
      <c r="AH276" s="711">
        <f t="shared" si="141"/>
        <v>7</v>
      </c>
      <c r="AI276" s="711">
        <f t="shared" si="141"/>
        <v>170</v>
      </c>
      <c r="AJ276" s="711">
        <f t="shared" si="141"/>
        <v>402</v>
      </c>
      <c r="AK276" s="711">
        <f t="shared" si="141"/>
        <v>132</v>
      </c>
      <c r="AL276" s="711">
        <f t="shared" si="141"/>
        <v>82</v>
      </c>
      <c r="AM276" s="711">
        <f t="shared" si="141"/>
        <v>168</v>
      </c>
      <c r="AN276" s="711">
        <f t="shared" si="141"/>
        <v>221</v>
      </c>
      <c r="AO276" s="711">
        <f t="shared" si="148"/>
        <v>107</v>
      </c>
      <c r="AP276" s="711">
        <f t="shared" si="149"/>
        <v>180</v>
      </c>
      <c r="AQ276" s="711">
        <f t="shared" si="143"/>
        <v>97</v>
      </c>
      <c r="AR276" s="711">
        <f t="shared" si="144"/>
        <v>54</v>
      </c>
      <c r="AS276" s="711">
        <f t="shared" si="145"/>
        <v>41</v>
      </c>
      <c r="AT276" s="711">
        <f t="shared" si="146"/>
        <v>141</v>
      </c>
      <c r="AU276" s="711">
        <f t="shared" si="147"/>
        <v>122</v>
      </c>
      <c r="AV276" s="711">
        <f t="shared" si="147"/>
        <v>72</v>
      </c>
      <c r="AW276" s="711">
        <f t="shared" si="147"/>
        <v>107</v>
      </c>
      <c r="AX276" s="711">
        <f t="shared" si="147"/>
        <v>340</v>
      </c>
      <c r="AY276" s="711">
        <f t="shared" si="147"/>
        <v>250</v>
      </c>
      <c r="AZ276" s="711">
        <f t="shared" si="147"/>
        <v>471</v>
      </c>
      <c r="BA276" s="711">
        <f t="shared" si="137"/>
        <v>291</v>
      </c>
    </row>
    <row r="277" spans="1:53">
      <c r="A277" s="106">
        <f t="shared" si="150"/>
        <v>266</v>
      </c>
      <c r="B277" s="858">
        <v>42270</v>
      </c>
      <c r="C277" s="859" t="s">
        <v>1725</v>
      </c>
      <c r="D277" s="860">
        <v>4335</v>
      </c>
      <c r="E277" s="860">
        <v>4195</v>
      </c>
      <c r="F277" s="860">
        <v>4076</v>
      </c>
      <c r="G277" s="860">
        <v>4014</v>
      </c>
      <c r="H277" s="860">
        <v>4064</v>
      </c>
      <c r="I277" s="860">
        <v>4258</v>
      </c>
      <c r="J277" s="860">
        <v>4593</v>
      </c>
      <c r="K277" s="860">
        <v>4807</v>
      </c>
      <c r="L277" s="860">
        <v>4927</v>
      </c>
      <c r="M277" s="860">
        <v>5049</v>
      </c>
      <c r="N277" s="860">
        <v>5198</v>
      </c>
      <c r="O277" s="860">
        <v>5342</v>
      </c>
      <c r="P277" s="860">
        <v>5503</v>
      </c>
      <c r="Q277" s="860">
        <v>5758</v>
      </c>
      <c r="R277" s="860">
        <v>5970</v>
      </c>
      <c r="S277" s="860">
        <v>6196</v>
      </c>
      <c r="T277" s="860">
        <v>6367</v>
      </c>
      <c r="U277" s="860">
        <v>6375</v>
      </c>
      <c r="V277" s="860">
        <v>6149</v>
      </c>
      <c r="W277" s="860">
        <v>6120</v>
      </c>
      <c r="X277" s="860">
        <v>5887</v>
      </c>
      <c r="Y277" s="860">
        <v>5436</v>
      </c>
      <c r="Z277" s="860">
        <v>4905</v>
      </c>
      <c r="AA277" s="860">
        <v>4511</v>
      </c>
      <c r="AC277" s="712">
        <f t="shared" si="151"/>
        <v>266</v>
      </c>
      <c r="AD277" s="711">
        <f t="shared" si="152"/>
        <v>177</v>
      </c>
      <c r="AE277" s="711">
        <f t="shared" si="142"/>
        <v>140</v>
      </c>
      <c r="AF277" s="711">
        <f t="shared" si="142"/>
        <v>119</v>
      </c>
      <c r="AG277" s="711">
        <f t="shared" si="142"/>
        <v>62</v>
      </c>
      <c r="AH277" s="711">
        <f t="shared" si="141"/>
        <v>50</v>
      </c>
      <c r="AI277" s="711">
        <f t="shared" si="141"/>
        <v>194</v>
      </c>
      <c r="AJ277" s="711">
        <f t="shared" si="141"/>
        <v>335</v>
      </c>
      <c r="AK277" s="711">
        <f t="shared" si="141"/>
        <v>214</v>
      </c>
      <c r="AL277" s="711">
        <f t="shared" si="141"/>
        <v>120</v>
      </c>
      <c r="AM277" s="711">
        <f t="shared" si="141"/>
        <v>122</v>
      </c>
      <c r="AN277" s="711">
        <f t="shared" si="141"/>
        <v>149</v>
      </c>
      <c r="AO277" s="711">
        <f t="shared" si="148"/>
        <v>144</v>
      </c>
      <c r="AP277" s="711">
        <f t="shared" si="149"/>
        <v>161</v>
      </c>
      <c r="AQ277" s="711">
        <f t="shared" si="143"/>
        <v>255</v>
      </c>
      <c r="AR277" s="711">
        <f t="shared" si="144"/>
        <v>212</v>
      </c>
      <c r="AS277" s="711">
        <f t="shared" si="145"/>
        <v>226</v>
      </c>
      <c r="AT277" s="711">
        <f t="shared" si="146"/>
        <v>171</v>
      </c>
      <c r="AU277" s="711">
        <f t="shared" si="147"/>
        <v>8</v>
      </c>
      <c r="AV277" s="711">
        <f t="shared" si="147"/>
        <v>226</v>
      </c>
      <c r="AW277" s="711">
        <f t="shared" si="147"/>
        <v>29</v>
      </c>
      <c r="AX277" s="711">
        <f t="shared" si="147"/>
        <v>233</v>
      </c>
      <c r="AY277" s="711">
        <f t="shared" si="147"/>
        <v>451</v>
      </c>
      <c r="AZ277" s="711">
        <f t="shared" si="147"/>
        <v>531</v>
      </c>
      <c r="BA277" s="711">
        <f t="shared" si="137"/>
        <v>394</v>
      </c>
    </row>
    <row r="278" spans="1:53">
      <c r="A278" s="106">
        <f t="shared" si="150"/>
        <v>267</v>
      </c>
      <c r="B278" s="858">
        <v>42271</v>
      </c>
      <c r="C278" s="859" t="s">
        <v>1725</v>
      </c>
      <c r="D278" s="860">
        <v>4356</v>
      </c>
      <c r="E278" s="860">
        <v>4206</v>
      </c>
      <c r="F278" s="860">
        <v>4093</v>
      </c>
      <c r="G278" s="860">
        <v>4050</v>
      </c>
      <c r="H278" s="860">
        <v>4069</v>
      </c>
      <c r="I278" s="860">
        <v>4216</v>
      </c>
      <c r="J278" s="860">
        <v>4592</v>
      </c>
      <c r="K278" s="860">
        <v>4685</v>
      </c>
      <c r="L278" s="860">
        <v>4869</v>
      </c>
      <c r="M278" s="860">
        <v>5077</v>
      </c>
      <c r="N278" s="860">
        <v>5253</v>
      </c>
      <c r="O278" s="860">
        <v>5423</v>
      </c>
      <c r="P278" s="860">
        <v>5589</v>
      </c>
      <c r="Q278" s="860">
        <v>5772</v>
      </c>
      <c r="R278" s="860">
        <v>5971</v>
      </c>
      <c r="S278" s="860">
        <v>6186</v>
      </c>
      <c r="T278" s="860">
        <v>6321</v>
      </c>
      <c r="U278" s="860">
        <v>6372</v>
      </c>
      <c r="V278" s="860">
        <v>6108</v>
      </c>
      <c r="W278" s="860">
        <v>6072</v>
      </c>
      <c r="X278" s="860">
        <v>5835</v>
      </c>
      <c r="Y278" s="860">
        <v>5396</v>
      </c>
      <c r="Z278" s="860">
        <v>4827</v>
      </c>
      <c r="AA278" s="860">
        <v>4471</v>
      </c>
      <c r="AC278" s="712">
        <f t="shared" si="151"/>
        <v>267</v>
      </c>
      <c r="AD278" s="711">
        <f t="shared" si="152"/>
        <v>155</v>
      </c>
      <c r="AE278" s="711">
        <f t="shared" si="142"/>
        <v>150</v>
      </c>
      <c r="AF278" s="711">
        <f t="shared" si="142"/>
        <v>113</v>
      </c>
      <c r="AG278" s="711">
        <f t="shared" si="142"/>
        <v>43</v>
      </c>
      <c r="AH278" s="711">
        <f t="shared" si="141"/>
        <v>19</v>
      </c>
      <c r="AI278" s="711">
        <f t="shared" si="141"/>
        <v>147</v>
      </c>
      <c r="AJ278" s="711">
        <f t="shared" si="141"/>
        <v>376</v>
      </c>
      <c r="AK278" s="711">
        <f t="shared" si="141"/>
        <v>93</v>
      </c>
      <c r="AL278" s="711">
        <f t="shared" si="141"/>
        <v>184</v>
      </c>
      <c r="AM278" s="711">
        <f t="shared" si="141"/>
        <v>208</v>
      </c>
      <c r="AN278" s="711">
        <f t="shared" si="141"/>
        <v>176</v>
      </c>
      <c r="AO278" s="711">
        <f t="shared" si="148"/>
        <v>170</v>
      </c>
      <c r="AP278" s="711">
        <f t="shared" si="149"/>
        <v>166</v>
      </c>
      <c r="AQ278" s="711">
        <f t="shared" si="143"/>
        <v>183</v>
      </c>
      <c r="AR278" s="711">
        <f t="shared" si="144"/>
        <v>199</v>
      </c>
      <c r="AS278" s="711">
        <f t="shared" si="145"/>
        <v>215</v>
      </c>
      <c r="AT278" s="711">
        <f t="shared" si="146"/>
        <v>135</v>
      </c>
      <c r="AU278" s="711">
        <f t="shared" si="147"/>
        <v>51</v>
      </c>
      <c r="AV278" s="711">
        <f t="shared" si="147"/>
        <v>264</v>
      </c>
      <c r="AW278" s="711">
        <f t="shared" si="147"/>
        <v>36</v>
      </c>
      <c r="AX278" s="711">
        <f t="shared" si="147"/>
        <v>237</v>
      </c>
      <c r="AY278" s="711">
        <f t="shared" si="147"/>
        <v>439</v>
      </c>
      <c r="AZ278" s="711">
        <f t="shared" si="147"/>
        <v>569</v>
      </c>
      <c r="BA278" s="711">
        <f t="shared" si="137"/>
        <v>356</v>
      </c>
    </row>
    <row r="279" spans="1:53">
      <c r="A279" s="106">
        <f t="shared" si="150"/>
        <v>268</v>
      </c>
      <c r="B279" s="858">
        <v>42272</v>
      </c>
      <c r="C279" s="859" t="s">
        <v>1725</v>
      </c>
      <c r="D279" s="860">
        <v>4275</v>
      </c>
      <c r="E279" s="860">
        <v>4094</v>
      </c>
      <c r="F279" s="860">
        <v>3981</v>
      </c>
      <c r="G279" s="860">
        <v>3953</v>
      </c>
      <c r="H279" s="860">
        <v>3884</v>
      </c>
      <c r="I279" s="860">
        <v>4074</v>
      </c>
      <c r="J279" s="860">
        <v>4351</v>
      </c>
      <c r="K279" s="860">
        <v>4535</v>
      </c>
      <c r="L279" s="860">
        <v>4694</v>
      </c>
      <c r="M279" s="860">
        <v>4896</v>
      </c>
      <c r="N279" s="860">
        <v>5058</v>
      </c>
      <c r="O279" s="860">
        <v>5236</v>
      </c>
      <c r="P279" s="860">
        <v>5360</v>
      </c>
      <c r="Q279" s="860">
        <v>5559</v>
      </c>
      <c r="R279" s="860">
        <v>5759</v>
      </c>
      <c r="S279" s="860">
        <v>5932</v>
      </c>
      <c r="T279" s="860">
        <v>6057</v>
      </c>
      <c r="U279" s="860">
        <v>6077</v>
      </c>
      <c r="V279" s="860">
        <v>5831</v>
      </c>
      <c r="W279" s="860">
        <v>5727</v>
      </c>
      <c r="X279" s="860">
        <v>5481</v>
      </c>
      <c r="Y279" s="860">
        <v>5132</v>
      </c>
      <c r="Z279" s="860">
        <v>4695</v>
      </c>
      <c r="AA279" s="860">
        <v>4302</v>
      </c>
      <c r="AC279" s="712">
        <f t="shared" si="151"/>
        <v>268</v>
      </c>
      <c r="AD279" s="711">
        <f t="shared" si="152"/>
        <v>196</v>
      </c>
      <c r="AE279" s="711">
        <f t="shared" si="142"/>
        <v>181</v>
      </c>
      <c r="AF279" s="711">
        <f t="shared" si="142"/>
        <v>113</v>
      </c>
      <c r="AG279" s="711">
        <f t="shared" si="142"/>
        <v>28</v>
      </c>
      <c r="AH279" s="711">
        <f t="shared" si="141"/>
        <v>69</v>
      </c>
      <c r="AI279" s="711">
        <f t="shared" si="141"/>
        <v>190</v>
      </c>
      <c r="AJ279" s="711">
        <f t="shared" si="141"/>
        <v>277</v>
      </c>
      <c r="AK279" s="711">
        <f t="shared" si="141"/>
        <v>184</v>
      </c>
      <c r="AL279" s="711">
        <f t="shared" si="141"/>
        <v>159</v>
      </c>
      <c r="AM279" s="711">
        <f t="shared" si="141"/>
        <v>202</v>
      </c>
      <c r="AN279" s="711">
        <f t="shared" si="141"/>
        <v>162</v>
      </c>
      <c r="AO279" s="711">
        <f t="shared" si="148"/>
        <v>178</v>
      </c>
      <c r="AP279" s="711">
        <f t="shared" si="149"/>
        <v>124</v>
      </c>
      <c r="AQ279" s="711">
        <f t="shared" ref="AQ279:AQ302" si="153">ABS(Q279-P279)</f>
        <v>199</v>
      </c>
      <c r="AR279" s="711">
        <f t="shared" ref="AR279:AR302" si="154">ABS(R279-Q279)</f>
        <v>200</v>
      </c>
      <c r="AS279" s="711">
        <f t="shared" ref="AS279:AS302" si="155">ABS(S279-R279)</f>
        <v>173</v>
      </c>
      <c r="AT279" s="711">
        <f t="shared" ref="AT279:AT302" si="156">ABS(T279-S279)</f>
        <v>125</v>
      </c>
      <c r="AU279" s="711">
        <f t="shared" si="147"/>
        <v>20</v>
      </c>
      <c r="AV279" s="711">
        <f t="shared" si="147"/>
        <v>246</v>
      </c>
      <c r="AW279" s="711">
        <f t="shared" si="147"/>
        <v>104</v>
      </c>
      <c r="AX279" s="711">
        <f t="shared" si="147"/>
        <v>246</v>
      </c>
      <c r="AY279" s="711">
        <f t="shared" si="147"/>
        <v>349</v>
      </c>
      <c r="AZ279" s="711">
        <f t="shared" si="147"/>
        <v>437</v>
      </c>
      <c r="BA279" s="711">
        <f t="shared" si="137"/>
        <v>393</v>
      </c>
    </row>
    <row r="280" spans="1:53">
      <c r="A280" s="106">
        <f t="shared" si="150"/>
        <v>269</v>
      </c>
      <c r="B280" s="858">
        <v>42273</v>
      </c>
      <c r="C280" s="859" t="s">
        <v>1725</v>
      </c>
      <c r="D280" s="860">
        <v>4183</v>
      </c>
      <c r="E280" s="860">
        <v>4042</v>
      </c>
      <c r="F280" s="860">
        <v>3932</v>
      </c>
      <c r="G280" s="860">
        <v>3851</v>
      </c>
      <c r="H280" s="860">
        <v>3827</v>
      </c>
      <c r="I280" s="860">
        <v>3830</v>
      </c>
      <c r="J280" s="860">
        <v>3951</v>
      </c>
      <c r="K280" s="860">
        <v>4013</v>
      </c>
      <c r="L280" s="860">
        <v>4186</v>
      </c>
      <c r="M280" s="860">
        <v>4396</v>
      </c>
      <c r="N280" s="860">
        <v>4546</v>
      </c>
      <c r="O280" s="860">
        <v>4678</v>
      </c>
      <c r="P280" s="860">
        <v>4828</v>
      </c>
      <c r="Q280" s="860">
        <v>5005</v>
      </c>
      <c r="R280" s="860">
        <v>5208</v>
      </c>
      <c r="S280" s="860">
        <v>5440</v>
      </c>
      <c r="T280" s="860">
        <v>5681</v>
      </c>
      <c r="U280" s="860">
        <v>5802</v>
      </c>
      <c r="V280" s="860">
        <v>5715</v>
      </c>
      <c r="W280" s="860">
        <v>5640</v>
      </c>
      <c r="X280" s="860">
        <v>5443</v>
      </c>
      <c r="Y280" s="860">
        <v>5127</v>
      </c>
      <c r="Z280" s="860">
        <v>4770</v>
      </c>
      <c r="AA280" s="860">
        <v>4563</v>
      </c>
      <c r="AC280" s="712">
        <f t="shared" si="151"/>
        <v>269</v>
      </c>
      <c r="AD280" s="711">
        <f t="shared" si="152"/>
        <v>119</v>
      </c>
      <c r="AE280" s="711">
        <f t="shared" si="142"/>
        <v>141</v>
      </c>
      <c r="AF280" s="711">
        <f t="shared" si="142"/>
        <v>110</v>
      </c>
      <c r="AG280" s="711">
        <f t="shared" si="142"/>
        <v>81</v>
      </c>
      <c r="AH280" s="711">
        <f t="shared" si="141"/>
        <v>24</v>
      </c>
      <c r="AI280" s="711">
        <f t="shared" ref="AI280:AI322" si="157">ABS(I280-H280)</f>
        <v>3</v>
      </c>
      <c r="AJ280" s="711">
        <f t="shared" ref="AJ280:AJ322" si="158">ABS(J280-I280)</f>
        <v>121</v>
      </c>
      <c r="AK280" s="711">
        <f t="shared" ref="AK280:AK322" si="159">ABS(K280-J280)</f>
        <v>62</v>
      </c>
      <c r="AL280" s="711">
        <f t="shared" ref="AL280:AL322" si="160">ABS(L280-K280)</f>
        <v>173</v>
      </c>
      <c r="AM280" s="711">
        <f t="shared" ref="AM280:AM322" si="161">ABS(M280-L280)</f>
        <v>210</v>
      </c>
      <c r="AN280" s="711">
        <f t="shared" ref="AN280:AN322" si="162">ABS(N280-M280)</f>
        <v>150</v>
      </c>
      <c r="AO280" s="711">
        <f t="shared" si="148"/>
        <v>132</v>
      </c>
      <c r="AP280" s="711">
        <f t="shared" si="149"/>
        <v>150</v>
      </c>
      <c r="AQ280" s="711">
        <f t="shared" si="153"/>
        <v>177</v>
      </c>
      <c r="AR280" s="711">
        <f t="shared" si="154"/>
        <v>203</v>
      </c>
      <c r="AS280" s="711">
        <f t="shared" si="155"/>
        <v>232</v>
      </c>
      <c r="AT280" s="711">
        <f t="shared" si="156"/>
        <v>241</v>
      </c>
      <c r="AU280" s="711">
        <f t="shared" si="147"/>
        <v>121</v>
      </c>
      <c r="AV280" s="711">
        <f t="shared" si="147"/>
        <v>87</v>
      </c>
      <c r="AW280" s="711">
        <f t="shared" si="147"/>
        <v>75</v>
      </c>
      <c r="AX280" s="711">
        <f t="shared" si="147"/>
        <v>197</v>
      </c>
      <c r="AY280" s="711">
        <f t="shared" si="147"/>
        <v>316</v>
      </c>
      <c r="AZ280" s="711">
        <f t="shared" si="147"/>
        <v>357</v>
      </c>
      <c r="BA280" s="711">
        <f t="shared" si="137"/>
        <v>207</v>
      </c>
    </row>
    <row r="281" spans="1:53">
      <c r="A281" s="106">
        <f t="shared" si="150"/>
        <v>270</v>
      </c>
      <c r="B281" s="858">
        <v>42274</v>
      </c>
      <c r="C281" s="859" t="s">
        <v>1725</v>
      </c>
      <c r="D281" s="860">
        <v>4311</v>
      </c>
      <c r="E281" s="860">
        <v>4119</v>
      </c>
      <c r="F281" s="860">
        <v>3993</v>
      </c>
      <c r="G281" s="860">
        <v>3916</v>
      </c>
      <c r="H281" s="860">
        <v>3870</v>
      </c>
      <c r="I281" s="860">
        <v>3810</v>
      </c>
      <c r="J281" s="860">
        <v>3906</v>
      </c>
      <c r="K281" s="860">
        <v>3911</v>
      </c>
      <c r="L281" s="860">
        <v>4153</v>
      </c>
      <c r="M281" s="860">
        <v>4416</v>
      </c>
      <c r="N281" s="860">
        <v>4692</v>
      </c>
      <c r="O281" s="860">
        <v>4933</v>
      </c>
      <c r="P281" s="860">
        <v>5214</v>
      </c>
      <c r="Q281" s="860">
        <v>5487</v>
      </c>
      <c r="R281" s="860">
        <v>5762</v>
      </c>
      <c r="S281" s="860">
        <v>6015</v>
      </c>
      <c r="T281" s="860">
        <v>6228</v>
      </c>
      <c r="U281" s="860">
        <v>6304</v>
      </c>
      <c r="V281" s="860">
        <v>6174</v>
      </c>
      <c r="W281" s="860">
        <v>6072</v>
      </c>
      <c r="X281" s="860">
        <v>5738</v>
      </c>
      <c r="Y281" s="860">
        <v>5391</v>
      </c>
      <c r="Z281" s="860">
        <v>4884</v>
      </c>
      <c r="AA281" s="860">
        <v>4487</v>
      </c>
      <c r="AC281" s="712">
        <f t="shared" si="151"/>
        <v>270</v>
      </c>
      <c r="AD281" s="711">
        <f t="shared" si="152"/>
        <v>252</v>
      </c>
      <c r="AE281" s="711">
        <f t="shared" si="142"/>
        <v>192</v>
      </c>
      <c r="AF281" s="711">
        <f t="shared" si="142"/>
        <v>126</v>
      </c>
      <c r="AG281" s="711">
        <f t="shared" si="142"/>
        <v>77</v>
      </c>
      <c r="AH281" s="711">
        <f t="shared" si="142"/>
        <v>46</v>
      </c>
      <c r="AI281" s="711">
        <f t="shared" si="157"/>
        <v>60</v>
      </c>
      <c r="AJ281" s="711">
        <f t="shared" si="158"/>
        <v>96</v>
      </c>
      <c r="AK281" s="711">
        <f t="shared" si="159"/>
        <v>5</v>
      </c>
      <c r="AL281" s="711">
        <f t="shared" si="160"/>
        <v>242</v>
      </c>
      <c r="AM281" s="711">
        <f t="shared" si="161"/>
        <v>263</v>
      </c>
      <c r="AN281" s="711">
        <f t="shared" si="162"/>
        <v>276</v>
      </c>
      <c r="AO281" s="711">
        <f t="shared" si="148"/>
        <v>241</v>
      </c>
      <c r="AP281" s="711">
        <f t="shared" si="149"/>
        <v>281</v>
      </c>
      <c r="AQ281" s="711">
        <f t="shared" si="153"/>
        <v>273</v>
      </c>
      <c r="AR281" s="711">
        <f t="shared" si="154"/>
        <v>275</v>
      </c>
      <c r="AS281" s="711">
        <f t="shared" si="155"/>
        <v>253</v>
      </c>
      <c r="AT281" s="711">
        <f t="shared" si="156"/>
        <v>213</v>
      </c>
      <c r="AU281" s="711">
        <f t="shared" si="147"/>
        <v>76</v>
      </c>
      <c r="AV281" s="711">
        <f t="shared" si="147"/>
        <v>130</v>
      </c>
      <c r="AW281" s="711">
        <f t="shared" si="147"/>
        <v>102</v>
      </c>
      <c r="AX281" s="711">
        <f t="shared" si="147"/>
        <v>334</v>
      </c>
      <c r="AY281" s="711">
        <f t="shared" si="147"/>
        <v>347</v>
      </c>
      <c r="AZ281" s="711">
        <f t="shared" si="147"/>
        <v>507</v>
      </c>
      <c r="BA281" s="711">
        <f t="shared" si="137"/>
        <v>397</v>
      </c>
    </row>
    <row r="282" spans="1:53">
      <c r="A282" s="106">
        <f t="shared" si="150"/>
        <v>271</v>
      </c>
      <c r="B282" s="858">
        <v>42275</v>
      </c>
      <c r="C282" s="859" t="s">
        <v>1725</v>
      </c>
      <c r="D282" s="860">
        <v>4233</v>
      </c>
      <c r="E282" s="860">
        <v>4142</v>
      </c>
      <c r="F282" s="860">
        <v>4049</v>
      </c>
      <c r="G282" s="860">
        <v>3995</v>
      </c>
      <c r="H282" s="860">
        <v>4016</v>
      </c>
      <c r="I282" s="860">
        <v>4219</v>
      </c>
      <c r="J282" s="860">
        <v>4647</v>
      </c>
      <c r="K282" s="860">
        <v>4718</v>
      </c>
      <c r="L282" s="860">
        <v>4931</v>
      </c>
      <c r="M282" s="860">
        <v>5094</v>
      </c>
      <c r="N282" s="860">
        <v>5264</v>
      </c>
      <c r="O282" s="860">
        <v>5422</v>
      </c>
      <c r="P282" s="860">
        <v>5601</v>
      </c>
      <c r="Q282" s="860">
        <v>5748</v>
      </c>
      <c r="R282" s="860">
        <v>5894</v>
      </c>
      <c r="S282" s="860">
        <v>5978</v>
      </c>
      <c r="T282" s="860">
        <v>5984</v>
      </c>
      <c r="U282" s="860">
        <v>5904</v>
      </c>
      <c r="V282" s="860">
        <v>5857</v>
      </c>
      <c r="W282" s="860">
        <v>5878</v>
      </c>
      <c r="X282" s="860">
        <v>5638</v>
      </c>
      <c r="Y282" s="860">
        <v>5247</v>
      </c>
      <c r="Z282" s="860">
        <v>4761</v>
      </c>
      <c r="AA282" s="860">
        <v>4360</v>
      </c>
      <c r="AC282" s="712">
        <f t="shared" si="151"/>
        <v>271</v>
      </c>
      <c r="AD282" s="711">
        <f t="shared" si="152"/>
        <v>254</v>
      </c>
      <c r="AE282" s="711">
        <f t="shared" si="142"/>
        <v>91</v>
      </c>
      <c r="AF282" s="711">
        <f t="shared" si="142"/>
        <v>93</v>
      </c>
      <c r="AG282" s="711">
        <f t="shared" si="142"/>
        <v>54</v>
      </c>
      <c r="AH282" s="711">
        <f t="shared" si="142"/>
        <v>21</v>
      </c>
      <c r="AI282" s="711">
        <f t="shared" si="157"/>
        <v>203</v>
      </c>
      <c r="AJ282" s="711">
        <f t="shared" si="158"/>
        <v>428</v>
      </c>
      <c r="AK282" s="711">
        <f t="shared" si="159"/>
        <v>71</v>
      </c>
      <c r="AL282" s="711">
        <f t="shared" si="160"/>
        <v>213</v>
      </c>
      <c r="AM282" s="711">
        <f t="shared" si="161"/>
        <v>163</v>
      </c>
      <c r="AN282" s="711">
        <f t="shared" si="162"/>
        <v>170</v>
      </c>
      <c r="AO282" s="711">
        <f t="shared" ref="AO282:AO313" si="163">ABS(O282-N282)</f>
        <v>158</v>
      </c>
      <c r="AP282" s="711">
        <f t="shared" ref="AP282:AP313" si="164">ABS(P282-O282)</f>
        <v>179</v>
      </c>
      <c r="AQ282" s="711">
        <f t="shared" si="153"/>
        <v>147</v>
      </c>
      <c r="AR282" s="711">
        <f t="shared" si="154"/>
        <v>146</v>
      </c>
      <c r="AS282" s="711">
        <f t="shared" si="155"/>
        <v>84</v>
      </c>
      <c r="AT282" s="711">
        <f t="shared" si="156"/>
        <v>6</v>
      </c>
      <c r="AU282" s="711">
        <f t="shared" si="147"/>
        <v>80</v>
      </c>
      <c r="AV282" s="711">
        <f t="shared" si="147"/>
        <v>47</v>
      </c>
      <c r="AW282" s="711">
        <f t="shared" si="147"/>
        <v>21</v>
      </c>
      <c r="AX282" s="711">
        <f t="shared" si="147"/>
        <v>240</v>
      </c>
      <c r="AY282" s="711">
        <f t="shared" si="147"/>
        <v>391</v>
      </c>
      <c r="AZ282" s="711">
        <f t="shared" si="147"/>
        <v>486</v>
      </c>
      <c r="BA282" s="711">
        <f t="shared" si="137"/>
        <v>401</v>
      </c>
    </row>
    <row r="283" spans="1:53">
      <c r="A283" s="106">
        <f t="shared" si="150"/>
        <v>272</v>
      </c>
      <c r="B283" s="858">
        <v>42276</v>
      </c>
      <c r="C283" s="859" t="s">
        <v>1725</v>
      </c>
      <c r="D283" s="860">
        <v>4176</v>
      </c>
      <c r="E283" s="860">
        <v>4161</v>
      </c>
      <c r="F283" s="860">
        <v>4048</v>
      </c>
      <c r="G283" s="860">
        <v>4027</v>
      </c>
      <c r="H283" s="860">
        <v>4074</v>
      </c>
      <c r="I283" s="860">
        <v>4221</v>
      </c>
      <c r="J283" s="860">
        <v>4671</v>
      </c>
      <c r="K283" s="860">
        <v>4836</v>
      </c>
      <c r="L283" s="860">
        <v>4908</v>
      </c>
      <c r="M283" s="860">
        <v>4989</v>
      </c>
      <c r="N283" s="860">
        <v>5168</v>
      </c>
      <c r="O283" s="860">
        <v>5294</v>
      </c>
      <c r="P283" s="860">
        <v>5436</v>
      </c>
      <c r="Q283" s="860">
        <v>5583</v>
      </c>
      <c r="R283" s="860">
        <v>5758</v>
      </c>
      <c r="S283" s="860">
        <v>5816</v>
      </c>
      <c r="T283" s="860">
        <v>5781</v>
      </c>
      <c r="U283" s="860">
        <v>5690</v>
      </c>
      <c r="V283" s="860">
        <v>5602</v>
      </c>
      <c r="W283" s="860">
        <v>5669</v>
      </c>
      <c r="X283" s="860">
        <v>5465</v>
      </c>
      <c r="Y283" s="860">
        <v>5111</v>
      </c>
      <c r="Z283" s="860">
        <v>4740</v>
      </c>
      <c r="AA283" s="860">
        <v>4448</v>
      </c>
      <c r="AC283" s="712">
        <f t="shared" si="151"/>
        <v>272</v>
      </c>
      <c r="AD283" s="711">
        <f t="shared" si="152"/>
        <v>184</v>
      </c>
      <c r="AE283" s="711">
        <f t="shared" si="142"/>
        <v>15</v>
      </c>
      <c r="AF283" s="711">
        <f t="shared" si="142"/>
        <v>113</v>
      </c>
      <c r="AG283" s="711">
        <f t="shared" si="142"/>
        <v>21</v>
      </c>
      <c r="AH283" s="711">
        <f t="shared" si="142"/>
        <v>47</v>
      </c>
      <c r="AI283" s="711">
        <f t="shared" si="157"/>
        <v>147</v>
      </c>
      <c r="AJ283" s="711">
        <f t="shared" si="158"/>
        <v>450</v>
      </c>
      <c r="AK283" s="711">
        <f t="shared" si="159"/>
        <v>165</v>
      </c>
      <c r="AL283" s="711">
        <f t="shared" si="160"/>
        <v>72</v>
      </c>
      <c r="AM283" s="711">
        <f t="shared" si="161"/>
        <v>81</v>
      </c>
      <c r="AN283" s="711">
        <f t="shared" si="162"/>
        <v>179</v>
      </c>
      <c r="AO283" s="711">
        <f t="shared" si="163"/>
        <v>126</v>
      </c>
      <c r="AP283" s="711">
        <f t="shared" si="164"/>
        <v>142</v>
      </c>
      <c r="AQ283" s="711">
        <f t="shared" si="153"/>
        <v>147</v>
      </c>
      <c r="AR283" s="711">
        <f t="shared" si="154"/>
        <v>175</v>
      </c>
      <c r="AS283" s="711">
        <f t="shared" si="155"/>
        <v>58</v>
      </c>
      <c r="AT283" s="711">
        <f t="shared" si="156"/>
        <v>35</v>
      </c>
      <c r="AU283" s="711">
        <f t="shared" si="147"/>
        <v>91</v>
      </c>
      <c r="AV283" s="711">
        <f t="shared" si="147"/>
        <v>88</v>
      </c>
      <c r="AW283" s="711">
        <f t="shared" si="147"/>
        <v>67</v>
      </c>
      <c r="AX283" s="711">
        <f t="shared" si="147"/>
        <v>204</v>
      </c>
      <c r="AY283" s="711">
        <f t="shared" si="147"/>
        <v>354</v>
      </c>
      <c r="AZ283" s="711">
        <f t="shared" si="147"/>
        <v>371</v>
      </c>
      <c r="BA283" s="711">
        <f t="shared" si="137"/>
        <v>292</v>
      </c>
    </row>
    <row r="284" spans="1:53">
      <c r="A284" s="106">
        <f t="shared" si="150"/>
        <v>273</v>
      </c>
      <c r="B284" s="858">
        <v>42277</v>
      </c>
      <c r="C284" s="859" t="s">
        <v>1725</v>
      </c>
      <c r="D284" s="860">
        <v>4201</v>
      </c>
      <c r="E284" s="860">
        <v>4062</v>
      </c>
      <c r="F284" s="860">
        <v>3878</v>
      </c>
      <c r="G284" s="860">
        <v>3842</v>
      </c>
      <c r="H284" s="860">
        <v>3930</v>
      </c>
      <c r="I284" s="860">
        <v>4190</v>
      </c>
      <c r="J284" s="860">
        <v>4587</v>
      </c>
      <c r="K284" s="860">
        <v>4788</v>
      </c>
      <c r="L284" s="860">
        <v>4879</v>
      </c>
      <c r="M284" s="860">
        <v>4988</v>
      </c>
      <c r="N284" s="860">
        <v>5096</v>
      </c>
      <c r="O284" s="860">
        <v>5250</v>
      </c>
      <c r="P284" s="860">
        <v>5344</v>
      </c>
      <c r="Q284" s="860">
        <v>5474</v>
      </c>
      <c r="R284" s="860">
        <v>5579</v>
      </c>
      <c r="S284" s="860">
        <v>5651</v>
      </c>
      <c r="T284" s="860">
        <v>5679</v>
      </c>
      <c r="U284" s="860">
        <v>5590</v>
      </c>
      <c r="V284" s="860">
        <v>5586</v>
      </c>
      <c r="W284" s="860">
        <v>5695</v>
      </c>
      <c r="X284" s="860">
        <v>5493</v>
      </c>
      <c r="Y284" s="860">
        <v>5103</v>
      </c>
      <c r="Z284" s="860">
        <v>4688</v>
      </c>
      <c r="AA284" s="860">
        <v>4358</v>
      </c>
      <c r="AC284" s="712">
        <f t="shared" si="151"/>
        <v>273</v>
      </c>
      <c r="AD284" s="711">
        <f t="shared" si="152"/>
        <v>247</v>
      </c>
      <c r="AE284" s="711">
        <f t="shared" si="142"/>
        <v>139</v>
      </c>
      <c r="AF284" s="711">
        <f t="shared" si="142"/>
        <v>184</v>
      </c>
      <c r="AG284" s="711">
        <f t="shared" si="142"/>
        <v>36</v>
      </c>
      <c r="AH284" s="711">
        <f t="shared" si="142"/>
        <v>88</v>
      </c>
      <c r="AI284" s="711">
        <f t="shared" si="157"/>
        <v>260</v>
      </c>
      <c r="AJ284" s="711">
        <f t="shared" si="158"/>
        <v>397</v>
      </c>
      <c r="AK284" s="711">
        <f t="shared" si="159"/>
        <v>201</v>
      </c>
      <c r="AL284" s="711">
        <f t="shared" si="160"/>
        <v>91</v>
      </c>
      <c r="AM284" s="711">
        <f t="shared" si="161"/>
        <v>109</v>
      </c>
      <c r="AN284" s="711">
        <f t="shared" si="162"/>
        <v>108</v>
      </c>
      <c r="AO284" s="711">
        <f t="shared" si="163"/>
        <v>154</v>
      </c>
      <c r="AP284" s="711">
        <f t="shared" si="164"/>
        <v>94</v>
      </c>
      <c r="AQ284" s="711">
        <f t="shared" si="153"/>
        <v>130</v>
      </c>
      <c r="AR284" s="711">
        <f t="shared" si="154"/>
        <v>105</v>
      </c>
      <c r="AS284" s="711">
        <f t="shared" si="155"/>
        <v>72</v>
      </c>
      <c r="AT284" s="711">
        <f t="shared" si="156"/>
        <v>28</v>
      </c>
      <c r="AU284" s="711">
        <f t="shared" si="147"/>
        <v>89</v>
      </c>
      <c r="AV284" s="711">
        <f t="shared" si="147"/>
        <v>4</v>
      </c>
      <c r="AW284" s="711">
        <f t="shared" si="147"/>
        <v>109</v>
      </c>
      <c r="AX284" s="711">
        <f t="shared" si="147"/>
        <v>202</v>
      </c>
      <c r="AY284" s="711">
        <f t="shared" si="147"/>
        <v>390</v>
      </c>
      <c r="AZ284" s="711">
        <f t="shared" si="147"/>
        <v>415</v>
      </c>
      <c r="BA284" s="711">
        <f t="shared" si="137"/>
        <v>330</v>
      </c>
    </row>
    <row r="285" spans="1:53">
      <c r="A285" s="106">
        <f t="shared" si="150"/>
        <v>274</v>
      </c>
      <c r="B285" s="858">
        <v>42278</v>
      </c>
      <c r="C285" s="859" t="s">
        <v>1725</v>
      </c>
      <c r="D285" s="860">
        <v>4181</v>
      </c>
      <c r="E285" s="860">
        <v>4040</v>
      </c>
      <c r="F285" s="860">
        <v>3965</v>
      </c>
      <c r="G285" s="860">
        <v>3937</v>
      </c>
      <c r="H285" s="860">
        <v>3969</v>
      </c>
      <c r="I285" s="860">
        <v>4180</v>
      </c>
      <c r="J285" s="860">
        <v>4546</v>
      </c>
      <c r="K285" s="860">
        <v>4777</v>
      </c>
      <c r="L285" s="860">
        <v>4894</v>
      </c>
      <c r="M285" s="860">
        <v>4962</v>
      </c>
      <c r="N285" s="860">
        <v>5010</v>
      </c>
      <c r="O285" s="860">
        <v>5177</v>
      </c>
      <c r="P285" s="860">
        <v>5321</v>
      </c>
      <c r="Q285" s="860">
        <v>5578</v>
      </c>
      <c r="R285" s="860">
        <v>5771</v>
      </c>
      <c r="S285" s="860">
        <v>5906</v>
      </c>
      <c r="T285" s="860">
        <v>5933</v>
      </c>
      <c r="U285" s="860">
        <v>5932</v>
      </c>
      <c r="V285" s="860">
        <v>5839</v>
      </c>
      <c r="W285" s="860">
        <v>5902</v>
      </c>
      <c r="X285" s="860">
        <v>5658</v>
      </c>
      <c r="Y285" s="860">
        <v>5290</v>
      </c>
      <c r="Z285" s="860">
        <v>4763</v>
      </c>
      <c r="AA285" s="860">
        <v>4500</v>
      </c>
      <c r="AC285" s="712">
        <f t="shared" si="151"/>
        <v>274</v>
      </c>
      <c r="AD285" s="711">
        <f t="shared" si="152"/>
        <v>177</v>
      </c>
      <c r="AE285" s="711">
        <f t="shared" si="142"/>
        <v>141</v>
      </c>
      <c r="AF285" s="711">
        <f t="shared" si="142"/>
        <v>75</v>
      </c>
      <c r="AG285" s="711">
        <f t="shared" si="142"/>
        <v>28</v>
      </c>
      <c r="AH285" s="711">
        <f t="shared" si="142"/>
        <v>32</v>
      </c>
      <c r="AI285" s="711">
        <f t="shared" si="157"/>
        <v>211</v>
      </c>
      <c r="AJ285" s="711">
        <f t="shared" si="158"/>
        <v>366</v>
      </c>
      <c r="AK285" s="711">
        <f t="shared" si="159"/>
        <v>231</v>
      </c>
      <c r="AL285" s="711">
        <f t="shared" si="160"/>
        <v>117</v>
      </c>
      <c r="AM285" s="711">
        <f t="shared" si="161"/>
        <v>68</v>
      </c>
      <c r="AN285" s="711">
        <f t="shared" si="162"/>
        <v>48</v>
      </c>
      <c r="AO285" s="711">
        <f t="shared" si="163"/>
        <v>167</v>
      </c>
      <c r="AP285" s="711">
        <f t="shared" si="164"/>
        <v>144</v>
      </c>
      <c r="AQ285" s="711">
        <f t="shared" si="153"/>
        <v>257</v>
      </c>
      <c r="AR285" s="711">
        <f t="shared" si="154"/>
        <v>193</v>
      </c>
      <c r="AS285" s="711">
        <f t="shared" si="155"/>
        <v>135</v>
      </c>
      <c r="AT285" s="711">
        <f t="shared" si="156"/>
        <v>27</v>
      </c>
      <c r="AU285" s="711">
        <f t="shared" si="147"/>
        <v>1</v>
      </c>
      <c r="AV285" s="711">
        <f t="shared" si="147"/>
        <v>93</v>
      </c>
      <c r="AW285" s="711">
        <f t="shared" si="147"/>
        <v>63</v>
      </c>
      <c r="AX285" s="711">
        <f t="shared" si="147"/>
        <v>244</v>
      </c>
      <c r="AY285" s="711">
        <f t="shared" si="147"/>
        <v>368</v>
      </c>
      <c r="AZ285" s="711">
        <f t="shared" si="147"/>
        <v>527</v>
      </c>
      <c r="BA285" s="711">
        <f t="shared" si="137"/>
        <v>263</v>
      </c>
    </row>
    <row r="286" spans="1:53">
      <c r="A286" s="106">
        <f t="shared" si="150"/>
        <v>275</v>
      </c>
      <c r="B286" s="858">
        <v>42279</v>
      </c>
      <c r="C286" s="859" t="s">
        <v>1725</v>
      </c>
      <c r="D286" s="860">
        <v>4282</v>
      </c>
      <c r="E286" s="860">
        <v>4124</v>
      </c>
      <c r="F286" s="860">
        <v>4038</v>
      </c>
      <c r="G286" s="860">
        <v>3992</v>
      </c>
      <c r="H286" s="860">
        <v>4029</v>
      </c>
      <c r="I286" s="860">
        <v>4169</v>
      </c>
      <c r="J286" s="860">
        <v>4527</v>
      </c>
      <c r="K286" s="860">
        <v>4742</v>
      </c>
      <c r="L286" s="860">
        <v>4834</v>
      </c>
      <c r="M286" s="860">
        <v>4942</v>
      </c>
      <c r="N286" s="860">
        <v>5020</v>
      </c>
      <c r="O286" s="860">
        <v>5132</v>
      </c>
      <c r="P286" s="860">
        <v>5200</v>
      </c>
      <c r="Q286" s="860">
        <v>5314</v>
      </c>
      <c r="R286" s="860">
        <v>5395</v>
      </c>
      <c r="S286" s="860">
        <v>5377</v>
      </c>
      <c r="T286" s="860">
        <v>5287</v>
      </c>
      <c r="U286" s="860">
        <v>5217</v>
      </c>
      <c r="V286" s="860">
        <v>5157</v>
      </c>
      <c r="W286" s="860">
        <v>5198</v>
      </c>
      <c r="X286" s="860">
        <v>5038</v>
      </c>
      <c r="Y286" s="860">
        <v>4761</v>
      </c>
      <c r="Z286" s="860">
        <v>4436</v>
      </c>
      <c r="AA286" s="860">
        <v>4087</v>
      </c>
      <c r="AB286" s="711">
        <f>MAX(D285:AA315)</f>
        <v>5933</v>
      </c>
      <c r="AC286" s="712">
        <f t="shared" si="151"/>
        <v>275</v>
      </c>
      <c r="AD286" s="711">
        <f t="shared" si="152"/>
        <v>218</v>
      </c>
      <c r="AE286" s="711">
        <f t="shared" si="142"/>
        <v>158</v>
      </c>
      <c r="AF286" s="711">
        <f t="shared" si="142"/>
        <v>86</v>
      </c>
      <c r="AG286" s="711">
        <f t="shared" si="142"/>
        <v>46</v>
      </c>
      <c r="AH286" s="711">
        <f t="shared" si="142"/>
        <v>37</v>
      </c>
      <c r="AI286" s="711">
        <f t="shared" si="157"/>
        <v>140</v>
      </c>
      <c r="AJ286" s="711">
        <f t="shared" si="158"/>
        <v>358</v>
      </c>
      <c r="AK286" s="711">
        <f t="shared" si="159"/>
        <v>215</v>
      </c>
      <c r="AL286" s="711">
        <f t="shared" si="160"/>
        <v>92</v>
      </c>
      <c r="AM286" s="711">
        <f t="shared" si="161"/>
        <v>108</v>
      </c>
      <c r="AN286" s="711">
        <f t="shared" si="162"/>
        <v>78</v>
      </c>
      <c r="AO286" s="711">
        <f t="shared" si="163"/>
        <v>112</v>
      </c>
      <c r="AP286" s="711">
        <f t="shared" si="164"/>
        <v>68</v>
      </c>
      <c r="AQ286" s="711">
        <f t="shared" si="153"/>
        <v>114</v>
      </c>
      <c r="AR286" s="711">
        <f t="shared" si="154"/>
        <v>81</v>
      </c>
      <c r="AS286" s="711">
        <f t="shared" si="155"/>
        <v>18</v>
      </c>
      <c r="AT286" s="711">
        <f t="shared" si="156"/>
        <v>90</v>
      </c>
      <c r="AU286" s="711">
        <f t="shared" si="147"/>
        <v>70</v>
      </c>
      <c r="AV286" s="711">
        <f t="shared" si="147"/>
        <v>60</v>
      </c>
      <c r="AW286" s="711">
        <f t="shared" si="147"/>
        <v>41</v>
      </c>
      <c r="AX286" s="711">
        <f t="shared" si="147"/>
        <v>160</v>
      </c>
      <c r="AY286" s="711">
        <f t="shared" si="147"/>
        <v>277</v>
      </c>
      <c r="AZ286" s="711">
        <f t="shared" si="147"/>
        <v>325</v>
      </c>
      <c r="BA286" s="711">
        <f t="shared" si="137"/>
        <v>349</v>
      </c>
    </row>
    <row r="287" spans="1:53">
      <c r="A287" s="106">
        <f t="shared" si="150"/>
        <v>276</v>
      </c>
      <c r="B287" s="858">
        <v>42280</v>
      </c>
      <c r="C287" s="859" t="s">
        <v>1725</v>
      </c>
      <c r="D287" s="860">
        <v>3894</v>
      </c>
      <c r="E287" s="860">
        <v>3781</v>
      </c>
      <c r="F287" s="860">
        <v>3818</v>
      </c>
      <c r="G287" s="860">
        <v>3708</v>
      </c>
      <c r="H287" s="860">
        <v>3681</v>
      </c>
      <c r="I287" s="860">
        <v>3781</v>
      </c>
      <c r="J287" s="860">
        <v>3971</v>
      </c>
      <c r="K287" s="860">
        <v>4112</v>
      </c>
      <c r="L287" s="860">
        <v>4320</v>
      </c>
      <c r="M287" s="860">
        <v>4355</v>
      </c>
      <c r="N287" s="860">
        <v>4394</v>
      </c>
      <c r="O287" s="860">
        <v>4418</v>
      </c>
      <c r="P287" s="860">
        <v>4393</v>
      </c>
      <c r="Q287" s="860">
        <v>4407</v>
      </c>
      <c r="R287" s="860">
        <v>4443</v>
      </c>
      <c r="S287" s="860">
        <v>4485</v>
      </c>
      <c r="T287" s="860">
        <v>4679</v>
      </c>
      <c r="U287" s="860">
        <v>4603</v>
      </c>
      <c r="V287" s="860">
        <v>4743</v>
      </c>
      <c r="W287" s="860">
        <v>4852</v>
      </c>
      <c r="X287" s="860">
        <v>4730</v>
      </c>
      <c r="Y287" s="860">
        <v>4520</v>
      </c>
      <c r="Z287" s="860">
        <v>4245</v>
      </c>
      <c r="AA287" s="860">
        <v>3949</v>
      </c>
      <c r="AC287" s="712">
        <f t="shared" si="151"/>
        <v>276</v>
      </c>
      <c r="AD287" s="711">
        <f t="shared" si="152"/>
        <v>193</v>
      </c>
      <c r="AE287" s="711">
        <f t="shared" si="142"/>
        <v>113</v>
      </c>
      <c r="AF287" s="711">
        <f t="shared" si="142"/>
        <v>37</v>
      </c>
      <c r="AG287" s="711">
        <f t="shared" si="142"/>
        <v>110</v>
      </c>
      <c r="AH287" s="711">
        <f t="shared" si="142"/>
        <v>27</v>
      </c>
      <c r="AI287" s="711">
        <f t="shared" si="157"/>
        <v>100</v>
      </c>
      <c r="AJ287" s="711">
        <f t="shared" si="158"/>
        <v>190</v>
      </c>
      <c r="AK287" s="711">
        <f t="shared" si="159"/>
        <v>141</v>
      </c>
      <c r="AL287" s="711">
        <f t="shared" si="160"/>
        <v>208</v>
      </c>
      <c r="AM287" s="711">
        <f t="shared" si="161"/>
        <v>35</v>
      </c>
      <c r="AN287" s="711">
        <f t="shared" si="162"/>
        <v>39</v>
      </c>
      <c r="AO287" s="711">
        <f t="shared" si="163"/>
        <v>24</v>
      </c>
      <c r="AP287" s="711">
        <f t="shared" si="164"/>
        <v>25</v>
      </c>
      <c r="AQ287" s="711">
        <f t="shared" si="153"/>
        <v>14</v>
      </c>
      <c r="AR287" s="711">
        <f t="shared" si="154"/>
        <v>36</v>
      </c>
      <c r="AS287" s="711">
        <f t="shared" si="155"/>
        <v>42</v>
      </c>
      <c r="AT287" s="711">
        <f t="shared" si="156"/>
        <v>194</v>
      </c>
      <c r="AU287" s="711">
        <f t="shared" si="147"/>
        <v>76</v>
      </c>
      <c r="AV287" s="711">
        <f t="shared" si="147"/>
        <v>140</v>
      </c>
      <c r="AW287" s="711">
        <f t="shared" si="147"/>
        <v>109</v>
      </c>
      <c r="AX287" s="711">
        <f t="shared" si="147"/>
        <v>122</v>
      </c>
      <c r="AY287" s="711">
        <f t="shared" si="147"/>
        <v>210</v>
      </c>
      <c r="AZ287" s="711">
        <f t="shared" si="147"/>
        <v>275</v>
      </c>
      <c r="BA287" s="711">
        <f t="shared" si="137"/>
        <v>296</v>
      </c>
    </row>
    <row r="288" spans="1:53">
      <c r="A288" s="106">
        <f t="shared" si="150"/>
        <v>277</v>
      </c>
      <c r="B288" s="858">
        <v>42281</v>
      </c>
      <c r="C288" s="859" t="s">
        <v>1725</v>
      </c>
      <c r="D288" s="860">
        <v>3834</v>
      </c>
      <c r="E288" s="860">
        <v>3835</v>
      </c>
      <c r="F288" s="860">
        <v>3739</v>
      </c>
      <c r="G288" s="860">
        <v>3704</v>
      </c>
      <c r="H288" s="860">
        <v>3707</v>
      </c>
      <c r="I288" s="860">
        <v>3616</v>
      </c>
      <c r="J288" s="860">
        <v>3803</v>
      </c>
      <c r="K288" s="860">
        <v>3790</v>
      </c>
      <c r="L288" s="860">
        <v>3983</v>
      </c>
      <c r="M288" s="860">
        <v>4142</v>
      </c>
      <c r="N288" s="860">
        <v>4318</v>
      </c>
      <c r="O288" s="860">
        <v>4384</v>
      </c>
      <c r="P288" s="860">
        <v>4417</v>
      </c>
      <c r="Q288" s="860">
        <v>4442</v>
      </c>
      <c r="R288" s="860">
        <v>4420</v>
      </c>
      <c r="S288" s="860">
        <v>4456</v>
      </c>
      <c r="T288" s="860">
        <v>4560</v>
      </c>
      <c r="U288" s="860">
        <v>4617</v>
      </c>
      <c r="V288" s="860">
        <v>4813</v>
      </c>
      <c r="W288" s="860">
        <v>4983</v>
      </c>
      <c r="X288" s="860">
        <v>4828</v>
      </c>
      <c r="Y288" s="860">
        <v>4557</v>
      </c>
      <c r="Z288" s="860">
        <v>4210</v>
      </c>
      <c r="AA288" s="860">
        <v>3979</v>
      </c>
      <c r="AC288" s="712">
        <f t="shared" si="151"/>
        <v>277</v>
      </c>
      <c r="AD288" s="711">
        <f t="shared" si="152"/>
        <v>115</v>
      </c>
      <c r="AE288" s="711">
        <f t="shared" si="142"/>
        <v>1</v>
      </c>
      <c r="AF288" s="711">
        <f t="shared" si="142"/>
        <v>96</v>
      </c>
      <c r="AG288" s="711">
        <f t="shared" si="142"/>
        <v>35</v>
      </c>
      <c r="AH288" s="711">
        <f t="shared" si="142"/>
        <v>3</v>
      </c>
      <c r="AI288" s="711">
        <f t="shared" si="157"/>
        <v>91</v>
      </c>
      <c r="AJ288" s="711">
        <f t="shared" si="158"/>
        <v>187</v>
      </c>
      <c r="AK288" s="711">
        <f t="shared" si="159"/>
        <v>13</v>
      </c>
      <c r="AL288" s="711">
        <f t="shared" si="160"/>
        <v>193</v>
      </c>
      <c r="AM288" s="711">
        <f t="shared" si="161"/>
        <v>159</v>
      </c>
      <c r="AN288" s="711">
        <f t="shared" si="162"/>
        <v>176</v>
      </c>
      <c r="AO288" s="711">
        <f t="shared" si="163"/>
        <v>66</v>
      </c>
      <c r="AP288" s="711">
        <f t="shared" si="164"/>
        <v>33</v>
      </c>
      <c r="AQ288" s="711">
        <f t="shared" si="153"/>
        <v>25</v>
      </c>
      <c r="AR288" s="711">
        <f t="shared" si="154"/>
        <v>22</v>
      </c>
      <c r="AS288" s="711">
        <f t="shared" si="155"/>
        <v>36</v>
      </c>
      <c r="AT288" s="711">
        <f t="shared" si="156"/>
        <v>104</v>
      </c>
      <c r="AU288" s="711">
        <f t="shared" si="147"/>
        <v>57</v>
      </c>
      <c r="AV288" s="711">
        <f t="shared" si="147"/>
        <v>196</v>
      </c>
      <c r="AW288" s="711">
        <f t="shared" si="147"/>
        <v>170</v>
      </c>
      <c r="AX288" s="711">
        <f t="shared" si="147"/>
        <v>155</v>
      </c>
      <c r="AY288" s="711">
        <f t="shared" si="147"/>
        <v>271</v>
      </c>
      <c r="AZ288" s="711">
        <f t="shared" si="147"/>
        <v>347</v>
      </c>
      <c r="BA288" s="711">
        <f t="shared" si="137"/>
        <v>231</v>
      </c>
    </row>
    <row r="289" spans="1:53">
      <c r="A289" s="106">
        <f t="shared" si="150"/>
        <v>278</v>
      </c>
      <c r="B289" s="858">
        <v>42282</v>
      </c>
      <c r="C289" s="859" t="s">
        <v>1725</v>
      </c>
      <c r="D289" s="860">
        <v>3850</v>
      </c>
      <c r="E289" s="860">
        <v>3792</v>
      </c>
      <c r="F289" s="860">
        <v>3705</v>
      </c>
      <c r="G289" s="860">
        <v>3750</v>
      </c>
      <c r="H289" s="860">
        <v>3851</v>
      </c>
      <c r="I289" s="860">
        <v>4039</v>
      </c>
      <c r="J289" s="860">
        <v>4415</v>
      </c>
      <c r="K289" s="860">
        <v>4642</v>
      </c>
      <c r="L289" s="860">
        <v>4717</v>
      </c>
      <c r="M289" s="860">
        <v>4774</v>
      </c>
      <c r="N289" s="860">
        <v>4783</v>
      </c>
      <c r="O289" s="860">
        <v>4822</v>
      </c>
      <c r="P289" s="860">
        <v>4862</v>
      </c>
      <c r="Q289" s="860">
        <v>4948</v>
      </c>
      <c r="R289" s="860">
        <v>5025</v>
      </c>
      <c r="S289" s="860">
        <v>5060</v>
      </c>
      <c r="T289" s="860">
        <v>5143</v>
      </c>
      <c r="U289" s="860">
        <v>5176</v>
      </c>
      <c r="V289" s="860">
        <v>5286</v>
      </c>
      <c r="W289" s="860">
        <v>5350</v>
      </c>
      <c r="X289" s="860">
        <v>5141</v>
      </c>
      <c r="Y289" s="860">
        <v>4803</v>
      </c>
      <c r="Z289" s="860">
        <v>4383</v>
      </c>
      <c r="AA289" s="860">
        <v>4114</v>
      </c>
      <c r="AC289" s="712">
        <f t="shared" si="151"/>
        <v>278</v>
      </c>
      <c r="AD289" s="711">
        <f t="shared" si="152"/>
        <v>129</v>
      </c>
      <c r="AE289" s="711">
        <f t="shared" si="142"/>
        <v>58</v>
      </c>
      <c r="AF289" s="711">
        <f t="shared" si="142"/>
        <v>87</v>
      </c>
      <c r="AG289" s="711">
        <f t="shared" si="142"/>
        <v>45</v>
      </c>
      <c r="AH289" s="711">
        <f t="shared" si="142"/>
        <v>101</v>
      </c>
      <c r="AI289" s="711">
        <f t="shared" si="157"/>
        <v>188</v>
      </c>
      <c r="AJ289" s="711">
        <f t="shared" si="158"/>
        <v>376</v>
      </c>
      <c r="AK289" s="711">
        <f t="shared" si="159"/>
        <v>227</v>
      </c>
      <c r="AL289" s="711">
        <f t="shared" si="160"/>
        <v>75</v>
      </c>
      <c r="AM289" s="711">
        <f t="shared" si="161"/>
        <v>57</v>
      </c>
      <c r="AN289" s="711">
        <f t="shared" si="162"/>
        <v>9</v>
      </c>
      <c r="AO289" s="711">
        <f t="shared" si="163"/>
        <v>39</v>
      </c>
      <c r="AP289" s="711">
        <f t="shared" si="164"/>
        <v>40</v>
      </c>
      <c r="AQ289" s="711">
        <f t="shared" si="153"/>
        <v>86</v>
      </c>
      <c r="AR289" s="711">
        <f t="shared" si="154"/>
        <v>77</v>
      </c>
      <c r="AS289" s="711">
        <f t="shared" si="155"/>
        <v>35</v>
      </c>
      <c r="AT289" s="711">
        <f t="shared" si="156"/>
        <v>83</v>
      </c>
      <c r="AU289" s="711">
        <f t="shared" si="147"/>
        <v>33</v>
      </c>
      <c r="AV289" s="711">
        <f t="shared" si="147"/>
        <v>110</v>
      </c>
      <c r="AW289" s="711">
        <f t="shared" si="147"/>
        <v>64</v>
      </c>
      <c r="AX289" s="711">
        <f t="shared" ref="AX289:BA352" si="165">ABS(X289-W289)</f>
        <v>209</v>
      </c>
      <c r="AY289" s="711">
        <f t="shared" si="165"/>
        <v>338</v>
      </c>
      <c r="AZ289" s="711">
        <f t="shared" si="165"/>
        <v>420</v>
      </c>
      <c r="BA289" s="711">
        <f t="shared" si="137"/>
        <v>269</v>
      </c>
    </row>
    <row r="290" spans="1:53">
      <c r="A290" s="106">
        <f t="shared" si="150"/>
        <v>279</v>
      </c>
      <c r="B290" s="858">
        <v>42283</v>
      </c>
      <c r="C290" s="859" t="s">
        <v>1725</v>
      </c>
      <c r="D290" s="860">
        <v>4018</v>
      </c>
      <c r="E290" s="860">
        <v>3885</v>
      </c>
      <c r="F290" s="860">
        <v>3779</v>
      </c>
      <c r="G290" s="860">
        <v>3807</v>
      </c>
      <c r="H290" s="860">
        <v>3836</v>
      </c>
      <c r="I290" s="860">
        <v>4064</v>
      </c>
      <c r="J290" s="860">
        <v>4457</v>
      </c>
      <c r="K290" s="860">
        <v>4700</v>
      </c>
      <c r="L290" s="860">
        <v>4753</v>
      </c>
      <c r="M290" s="860">
        <v>4829</v>
      </c>
      <c r="N290" s="860">
        <v>4864</v>
      </c>
      <c r="O290" s="860">
        <v>4932</v>
      </c>
      <c r="P290" s="860">
        <v>4952</v>
      </c>
      <c r="Q290" s="860">
        <v>4941</v>
      </c>
      <c r="R290" s="860">
        <v>4980</v>
      </c>
      <c r="S290" s="860">
        <v>4950</v>
      </c>
      <c r="T290" s="860">
        <v>5003</v>
      </c>
      <c r="U290" s="860">
        <v>5059</v>
      </c>
      <c r="V290" s="860">
        <v>5204</v>
      </c>
      <c r="W290" s="860">
        <v>5267</v>
      </c>
      <c r="X290" s="860">
        <v>5097</v>
      </c>
      <c r="Y290" s="860">
        <v>4830</v>
      </c>
      <c r="Z290" s="860">
        <v>4495</v>
      </c>
      <c r="AA290" s="860">
        <v>4146</v>
      </c>
      <c r="AC290" s="712">
        <f t="shared" si="151"/>
        <v>279</v>
      </c>
      <c r="AD290" s="711">
        <f t="shared" si="152"/>
        <v>96</v>
      </c>
      <c r="AE290" s="711">
        <f t="shared" si="142"/>
        <v>133</v>
      </c>
      <c r="AF290" s="711">
        <f t="shared" si="142"/>
        <v>106</v>
      </c>
      <c r="AG290" s="711">
        <f t="shared" si="142"/>
        <v>28</v>
      </c>
      <c r="AH290" s="711">
        <f t="shared" si="142"/>
        <v>29</v>
      </c>
      <c r="AI290" s="711">
        <f t="shared" si="157"/>
        <v>228</v>
      </c>
      <c r="AJ290" s="711">
        <f t="shared" si="158"/>
        <v>393</v>
      </c>
      <c r="AK290" s="711">
        <f t="shared" si="159"/>
        <v>243</v>
      </c>
      <c r="AL290" s="711">
        <f t="shared" si="160"/>
        <v>53</v>
      </c>
      <c r="AM290" s="711">
        <f t="shared" si="161"/>
        <v>76</v>
      </c>
      <c r="AN290" s="711">
        <f t="shared" si="162"/>
        <v>35</v>
      </c>
      <c r="AO290" s="711">
        <f t="shared" si="163"/>
        <v>68</v>
      </c>
      <c r="AP290" s="711">
        <f t="shared" si="164"/>
        <v>20</v>
      </c>
      <c r="AQ290" s="711">
        <f t="shared" si="153"/>
        <v>11</v>
      </c>
      <c r="AR290" s="711">
        <f t="shared" si="154"/>
        <v>39</v>
      </c>
      <c r="AS290" s="711">
        <f t="shared" si="155"/>
        <v>30</v>
      </c>
      <c r="AT290" s="711">
        <f t="shared" si="156"/>
        <v>53</v>
      </c>
      <c r="AU290" s="711">
        <f t="shared" ref="AU290:AU302" si="166">ABS(U290-T290)</f>
        <v>56</v>
      </c>
      <c r="AV290" s="711">
        <f t="shared" ref="AV290:AV302" si="167">ABS(V290-U290)</f>
        <v>145</v>
      </c>
      <c r="AW290" s="711">
        <f t="shared" ref="AW290:AW302" si="168">ABS(W290-V290)</f>
        <v>63</v>
      </c>
      <c r="AX290" s="711">
        <f t="shared" si="165"/>
        <v>170</v>
      </c>
      <c r="AY290" s="711">
        <f t="shared" si="165"/>
        <v>267</v>
      </c>
      <c r="AZ290" s="711">
        <f t="shared" si="165"/>
        <v>335</v>
      </c>
      <c r="BA290" s="711">
        <f t="shared" si="137"/>
        <v>349</v>
      </c>
    </row>
    <row r="291" spans="1:53">
      <c r="A291" s="106">
        <f t="shared" si="150"/>
        <v>280</v>
      </c>
      <c r="B291" s="858">
        <v>42284</v>
      </c>
      <c r="C291" s="859" t="s">
        <v>1725</v>
      </c>
      <c r="D291" s="860">
        <v>4031</v>
      </c>
      <c r="E291" s="860">
        <v>3924</v>
      </c>
      <c r="F291" s="860">
        <v>3878</v>
      </c>
      <c r="G291" s="860">
        <v>3855</v>
      </c>
      <c r="H291" s="860">
        <v>3860</v>
      </c>
      <c r="I291" s="860">
        <v>4085</v>
      </c>
      <c r="J291" s="860">
        <v>4530</v>
      </c>
      <c r="K291" s="860">
        <v>4666</v>
      </c>
      <c r="L291" s="860">
        <v>4706</v>
      </c>
      <c r="M291" s="860">
        <v>4742</v>
      </c>
      <c r="N291" s="860">
        <v>4762</v>
      </c>
      <c r="O291" s="860">
        <v>4813</v>
      </c>
      <c r="P291" s="860">
        <v>4936</v>
      </c>
      <c r="Q291" s="860">
        <v>5022</v>
      </c>
      <c r="R291" s="860">
        <v>5109</v>
      </c>
      <c r="S291" s="860">
        <v>5218</v>
      </c>
      <c r="T291" s="860">
        <v>5234</v>
      </c>
      <c r="U291" s="860">
        <v>5227</v>
      </c>
      <c r="V291" s="860">
        <v>5246</v>
      </c>
      <c r="W291" s="860">
        <v>5352</v>
      </c>
      <c r="X291" s="860">
        <v>5173</v>
      </c>
      <c r="Y291" s="860">
        <v>4840</v>
      </c>
      <c r="Z291" s="860">
        <v>4391</v>
      </c>
      <c r="AA291" s="860">
        <v>4150</v>
      </c>
      <c r="AC291" s="712">
        <f t="shared" si="151"/>
        <v>280</v>
      </c>
      <c r="AD291" s="711">
        <f t="shared" si="152"/>
        <v>115</v>
      </c>
      <c r="AE291" s="711">
        <f t="shared" si="142"/>
        <v>107</v>
      </c>
      <c r="AF291" s="711">
        <f t="shared" si="142"/>
        <v>46</v>
      </c>
      <c r="AG291" s="711">
        <f t="shared" si="142"/>
        <v>23</v>
      </c>
      <c r="AH291" s="711">
        <f t="shared" si="142"/>
        <v>5</v>
      </c>
      <c r="AI291" s="711">
        <f t="shared" si="157"/>
        <v>225</v>
      </c>
      <c r="AJ291" s="711">
        <f t="shared" si="158"/>
        <v>445</v>
      </c>
      <c r="AK291" s="711">
        <f t="shared" si="159"/>
        <v>136</v>
      </c>
      <c r="AL291" s="711">
        <f t="shared" si="160"/>
        <v>40</v>
      </c>
      <c r="AM291" s="711">
        <f t="shared" si="161"/>
        <v>36</v>
      </c>
      <c r="AN291" s="711">
        <f t="shared" si="162"/>
        <v>20</v>
      </c>
      <c r="AO291" s="711">
        <f t="shared" si="163"/>
        <v>51</v>
      </c>
      <c r="AP291" s="711">
        <f t="shared" si="164"/>
        <v>123</v>
      </c>
      <c r="AQ291" s="711">
        <f t="shared" si="153"/>
        <v>86</v>
      </c>
      <c r="AR291" s="711">
        <f t="shared" si="154"/>
        <v>87</v>
      </c>
      <c r="AS291" s="711">
        <f t="shared" si="155"/>
        <v>109</v>
      </c>
      <c r="AT291" s="711">
        <f t="shared" si="156"/>
        <v>16</v>
      </c>
      <c r="AU291" s="711">
        <f t="shared" si="166"/>
        <v>7</v>
      </c>
      <c r="AV291" s="711">
        <f t="shared" si="167"/>
        <v>19</v>
      </c>
      <c r="AW291" s="711">
        <f t="shared" si="168"/>
        <v>106</v>
      </c>
      <c r="AX291" s="711">
        <f t="shared" si="165"/>
        <v>179</v>
      </c>
      <c r="AY291" s="711">
        <f t="shared" si="165"/>
        <v>333</v>
      </c>
      <c r="AZ291" s="711">
        <f t="shared" si="165"/>
        <v>449</v>
      </c>
      <c r="BA291" s="711">
        <f t="shared" si="137"/>
        <v>241</v>
      </c>
    </row>
    <row r="292" spans="1:53">
      <c r="A292" s="106">
        <f t="shared" si="150"/>
        <v>281</v>
      </c>
      <c r="B292" s="858">
        <v>42285</v>
      </c>
      <c r="C292" s="859" t="s">
        <v>1725</v>
      </c>
      <c r="D292" s="860">
        <v>4035</v>
      </c>
      <c r="E292" s="860">
        <v>3923</v>
      </c>
      <c r="F292" s="860">
        <v>3869</v>
      </c>
      <c r="G292" s="860">
        <v>3835</v>
      </c>
      <c r="H292" s="860">
        <v>3930</v>
      </c>
      <c r="I292" s="860">
        <v>4097</v>
      </c>
      <c r="J292" s="860">
        <v>4575</v>
      </c>
      <c r="K292" s="860">
        <v>4677</v>
      </c>
      <c r="L292" s="860">
        <v>4695</v>
      </c>
      <c r="M292" s="860">
        <v>4785</v>
      </c>
      <c r="N292" s="860">
        <v>4905</v>
      </c>
      <c r="O292" s="860">
        <v>5007</v>
      </c>
      <c r="P292" s="860">
        <v>5058</v>
      </c>
      <c r="Q292" s="860">
        <v>5173</v>
      </c>
      <c r="R292" s="860">
        <v>5247</v>
      </c>
      <c r="S292" s="860">
        <v>5324</v>
      </c>
      <c r="T292" s="860">
        <v>5360</v>
      </c>
      <c r="U292" s="860">
        <v>5304</v>
      </c>
      <c r="V292" s="860">
        <v>5323</v>
      </c>
      <c r="W292" s="860">
        <v>5386</v>
      </c>
      <c r="X292" s="860">
        <v>5208</v>
      </c>
      <c r="Y292" s="860">
        <v>4874</v>
      </c>
      <c r="Z292" s="860">
        <v>4429</v>
      </c>
      <c r="AA292" s="860">
        <v>4065</v>
      </c>
      <c r="AC292" s="712">
        <f t="shared" si="151"/>
        <v>281</v>
      </c>
      <c r="AD292" s="711">
        <f t="shared" si="152"/>
        <v>115</v>
      </c>
      <c r="AE292" s="711">
        <f t="shared" si="142"/>
        <v>112</v>
      </c>
      <c r="AF292" s="711">
        <f t="shared" si="142"/>
        <v>54</v>
      </c>
      <c r="AG292" s="711">
        <f t="shared" si="142"/>
        <v>34</v>
      </c>
      <c r="AH292" s="711">
        <f t="shared" si="142"/>
        <v>95</v>
      </c>
      <c r="AI292" s="711">
        <f t="shared" si="157"/>
        <v>167</v>
      </c>
      <c r="AJ292" s="711">
        <f t="shared" si="158"/>
        <v>478</v>
      </c>
      <c r="AK292" s="711">
        <f t="shared" si="159"/>
        <v>102</v>
      </c>
      <c r="AL292" s="711">
        <f t="shared" si="160"/>
        <v>18</v>
      </c>
      <c r="AM292" s="711">
        <f t="shared" si="161"/>
        <v>90</v>
      </c>
      <c r="AN292" s="711">
        <f t="shared" si="162"/>
        <v>120</v>
      </c>
      <c r="AO292" s="711">
        <f t="shared" si="163"/>
        <v>102</v>
      </c>
      <c r="AP292" s="711">
        <f t="shared" si="164"/>
        <v>51</v>
      </c>
      <c r="AQ292" s="711">
        <f t="shared" si="153"/>
        <v>115</v>
      </c>
      <c r="AR292" s="711">
        <f t="shared" si="154"/>
        <v>74</v>
      </c>
      <c r="AS292" s="711">
        <f t="shared" si="155"/>
        <v>77</v>
      </c>
      <c r="AT292" s="711">
        <f t="shared" si="156"/>
        <v>36</v>
      </c>
      <c r="AU292" s="711">
        <f t="shared" si="166"/>
        <v>56</v>
      </c>
      <c r="AV292" s="711">
        <f t="shared" si="167"/>
        <v>19</v>
      </c>
      <c r="AW292" s="711">
        <f t="shared" si="168"/>
        <v>63</v>
      </c>
      <c r="AX292" s="711">
        <f t="shared" si="165"/>
        <v>178</v>
      </c>
      <c r="AY292" s="711">
        <f t="shared" si="165"/>
        <v>334</v>
      </c>
      <c r="AZ292" s="711">
        <f t="shared" si="165"/>
        <v>445</v>
      </c>
      <c r="BA292" s="711">
        <f t="shared" si="137"/>
        <v>364</v>
      </c>
    </row>
    <row r="293" spans="1:53">
      <c r="A293" s="106">
        <f t="shared" si="150"/>
        <v>282</v>
      </c>
      <c r="B293" s="858">
        <v>42286</v>
      </c>
      <c r="C293" s="859" t="s">
        <v>1725</v>
      </c>
      <c r="D293" s="860">
        <v>3856</v>
      </c>
      <c r="E293" s="860">
        <v>3928</v>
      </c>
      <c r="F293" s="860">
        <v>3891</v>
      </c>
      <c r="G293" s="860">
        <v>3872</v>
      </c>
      <c r="H293" s="860">
        <v>3961</v>
      </c>
      <c r="I293" s="860">
        <v>4165</v>
      </c>
      <c r="J293" s="860">
        <v>4413</v>
      </c>
      <c r="K293" s="860">
        <v>4549</v>
      </c>
      <c r="L293" s="860">
        <v>4622</v>
      </c>
      <c r="M293" s="860">
        <v>4686</v>
      </c>
      <c r="N293" s="860">
        <v>4736</v>
      </c>
      <c r="O293" s="860">
        <v>4860</v>
      </c>
      <c r="P293" s="860">
        <v>4917</v>
      </c>
      <c r="Q293" s="860">
        <v>5004</v>
      </c>
      <c r="R293" s="860">
        <v>5072</v>
      </c>
      <c r="S293" s="860">
        <v>5183</v>
      </c>
      <c r="T293" s="860">
        <v>5222</v>
      </c>
      <c r="U293" s="860">
        <v>5172</v>
      </c>
      <c r="V293" s="860">
        <v>5180</v>
      </c>
      <c r="W293" s="860">
        <v>5204</v>
      </c>
      <c r="X293" s="860">
        <v>5018</v>
      </c>
      <c r="Y293" s="860">
        <v>4769</v>
      </c>
      <c r="Z293" s="860">
        <v>4438</v>
      </c>
      <c r="AA293" s="860">
        <v>4216</v>
      </c>
      <c r="AC293" s="712">
        <f t="shared" si="151"/>
        <v>282</v>
      </c>
      <c r="AD293" s="711">
        <f t="shared" si="152"/>
        <v>209</v>
      </c>
      <c r="AE293" s="711">
        <f t="shared" si="142"/>
        <v>72</v>
      </c>
      <c r="AF293" s="711">
        <f t="shared" si="142"/>
        <v>37</v>
      </c>
      <c r="AG293" s="711">
        <f t="shared" si="142"/>
        <v>19</v>
      </c>
      <c r="AH293" s="711">
        <f t="shared" si="142"/>
        <v>89</v>
      </c>
      <c r="AI293" s="711">
        <f t="shared" si="157"/>
        <v>204</v>
      </c>
      <c r="AJ293" s="711">
        <f t="shared" si="158"/>
        <v>248</v>
      </c>
      <c r="AK293" s="711">
        <f t="shared" si="159"/>
        <v>136</v>
      </c>
      <c r="AL293" s="711">
        <f t="shared" si="160"/>
        <v>73</v>
      </c>
      <c r="AM293" s="711">
        <f t="shared" si="161"/>
        <v>64</v>
      </c>
      <c r="AN293" s="711">
        <f t="shared" si="162"/>
        <v>50</v>
      </c>
      <c r="AO293" s="711">
        <f t="shared" si="163"/>
        <v>124</v>
      </c>
      <c r="AP293" s="711">
        <f t="shared" si="164"/>
        <v>57</v>
      </c>
      <c r="AQ293" s="711">
        <f t="shared" si="153"/>
        <v>87</v>
      </c>
      <c r="AR293" s="711">
        <f t="shared" si="154"/>
        <v>68</v>
      </c>
      <c r="AS293" s="711">
        <f t="shared" si="155"/>
        <v>111</v>
      </c>
      <c r="AT293" s="711">
        <f t="shared" si="156"/>
        <v>39</v>
      </c>
      <c r="AU293" s="711">
        <f t="shared" si="166"/>
        <v>50</v>
      </c>
      <c r="AV293" s="711">
        <f t="shared" si="167"/>
        <v>8</v>
      </c>
      <c r="AW293" s="711">
        <f t="shared" si="168"/>
        <v>24</v>
      </c>
      <c r="AX293" s="711">
        <f t="shared" si="165"/>
        <v>186</v>
      </c>
      <c r="AY293" s="711">
        <f t="shared" si="165"/>
        <v>249</v>
      </c>
      <c r="AZ293" s="711">
        <f t="shared" si="165"/>
        <v>331</v>
      </c>
      <c r="BA293" s="711">
        <f t="shared" si="137"/>
        <v>222</v>
      </c>
    </row>
    <row r="294" spans="1:53">
      <c r="A294" s="106">
        <f t="shared" si="150"/>
        <v>283</v>
      </c>
      <c r="B294" s="858">
        <v>42287</v>
      </c>
      <c r="C294" s="859" t="s">
        <v>1725</v>
      </c>
      <c r="D294" s="860">
        <v>3973</v>
      </c>
      <c r="E294" s="860">
        <v>3836</v>
      </c>
      <c r="F294" s="860">
        <v>3758</v>
      </c>
      <c r="G294" s="860">
        <v>3797</v>
      </c>
      <c r="H294" s="860">
        <v>3843</v>
      </c>
      <c r="I294" s="860">
        <v>3916</v>
      </c>
      <c r="J294" s="860">
        <v>4042</v>
      </c>
      <c r="K294" s="860">
        <v>4098</v>
      </c>
      <c r="L294" s="860">
        <v>4253</v>
      </c>
      <c r="M294" s="860">
        <v>4357</v>
      </c>
      <c r="N294" s="860">
        <v>4481</v>
      </c>
      <c r="O294" s="860">
        <v>4587</v>
      </c>
      <c r="P294" s="860">
        <v>4624</v>
      </c>
      <c r="Q294" s="860">
        <v>4714</v>
      </c>
      <c r="R294" s="860">
        <v>4836</v>
      </c>
      <c r="S294" s="860">
        <v>4954</v>
      </c>
      <c r="T294" s="860">
        <v>5119</v>
      </c>
      <c r="U294" s="860">
        <v>5169</v>
      </c>
      <c r="V294" s="860">
        <v>5168</v>
      </c>
      <c r="W294" s="860">
        <v>5176</v>
      </c>
      <c r="X294" s="860">
        <v>4973</v>
      </c>
      <c r="Y294" s="860">
        <v>4737</v>
      </c>
      <c r="Z294" s="860">
        <v>4376</v>
      </c>
      <c r="AA294" s="860">
        <v>4178</v>
      </c>
      <c r="AC294" s="712">
        <f t="shared" si="151"/>
        <v>283</v>
      </c>
      <c r="AD294" s="711">
        <f t="shared" si="152"/>
        <v>243</v>
      </c>
      <c r="AE294" s="711">
        <f t="shared" si="142"/>
        <v>137</v>
      </c>
      <c r="AF294" s="711">
        <f t="shared" si="142"/>
        <v>78</v>
      </c>
      <c r="AG294" s="711">
        <f t="shared" si="142"/>
        <v>39</v>
      </c>
      <c r="AH294" s="711">
        <f t="shared" si="142"/>
        <v>46</v>
      </c>
      <c r="AI294" s="711">
        <f t="shared" si="157"/>
        <v>73</v>
      </c>
      <c r="AJ294" s="711">
        <f t="shared" si="158"/>
        <v>126</v>
      </c>
      <c r="AK294" s="711">
        <f t="shared" si="159"/>
        <v>56</v>
      </c>
      <c r="AL294" s="711">
        <f t="shared" si="160"/>
        <v>155</v>
      </c>
      <c r="AM294" s="711">
        <f t="shared" si="161"/>
        <v>104</v>
      </c>
      <c r="AN294" s="711">
        <f t="shared" si="162"/>
        <v>124</v>
      </c>
      <c r="AO294" s="711">
        <f t="shared" si="163"/>
        <v>106</v>
      </c>
      <c r="AP294" s="711">
        <f t="shared" si="164"/>
        <v>37</v>
      </c>
      <c r="AQ294" s="711">
        <f t="shared" si="153"/>
        <v>90</v>
      </c>
      <c r="AR294" s="711">
        <f t="shared" si="154"/>
        <v>122</v>
      </c>
      <c r="AS294" s="711">
        <f t="shared" si="155"/>
        <v>118</v>
      </c>
      <c r="AT294" s="711">
        <f t="shared" si="156"/>
        <v>165</v>
      </c>
      <c r="AU294" s="711">
        <f t="shared" si="166"/>
        <v>50</v>
      </c>
      <c r="AV294" s="711">
        <f t="shared" si="167"/>
        <v>1</v>
      </c>
      <c r="AW294" s="711">
        <f t="shared" si="168"/>
        <v>8</v>
      </c>
      <c r="AX294" s="711">
        <f t="shared" si="165"/>
        <v>203</v>
      </c>
      <c r="AY294" s="711">
        <f t="shared" si="165"/>
        <v>236</v>
      </c>
      <c r="AZ294" s="711">
        <f t="shared" si="165"/>
        <v>361</v>
      </c>
      <c r="BA294" s="711">
        <f t="shared" si="137"/>
        <v>198</v>
      </c>
    </row>
    <row r="295" spans="1:53">
      <c r="A295" s="106">
        <f t="shared" si="150"/>
        <v>284</v>
      </c>
      <c r="B295" s="858">
        <v>42288</v>
      </c>
      <c r="C295" s="859" t="s">
        <v>1725</v>
      </c>
      <c r="D295" s="860">
        <v>3885</v>
      </c>
      <c r="E295" s="860">
        <v>3791</v>
      </c>
      <c r="F295" s="860">
        <v>3673</v>
      </c>
      <c r="G295" s="860">
        <v>3671</v>
      </c>
      <c r="H295" s="860">
        <v>3548</v>
      </c>
      <c r="I295" s="860">
        <v>3610</v>
      </c>
      <c r="J295" s="860">
        <v>3832</v>
      </c>
      <c r="K295" s="860">
        <v>4049</v>
      </c>
      <c r="L295" s="860">
        <v>4276</v>
      </c>
      <c r="M295" s="860">
        <v>4413</v>
      </c>
      <c r="N295" s="860">
        <v>4571</v>
      </c>
      <c r="O295" s="860">
        <v>4643</v>
      </c>
      <c r="P295" s="860">
        <v>4757</v>
      </c>
      <c r="Q295" s="860">
        <v>4905</v>
      </c>
      <c r="R295" s="860">
        <v>5065</v>
      </c>
      <c r="S295" s="860">
        <v>5219</v>
      </c>
      <c r="T295" s="860">
        <v>5263</v>
      </c>
      <c r="U295" s="860">
        <v>5281</v>
      </c>
      <c r="V295" s="860">
        <v>5412</v>
      </c>
      <c r="W295" s="860">
        <v>5468</v>
      </c>
      <c r="X295" s="860">
        <v>5260</v>
      </c>
      <c r="Y295" s="860">
        <v>4924</v>
      </c>
      <c r="Z295" s="860">
        <v>4512</v>
      </c>
      <c r="AA295" s="860">
        <v>4241</v>
      </c>
      <c r="AC295" s="712">
        <f t="shared" si="151"/>
        <v>284</v>
      </c>
      <c r="AD295" s="711">
        <f t="shared" si="152"/>
        <v>293</v>
      </c>
      <c r="AE295" s="711">
        <f t="shared" si="142"/>
        <v>94</v>
      </c>
      <c r="AF295" s="711">
        <f t="shared" si="142"/>
        <v>118</v>
      </c>
      <c r="AG295" s="711">
        <f t="shared" si="142"/>
        <v>2</v>
      </c>
      <c r="AH295" s="711">
        <f t="shared" si="142"/>
        <v>123</v>
      </c>
      <c r="AI295" s="711">
        <f t="shared" si="157"/>
        <v>62</v>
      </c>
      <c r="AJ295" s="711">
        <f t="shared" si="158"/>
        <v>222</v>
      </c>
      <c r="AK295" s="711">
        <f t="shared" si="159"/>
        <v>217</v>
      </c>
      <c r="AL295" s="711">
        <f t="shared" si="160"/>
        <v>227</v>
      </c>
      <c r="AM295" s="711">
        <f t="shared" si="161"/>
        <v>137</v>
      </c>
      <c r="AN295" s="711">
        <f t="shared" si="162"/>
        <v>158</v>
      </c>
      <c r="AO295" s="711">
        <f t="shared" si="163"/>
        <v>72</v>
      </c>
      <c r="AP295" s="711">
        <f t="shared" si="164"/>
        <v>114</v>
      </c>
      <c r="AQ295" s="711">
        <f t="shared" si="153"/>
        <v>148</v>
      </c>
      <c r="AR295" s="711">
        <f t="shared" si="154"/>
        <v>160</v>
      </c>
      <c r="AS295" s="711">
        <f t="shared" si="155"/>
        <v>154</v>
      </c>
      <c r="AT295" s="711">
        <f t="shared" si="156"/>
        <v>44</v>
      </c>
      <c r="AU295" s="711">
        <f t="shared" si="166"/>
        <v>18</v>
      </c>
      <c r="AV295" s="711">
        <f t="shared" si="167"/>
        <v>131</v>
      </c>
      <c r="AW295" s="711">
        <f t="shared" si="168"/>
        <v>56</v>
      </c>
      <c r="AX295" s="711">
        <f t="shared" si="165"/>
        <v>208</v>
      </c>
      <c r="AY295" s="711">
        <f t="shared" si="165"/>
        <v>336</v>
      </c>
      <c r="AZ295" s="711">
        <f t="shared" si="165"/>
        <v>412</v>
      </c>
      <c r="BA295" s="711">
        <f t="shared" si="137"/>
        <v>271</v>
      </c>
    </row>
    <row r="296" spans="1:53">
      <c r="A296" s="106">
        <f t="shared" si="150"/>
        <v>285</v>
      </c>
      <c r="B296" s="858">
        <v>42289</v>
      </c>
      <c r="C296" s="859" t="s">
        <v>1725</v>
      </c>
      <c r="D296" s="860">
        <v>4095</v>
      </c>
      <c r="E296" s="860">
        <v>3946</v>
      </c>
      <c r="F296" s="860">
        <v>3796</v>
      </c>
      <c r="G296" s="860">
        <v>3739</v>
      </c>
      <c r="H296" s="860">
        <v>3704</v>
      </c>
      <c r="I296" s="860">
        <v>3990</v>
      </c>
      <c r="J296" s="860">
        <v>4367</v>
      </c>
      <c r="K296" s="860">
        <v>4591</v>
      </c>
      <c r="L296" s="860">
        <v>4653</v>
      </c>
      <c r="M296" s="860">
        <v>4752</v>
      </c>
      <c r="N296" s="860">
        <v>4839</v>
      </c>
      <c r="O296" s="860">
        <v>4926</v>
      </c>
      <c r="P296" s="860">
        <v>5003</v>
      </c>
      <c r="Q296" s="860">
        <v>5091</v>
      </c>
      <c r="R296" s="860">
        <v>5213</v>
      </c>
      <c r="S296" s="860">
        <v>5299</v>
      </c>
      <c r="T296" s="860">
        <v>5511</v>
      </c>
      <c r="U296" s="860">
        <v>5410</v>
      </c>
      <c r="V296" s="860">
        <v>5476</v>
      </c>
      <c r="W296" s="860">
        <v>5511</v>
      </c>
      <c r="X296" s="860">
        <v>5248</v>
      </c>
      <c r="Y296" s="860">
        <v>4891</v>
      </c>
      <c r="Z296" s="860">
        <v>4418</v>
      </c>
      <c r="AA296" s="860">
        <v>4048</v>
      </c>
      <c r="AC296" s="712">
        <f t="shared" si="151"/>
        <v>285</v>
      </c>
      <c r="AD296" s="711">
        <f t="shared" si="152"/>
        <v>146</v>
      </c>
      <c r="AE296" s="711">
        <f t="shared" si="142"/>
        <v>149</v>
      </c>
      <c r="AF296" s="711">
        <f t="shared" si="142"/>
        <v>150</v>
      </c>
      <c r="AG296" s="711">
        <f t="shared" si="142"/>
        <v>57</v>
      </c>
      <c r="AH296" s="711">
        <f t="shared" si="142"/>
        <v>35</v>
      </c>
      <c r="AI296" s="711">
        <f t="shared" si="157"/>
        <v>286</v>
      </c>
      <c r="AJ296" s="711">
        <f t="shared" si="158"/>
        <v>377</v>
      </c>
      <c r="AK296" s="711">
        <f t="shared" si="159"/>
        <v>224</v>
      </c>
      <c r="AL296" s="711">
        <f t="shared" si="160"/>
        <v>62</v>
      </c>
      <c r="AM296" s="711">
        <f t="shared" si="161"/>
        <v>99</v>
      </c>
      <c r="AN296" s="711">
        <f t="shared" si="162"/>
        <v>87</v>
      </c>
      <c r="AO296" s="711">
        <f t="shared" si="163"/>
        <v>87</v>
      </c>
      <c r="AP296" s="711">
        <f t="shared" si="164"/>
        <v>77</v>
      </c>
      <c r="AQ296" s="711">
        <f t="shared" si="153"/>
        <v>88</v>
      </c>
      <c r="AR296" s="711">
        <f t="shared" si="154"/>
        <v>122</v>
      </c>
      <c r="AS296" s="711">
        <f t="shared" si="155"/>
        <v>86</v>
      </c>
      <c r="AT296" s="711">
        <f t="shared" si="156"/>
        <v>212</v>
      </c>
      <c r="AU296" s="711">
        <f t="shared" si="166"/>
        <v>101</v>
      </c>
      <c r="AV296" s="711">
        <f t="shared" si="167"/>
        <v>66</v>
      </c>
      <c r="AW296" s="711">
        <f t="shared" si="168"/>
        <v>35</v>
      </c>
      <c r="AX296" s="711">
        <f t="shared" si="165"/>
        <v>263</v>
      </c>
      <c r="AY296" s="711">
        <f t="shared" si="165"/>
        <v>357</v>
      </c>
      <c r="AZ296" s="711">
        <f t="shared" si="165"/>
        <v>473</v>
      </c>
      <c r="BA296" s="711">
        <f t="shared" si="165"/>
        <v>370</v>
      </c>
    </row>
    <row r="297" spans="1:53">
      <c r="A297" s="106">
        <f t="shared" si="150"/>
        <v>286</v>
      </c>
      <c r="B297" s="858">
        <v>42290</v>
      </c>
      <c r="C297" s="859" t="s">
        <v>1725</v>
      </c>
      <c r="D297" s="860">
        <v>3896</v>
      </c>
      <c r="E297" s="860">
        <v>3923</v>
      </c>
      <c r="F297" s="860">
        <v>3876</v>
      </c>
      <c r="G297" s="860">
        <v>3863</v>
      </c>
      <c r="H297" s="860">
        <v>3950</v>
      </c>
      <c r="I297" s="860">
        <v>4169</v>
      </c>
      <c r="J297" s="860">
        <v>4580</v>
      </c>
      <c r="K297" s="860">
        <v>4786</v>
      </c>
      <c r="L297" s="860">
        <v>4686</v>
      </c>
      <c r="M297" s="860">
        <v>4832</v>
      </c>
      <c r="N297" s="860">
        <v>4989</v>
      </c>
      <c r="O297" s="860">
        <v>5069</v>
      </c>
      <c r="P297" s="860">
        <v>5115</v>
      </c>
      <c r="Q297" s="860">
        <v>5281</v>
      </c>
      <c r="R297" s="860">
        <v>5380</v>
      </c>
      <c r="S297" s="860">
        <v>5401</v>
      </c>
      <c r="T297" s="860">
        <v>5552</v>
      </c>
      <c r="U297" s="860">
        <v>5691</v>
      </c>
      <c r="V297" s="860">
        <v>5601</v>
      </c>
      <c r="W297" s="860">
        <v>5582</v>
      </c>
      <c r="X297" s="860">
        <v>5305</v>
      </c>
      <c r="Y297" s="860">
        <v>4913</v>
      </c>
      <c r="Z297" s="860">
        <v>4471</v>
      </c>
      <c r="AA297" s="860">
        <v>4154</v>
      </c>
      <c r="AC297" s="712">
        <f t="shared" si="151"/>
        <v>286</v>
      </c>
      <c r="AD297" s="711">
        <f t="shared" si="152"/>
        <v>152</v>
      </c>
      <c r="AE297" s="711">
        <f t="shared" si="142"/>
        <v>27</v>
      </c>
      <c r="AF297" s="711">
        <f t="shared" si="142"/>
        <v>47</v>
      </c>
      <c r="AG297" s="711">
        <f t="shared" si="142"/>
        <v>13</v>
      </c>
      <c r="AH297" s="711">
        <f t="shared" si="142"/>
        <v>87</v>
      </c>
      <c r="AI297" s="711">
        <f t="shared" si="157"/>
        <v>219</v>
      </c>
      <c r="AJ297" s="711">
        <f t="shared" si="158"/>
        <v>411</v>
      </c>
      <c r="AK297" s="711">
        <f t="shared" si="159"/>
        <v>206</v>
      </c>
      <c r="AL297" s="711">
        <f t="shared" si="160"/>
        <v>100</v>
      </c>
      <c r="AM297" s="711">
        <f t="shared" si="161"/>
        <v>146</v>
      </c>
      <c r="AN297" s="711">
        <f t="shared" si="162"/>
        <v>157</v>
      </c>
      <c r="AO297" s="711">
        <f t="shared" si="163"/>
        <v>80</v>
      </c>
      <c r="AP297" s="711">
        <f t="shared" si="164"/>
        <v>46</v>
      </c>
      <c r="AQ297" s="711">
        <f t="shared" si="153"/>
        <v>166</v>
      </c>
      <c r="AR297" s="711">
        <f t="shared" si="154"/>
        <v>99</v>
      </c>
      <c r="AS297" s="711">
        <f t="shared" si="155"/>
        <v>21</v>
      </c>
      <c r="AT297" s="711">
        <f t="shared" si="156"/>
        <v>151</v>
      </c>
      <c r="AU297" s="711">
        <f t="shared" si="166"/>
        <v>139</v>
      </c>
      <c r="AV297" s="711">
        <f t="shared" si="167"/>
        <v>90</v>
      </c>
      <c r="AW297" s="711">
        <f t="shared" si="168"/>
        <v>19</v>
      </c>
      <c r="AX297" s="711">
        <f t="shared" si="165"/>
        <v>277</v>
      </c>
      <c r="AY297" s="711">
        <f t="shared" si="165"/>
        <v>392</v>
      </c>
      <c r="AZ297" s="711">
        <f t="shared" si="165"/>
        <v>442</v>
      </c>
      <c r="BA297" s="711">
        <f t="shared" si="165"/>
        <v>317</v>
      </c>
    </row>
    <row r="298" spans="1:53">
      <c r="A298" s="106">
        <f t="shared" si="150"/>
        <v>287</v>
      </c>
      <c r="B298" s="858">
        <v>42291</v>
      </c>
      <c r="C298" s="859" t="s">
        <v>1725</v>
      </c>
      <c r="D298" s="860">
        <v>3985</v>
      </c>
      <c r="E298" s="860">
        <v>3939</v>
      </c>
      <c r="F298" s="860">
        <v>3904</v>
      </c>
      <c r="G298" s="860">
        <v>3877</v>
      </c>
      <c r="H298" s="860">
        <v>3938</v>
      </c>
      <c r="I298" s="860">
        <v>4126</v>
      </c>
      <c r="J298" s="860">
        <v>4567</v>
      </c>
      <c r="K298" s="860">
        <v>4688</v>
      </c>
      <c r="L298" s="860">
        <v>4735</v>
      </c>
      <c r="M298" s="860">
        <v>4839</v>
      </c>
      <c r="N298" s="860">
        <v>4967</v>
      </c>
      <c r="O298" s="860">
        <v>5071</v>
      </c>
      <c r="P298" s="860">
        <v>5131</v>
      </c>
      <c r="Q298" s="860">
        <v>5270</v>
      </c>
      <c r="R298" s="860">
        <v>5384</v>
      </c>
      <c r="S298" s="860">
        <v>5508</v>
      </c>
      <c r="T298" s="860">
        <v>5657</v>
      </c>
      <c r="U298" s="860">
        <v>5746</v>
      </c>
      <c r="V298" s="860">
        <v>5618</v>
      </c>
      <c r="W298" s="860">
        <v>5591</v>
      </c>
      <c r="X298" s="860">
        <v>5331</v>
      </c>
      <c r="Y298" s="860">
        <v>4964</v>
      </c>
      <c r="Z298" s="860">
        <v>4494</v>
      </c>
      <c r="AA298" s="860">
        <v>4074</v>
      </c>
      <c r="AC298" s="712">
        <f t="shared" si="151"/>
        <v>287</v>
      </c>
      <c r="AD298" s="711">
        <f t="shared" si="152"/>
        <v>169</v>
      </c>
      <c r="AE298" s="711">
        <f t="shared" si="142"/>
        <v>46</v>
      </c>
      <c r="AF298" s="711">
        <f t="shared" si="142"/>
        <v>35</v>
      </c>
      <c r="AG298" s="711">
        <f t="shared" si="142"/>
        <v>27</v>
      </c>
      <c r="AH298" s="711">
        <f t="shared" si="142"/>
        <v>61</v>
      </c>
      <c r="AI298" s="711">
        <f t="shared" si="157"/>
        <v>188</v>
      </c>
      <c r="AJ298" s="711">
        <f t="shared" si="158"/>
        <v>441</v>
      </c>
      <c r="AK298" s="711">
        <f t="shared" si="159"/>
        <v>121</v>
      </c>
      <c r="AL298" s="711">
        <f t="shared" si="160"/>
        <v>47</v>
      </c>
      <c r="AM298" s="711">
        <f t="shared" si="161"/>
        <v>104</v>
      </c>
      <c r="AN298" s="711">
        <f t="shared" si="162"/>
        <v>128</v>
      </c>
      <c r="AO298" s="711">
        <f t="shared" si="163"/>
        <v>104</v>
      </c>
      <c r="AP298" s="711">
        <f t="shared" si="164"/>
        <v>60</v>
      </c>
      <c r="AQ298" s="711">
        <f t="shared" si="153"/>
        <v>139</v>
      </c>
      <c r="AR298" s="711">
        <f t="shared" si="154"/>
        <v>114</v>
      </c>
      <c r="AS298" s="711">
        <f t="shared" si="155"/>
        <v>124</v>
      </c>
      <c r="AT298" s="711">
        <f t="shared" si="156"/>
        <v>149</v>
      </c>
      <c r="AU298" s="711">
        <f t="shared" si="166"/>
        <v>89</v>
      </c>
      <c r="AV298" s="711">
        <f t="shared" si="167"/>
        <v>128</v>
      </c>
      <c r="AW298" s="711">
        <f t="shared" si="168"/>
        <v>27</v>
      </c>
      <c r="AX298" s="711">
        <f t="shared" si="165"/>
        <v>260</v>
      </c>
      <c r="AY298" s="711">
        <f t="shared" si="165"/>
        <v>367</v>
      </c>
      <c r="AZ298" s="711">
        <f t="shared" si="165"/>
        <v>470</v>
      </c>
      <c r="BA298" s="711">
        <f t="shared" si="165"/>
        <v>420</v>
      </c>
    </row>
    <row r="299" spans="1:53">
      <c r="A299" s="106">
        <f t="shared" si="150"/>
        <v>288</v>
      </c>
      <c r="B299" s="858">
        <v>42292</v>
      </c>
      <c r="C299" s="859" t="s">
        <v>1725</v>
      </c>
      <c r="D299" s="860">
        <v>3845</v>
      </c>
      <c r="E299" s="860">
        <v>3694</v>
      </c>
      <c r="F299" s="860">
        <v>3686</v>
      </c>
      <c r="G299" s="860">
        <v>3735</v>
      </c>
      <c r="H299" s="860">
        <v>3902</v>
      </c>
      <c r="I299" s="860">
        <v>4171</v>
      </c>
      <c r="J299" s="860">
        <v>4617</v>
      </c>
      <c r="K299" s="860">
        <v>4833</v>
      </c>
      <c r="L299" s="860">
        <v>4798</v>
      </c>
      <c r="M299" s="860">
        <v>4811</v>
      </c>
      <c r="N299" s="860">
        <v>4758</v>
      </c>
      <c r="O299" s="860">
        <v>4728</v>
      </c>
      <c r="P299" s="860">
        <v>4798</v>
      </c>
      <c r="Q299" s="860">
        <v>4867</v>
      </c>
      <c r="R299" s="860">
        <v>4911</v>
      </c>
      <c r="S299" s="860">
        <v>4950</v>
      </c>
      <c r="T299" s="860">
        <v>5091</v>
      </c>
      <c r="U299" s="860">
        <v>5047</v>
      </c>
      <c r="V299" s="860">
        <v>5166</v>
      </c>
      <c r="W299" s="860">
        <v>5224</v>
      </c>
      <c r="X299" s="860">
        <v>5042</v>
      </c>
      <c r="Y299" s="860">
        <v>4759</v>
      </c>
      <c r="Z299" s="860">
        <v>4311</v>
      </c>
      <c r="AA299" s="860">
        <v>4007</v>
      </c>
      <c r="AC299" s="712">
        <f t="shared" si="151"/>
        <v>288</v>
      </c>
      <c r="AD299" s="711">
        <f t="shared" si="152"/>
        <v>229</v>
      </c>
      <c r="AE299" s="711">
        <f t="shared" si="142"/>
        <v>151</v>
      </c>
      <c r="AF299" s="711">
        <f t="shared" si="142"/>
        <v>8</v>
      </c>
      <c r="AG299" s="711">
        <f t="shared" si="142"/>
        <v>49</v>
      </c>
      <c r="AH299" s="711">
        <f t="shared" si="142"/>
        <v>167</v>
      </c>
      <c r="AI299" s="711">
        <f t="shared" si="157"/>
        <v>269</v>
      </c>
      <c r="AJ299" s="711">
        <f t="shared" si="158"/>
        <v>446</v>
      </c>
      <c r="AK299" s="711">
        <f t="shared" si="159"/>
        <v>216</v>
      </c>
      <c r="AL299" s="711">
        <f t="shared" si="160"/>
        <v>35</v>
      </c>
      <c r="AM299" s="711">
        <f t="shared" si="161"/>
        <v>13</v>
      </c>
      <c r="AN299" s="711">
        <f t="shared" si="162"/>
        <v>53</v>
      </c>
      <c r="AO299" s="711">
        <f t="shared" si="163"/>
        <v>30</v>
      </c>
      <c r="AP299" s="711">
        <f t="shared" si="164"/>
        <v>70</v>
      </c>
      <c r="AQ299" s="711">
        <f t="shared" si="153"/>
        <v>69</v>
      </c>
      <c r="AR299" s="711">
        <f t="shared" si="154"/>
        <v>44</v>
      </c>
      <c r="AS299" s="711">
        <f t="shared" si="155"/>
        <v>39</v>
      </c>
      <c r="AT299" s="711">
        <f t="shared" si="156"/>
        <v>141</v>
      </c>
      <c r="AU299" s="711">
        <f t="shared" si="166"/>
        <v>44</v>
      </c>
      <c r="AV299" s="711">
        <f t="shared" si="167"/>
        <v>119</v>
      </c>
      <c r="AW299" s="711">
        <f t="shared" si="168"/>
        <v>58</v>
      </c>
      <c r="AX299" s="711">
        <f t="shared" si="165"/>
        <v>182</v>
      </c>
      <c r="AY299" s="711">
        <f t="shared" si="165"/>
        <v>283</v>
      </c>
      <c r="AZ299" s="711">
        <f t="shared" si="165"/>
        <v>448</v>
      </c>
      <c r="BA299" s="711">
        <f t="shared" si="165"/>
        <v>304</v>
      </c>
    </row>
    <row r="300" spans="1:53">
      <c r="A300" s="106">
        <f t="shared" si="150"/>
        <v>289</v>
      </c>
      <c r="B300" s="858">
        <v>42293</v>
      </c>
      <c r="C300" s="859" t="s">
        <v>1725</v>
      </c>
      <c r="D300" s="860">
        <v>3899</v>
      </c>
      <c r="E300" s="860">
        <v>3859</v>
      </c>
      <c r="F300" s="860">
        <v>3835</v>
      </c>
      <c r="G300" s="860">
        <v>3835</v>
      </c>
      <c r="H300" s="860">
        <v>3899</v>
      </c>
      <c r="I300" s="860">
        <v>4124</v>
      </c>
      <c r="J300" s="860">
        <v>4378</v>
      </c>
      <c r="K300" s="860">
        <v>4552</v>
      </c>
      <c r="L300" s="860">
        <v>4586</v>
      </c>
      <c r="M300" s="860">
        <v>4607</v>
      </c>
      <c r="N300" s="860">
        <v>4637</v>
      </c>
      <c r="O300" s="860">
        <v>4643</v>
      </c>
      <c r="P300" s="860">
        <v>4652</v>
      </c>
      <c r="Q300" s="860">
        <v>4706</v>
      </c>
      <c r="R300" s="860">
        <v>4747</v>
      </c>
      <c r="S300" s="860">
        <v>4777</v>
      </c>
      <c r="T300" s="860">
        <v>4809</v>
      </c>
      <c r="U300" s="860">
        <v>4877</v>
      </c>
      <c r="V300" s="860">
        <v>4940</v>
      </c>
      <c r="W300" s="860">
        <v>4974</v>
      </c>
      <c r="X300" s="860">
        <v>4920</v>
      </c>
      <c r="Y300" s="860">
        <v>4686</v>
      </c>
      <c r="Z300" s="860">
        <v>4352</v>
      </c>
      <c r="AA300" s="860">
        <v>4101</v>
      </c>
      <c r="AC300" s="712">
        <f t="shared" si="151"/>
        <v>289</v>
      </c>
      <c r="AD300" s="711">
        <f t="shared" si="152"/>
        <v>108</v>
      </c>
      <c r="AE300" s="711">
        <f t="shared" si="142"/>
        <v>40</v>
      </c>
      <c r="AF300" s="711">
        <f t="shared" si="142"/>
        <v>24</v>
      </c>
      <c r="AG300" s="711">
        <f t="shared" si="142"/>
        <v>0</v>
      </c>
      <c r="AH300" s="711">
        <f t="shared" si="142"/>
        <v>64</v>
      </c>
      <c r="AI300" s="711">
        <f t="shared" si="157"/>
        <v>225</v>
      </c>
      <c r="AJ300" s="711">
        <f t="shared" si="158"/>
        <v>254</v>
      </c>
      <c r="AK300" s="711">
        <f t="shared" si="159"/>
        <v>174</v>
      </c>
      <c r="AL300" s="711">
        <f t="shared" si="160"/>
        <v>34</v>
      </c>
      <c r="AM300" s="711">
        <f t="shared" si="161"/>
        <v>21</v>
      </c>
      <c r="AN300" s="711">
        <f t="shared" si="162"/>
        <v>30</v>
      </c>
      <c r="AO300" s="711">
        <f t="shared" si="163"/>
        <v>6</v>
      </c>
      <c r="AP300" s="711">
        <f t="shared" si="164"/>
        <v>9</v>
      </c>
      <c r="AQ300" s="711">
        <f t="shared" si="153"/>
        <v>54</v>
      </c>
      <c r="AR300" s="711">
        <f t="shared" si="154"/>
        <v>41</v>
      </c>
      <c r="AS300" s="711">
        <f t="shared" si="155"/>
        <v>30</v>
      </c>
      <c r="AT300" s="711">
        <f t="shared" si="156"/>
        <v>32</v>
      </c>
      <c r="AU300" s="711">
        <f t="shared" si="166"/>
        <v>68</v>
      </c>
      <c r="AV300" s="711">
        <f t="shared" si="167"/>
        <v>63</v>
      </c>
      <c r="AW300" s="711">
        <f t="shared" si="168"/>
        <v>34</v>
      </c>
      <c r="AX300" s="711">
        <f t="shared" si="165"/>
        <v>54</v>
      </c>
      <c r="AY300" s="711">
        <f t="shared" si="165"/>
        <v>234</v>
      </c>
      <c r="AZ300" s="711">
        <f t="shared" si="165"/>
        <v>334</v>
      </c>
      <c r="BA300" s="711">
        <f t="shared" si="165"/>
        <v>251</v>
      </c>
    </row>
    <row r="301" spans="1:53">
      <c r="A301" s="106">
        <f t="shared" si="150"/>
        <v>290</v>
      </c>
      <c r="B301" s="858">
        <v>42294</v>
      </c>
      <c r="C301" s="859" t="s">
        <v>1725</v>
      </c>
      <c r="D301" s="860">
        <v>3937</v>
      </c>
      <c r="E301" s="860">
        <v>3801</v>
      </c>
      <c r="F301" s="860">
        <v>3700</v>
      </c>
      <c r="G301" s="860">
        <v>3585</v>
      </c>
      <c r="H301" s="860">
        <v>3567</v>
      </c>
      <c r="I301" s="860">
        <v>3611</v>
      </c>
      <c r="J301" s="860">
        <v>3833</v>
      </c>
      <c r="K301" s="860">
        <v>4008</v>
      </c>
      <c r="L301" s="860">
        <v>4180</v>
      </c>
      <c r="M301" s="860">
        <v>4302</v>
      </c>
      <c r="N301" s="860">
        <v>4312</v>
      </c>
      <c r="O301" s="860">
        <v>4344</v>
      </c>
      <c r="P301" s="860">
        <v>4426</v>
      </c>
      <c r="Q301" s="860">
        <v>4443</v>
      </c>
      <c r="R301" s="860">
        <v>4491</v>
      </c>
      <c r="S301" s="860">
        <v>4575</v>
      </c>
      <c r="T301" s="860">
        <v>4681</v>
      </c>
      <c r="U301" s="860">
        <v>4775</v>
      </c>
      <c r="V301" s="860">
        <v>4904</v>
      </c>
      <c r="W301" s="860">
        <v>4935</v>
      </c>
      <c r="X301" s="860">
        <v>4751</v>
      </c>
      <c r="Y301" s="860">
        <v>4538</v>
      </c>
      <c r="Z301" s="860">
        <v>4241</v>
      </c>
      <c r="AA301" s="860">
        <v>4065</v>
      </c>
      <c r="AC301" s="712">
        <f t="shared" si="151"/>
        <v>290</v>
      </c>
      <c r="AD301" s="711">
        <f t="shared" si="152"/>
        <v>164</v>
      </c>
      <c r="AE301" s="711">
        <f t="shared" si="142"/>
        <v>136</v>
      </c>
      <c r="AF301" s="711">
        <f t="shared" si="142"/>
        <v>101</v>
      </c>
      <c r="AG301" s="711">
        <f t="shared" si="142"/>
        <v>115</v>
      </c>
      <c r="AH301" s="711">
        <f t="shared" si="142"/>
        <v>18</v>
      </c>
      <c r="AI301" s="711">
        <f t="shared" si="157"/>
        <v>44</v>
      </c>
      <c r="AJ301" s="711">
        <f t="shared" si="158"/>
        <v>222</v>
      </c>
      <c r="AK301" s="711">
        <f t="shared" si="159"/>
        <v>175</v>
      </c>
      <c r="AL301" s="711">
        <f t="shared" si="160"/>
        <v>172</v>
      </c>
      <c r="AM301" s="711">
        <f t="shared" si="161"/>
        <v>122</v>
      </c>
      <c r="AN301" s="711">
        <f t="shared" si="162"/>
        <v>10</v>
      </c>
      <c r="AO301" s="711">
        <f t="shared" si="163"/>
        <v>32</v>
      </c>
      <c r="AP301" s="711">
        <f t="shared" si="164"/>
        <v>82</v>
      </c>
      <c r="AQ301" s="711">
        <f t="shared" si="153"/>
        <v>17</v>
      </c>
      <c r="AR301" s="711">
        <f t="shared" si="154"/>
        <v>48</v>
      </c>
      <c r="AS301" s="711">
        <f t="shared" si="155"/>
        <v>84</v>
      </c>
      <c r="AT301" s="711">
        <f t="shared" si="156"/>
        <v>106</v>
      </c>
      <c r="AU301" s="711">
        <f t="shared" si="166"/>
        <v>94</v>
      </c>
      <c r="AV301" s="711">
        <f t="shared" si="167"/>
        <v>129</v>
      </c>
      <c r="AW301" s="711">
        <f t="shared" si="168"/>
        <v>31</v>
      </c>
      <c r="AX301" s="711">
        <f t="shared" si="165"/>
        <v>184</v>
      </c>
      <c r="AY301" s="711">
        <f t="shared" si="165"/>
        <v>213</v>
      </c>
      <c r="AZ301" s="711">
        <f t="shared" si="165"/>
        <v>297</v>
      </c>
      <c r="BA301" s="711">
        <f t="shared" si="165"/>
        <v>176</v>
      </c>
    </row>
    <row r="302" spans="1:53">
      <c r="A302" s="106">
        <f t="shared" si="150"/>
        <v>291</v>
      </c>
      <c r="B302" s="858">
        <v>42295</v>
      </c>
      <c r="C302" s="859" t="s">
        <v>1725</v>
      </c>
      <c r="D302" s="860">
        <v>3948</v>
      </c>
      <c r="E302" s="860">
        <v>3821</v>
      </c>
      <c r="F302" s="860">
        <v>3758</v>
      </c>
      <c r="G302" s="860">
        <v>3703</v>
      </c>
      <c r="H302" s="860">
        <v>3689</v>
      </c>
      <c r="I302" s="860">
        <v>3674</v>
      </c>
      <c r="J302" s="860">
        <v>3807</v>
      </c>
      <c r="K302" s="860">
        <v>3833</v>
      </c>
      <c r="L302" s="860">
        <v>3999</v>
      </c>
      <c r="M302" s="860">
        <v>4153</v>
      </c>
      <c r="N302" s="860">
        <v>4279</v>
      </c>
      <c r="O302" s="860">
        <v>4399</v>
      </c>
      <c r="P302" s="860">
        <v>4487</v>
      </c>
      <c r="Q302" s="860">
        <v>4503</v>
      </c>
      <c r="R302" s="860">
        <v>4596</v>
      </c>
      <c r="S302" s="860">
        <v>4695</v>
      </c>
      <c r="T302" s="860">
        <v>4850</v>
      </c>
      <c r="U302" s="860">
        <v>4881</v>
      </c>
      <c r="V302" s="860">
        <v>5073</v>
      </c>
      <c r="W302" s="860">
        <v>5108</v>
      </c>
      <c r="X302" s="860">
        <v>4910</v>
      </c>
      <c r="Y302" s="860">
        <v>4587</v>
      </c>
      <c r="Z302" s="860">
        <v>4267</v>
      </c>
      <c r="AA302" s="860">
        <v>4117</v>
      </c>
      <c r="AC302" s="712">
        <f t="shared" si="151"/>
        <v>291</v>
      </c>
      <c r="AD302" s="711">
        <f t="shared" si="152"/>
        <v>117</v>
      </c>
      <c r="AE302" s="711">
        <f t="shared" si="142"/>
        <v>127</v>
      </c>
      <c r="AF302" s="711">
        <f t="shared" si="142"/>
        <v>63</v>
      </c>
      <c r="AG302" s="711">
        <f t="shared" si="142"/>
        <v>55</v>
      </c>
      <c r="AH302" s="711">
        <f t="shared" si="142"/>
        <v>14</v>
      </c>
      <c r="AI302" s="711">
        <f t="shared" si="157"/>
        <v>15</v>
      </c>
      <c r="AJ302" s="711">
        <f t="shared" si="158"/>
        <v>133</v>
      </c>
      <c r="AK302" s="711">
        <f t="shared" si="159"/>
        <v>26</v>
      </c>
      <c r="AL302" s="711">
        <f t="shared" si="160"/>
        <v>166</v>
      </c>
      <c r="AM302" s="711">
        <f t="shared" si="161"/>
        <v>154</v>
      </c>
      <c r="AN302" s="711">
        <f t="shared" si="162"/>
        <v>126</v>
      </c>
      <c r="AO302" s="711">
        <f t="shared" si="163"/>
        <v>120</v>
      </c>
      <c r="AP302" s="711">
        <f t="shared" si="164"/>
        <v>88</v>
      </c>
      <c r="AQ302" s="711">
        <f t="shared" si="153"/>
        <v>16</v>
      </c>
      <c r="AR302" s="711">
        <f t="shared" si="154"/>
        <v>93</v>
      </c>
      <c r="AS302" s="711">
        <f t="shared" si="155"/>
        <v>99</v>
      </c>
      <c r="AT302" s="711">
        <f t="shared" si="156"/>
        <v>155</v>
      </c>
      <c r="AU302" s="711">
        <f t="shared" si="166"/>
        <v>31</v>
      </c>
      <c r="AV302" s="711">
        <f t="shared" si="167"/>
        <v>192</v>
      </c>
      <c r="AW302" s="711">
        <f t="shared" si="168"/>
        <v>35</v>
      </c>
      <c r="AX302" s="711">
        <f t="shared" si="165"/>
        <v>198</v>
      </c>
      <c r="AY302" s="711">
        <f t="shared" si="165"/>
        <v>323</v>
      </c>
      <c r="AZ302" s="711">
        <f t="shared" si="165"/>
        <v>320</v>
      </c>
      <c r="BA302" s="711">
        <f t="shared" si="165"/>
        <v>150</v>
      </c>
    </row>
    <row r="303" spans="1:53">
      <c r="A303" s="106">
        <f t="shared" si="150"/>
        <v>292</v>
      </c>
      <c r="B303" s="858">
        <v>42296</v>
      </c>
      <c r="C303" s="859" t="s">
        <v>1725</v>
      </c>
      <c r="D303" s="860">
        <v>3945</v>
      </c>
      <c r="E303" s="860">
        <v>3817</v>
      </c>
      <c r="F303" s="860">
        <v>3751</v>
      </c>
      <c r="G303" s="860">
        <v>3754</v>
      </c>
      <c r="H303" s="860">
        <v>3774</v>
      </c>
      <c r="I303" s="860">
        <v>4021</v>
      </c>
      <c r="J303" s="860">
        <v>4447</v>
      </c>
      <c r="K303" s="860">
        <v>4553</v>
      </c>
      <c r="L303" s="860">
        <v>4673</v>
      </c>
      <c r="M303" s="860">
        <v>4759</v>
      </c>
      <c r="N303" s="860">
        <v>4913</v>
      </c>
      <c r="O303" s="860">
        <v>4978</v>
      </c>
      <c r="P303" s="860">
        <v>5057</v>
      </c>
      <c r="Q303" s="860">
        <v>5031</v>
      </c>
      <c r="R303" s="860">
        <v>5081</v>
      </c>
      <c r="S303" s="860">
        <v>5002</v>
      </c>
      <c r="T303" s="860">
        <v>5037</v>
      </c>
      <c r="U303" s="860">
        <v>5033</v>
      </c>
      <c r="V303" s="860">
        <v>5277</v>
      </c>
      <c r="W303" s="860">
        <v>5305</v>
      </c>
      <c r="X303" s="860">
        <v>5080</v>
      </c>
      <c r="Y303" s="860">
        <v>4766</v>
      </c>
      <c r="Z303" s="860">
        <v>4313</v>
      </c>
      <c r="AA303" s="860">
        <v>4019</v>
      </c>
      <c r="AC303" s="712">
        <f t="shared" si="151"/>
        <v>292</v>
      </c>
      <c r="AD303" s="711">
        <f t="shared" si="152"/>
        <v>172</v>
      </c>
      <c r="AE303" s="711">
        <f t="shared" si="142"/>
        <v>128</v>
      </c>
      <c r="AF303" s="711">
        <f t="shared" si="142"/>
        <v>66</v>
      </c>
      <c r="AG303" s="711">
        <f t="shared" si="142"/>
        <v>3</v>
      </c>
      <c r="AH303" s="711">
        <f t="shared" si="142"/>
        <v>20</v>
      </c>
      <c r="AI303" s="711">
        <f t="shared" si="157"/>
        <v>247</v>
      </c>
      <c r="AJ303" s="711">
        <f t="shared" si="158"/>
        <v>426</v>
      </c>
      <c r="AK303" s="711">
        <f t="shared" si="159"/>
        <v>106</v>
      </c>
      <c r="AL303" s="711">
        <f t="shared" si="160"/>
        <v>120</v>
      </c>
      <c r="AM303" s="711">
        <f t="shared" si="161"/>
        <v>86</v>
      </c>
      <c r="AN303" s="711">
        <f t="shared" si="162"/>
        <v>154</v>
      </c>
      <c r="AO303" s="711">
        <f t="shared" si="163"/>
        <v>65</v>
      </c>
      <c r="AP303" s="711">
        <f t="shared" si="164"/>
        <v>79</v>
      </c>
      <c r="AQ303" s="711">
        <f t="shared" ref="AQ303:AQ322" si="169">ABS(Q303-P303)</f>
        <v>26</v>
      </c>
      <c r="AR303" s="711">
        <f t="shared" ref="AR303:AW345" si="170">ABS(R303-Q303)</f>
        <v>50</v>
      </c>
      <c r="AS303" s="711">
        <f t="shared" si="170"/>
        <v>79</v>
      </c>
      <c r="AT303" s="711">
        <f t="shared" si="170"/>
        <v>35</v>
      </c>
      <c r="AU303" s="711">
        <f t="shared" si="170"/>
        <v>4</v>
      </c>
      <c r="AV303" s="711">
        <f t="shared" si="170"/>
        <v>244</v>
      </c>
      <c r="AW303" s="711">
        <f t="shared" si="170"/>
        <v>28</v>
      </c>
      <c r="AX303" s="711">
        <f t="shared" si="165"/>
        <v>225</v>
      </c>
      <c r="AY303" s="711">
        <f t="shared" si="165"/>
        <v>314</v>
      </c>
      <c r="AZ303" s="711">
        <f t="shared" si="165"/>
        <v>453</v>
      </c>
      <c r="BA303" s="711">
        <f t="shared" si="165"/>
        <v>294</v>
      </c>
    </row>
    <row r="304" spans="1:53">
      <c r="A304" s="106">
        <f t="shared" si="150"/>
        <v>293</v>
      </c>
      <c r="B304" s="858">
        <v>42297</v>
      </c>
      <c r="C304" s="859" t="s">
        <v>1725</v>
      </c>
      <c r="D304" s="860">
        <v>3888</v>
      </c>
      <c r="E304" s="860">
        <v>3855</v>
      </c>
      <c r="F304" s="860">
        <v>3823</v>
      </c>
      <c r="G304" s="860">
        <v>3771</v>
      </c>
      <c r="H304" s="860">
        <v>3876</v>
      </c>
      <c r="I304" s="860">
        <v>4059</v>
      </c>
      <c r="J304" s="860">
        <v>4568</v>
      </c>
      <c r="K304" s="860">
        <v>4774</v>
      </c>
      <c r="L304" s="860">
        <v>4771</v>
      </c>
      <c r="M304" s="860">
        <v>4869</v>
      </c>
      <c r="N304" s="860">
        <v>4898</v>
      </c>
      <c r="O304" s="860">
        <v>4922</v>
      </c>
      <c r="P304" s="860">
        <v>4912</v>
      </c>
      <c r="Q304" s="860">
        <v>4931</v>
      </c>
      <c r="R304" s="860">
        <v>4943</v>
      </c>
      <c r="S304" s="860">
        <v>5006</v>
      </c>
      <c r="T304" s="860">
        <v>5043</v>
      </c>
      <c r="U304" s="860">
        <v>5074</v>
      </c>
      <c r="V304" s="860">
        <v>5275</v>
      </c>
      <c r="W304" s="860">
        <v>5264</v>
      </c>
      <c r="X304" s="860">
        <v>5077</v>
      </c>
      <c r="Y304" s="860">
        <v>4763</v>
      </c>
      <c r="Z304" s="860">
        <v>4314</v>
      </c>
      <c r="AA304" s="860">
        <v>4127</v>
      </c>
      <c r="AC304" s="712">
        <f t="shared" si="151"/>
        <v>293</v>
      </c>
      <c r="AD304" s="711">
        <f t="shared" si="152"/>
        <v>131</v>
      </c>
      <c r="AE304" s="711">
        <f t="shared" ref="AE304:AE323" si="171">ABS(E304-D304)</f>
        <v>33</v>
      </c>
      <c r="AF304" s="711">
        <f t="shared" ref="AF304:AF323" si="172">ABS(F304-E304)</f>
        <v>32</v>
      </c>
      <c r="AG304" s="711">
        <f t="shared" ref="AG304:AG323" si="173">ABS(G304-F304)</f>
        <v>52</v>
      </c>
      <c r="AH304" s="711">
        <f t="shared" ref="AH304:AH323" si="174">ABS(H304-G304)</f>
        <v>105</v>
      </c>
      <c r="AI304" s="711">
        <f t="shared" si="157"/>
        <v>183</v>
      </c>
      <c r="AJ304" s="711">
        <f t="shared" si="158"/>
        <v>509</v>
      </c>
      <c r="AK304" s="711">
        <f t="shared" si="159"/>
        <v>206</v>
      </c>
      <c r="AL304" s="711">
        <f t="shared" si="160"/>
        <v>3</v>
      </c>
      <c r="AM304" s="711">
        <f t="shared" si="161"/>
        <v>98</v>
      </c>
      <c r="AN304" s="711">
        <f t="shared" si="162"/>
        <v>29</v>
      </c>
      <c r="AO304" s="711">
        <f t="shared" si="163"/>
        <v>24</v>
      </c>
      <c r="AP304" s="711">
        <f t="shared" si="164"/>
        <v>10</v>
      </c>
      <c r="AQ304" s="711">
        <f t="shared" si="169"/>
        <v>19</v>
      </c>
      <c r="AR304" s="711">
        <f t="shared" si="170"/>
        <v>12</v>
      </c>
      <c r="AS304" s="711">
        <f t="shared" si="170"/>
        <v>63</v>
      </c>
      <c r="AT304" s="711">
        <f t="shared" si="170"/>
        <v>37</v>
      </c>
      <c r="AU304" s="711">
        <f t="shared" si="170"/>
        <v>31</v>
      </c>
      <c r="AV304" s="711">
        <f t="shared" si="170"/>
        <v>201</v>
      </c>
      <c r="AW304" s="711">
        <f t="shared" si="170"/>
        <v>11</v>
      </c>
      <c r="AX304" s="711">
        <f t="shared" si="165"/>
        <v>187</v>
      </c>
      <c r="AY304" s="711">
        <f t="shared" si="165"/>
        <v>314</v>
      </c>
      <c r="AZ304" s="711">
        <f t="shared" si="165"/>
        <v>449</v>
      </c>
      <c r="BA304" s="711">
        <f t="shared" si="165"/>
        <v>187</v>
      </c>
    </row>
    <row r="305" spans="1:53">
      <c r="A305" s="106">
        <f t="shared" si="150"/>
        <v>294</v>
      </c>
      <c r="B305" s="858">
        <v>42298</v>
      </c>
      <c r="C305" s="859" t="s">
        <v>1725</v>
      </c>
      <c r="D305" s="860">
        <v>4040</v>
      </c>
      <c r="E305" s="860">
        <v>3921</v>
      </c>
      <c r="F305" s="860">
        <v>3859</v>
      </c>
      <c r="G305" s="860">
        <v>3847</v>
      </c>
      <c r="H305" s="860">
        <v>3920</v>
      </c>
      <c r="I305" s="860">
        <v>4082</v>
      </c>
      <c r="J305" s="860">
        <v>4597</v>
      </c>
      <c r="K305" s="860">
        <v>4872</v>
      </c>
      <c r="L305" s="860">
        <v>4921</v>
      </c>
      <c r="M305" s="860">
        <v>4960</v>
      </c>
      <c r="N305" s="860">
        <v>4980</v>
      </c>
      <c r="O305" s="860">
        <v>4981</v>
      </c>
      <c r="P305" s="860">
        <v>5003</v>
      </c>
      <c r="Q305" s="860">
        <v>5002</v>
      </c>
      <c r="R305" s="860">
        <v>5004</v>
      </c>
      <c r="S305" s="860">
        <v>4995</v>
      </c>
      <c r="T305" s="860">
        <v>5028</v>
      </c>
      <c r="U305" s="860">
        <v>5136</v>
      </c>
      <c r="V305" s="860">
        <v>5353</v>
      </c>
      <c r="W305" s="860">
        <v>5305</v>
      </c>
      <c r="X305" s="860">
        <v>5108</v>
      </c>
      <c r="Y305" s="860">
        <v>4829</v>
      </c>
      <c r="Z305" s="860">
        <v>4409</v>
      </c>
      <c r="AA305" s="860">
        <v>4064</v>
      </c>
      <c r="AC305" s="712">
        <f t="shared" si="151"/>
        <v>294</v>
      </c>
      <c r="AD305" s="711">
        <f t="shared" si="152"/>
        <v>87</v>
      </c>
      <c r="AE305" s="711">
        <f t="shared" si="171"/>
        <v>119</v>
      </c>
      <c r="AF305" s="711">
        <f t="shared" si="172"/>
        <v>62</v>
      </c>
      <c r="AG305" s="711">
        <f t="shared" si="173"/>
        <v>12</v>
      </c>
      <c r="AH305" s="711">
        <f t="shared" si="174"/>
        <v>73</v>
      </c>
      <c r="AI305" s="711">
        <f t="shared" si="157"/>
        <v>162</v>
      </c>
      <c r="AJ305" s="711">
        <f t="shared" si="158"/>
        <v>515</v>
      </c>
      <c r="AK305" s="711">
        <f t="shared" si="159"/>
        <v>275</v>
      </c>
      <c r="AL305" s="711">
        <f t="shared" si="160"/>
        <v>49</v>
      </c>
      <c r="AM305" s="711">
        <f t="shared" si="161"/>
        <v>39</v>
      </c>
      <c r="AN305" s="711">
        <f t="shared" si="162"/>
        <v>20</v>
      </c>
      <c r="AO305" s="711">
        <f t="shared" si="163"/>
        <v>1</v>
      </c>
      <c r="AP305" s="711">
        <f t="shared" si="164"/>
        <v>22</v>
      </c>
      <c r="AQ305" s="711">
        <f t="shared" si="169"/>
        <v>1</v>
      </c>
      <c r="AR305" s="711">
        <f t="shared" si="170"/>
        <v>2</v>
      </c>
      <c r="AS305" s="711">
        <f t="shared" si="170"/>
        <v>9</v>
      </c>
      <c r="AT305" s="711">
        <f t="shared" si="170"/>
        <v>33</v>
      </c>
      <c r="AU305" s="711">
        <f t="shared" si="170"/>
        <v>108</v>
      </c>
      <c r="AV305" s="711">
        <f t="shared" si="170"/>
        <v>217</v>
      </c>
      <c r="AW305" s="711">
        <f t="shared" si="170"/>
        <v>48</v>
      </c>
      <c r="AX305" s="711">
        <f t="shared" si="165"/>
        <v>197</v>
      </c>
      <c r="AY305" s="711">
        <f t="shared" si="165"/>
        <v>279</v>
      </c>
      <c r="AZ305" s="711">
        <f t="shared" si="165"/>
        <v>420</v>
      </c>
      <c r="BA305" s="711">
        <f t="shared" si="165"/>
        <v>345</v>
      </c>
    </row>
    <row r="306" spans="1:53">
      <c r="A306" s="106">
        <f t="shared" si="150"/>
        <v>295</v>
      </c>
      <c r="B306" s="858">
        <v>42299</v>
      </c>
      <c r="C306" s="859" t="s">
        <v>1725</v>
      </c>
      <c r="D306" s="860">
        <v>3969</v>
      </c>
      <c r="E306" s="860">
        <v>3856</v>
      </c>
      <c r="F306" s="860">
        <v>3735</v>
      </c>
      <c r="G306" s="860">
        <v>3801</v>
      </c>
      <c r="H306" s="860">
        <v>3906</v>
      </c>
      <c r="I306" s="860">
        <v>4177</v>
      </c>
      <c r="J306" s="860">
        <v>4573</v>
      </c>
      <c r="K306" s="860">
        <v>4908</v>
      </c>
      <c r="L306" s="860">
        <v>5029</v>
      </c>
      <c r="M306" s="860">
        <v>5127</v>
      </c>
      <c r="N306" s="860">
        <v>5144</v>
      </c>
      <c r="O306" s="860">
        <v>5144</v>
      </c>
      <c r="P306" s="860">
        <v>5125</v>
      </c>
      <c r="Q306" s="860">
        <v>5092</v>
      </c>
      <c r="R306" s="860">
        <v>5021</v>
      </c>
      <c r="S306" s="860">
        <v>5010</v>
      </c>
      <c r="T306" s="860">
        <v>5085</v>
      </c>
      <c r="U306" s="860">
        <v>5182</v>
      </c>
      <c r="V306" s="860">
        <v>5359</v>
      </c>
      <c r="W306" s="860">
        <v>5306</v>
      </c>
      <c r="X306" s="860">
        <v>5143</v>
      </c>
      <c r="Y306" s="860">
        <v>4845</v>
      </c>
      <c r="Z306" s="860">
        <v>4431</v>
      </c>
      <c r="AA306" s="860">
        <v>4089</v>
      </c>
      <c r="AC306" s="712">
        <f t="shared" si="151"/>
        <v>295</v>
      </c>
      <c r="AD306" s="711">
        <f t="shared" si="152"/>
        <v>95</v>
      </c>
      <c r="AE306" s="711">
        <f t="shared" si="171"/>
        <v>113</v>
      </c>
      <c r="AF306" s="711">
        <f t="shared" si="172"/>
        <v>121</v>
      </c>
      <c r="AG306" s="711">
        <f t="shared" si="173"/>
        <v>66</v>
      </c>
      <c r="AH306" s="711">
        <f t="shared" si="174"/>
        <v>105</v>
      </c>
      <c r="AI306" s="711">
        <f t="shared" si="157"/>
        <v>271</v>
      </c>
      <c r="AJ306" s="711">
        <f t="shared" si="158"/>
        <v>396</v>
      </c>
      <c r="AK306" s="711">
        <f t="shared" si="159"/>
        <v>335</v>
      </c>
      <c r="AL306" s="711">
        <f t="shared" si="160"/>
        <v>121</v>
      </c>
      <c r="AM306" s="711">
        <f t="shared" si="161"/>
        <v>98</v>
      </c>
      <c r="AN306" s="711">
        <f t="shared" si="162"/>
        <v>17</v>
      </c>
      <c r="AO306" s="711">
        <f t="shared" si="163"/>
        <v>0</v>
      </c>
      <c r="AP306" s="711">
        <f t="shared" si="164"/>
        <v>19</v>
      </c>
      <c r="AQ306" s="711">
        <f t="shared" si="169"/>
        <v>33</v>
      </c>
      <c r="AR306" s="711">
        <f t="shared" si="170"/>
        <v>71</v>
      </c>
      <c r="AS306" s="711">
        <f t="shared" si="170"/>
        <v>11</v>
      </c>
      <c r="AT306" s="711">
        <f t="shared" si="170"/>
        <v>75</v>
      </c>
      <c r="AU306" s="711">
        <f t="shared" si="170"/>
        <v>97</v>
      </c>
      <c r="AV306" s="711">
        <f t="shared" si="170"/>
        <v>177</v>
      </c>
      <c r="AW306" s="711">
        <f t="shared" si="170"/>
        <v>53</v>
      </c>
      <c r="AX306" s="711">
        <f t="shared" si="165"/>
        <v>163</v>
      </c>
      <c r="AY306" s="711">
        <f t="shared" si="165"/>
        <v>298</v>
      </c>
      <c r="AZ306" s="711">
        <f t="shared" si="165"/>
        <v>414</v>
      </c>
      <c r="BA306" s="711">
        <f t="shared" si="165"/>
        <v>342</v>
      </c>
    </row>
    <row r="307" spans="1:53">
      <c r="A307" s="106">
        <f t="shared" si="150"/>
        <v>296</v>
      </c>
      <c r="B307" s="858">
        <v>42300</v>
      </c>
      <c r="C307" s="859" t="s">
        <v>1725</v>
      </c>
      <c r="D307" s="860">
        <v>3893</v>
      </c>
      <c r="E307" s="860">
        <v>3791</v>
      </c>
      <c r="F307" s="860">
        <v>3739</v>
      </c>
      <c r="G307" s="860">
        <v>3735</v>
      </c>
      <c r="H307" s="860">
        <v>3834</v>
      </c>
      <c r="I307" s="860">
        <v>4189</v>
      </c>
      <c r="J307" s="860">
        <v>4649</v>
      </c>
      <c r="K307" s="860">
        <v>4806</v>
      </c>
      <c r="L307" s="860">
        <v>4816</v>
      </c>
      <c r="M307" s="860">
        <v>4909</v>
      </c>
      <c r="N307" s="860">
        <v>4940</v>
      </c>
      <c r="O307" s="860">
        <v>4996</v>
      </c>
      <c r="P307" s="860">
        <v>4956</v>
      </c>
      <c r="Q307" s="860">
        <v>5016</v>
      </c>
      <c r="R307" s="860">
        <v>4903</v>
      </c>
      <c r="S307" s="860">
        <v>4824</v>
      </c>
      <c r="T307" s="860">
        <v>4835</v>
      </c>
      <c r="U307" s="860">
        <v>4843</v>
      </c>
      <c r="V307" s="860">
        <v>5043</v>
      </c>
      <c r="W307" s="860">
        <v>5059</v>
      </c>
      <c r="X307" s="860">
        <v>4920</v>
      </c>
      <c r="Y307" s="860">
        <v>4704</v>
      </c>
      <c r="Z307" s="860">
        <v>4361</v>
      </c>
      <c r="AA307" s="860">
        <v>4062</v>
      </c>
      <c r="AC307" s="712">
        <f t="shared" si="151"/>
        <v>296</v>
      </c>
      <c r="AD307" s="711">
        <f t="shared" si="152"/>
        <v>196</v>
      </c>
      <c r="AE307" s="711">
        <f t="shared" si="171"/>
        <v>102</v>
      </c>
      <c r="AF307" s="711">
        <f t="shared" si="172"/>
        <v>52</v>
      </c>
      <c r="AG307" s="711">
        <f t="shared" si="173"/>
        <v>4</v>
      </c>
      <c r="AH307" s="711">
        <f t="shared" si="174"/>
        <v>99</v>
      </c>
      <c r="AI307" s="711">
        <f t="shared" si="157"/>
        <v>355</v>
      </c>
      <c r="AJ307" s="711">
        <f t="shared" si="158"/>
        <v>460</v>
      </c>
      <c r="AK307" s="711">
        <f t="shared" si="159"/>
        <v>157</v>
      </c>
      <c r="AL307" s="711">
        <f t="shared" si="160"/>
        <v>10</v>
      </c>
      <c r="AM307" s="711">
        <f t="shared" si="161"/>
        <v>93</v>
      </c>
      <c r="AN307" s="711">
        <f t="shared" si="162"/>
        <v>31</v>
      </c>
      <c r="AO307" s="711">
        <f t="shared" si="163"/>
        <v>56</v>
      </c>
      <c r="AP307" s="711">
        <f t="shared" si="164"/>
        <v>40</v>
      </c>
      <c r="AQ307" s="711">
        <f t="shared" si="169"/>
        <v>60</v>
      </c>
      <c r="AR307" s="711">
        <f t="shared" si="170"/>
        <v>113</v>
      </c>
      <c r="AS307" s="711">
        <f t="shared" si="170"/>
        <v>79</v>
      </c>
      <c r="AT307" s="711">
        <f t="shared" si="170"/>
        <v>11</v>
      </c>
      <c r="AU307" s="711">
        <f t="shared" si="170"/>
        <v>8</v>
      </c>
      <c r="AV307" s="711">
        <f t="shared" si="170"/>
        <v>200</v>
      </c>
      <c r="AW307" s="711">
        <f t="shared" si="170"/>
        <v>16</v>
      </c>
      <c r="AX307" s="711">
        <f t="shared" si="165"/>
        <v>139</v>
      </c>
      <c r="AY307" s="711">
        <f t="shared" si="165"/>
        <v>216</v>
      </c>
      <c r="AZ307" s="711">
        <f t="shared" si="165"/>
        <v>343</v>
      </c>
      <c r="BA307" s="711">
        <f t="shared" si="165"/>
        <v>299</v>
      </c>
    </row>
    <row r="308" spans="1:53">
      <c r="A308" s="106">
        <f t="shared" si="150"/>
        <v>297</v>
      </c>
      <c r="B308" s="858">
        <v>42301</v>
      </c>
      <c r="C308" s="859" t="s">
        <v>1725</v>
      </c>
      <c r="D308" s="860">
        <v>3865</v>
      </c>
      <c r="E308" s="860">
        <v>3761</v>
      </c>
      <c r="F308" s="860">
        <v>3679</v>
      </c>
      <c r="G308" s="860">
        <v>3677</v>
      </c>
      <c r="H308" s="860">
        <v>3884</v>
      </c>
      <c r="I308" s="860">
        <v>4087</v>
      </c>
      <c r="J308" s="860">
        <v>4333</v>
      </c>
      <c r="K308" s="860">
        <v>4513</v>
      </c>
      <c r="L308" s="860">
        <v>4497</v>
      </c>
      <c r="M308" s="860">
        <v>4502</v>
      </c>
      <c r="N308" s="860">
        <v>4415</v>
      </c>
      <c r="O308" s="860">
        <v>4365</v>
      </c>
      <c r="P308" s="860">
        <v>4308</v>
      </c>
      <c r="Q308" s="860">
        <v>4268</v>
      </c>
      <c r="R308" s="860">
        <v>4253</v>
      </c>
      <c r="S308" s="860">
        <v>4252</v>
      </c>
      <c r="T308" s="860">
        <v>4333</v>
      </c>
      <c r="U308" s="860">
        <v>4469</v>
      </c>
      <c r="V308" s="860">
        <v>4735</v>
      </c>
      <c r="W308" s="860">
        <v>4784</v>
      </c>
      <c r="X308" s="860">
        <v>4659</v>
      </c>
      <c r="Y308" s="860">
        <v>4506</v>
      </c>
      <c r="Z308" s="860">
        <v>4245</v>
      </c>
      <c r="AA308" s="860">
        <v>3996</v>
      </c>
      <c r="AC308" s="712">
        <f t="shared" si="151"/>
        <v>297</v>
      </c>
      <c r="AD308" s="711">
        <f t="shared" si="152"/>
        <v>197</v>
      </c>
      <c r="AE308" s="711">
        <f t="shared" si="171"/>
        <v>104</v>
      </c>
      <c r="AF308" s="711">
        <f t="shared" si="172"/>
        <v>82</v>
      </c>
      <c r="AG308" s="711">
        <f t="shared" si="173"/>
        <v>2</v>
      </c>
      <c r="AH308" s="711">
        <f t="shared" si="174"/>
        <v>207</v>
      </c>
      <c r="AI308" s="711">
        <f t="shared" si="157"/>
        <v>203</v>
      </c>
      <c r="AJ308" s="711">
        <f t="shared" si="158"/>
        <v>246</v>
      </c>
      <c r="AK308" s="711">
        <f t="shared" si="159"/>
        <v>180</v>
      </c>
      <c r="AL308" s="711">
        <f t="shared" si="160"/>
        <v>16</v>
      </c>
      <c r="AM308" s="711">
        <f t="shared" si="161"/>
        <v>5</v>
      </c>
      <c r="AN308" s="711">
        <f t="shared" si="162"/>
        <v>87</v>
      </c>
      <c r="AO308" s="711">
        <f t="shared" si="163"/>
        <v>50</v>
      </c>
      <c r="AP308" s="711">
        <f t="shared" si="164"/>
        <v>57</v>
      </c>
      <c r="AQ308" s="711">
        <f t="shared" si="169"/>
        <v>40</v>
      </c>
      <c r="AR308" s="711">
        <f t="shared" si="170"/>
        <v>15</v>
      </c>
      <c r="AS308" s="711">
        <f t="shared" si="170"/>
        <v>1</v>
      </c>
      <c r="AT308" s="711">
        <f t="shared" si="170"/>
        <v>81</v>
      </c>
      <c r="AU308" s="711">
        <f t="shared" si="170"/>
        <v>136</v>
      </c>
      <c r="AV308" s="711">
        <f t="shared" si="170"/>
        <v>266</v>
      </c>
      <c r="AW308" s="711">
        <f t="shared" si="170"/>
        <v>49</v>
      </c>
      <c r="AX308" s="711">
        <f t="shared" si="165"/>
        <v>125</v>
      </c>
      <c r="AY308" s="711">
        <f t="shared" si="165"/>
        <v>153</v>
      </c>
      <c r="AZ308" s="711">
        <f t="shared" si="165"/>
        <v>261</v>
      </c>
      <c r="BA308" s="711">
        <f t="shared" si="165"/>
        <v>249</v>
      </c>
    </row>
    <row r="309" spans="1:53">
      <c r="A309" s="106">
        <f t="shared" si="150"/>
        <v>298</v>
      </c>
      <c r="B309" s="858">
        <v>42302</v>
      </c>
      <c r="C309" s="859" t="s">
        <v>1725</v>
      </c>
      <c r="D309" s="860">
        <v>3809</v>
      </c>
      <c r="E309" s="860">
        <v>3787</v>
      </c>
      <c r="F309" s="860">
        <v>3866</v>
      </c>
      <c r="G309" s="860">
        <v>3854</v>
      </c>
      <c r="H309" s="860">
        <v>3882</v>
      </c>
      <c r="I309" s="860">
        <v>3944</v>
      </c>
      <c r="J309" s="860">
        <v>4099</v>
      </c>
      <c r="K309" s="860">
        <v>4138</v>
      </c>
      <c r="L309" s="860">
        <v>4210</v>
      </c>
      <c r="M309" s="860">
        <v>4260</v>
      </c>
      <c r="N309" s="860">
        <v>4222</v>
      </c>
      <c r="O309" s="860">
        <v>4274</v>
      </c>
      <c r="P309" s="860">
        <v>4266</v>
      </c>
      <c r="Q309" s="860">
        <v>4264</v>
      </c>
      <c r="R309" s="860">
        <v>4296</v>
      </c>
      <c r="S309" s="860">
        <v>4340</v>
      </c>
      <c r="T309" s="860">
        <v>4486</v>
      </c>
      <c r="U309" s="860">
        <v>4660</v>
      </c>
      <c r="V309" s="860">
        <v>4973</v>
      </c>
      <c r="W309" s="860">
        <v>4969</v>
      </c>
      <c r="X309" s="860">
        <v>4829</v>
      </c>
      <c r="Y309" s="860">
        <v>4551</v>
      </c>
      <c r="Z309" s="860">
        <v>4196</v>
      </c>
      <c r="AA309" s="860">
        <v>3985</v>
      </c>
      <c r="AC309" s="712">
        <f t="shared" si="151"/>
        <v>298</v>
      </c>
      <c r="AD309" s="711">
        <f t="shared" si="152"/>
        <v>187</v>
      </c>
      <c r="AE309" s="711">
        <f t="shared" si="171"/>
        <v>22</v>
      </c>
      <c r="AF309" s="711">
        <f t="shared" si="172"/>
        <v>79</v>
      </c>
      <c r="AG309" s="711">
        <f t="shared" si="173"/>
        <v>12</v>
      </c>
      <c r="AH309" s="711">
        <f t="shared" si="174"/>
        <v>28</v>
      </c>
      <c r="AI309" s="711">
        <f t="shared" si="157"/>
        <v>62</v>
      </c>
      <c r="AJ309" s="711">
        <f t="shared" si="158"/>
        <v>155</v>
      </c>
      <c r="AK309" s="711">
        <f t="shared" si="159"/>
        <v>39</v>
      </c>
      <c r="AL309" s="711">
        <f t="shared" si="160"/>
        <v>72</v>
      </c>
      <c r="AM309" s="711">
        <f t="shared" si="161"/>
        <v>50</v>
      </c>
      <c r="AN309" s="711">
        <f t="shared" si="162"/>
        <v>38</v>
      </c>
      <c r="AO309" s="711">
        <f t="shared" si="163"/>
        <v>52</v>
      </c>
      <c r="AP309" s="711">
        <f t="shared" si="164"/>
        <v>8</v>
      </c>
      <c r="AQ309" s="711">
        <f t="shared" si="169"/>
        <v>2</v>
      </c>
      <c r="AR309" s="711">
        <f t="shared" si="170"/>
        <v>32</v>
      </c>
      <c r="AS309" s="711">
        <f t="shared" si="170"/>
        <v>44</v>
      </c>
      <c r="AT309" s="711">
        <f t="shared" si="170"/>
        <v>146</v>
      </c>
      <c r="AU309" s="711">
        <f t="shared" si="170"/>
        <v>174</v>
      </c>
      <c r="AV309" s="711">
        <f t="shared" si="170"/>
        <v>313</v>
      </c>
      <c r="AW309" s="711">
        <f t="shared" si="170"/>
        <v>4</v>
      </c>
      <c r="AX309" s="711">
        <f t="shared" si="165"/>
        <v>140</v>
      </c>
      <c r="AY309" s="711">
        <f t="shared" si="165"/>
        <v>278</v>
      </c>
      <c r="AZ309" s="711">
        <f t="shared" si="165"/>
        <v>355</v>
      </c>
      <c r="BA309" s="711">
        <f t="shared" si="165"/>
        <v>211</v>
      </c>
    </row>
    <row r="310" spans="1:53">
      <c r="A310" s="106">
        <f t="shared" si="150"/>
        <v>299</v>
      </c>
      <c r="B310" s="858">
        <v>42303</v>
      </c>
      <c r="C310" s="859" t="s">
        <v>1725</v>
      </c>
      <c r="D310" s="860">
        <v>3919</v>
      </c>
      <c r="E310" s="860">
        <v>3814</v>
      </c>
      <c r="F310" s="860">
        <v>3792</v>
      </c>
      <c r="G310" s="860">
        <v>3752</v>
      </c>
      <c r="H310" s="860">
        <v>3835</v>
      </c>
      <c r="I310" s="860">
        <v>4084</v>
      </c>
      <c r="J310" s="860">
        <v>4551</v>
      </c>
      <c r="K310" s="860">
        <v>4794</v>
      </c>
      <c r="L310" s="860">
        <v>4857</v>
      </c>
      <c r="M310" s="860">
        <v>4885</v>
      </c>
      <c r="N310" s="860">
        <v>4922</v>
      </c>
      <c r="O310" s="860">
        <v>4933</v>
      </c>
      <c r="P310" s="860">
        <v>4881</v>
      </c>
      <c r="Q310" s="860">
        <v>4913</v>
      </c>
      <c r="R310" s="860">
        <v>4881</v>
      </c>
      <c r="S310" s="860">
        <v>4818</v>
      </c>
      <c r="T310" s="860">
        <v>4849</v>
      </c>
      <c r="U310" s="860">
        <v>4931</v>
      </c>
      <c r="V310" s="860">
        <v>5241</v>
      </c>
      <c r="W310" s="860">
        <v>5288</v>
      </c>
      <c r="X310" s="860">
        <v>5103</v>
      </c>
      <c r="Y310" s="860">
        <v>4793</v>
      </c>
      <c r="Z310" s="860">
        <v>4389</v>
      </c>
      <c r="AA310" s="860">
        <v>4056</v>
      </c>
      <c r="AC310" s="712">
        <f t="shared" si="151"/>
        <v>299</v>
      </c>
      <c r="AD310" s="711">
        <f t="shared" si="152"/>
        <v>66</v>
      </c>
      <c r="AE310" s="711">
        <f t="shared" si="171"/>
        <v>105</v>
      </c>
      <c r="AF310" s="711">
        <f t="shared" si="172"/>
        <v>22</v>
      </c>
      <c r="AG310" s="711">
        <f t="shared" si="173"/>
        <v>40</v>
      </c>
      <c r="AH310" s="711">
        <f t="shared" si="174"/>
        <v>83</v>
      </c>
      <c r="AI310" s="711">
        <f t="shared" si="157"/>
        <v>249</v>
      </c>
      <c r="AJ310" s="711">
        <f t="shared" si="158"/>
        <v>467</v>
      </c>
      <c r="AK310" s="711">
        <f t="shared" si="159"/>
        <v>243</v>
      </c>
      <c r="AL310" s="711">
        <f t="shared" si="160"/>
        <v>63</v>
      </c>
      <c r="AM310" s="711">
        <f t="shared" si="161"/>
        <v>28</v>
      </c>
      <c r="AN310" s="711">
        <f t="shared" si="162"/>
        <v>37</v>
      </c>
      <c r="AO310" s="711">
        <f t="shared" si="163"/>
        <v>11</v>
      </c>
      <c r="AP310" s="711">
        <f t="shared" si="164"/>
        <v>52</v>
      </c>
      <c r="AQ310" s="711">
        <f t="shared" si="169"/>
        <v>32</v>
      </c>
      <c r="AR310" s="711">
        <f t="shared" si="170"/>
        <v>32</v>
      </c>
      <c r="AS310" s="711">
        <f t="shared" si="170"/>
        <v>63</v>
      </c>
      <c r="AT310" s="711">
        <f t="shared" si="170"/>
        <v>31</v>
      </c>
      <c r="AU310" s="711">
        <f t="shared" si="170"/>
        <v>82</v>
      </c>
      <c r="AV310" s="711">
        <f t="shared" si="170"/>
        <v>310</v>
      </c>
      <c r="AW310" s="711">
        <f t="shared" si="170"/>
        <v>47</v>
      </c>
      <c r="AX310" s="711">
        <f t="shared" si="165"/>
        <v>185</v>
      </c>
      <c r="AY310" s="711">
        <f t="shared" si="165"/>
        <v>310</v>
      </c>
      <c r="AZ310" s="711">
        <f t="shared" si="165"/>
        <v>404</v>
      </c>
      <c r="BA310" s="711">
        <f t="shared" si="165"/>
        <v>333</v>
      </c>
    </row>
    <row r="311" spans="1:53">
      <c r="A311" s="106">
        <f t="shared" si="150"/>
        <v>300</v>
      </c>
      <c r="B311" s="858">
        <v>42304</v>
      </c>
      <c r="C311" s="859" t="s">
        <v>1725</v>
      </c>
      <c r="D311" s="860">
        <v>3893</v>
      </c>
      <c r="E311" s="860">
        <v>3880</v>
      </c>
      <c r="F311" s="860">
        <v>3953</v>
      </c>
      <c r="G311" s="860">
        <v>3970</v>
      </c>
      <c r="H311" s="860">
        <v>4086</v>
      </c>
      <c r="I311" s="860">
        <v>4336</v>
      </c>
      <c r="J311" s="860">
        <v>4820</v>
      </c>
      <c r="K311" s="860">
        <v>4965</v>
      </c>
      <c r="L311" s="860">
        <v>4909</v>
      </c>
      <c r="M311" s="860">
        <v>4919</v>
      </c>
      <c r="N311" s="860">
        <v>4925</v>
      </c>
      <c r="O311" s="860">
        <v>4929</v>
      </c>
      <c r="P311" s="860">
        <v>4864</v>
      </c>
      <c r="Q311" s="860">
        <v>4883</v>
      </c>
      <c r="R311" s="860">
        <v>4948</v>
      </c>
      <c r="S311" s="860">
        <v>4965</v>
      </c>
      <c r="T311" s="860">
        <v>5039</v>
      </c>
      <c r="U311" s="860">
        <v>5128</v>
      </c>
      <c r="V311" s="860">
        <v>5382</v>
      </c>
      <c r="W311" s="860">
        <v>5377</v>
      </c>
      <c r="X311" s="860">
        <v>5219</v>
      </c>
      <c r="Y311" s="860">
        <v>5050</v>
      </c>
      <c r="Z311" s="860">
        <v>4735</v>
      </c>
      <c r="AA311" s="860">
        <v>4447</v>
      </c>
      <c r="AC311" s="712">
        <f t="shared" si="151"/>
        <v>300</v>
      </c>
      <c r="AD311" s="711">
        <f t="shared" si="152"/>
        <v>163</v>
      </c>
      <c r="AE311" s="711">
        <f t="shared" si="171"/>
        <v>13</v>
      </c>
      <c r="AF311" s="711">
        <f t="shared" si="172"/>
        <v>73</v>
      </c>
      <c r="AG311" s="711">
        <f t="shared" si="173"/>
        <v>17</v>
      </c>
      <c r="AH311" s="711">
        <f t="shared" si="174"/>
        <v>116</v>
      </c>
      <c r="AI311" s="711">
        <f t="shared" si="157"/>
        <v>250</v>
      </c>
      <c r="AJ311" s="711">
        <f t="shared" si="158"/>
        <v>484</v>
      </c>
      <c r="AK311" s="711">
        <f t="shared" si="159"/>
        <v>145</v>
      </c>
      <c r="AL311" s="711">
        <f t="shared" si="160"/>
        <v>56</v>
      </c>
      <c r="AM311" s="711">
        <f t="shared" si="161"/>
        <v>10</v>
      </c>
      <c r="AN311" s="711">
        <f t="shared" si="162"/>
        <v>6</v>
      </c>
      <c r="AO311" s="711">
        <f t="shared" si="163"/>
        <v>4</v>
      </c>
      <c r="AP311" s="711">
        <f t="shared" si="164"/>
        <v>65</v>
      </c>
      <c r="AQ311" s="711">
        <f t="shared" si="169"/>
        <v>19</v>
      </c>
      <c r="AR311" s="711">
        <f t="shared" si="170"/>
        <v>65</v>
      </c>
      <c r="AS311" s="711">
        <f t="shared" si="170"/>
        <v>17</v>
      </c>
      <c r="AT311" s="711">
        <f t="shared" si="170"/>
        <v>74</v>
      </c>
      <c r="AU311" s="711">
        <f t="shared" si="170"/>
        <v>89</v>
      </c>
      <c r="AV311" s="711">
        <f t="shared" si="170"/>
        <v>254</v>
      </c>
      <c r="AW311" s="711">
        <f t="shared" si="170"/>
        <v>5</v>
      </c>
      <c r="AX311" s="711">
        <f t="shared" si="165"/>
        <v>158</v>
      </c>
      <c r="AY311" s="711">
        <f t="shared" si="165"/>
        <v>169</v>
      </c>
      <c r="AZ311" s="711">
        <f t="shared" si="165"/>
        <v>315</v>
      </c>
      <c r="BA311" s="711">
        <f t="shared" si="165"/>
        <v>288</v>
      </c>
    </row>
    <row r="312" spans="1:53">
      <c r="A312" s="106">
        <f t="shared" si="150"/>
        <v>301</v>
      </c>
      <c r="B312" s="858">
        <v>42305</v>
      </c>
      <c r="C312" s="859" t="s">
        <v>1725</v>
      </c>
      <c r="D312" s="860">
        <v>4227</v>
      </c>
      <c r="E312" s="860">
        <v>4145</v>
      </c>
      <c r="F312" s="860">
        <v>4102</v>
      </c>
      <c r="G312" s="860">
        <v>3995</v>
      </c>
      <c r="H312" s="860">
        <v>4076</v>
      </c>
      <c r="I312" s="860">
        <v>4318</v>
      </c>
      <c r="J312" s="860">
        <v>4841</v>
      </c>
      <c r="K312" s="860">
        <v>5054</v>
      </c>
      <c r="L312" s="860">
        <v>5041</v>
      </c>
      <c r="M312" s="860">
        <v>4991</v>
      </c>
      <c r="N312" s="860">
        <v>5014</v>
      </c>
      <c r="O312" s="860">
        <v>5051</v>
      </c>
      <c r="P312" s="860">
        <v>4988</v>
      </c>
      <c r="Q312" s="860">
        <v>4899</v>
      </c>
      <c r="R312" s="860">
        <v>4901</v>
      </c>
      <c r="S312" s="860">
        <v>4919</v>
      </c>
      <c r="T312" s="860">
        <v>4995</v>
      </c>
      <c r="U312" s="860">
        <v>5178</v>
      </c>
      <c r="V312" s="860">
        <v>5381</v>
      </c>
      <c r="W312" s="860">
        <v>5341</v>
      </c>
      <c r="X312" s="860">
        <v>5151</v>
      </c>
      <c r="Y312" s="860">
        <v>4847</v>
      </c>
      <c r="Z312" s="860">
        <v>4418</v>
      </c>
      <c r="AA312" s="860">
        <v>4071</v>
      </c>
      <c r="AC312" s="712">
        <f t="shared" si="151"/>
        <v>301</v>
      </c>
      <c r="AD312" s="711">
        <f t="shared" si="152"/>
        <v>220</v>
      </c>
      <c r="AE312" s="711">
        <f t="shared" si="171"/>
        <v>82</v>
      </c>
      <c r="AF312" s="711">
        <f t="shared" si="172"/>
        <v>43</v>
      </c>
      <c r="AG312" s="711">
        <f t="shared" si="173"/>
        <v>107</v>
      </c>
      <c r="AH312" s="711">
        <f t="shared" si="174"/>
        <v>81</v>
      </c>
      <c r="AI312" s="711">
        <f t="shared" si="157"/>
        <v>242</v>
      </c>
      <c r="AJ312" s="711">
        <f t="shared" si="158"/>
        <v>523</v>
      </c>
      <c r="AK312" s="711">
        <f t="shared" si="159"/>
        <v>213</v>
      </c>
      <c r="AL312" s="711">
        <f t="shared" si="160"/>
        <v>13</v>
      </c>
      <c r="AM312" s="711">
        <f t="shared" si="161"/>
        <v>50</v>
      </c>
      <c r="AN312" s="711">
        <f t="shared" si="162"/>
        <v>23</v>
      </c>
      <c r="AO312" s="711">
        <f t="shared" si="163"/>
        <v>37</v>
      </c>
      <c r="AP312" s="711">
        <f t="shared" si="164"/>
        <v>63</v>
      </c>
      <c r="AQ312" s="711">
        <f t="shared" si="169"/>
        <v>89</v>
      </c>
      <c r="AR312" s="711">
        <f t="shared" si="170"/>
        <v>2</v>
      </c>
      <c r="AS312" s="711">
        <f t="shared" si="170"/>
        <v>18</v>
      </c>
      <c r="AT312" s="711">
        <f t="shared" si="170"/>
        <v>76</v>
      </c>
      <c r="AU312" s="711">
        <f t="shared" si="170"/>
        <v>183</v>
      </c>
      <c r="AV312" s="711">
        <f t="shared" si="170"/>
        <v>203</v>
      </c>
      <c r="AW312" s="711">
        <f t="shared" si="170"/>
        <v>40</v>
      </c>
      <c r="AX312" s="711">
        <f t="shared" si="165"/>
        <v>190</v>
      </c>
      <c r="AY312" s="711">
        <f t="shared" si="165"/>
        <v>304</v>
      </c>
      <c r="AZ312" s="711">
        <f t="shared" si="165"/>
        <v>429</v>
      </c>
      <c r="BA312" s="711">
        <f t="shared" si="165"/>
        <v>347</v>
      </c>
    </row>
    <row r="313" spans="1:53">
      <c r="A313" s="106">
        <f t="shared" si="150"/>
        <v>302</v>
      </c>
      <c r="B313" s="858">
        <v>42306</v>
      </c>
      <c r="C313" s="859" t="s">
        <v>1725</v>
      </c>
      <c r="D313" s="860">
        <v>3998</v>
      </c>
      <c r="E313" s="860">
        <v>3990</v>
      </c>
      <c r="F313" s="860">
        <v>4022</v>
      </c>
      <c r="G313" s="860">
        <v>4028</v>
      </c>
      <c r="H313" s="860">
        <v>4020</v>
      </c>
      <c r="I313" s="860">
        <v>4317</v>
      </c>
      <c r="J313" s="860">
        <v>4737</v>
      </c>
      <c r="K313" s="860">
        <v>5029</v>
      </c>
      <c r="L313" s="860">
        <v>4958</v>
      </c>
      <c r="M313" s="860">
        <v>4902</v>
      </c>
      <c r="N313" s="860">
        <v>4886</v>
      </c>
      <c r="O313" s="860">
        <v>4792</v>
      </c>
      <c r="P313" s="860">
        <v>4741</v>
      </c>
      <c r="Q313" s="860">
        <v>4755</v>
      </c>
      <c r="R313" s="860">
        <v>4740</v>
      </c>
      <c r="S313" s="860">
        <v>4747</v>
      </c>
      <c r="T313" s="860">
        <v>4814</v>
      </c>
      <c r="U313" s="860">
        <v>4934</v>
      </c>
      <c r="V313" s="860">
        <v>5243</v>
      </c>
      <c r="W313" s="860">
        <v>5248</v>
      </c>
      <c r="X313" s="860">
        <v>5111</v>
      </c>
      <c r="Y313" s="860">
        <v>4950</v>
      </c>
      <c r="Z313" s="860">
        <v>4529</v>
      </c>
      <c r="AA313" s="860">
        <v>4332</v>
      </c>
      <c r="AC313" s="712">
        <f t="shared" si="151"/>
        <v>302</v>
      </c>
      <c r="AD313" s="711">
        <f t="shared" si="152"/>
        <v>73</v>
      </c>
      <c r="AE313" s="711">
        <f t="shared" si="171"/>
        <v>8</v>
      </c>
      <c r="AF313" s="711">
        <f t="shared" si="172"/>
        <v>32</v>
      </c>
      <c r="AG313" s="711">
        <f t="shared" si="173"/>
        <v>6</v>
      </c>
      <c r="AH313" s="711">
        <f t="shared" si="174"/>
        <v>8</v>
      </c>
      <c r="AI313" s="711">
        <f t="shared" si="157"/>
        <v>297</v>
      </c>
      <c r="AJ313" s="711">
        <f t="shared" si="158"/>
        <v>420</v>
      </c>
      <c r="AK313" s="711">
        <f t="shared" si="159"/>
        <v>292</v>
      </c>
      <c r="AL313" s="711">
        <f t="shared" si="160"/>
        <v>71</v>
      </c>
      <c r="AM313" s="711">
        <f t="shared" si="161"/>
        <v>56</v>
      </c>
      <c r="AN313" s="711">
        <f t="shared" si="162"/>
        <v>16</v>
      </c>
      <c r="AO313" s="711">
        <f t="shared" si="163"/>
        <v>94</v>
      </c>
      <c r="AP313" s="711">
        <f t="shared" si="164"/>
        <v>51</v>
      </c>
      <c r="AQ313" s="711">
        <f t="shared" si="169"/>
        <v>14</v>
      </c>
      <c r="AR313" s="711">
        <f t="shared" si="170"/>
        <v>15</v>
      </c>
      <c r="AS313" s="711">
        <f t="shared" si="170"/>
        <v>7</v>
      </c>
      <c r="AT313" s="711">
        <f t="shared" si="170"/>
        <v>67</v>
      </c>
      <c r="AU313" s="711">
        <f t="shared" si="170"/>
        <v>120</v>
      </c>
      <c r="AV313" s="711">
        <f t="shared" si="170"/>
        <v>309</v>
      </c>
      <c r="AW313" s="711">
        <f t="shared" si="170"/>
        <v>5</v>
      </c>
      <c r="AX313" s="711">
        <f t="shared" si="165"/>
        <v>137</v>
      </c>
      <c r="AY313" s="711">
        <f t="shared" si="165"/>
        <v>161</v>
      </c>
      <c r="AZ313" s="711">
        <f t="shared" si="165"/>
        <v>421</v>
      </c>
      <c r="BA313" s="711">
        <f t="shared" si="165"/>
        <v>197</v>
      </c>
    </row>
    <row r="314" spans="1:53">
      <c r="A314" s="106">
        <f t="shared" si="150"/>
        <v>303</v>
      </c>
      <c r="B314" s="858">
        <v>42307</v>
      </c>
      <c r="C314" s="859" t="s">
        <v>1725</v>
      </c>
      <c r="D314" s="860">
        <v>4102</v>
      </c>
      <c r="E314" s="860">
        <v>3991</v>
      </c>
      <c r="F314" s="860">
        <v>3858</v>
      </c>
      <c r="G314" s="860">
        <v>3837</v>
      </c>
      <c r="H314" s="860">
        <v>3959</v>
      </c>
      <c r="I314" s="860">
        <v>4251</v>
      </c>
      <c r="J314" s="860">
        <v>4694</v>
      </c>
      <c r="K314" s="860">
        <v>4901</v>
      </c>
      <c r="L314" s="860">
        <v>4953</v>
      </c>
      <c r="M314" s="860">
        <v>5001</v>
      </c>
      <c r="N314" s="860">
        <v>5012</v>
      </c>
      <c r="O314" s="860">
        <v>4988</v>
      </c>
      <c r="P314" s="860">
        <v>4932</v>
      </c>
      <c r="Q314" s="860">
        <v>4893</v>
      </c>
      <c r="R314" s="860">
        <v>4930</v>
      </c>
      <c r="S314" s="860">
        <v>4900</v>
      </c>
      <c r="T314" s="860">
        <v>4885</v>
      </c>
      <c r="U314" s="860">
        <v>4919</v>
      </c>
      <c r="V314" s="860">
        <v>5090</v>
      </c>
      <c r="W314" s="860">
        <v>5089</v>
      </c>
      <c r="X314" s="860">
        <v>4987</v>
      </c>
      <c r="Y314" s="860">
        <v>4820</v>
      </c>
      <c r="Z314" s="860">
        <v>4510</v>
      </c>
      <c r="AA314" s="860">
        <v>4199</v>
      </c>
      <c r="AC314" s="712">
        <f t="shared" si="151"/>
        <v>303</v>
      </c>
      <c r="AD314" s="711">
        <f t="shared" si="152"/>
        <v>230</v>
      </c>
      <c r="AE314" s="711">
        <f t="shared" si="171"/>
        <v>111</v>
      </c>
      <c r="AF314" s="711">
        <f t="shared" si="172"/>
        <v>133</v>
      </c>
      <c r="AG314" s="711">
        <f t="shared" si="173"/>
        <v>21</v>
      </c>
      <c r="AH314" s="711">
        <f t="shared" si="174"/>
        <v>122</v>
      </c>
      <c r="AI314" s="711">
        <f t="shared" si="157"/>
        <v>292</v>
      </c>
      <c r="AJ314" s="711">
        <f t="shared" si="158"/>
        <v>443</v>
      </c>
      <c r="AK314" s="711">
        <f t="shared" si="159"/>
        <v>207</v>
      </c>
      <c r="AL314" s="711">
        <f t="shared" si="160"/>
        <v>52</v>
      </c>
      <c r="AM314" s="711">
        <f t="shared" si="161"/>
        <v>48</v>
      </c>
      <c r="AN314" s="711">
        <f t="shared" si="162"/>
        <v>11</v>
      </c>
      <c r="AO314" s="711">
        <f t="shared" ref="AO314:AO322" si="175">ABS(O314-N314)</f>
        <v>24</v>
      </c>
      <c r="AP314" s="711">
        <f t="shared" ref="AP314:AP322" si="176">ABS(P314-O314)</f>
        <v>56</v>
      </c>
      <c r="AQ314" s="711">
        <f t="shared" si="169"/>
        <v>39</v>
      </c>
      <c r="AR314" s="711">
        <f t="shared" si="170"/>
        <v>37</v>
      </c>
      <c r="AS314" s="711">
        <f t="shared" si="170"/>
        <v>30</v>
      </c>
      <c r="AT314" s="711">
        <f t="shared" si="170"/>
        <v>15</v>
      </c>
      <c r="AU314" s="711">
        <f t="shared" si="170"/>
        <v>34</v>
      </c>
      <c r="AV314" s="711">
        <f t="shared" si="170"/>
        <v>171</v>
      </c>
      <c r="AW314" s="711">
        <f t="shared" si="170"/>
        <v>1</v>
      </c>
      <c r="AX314" s="711">
        <f t="shared" si="165"/>
        <v>102</v>
      </c>
      <c r="AY314" s="711">
        <f t="shared" si="165"/>
        <v>167</v>
      </c>
      <c r="AZ314" s="711">
        <f t="shared" si="165"/>
        <v>310</v>
      </c>
      <c r="BA314" s="711">
        <f t="shared" si="165"/>
        <v>311</v>
      </c>
    </row>
    <row r="315" spans="1:53">
      <c r="A315" s="106">
        <f t="shared" si="150"/>
        <v>304</v>
      </c>
      <c r="B315" s="858">
        <v>42308</v>
      </c>
      <c r="C315" s="859" t="s">
        <v>1725</v>
      </c>
      <c r="D315" s="860">
        <v>4004</v>
      </c>
      <c r="E315" s="860">
        <v>3893</v>
      </c>
      <c r="F315" s="860">
        <v>3888</v>
      </c>
      <c r="G315" s="860">
        <v>3949</v>
      </c>
      <c r="H315" s="860">
        <v>3974</v>
      </c>
      <c r="I315" s="860">
        <v>4084</v>
      </c>
      <c r="J315" s="860">
        <v>4308</v>
      </c>
      <c r="K315" s="860">
        <v>4456</v>
      </c>
      <c r="L315" s="860">
        <v>4608</v>
      </c>
      <c r="M315" s="860">
        <v>4638</v>
      </c>
      <c r="N315" s="860">
        <v>4631</v>
      </c>
      <c r="O315" s="860">
        <v>4609</v>
      </c>
      <c r="P315" s="860">
        <v>4491</v>
      </c>
      <c r="Q315" s="860">
        <v>4350</v>
      </c>
      <c r="R315" s="860">
        <v>4323</v>
      </c>
      <c r="S315" s="860">
        <v>4376</v>
      </c>
      <c r="T315" s="860">
        <v>4461</v>
      </c>
      <c r="U315" s="860">
        <v>4590</v>
      </c>
      <c r="V315" s="860">
        <v>4749</v>
      </c>
      <c r="W315" s="860">
        <v>4691</v>
      </c>
      <c r="X315" s="860">
        <v>4593</v>
      </c>
      <c r="Y315" s="860">
        <v>4454</v>
      </c>
      <c r="Z315" s="860">
        <v>4210</v>
      </c>
      <c r="AA315" s="860">
        <v>4007</v>
      </c>
      <c r="AC315" s="712">
        <f t="shared" si="151"/>
        <v>304</v>
      </c>
      <c r="AD315" s="711">
        <f t="shared" si="152"/>
        <v>195</v>
      </c>
      <c r="AE315" s="711">
        <f t="shared" si="171"/>
        <v>111</v>
      </c>
      <c r="AF315" s="711">
        <f t="shared" si="172"/>
        <v>5</v>
      </c>
      <c r="AG315" s="711">
        <f t="shared" si="173"/>
        <v>61</v>
      </c>
      <c r="AH315" s="711">
        <f t="shared" si="174"/>
        <v>25</v>
      </c>
      <c r="AI315" s="711">
        <f t="shared" si="157"/>
        <v>110</v>
      </c>
      <c r="AJ315" s="711">
        <f t="shared" si="158"/>
        <v>224</v>
      </c>
      <c r="AK315" s="711">
        <f t="shared" si="159"/>
        <v>148</v>
      </c>
      <c r="AL315" s="711">
        <f t="shared" si="160"/>
        <v>152</v>
      </c>
      <c r="AM315" s="711">
        <f t="shared" si="161"/>
        <v>30</v>
      </c>
      <c r="AN315" s="711">
        <f t="shared" si="162"/>
        <v>7</v>
      </c>
      <c r="AO315" s="711">
        <f t="shared" si="175"/>
        <v>22</v>
      </c>
      <c r="AP315" s="711">
        <f t="shared" si="176"/>
        <v>118</v>
      </c>
      <c r="AQ315" s="711">
        <f t="shared" si="169"/>
        <v>141</v>
      </c>
      <c r="AR315" s="711">
        <f t="shared" si="170"/>
        <v>27</v>
      </c>
      <c r="AS315" s="711">
        <f t="shared" si="170"/>
        <v>53</v>
      </c>
      <c r="AT315" s="711">
        <f t="shared" si="170"/>
        <v>85</v>
      </c>
      <c r="AU315" s="711">
        <f t="shared" si="170"/>
        <v>129</v>
      </c>
      <c r="AV315" s="711">
        <f t="shared" si="170"/>
        <v>159</v>
      </c>
      <c r="AW315" s="711">
        <f t="shared" si="170"/>
        <v>58</v>
      </c>
      <c r="AX315" s="711">
        <f t="shared" si="165"/>
        <v>98</v>
      </c>
      <c r="AY315" s="711">
        <f t="shared" si="165"/>
        <v>139</v>
      </c>
      <c r="AZ315" s="711">
        <f t="shared" si="165"/>
        <v>244</v>
      </c>
      <c r="BA315" s="711">
        <f t="shared" si="165"/>
        <v>203</v>
      </c>
    </row>
    <row r="316" spans="1:53">
      <c r="A316" s="106">
        <f t="shared" si="150"/>
        <v>305</v>
      </c>
      <c r="B316" s="858">
        <v>42309</v>
      </c>
      <c r="C316" s="859" t="s">
        <v>1725</v>
      </c>
      <c r="D316" s="860">
        <v>3894</v>
      </c>
      <c r="E316" s="860">
        <v>3819</v>
      </c>
      <c r="F316" s="860">
        <v>3718</v>
      </c>
      <c r="G316" s="860">
        <v>3708</v>
      </c>
      <c r="H316" s="860">
        <v>3760</v>
      </c>
      <c r="I316" s="860">
        <v>3869</v>
      </c>
      <c r="J316" s="860">
        <v>3939</v>
      </c>
      <c r="K316" s="860">
        <v>4021</v>
      </c>
      <c r="L316" s="860">
        <v>4154</v>
      </c>
      <c r="M316" s="860">
        <v>4274</v>
      </c>
      <c r="N316" s="860">
        <v>4391</v>
      </c>
      <c r="O316" s="860">
        <v>4400</v>
      </c>
      <c r="P316" s="860">
        <v>4378</v>
      </c>
      <c r="Q316" s="860">
        <v>4344</v>
      </c>
      <c r="R316" s="860">
        <v>4377</v>
      </c>
      <c r="S316" s="860">
        <v>4477</v>
      </c>
      <c r="T316" s="860">
        <v>4655</v>
      </c>
      <c r="U316" s="860">
        <v>5127</v>
      </c>
      <c r="V316" s="860">
        <v>5096</v>
      </c>
      <c r="W316" s="860">
        <v>4925</v>
      </c>
      <c r="X316" s="860">
        <v>4752</v>
      </c>
      <c r="Y316" s="860">
        <v>4502</v>
      </c>
      <c r="Z316" s="860">
        <v>4117</v>
      </c>
      <c r="AA316" s="860">
        <v>3989</v>
      </c>
      <c r="AC316" s="712">
        <f t="shared" si="151"/>
        <v>305</v>
      </c>
      <c r="AD316" s="711">
        <f t="shared" si="152"/>
        <v>113</v>
      </c>
      <c r="AE316" s="711">
        <f t="shared" si="171"/>
        <v>75</v>
      </c>
      <c r="AF316" s="711">
        <f t="shared" si="172"/>
        <v>101</v>
      </c>
      <c r="AG316" s="711">
        <f t="shared" si="173"/>
        <v>10</v>
      </c>
      <c r="AH316" s="711">
        <f t="shared" si="174"/>
        <v>52</v>
      </c>
      <c r="AI316" s="711">
        <f t="shared" si="157"/>
        <v>109</v>
      </c>
      <c r="AJ316" s="711">
        <f t="shared" si="158"/>
        <v>70</v>
      </c>
      <c r="AK316" s="711">
        <f t="shared" si="159"/>
        <v>82</v>
      </c>
      <c r="AL316" s="711">
        <f t="shared" si="160"/>
        <v>133</v>
      </c>
      <c r="AM316" s="711">
        <f t="shared" si="161"/>
        <v>120</v>
      </c>
      <c r="AN316" s="711">
        <f t="shared" si="162"/>
        <v>117</v>
      </c>
      <c r="AO316" s="711">
        <f t="shared" si="175"/>
        <v>9</v>
      </c>
      <c r="AP316" s="711">
        <f t="shared" si="176"/>
        <v>22</v>
      </c>
      <c r="AQ316" s="711">
        <f t="shared" si="169"/>
        <v>34</v>
      </c>
      <c r="AR316" s="711">
        <f t="shared" si="170"/>
        <v>33</v>
      </c>
      <c r="AS316" s="711">
        <f t="shared" si="170"/>
        <v>100</v>
      </c>
      <c r="AT316" s="711">
        <f t="shared" si="170"/>
        <v>178</v>
      </c>
      <c r="AU316" s="711">
        <f t="shared" si="170"/>
        <v>472</v>
      </c>
      <c r="AV316" s="711">
        <f t="shared" si="170"/>
        <v>31</v>
      </c>
      <c r="AW316" s="711">
        <f t="shared" si="170"/>
        <v>171</v>
      </c>
      <c r="AX316" s="711">
        <f t="shared" si="165"/>
        <v>173</v>
      </c>
      <c r="AY316" s="711">
        <f t="shared" si="165"/>
        <v>250</v>
      </c>
      <c r="AZ316" s="711">
        <f t="shared" si="165"/>
        <v>385</v>
      </c>
      <c r="BA316" s="711">
        <f t="shared" si="165"/>
        <v>128</v>
      </c>
    </row>
    <row r="317" spans="1:53">
      <c r="A317" s="106">
        <f t="shared" si="150"/>
        <v>306</v>
      </c>
      <c r="B317" s="858">
        <v>42310</v>
      </c>
      <c r="C317" s="859" t="s">
        <v>1725</v>
      </c>
      <c r="D317" s="860">
        <v>3938</v>
      </c>
      <c r="E317" s="860">
        <v>3860</v>
      </c>
      <c r="F317" s="860">
        <v>3844</v>
      </c>
      <c r="G317" s="860">
        <v>3862</v>
      </c>
      <c r="H317" s="860">
        <v>3979</v>
      </c>
      <c r="I317" s="860">
        <v>4233</v>
      </c>
      <c r="J317" s="860">
        <v>4664</v>
      </c>
      <c r="K317" s="860">
        <v>4711</v>
      </c>
      <c r="L317" s="860">
        <v>4702</v>
      </c>
      <c r="M317" s="860">
        <v>4737</v>
      </c>
      <c r="N317" s="860">
        <v>4784</v>
      </c>
      <c r="O317" s="860">
        <v>4824</v>
      </c>
      <c r="P317" s="860">
        <v>4883</v>
      </c>
      <c r="Q317" s="860">
        <v>4902</v>
      </c>
      <c r="R317" s="860">
        <v>4942</v>
      </c>
      <c r="S317" s="860">
        <v>4930</v>
      </c>
      <c r="T317" s="860">
        <v>5065</v>
      </c>
      <c r="U317" s="860">
        <v>5417</v>
      </c>
      <c r="V317" s="860">
        <v>5403</v>
      </c>
      <c r="W317" s="860">
        <v>5192</v>
      </c>
      <c r="X317" s="860">
        <v>4990</v>
      </c>
      <c r="Y317" s="860">
        <v>4649</v>
      </c>
      <c r="Z317" s="860">
        <v>4239</v>
      </c>
      <c r="AA317" s="860">
        <v>3953</v>
      </c>
      <c r="AB317" s="711">
        <f>MAX(D316:AA345)</f>
        <v>6383</v>
      </c>
      <c r="AC317" s="712">
        <f t="shared" si="151"/>
        <v>306</v>
      </c>
      <c r="AD317" s="711">
        <f t="shared" si="152"/>
        <v>51</v>
      </c>
      <c r="AE317" s="711">
        <f t="shared" si="171"/>
        <v>78</v>
      </c>
      <c r="AF317" s="711">
        <f t="shared" si="172"/>
        <v>16</v>
      </c>
      <c r="AG317" s="711">
        <f t="shared" si="173"/>
        <v>18</v>
      </c>
      <c r="AH317" s="711">
        <f t="shared" si="174"/>
        <v>117</v>
      </c>
      <c r="AI317" s="711">
        <f t="shared" si="157"/>
        <v>254</v>
      </c>
      <c r="AJ317" s="711">
        <f t="shared" si="158"/>
        <v>431</v>
      </c>
      <c r="AK317" s="711">
        <f t="shared" si="159"/>
        <v>47</v>
      </c>
      <c r="AL317" s="711">
        <f t="shared" si="160"/>
        <v>9</v>
      </c>
      <c r="AM317" s="711">
        <f t="shared" si="161"/>
        <v>35</v>
      </c>
      <c r="AN317" s="711">
        <f t="shared" si="162"/>
        <v>47</v>
      </c>
      <c r="AO317" s="711">
        <f t="shared" si="175"/>
        <v>40</v>
      </c>
      <c r="AP317" s="711">
        <f t="shared" si="176"/>
        <v>59</v>
      </c>
      <c r="AQ317" s="711">
        <f t="shared" si="169"/>
        <v>19</v>
      </c>
      <c r="AR317" s="711">
        <f t="shared" si="170"/>
        <v>40</v>
      </c>
      <c r="AS317" s="711">
        <f t="shared" si="170"/>
        <v>12</v>
      </c>
      <c r="AT317" s="711">
        <f t="shared" si="170"/>
        <v>135</v>
      </c>
      <c r="AU317" s="711">
        <f t="shared" si="170"/>
        <v>352</v>
      </c>
      <c r="AV317" s="711">
        <f t="shared" si="170"/>
        <v>14</v>
      </c>
      <c r="AW317" s="711">
        <f t="shared" si="170"/>
        <v>211</v>
      </c>
      <c r="AX317" s="711">
        <f t="shared" si="165"/>
        <v>202</v>
      </c>
      <c r="AY317" s="711">
        <f t="shared" si="165"/>
        <v>341</v>
      </c>
      <c r="AZ317" s="711">
        <f t="shared" si="165"/>
        <v>410</v>
      </c>
      <c r="BA317" s="711">
        <f t="shared" si="165"/>
        <v>286</v>
      </c>
    </row>
    <row r="318" spans="1:53">
      <c r="A318" s="106">
        <f t="shared" si="150"/>
        <v>307</v>
      </c>
      <c r="B318" s="858">
        <v>42311</v>
      </c>
      <c r="C318" s="859" t="s">
        <v>1725</v>
      </c>
      <c r="D318" s="860">
        <v>3976</v>
      </c>
      <c r="E318" s="860">
        <v>3911</v>
      </c>
      <c r="F318" s="860">
        <v>3877</v>
      </c>
      <c r="G318" s="860">
        <v>3881</v>
      </c>
      <c r="H318" s="860">
        <v>3901</v>
      </c>
      <c r="I318" s="860">
        <v>4233</v>
      </c>
      <c r="J318" s="860">
        <v>4570</v>
      </c>
      <c r="K318" s="860">
        <v>4687</v>
      </c>
      <c r="L318" s="860">
        <v>4667</v>
      </c>
      <c r="M318" s="860">
        <v>4695</v>
      </c>
      <c r="N318" s="860">
        <v>4726</v>
      </c>
      <c r="O318" s="860">
        <v>4776</v>
      </c>
      <c r="P318" s="860">
        <v>4805</v>
      </c>
      <c r="Q318" s="860">
        <v>4887</v>
      </c>
      <c r="R318" s="860">
        <v>4933</v>
      </c>
      <c r="S318" s="860">
        <v>4981</v>
      </c>
      <c r="T318" s="860">
        <v>5091</v>
      </c>
      <c r="U318" s="860">
        <v>5424</v>
      </c>
      <c r="V318" s="860">
        <v>5374</v>
      </c>
      <c r="W318" s="860">
        <v>5227</v>
      </c>
      <c r="X318" s="860">
        <v>5020</v>
      </c>
      <c r="Y318" s="860">
        <v>4719</v>
      </c>
      <c r="Z318" s="860">
        <v>4408</v>
      </c>
      <c r="AA318" s="860">
        <v>4167</v>
      </c>
      <c r="AC318" s="712">
        <f t="shared" si="151"/>
        <v>307</v>
      </c>
      <c r="AD318" s="711">
        <f t="shared" si="152"/>
        <v>23</v>
      </c>
      <c r="AE318" s="711">
        <f t="shared" si="171"/>
        <v>65</v>
      </c>
      <c r="AF318" s="711">
        <f t="shared" si="172"/>
        <v>34</v>
      </c>
      <c r="AG318" s="711">
        <f t="shared" si="173"/>
        <v>4</v>
      </c>
      <c r="AH318" s="711">
        <f t="shared" si="174"/>
        <v>20</v>
      </c>
      <c r="AI318" s="711">
        <f t="shared" si="157"/>
        <v>332</v>
      </c>
      <c r="AJ318" s="711">
        <f t="shared" si="158"/>
        <v>337</v>
      </c>
      <c r="AK318" s="711">
        <f t="shared" si="159"/>
        <v>117</v>
      </c>
      <c r="AL318" s="711">
        <f t="shared" si="160"/>
        <v>20</v>
      </c>
      <c r="AM318" s="711">
        <f t="shared" si="161"/>
        <v>28</v>
      </c>
      <c r="AN318" s="711">
        <f t="shared" si="162"/>
        <v>31</v>
      </c>
      <c r="AO318" s="711">
        <f t="shared" si="175"/>
        <v>50</v>
      </c>
      <c r="AP318" s="711">
        <f t="shared" si="176"/>
        <v>29</v>
      </c>
      <c r="AQ318" s="711">
        <f t="shared" si="169"/>
        <v>82</v>
      </c>
      <c r="AR318" s="711">
        <f t="shared" si="170"/>
        <v>46</v>
      </c>
      <c r="AS318" s="711">
        <f t="shared" si="170"/>
        <v>48</v>
      </c>
      <c r="AT318" s="711">
        <f t="shared" si="170"/>
        <v>110</v>
      </c>
      <c r="AU318" s="711">
        <f t="shared" si="170"/>
        <v>333</v>
      </c>
      <c r="AV318" s="711">
        <f t="shared" si="170"/>
        <v>50</v>
      </c>
      <c r="AW318" s="711">
        <f t="shared" si="170"/>
        <v>147</v>
      </c>
      <c r="AX318" s="711">
        <f t="shared" si="165"/>
        <v>207</v>
      </c>
      <c r="AY318" s="711">
        <f t="shared" si="165"/>
        <v>301</v>
      </c>
      <c r="AZ318" s="711">
        <f t="shared" si="165"/>
        <v>311</v>
      </c>
      <c r="BA318" s="711">
        <f t="shared" si="165"/>
        <v>241</v>
      </c>
    </row>
    <row r="319" spans="1:53">
      <c r="A319" s="106">
        <f t="shared" si="150"/>
        <v>308</v>
      </c>
      <c r="B319" s="858">
        <v>42312</v>
      </c>
      <c r="C319" s="859" t="s">
        <v>1725</v>
      </c>
      <c r="D319" s="860">
        <v>4011</v>
      </c>
      <c r="E319" s="860">
        <v>3944</v>
      </c>
      <c r="F319" s="860">
        <v>3871</v>
      </c>
      <c r="G319" s="860">
        <v>3788</v>
      </c>
      <c r="H319" s="860">
        <v>3824</v>
      </c>
      <c r="I319" s="860">
        <v>4097</v>
      </c>
      <c r="J319" s="860">
        <v>4538</v>
      </c>
      <c r="K319" s="860">
        <v>4688</v>
      </c>
      <c r="L319" s="860">
        <v>4670</v>
      </c>
      <c r="M319" s="860">
        <v>4668</v>
      </c>
      <c r="N319" s="860">
        <v>4705</v>
      </c>
      <c r="O319" s="860">
        <v>4722</v>
      </c>
      <c r="P319" s="860">
        <v>4742</v>
      </c>
      <c r="Q319" s="860">
        <v>4787</v>
      </c>
      <c r="R319" s="860">
        <v>4867</v>
      </c>
      <c r="S319" s="860">
        <v>4950</v>
      </c>
      <c r="T319" s="860">
        <v>5174</v>
      </c>
      <c r="U319" s="860">
        <v>5546</v>
      </c>
      <c r="V319" s="860">
        <v>5497</v>
      </c>
      <c r="W319" s="860">
        <v>5379</v>
      </c>
      <c r="X319" s="860">
        <v>5180</v>
      </c>
      <c r="Y319" s="860">
        <v>4855</v>
      </c>
      <c r="Z319" s="860">
        <v>4467</v>
      </c>
      <c r="AA319" s="860">
        <v>4160</v>
      </c>
      <c r="AC319" s="712">
        <f t="shared" si="151"/>
        <v>308</v>
      </c>
      <c r="AD319" s="711">
        <f t="shared" si="152"/>
        <v>156</v>
      </c>
      <c r="AE319" s="711">
        <f t="shared" si="171"/>
        <v>67</v>
      </c>
      <c r="AF319" s="711">
        <f t="shared" si="172"/>
        <v>73</v>
      </c>
      <c r="AG319" s="711">
        <f t="shared" si="173"/>
        <v>83</v>
      </c>
      <c r="AH319" s="711">
        <f t="shared" si="174"/>
        <v>36</v>
      </c>
      <c r="AI319" s="711">
        <f t="shared" si="157"/>
        <v>273</v>
      </c>
      <c r="AJ319" s="711">
        <f t="shared" si="158"/>
        <v>441</v>
      </c>
      <c r="AK319" s="711">
        <f t="shared" si="159"/>
        <v>150</v>
      </c>
      <c r="AL319" s="711">
        <f t="shared" si="160"/>
        <v>18</v>
      </c>
      <c r="AM319" s="711">
        <f t="shared" si="161"/>
        <v>2</v>
      </c>
      <c r="AN319" s="711">
        <f t="shared" si="162"/>
        <v>37</v>
      </c>
      <c r="AO319" s="711">
        <f t="shared" si="175"/>
        <v>17</v>
      </c>
      <c r="AP319" s="711">
        <f t="shared" si="176"/>
        <v>20</v>
      </c>
      <c r="AQ319" s="711">
        <f t="shared" si="169"/>
        <v>45</v>
      </c>
      <c r="AR319" s="711">
        <f t="shared" si="170"/>
        <v>80</v>
      </c>
      <c r="AS319" s="711">
        <f t="shared" si="170"/>
        <v>83</v>
      </c>
      <c r="AT319" s="711">
        <f t="shared" si="170"/>
        <v>224</v>
      </c>
      <c r="AU319" s="711">
        <f t="shared" si="170"/>
        <v>372</v>
      </c>
      <c r="AV319" s="711">
        <f t="shared" si="170"/>
        <v>49</v>
      </c>
      <c r="AW319" s="711">
        <f t="shared" si="170"/>
        <v>118</v>
      </c>
      <c r="AX319" s="711">
        <f t="shared" si="165"/>
        <v>199</v>
      </c>
      <c r="AY319" s="711">
        <f t="shared" si="165"/>
        <v>325</v>
      </c>
      <c r="AZ319" s="711">
        <f t="shared" si="165"/>
        <v>388</v>
      </c>
      <c r="BA319" s="711">
        <f t="shared" si="165"/>
        <v>307</v>
      </c>
    </row>
    <row r="320" spans="1:53">
      <c r="A320" s="106">
        <f t="shared" si="150"/>
        <v>309</v>
      </c>
      <c r="B320" s="858">
        <v>42313</v>
      </c>
      <c r="C320" s="859" t="s">
        <v>1724</v>
      </c>
      <c r="D320" s="860">
        <v>4061</v>
      </c>
      <c r="E320" s="860">
        <v>4118</v>
      </c>
      <c r="F320" s="860">
        <v>4127</v>
      </c>
      <c r="G320" s="860">
        <v>4129</v>
      </c>
      <c r="H320" s="860">
        <v>4235</v>
      </c>
      <c r="I320" s="860">
        <v>4536</v>
      </c>
      <c r="J320" s="860">
        <v>4955</v>
      </c>
      <c r="K320" s="860">
        <v>5140</v>
      </c>
      <c r="L320" s="860">
        <v>5109</v>
      </c>
      <c r="M320" s="860">
        <v>5153</v>
      </c>
      <c r="N320" s="860">
        <v>5125</v>
      </c>
      <c r="O320" s="860">
        <v>5089</v>
      </c>
      <c r="P320" s="860">
        <v>4936</v>
      </c>
      <c r="Q320" s="860">
        <v>4903</v>
      </c>
      <c r="R320" s="860">
        <v>4879</v>
      </c>
      <c r="S320" s="860">
        <v>4913</v>
      </c>
      <c r="T320" s="860">
        <v>5125</v>
      </c>
      <c r="U320" s="860">
        <v>5574</v>
      </c>
      <c r="V320" s="860">
        <v>5571</v>
      </c>
      <c r="W320" s="860">
        <v>5441</v>
      </c>
      <c r="X320" s="860">
        <v>5269</v>
      </c>
      <c r="Y320" s="860">
        <v>4955</v>
      </c>
      <c r="Z320" s="860">
        <v>4556</v>
      </c>
      <c r="AA320" s="860">
        <v>4296</v>
      </c>
      <c r="AC320" s="712">
        <f t="shared" si="151"/>
        <v>309</v>
      </c>
      <c r="AD320" s="711">
        <f t="shared" si="152"/>
        <v>99</v>
      </c>
      <c r="AE320" s="711">
        <f t="shared" si="171"/>
        <v>57</v>
      </c>
      <c r="AF320" s="711">
        <f t="shared" si="172"/>
        <v>9</v>
      </c>
      <c r="AG320" s="711">
        <f t="shared" si="173"/>
        <v>2</v>
      </c>
      <c r="AH320" s="711">
        <f t="shared" si="174"/>
        <v>106</v>
      </c>
      <c r="AI320" s="711">
        <f t="shared" si="157"/>
        <v>301</v>
      </c>
      <c r="AJ320" s="711">
        <f t="shared" si="158"/>
        <v>419</v>
      </c>
      <c r="AK320" s="711">
        <f t="shared" si="159"/>
        <v>185</v>
      </c>
      <c r="AL320" s="711">
        <f t="shared" si="160"/>
        <v>31</v>
      </c>
      <c r="AM320" s="711">
        <f t="shared" si="161"/>
        <v>44</v>
      </c>
      <c r="AN320" s="711">
        <f t="shared" si="162"/>
        <v>28</v>
      </c>
      <c r="AO320" s="711">
        <f t="shared" si="175"/>
        <v>36</v>
      </c>
      <c r="AP320" s="711">
        <f t="shared" si="176"/>
        <v>153</v>
      </c>
      <c r="AQ320" s="711">
        <f t="shared" si="169"/>
        <v>33</v>
      </c>
      <c r="AR320" s="711">
        <f t="shared" si="170"/>
        <v>24</v>
      </c>
      <c r="AS320" s="711">
        <f t="shared" si="170"/>
        <v>34</v>
      </c>
      <c r="AT320" s="711">
        <f t="shared" si="170"/>
        <v>212</v>
      </c>
      <c r="AU320" s="711">
        <f t="shared" si="170"/>
        <v>449</v>
      </c>
      <c r="AV320" s="711">
        <f t="shared" si="170"/>
        <v>3</v>
      </c>
      <c r="AW320" s="711">
        <f t="shared" si="170"/>
        <v>130</v>
      </c>
      <c r="AX320" s="711">
        <f t="shared" si="165"/>
        <v>172</v>
      </c>
      <c r="AY320" s="711">
        <f t="shared" si="165"/>
        <v>314</v>
      </c>
      <c r="AZ320" s="711">
        <f t="shared" si="165"/>
        <v>399</v>
      </c>
      <c r="BA320" s="711">
        <f t="shared" si="165"/>
        <v>260</v>
      </c>
    </row>
    <row r="321" spans="1:53">
      <c r="A321" s="106">
        <f t="shared" si="150"/>
        <v>310</v>
      </c>
      <c r="B321" s="858">
        <v>42314</v>
      </c>
      <c r="C321" s="859" t="s">
        <v>1724</v>
      </c>
      <c r="D321" s="860">
        <v>4184</v>
      </c>
      <c r="E321" s="860">
        <v>4105</v>
      </c>
      <c r="F321" s="860">
        <v>4074</v>
      </c>
      <c r="G321" s="860">
        <v>4098</v>
      </c>
      <c r="H321" s="860">
        <v>4138</v>
      </c>
      <c r="I321" s="860">
        <v>4409</v>
      </c>
      <c r="J321" s="860">
        <v>4865</v>
      </c>
      <c r="K321" s="860">
        <v>5009</v>
      </c>
      <c r="L321" s="860">
        <v>5093</v>
      </c>
      <c r="M321" s="860">
        <v>5090</v>
      </c>
      <c r="N321" s="860">
        <v>5030</v>
      </c>
      <c r="O321" s="860">
        <v>4965</v>
      </c>
      <c r="P321" s="860">
        <v>4951</v>
      </c>
      <c r="Q321" s="860">
        <v>4958</v>
      </c>
      <c r="R321" s="860">
        <v>4968</v>
      </c>
      <c r="S321" s="860">
        <v>4988</v>
      </c>
      <c r="T321" s="860">
        <v>5167</v>
      </c>
      <c r="U321" s="860">
        <v>5601</v>
      </c>
      <c r="V321" s="860">
        <v>5551</v>
      </c>
      <c r="W321" s="860">
        <v>5434</v>
      </c>
      <c r="X321" s="860">
        <v>5291</v>
      </c>
      <c r="Y321" s="860">
        <v>5052</v>
      </c>
      <c r="Z321" s="860">
        <v>4732</v>
      </c>
      <c r="AA321" s="860">
        <v>4404</v>
      </c>
      <c r="AC321" s="712">
        <f t="shared" si="151"/>
        <v>310</v>
      </c>
      <c r="AD321" s="711">
        <f t="shared" si="152"/>
        <v>112</v>
      </c>
      <c r="AE321" s="711">
        <f t="shared" si="171"/>
        <v>79</v>
      </c>
      <c r="AF321" s="711">
        <f t="shared" si="172"/>
        <v>31</v>
      </c>
      <c r="AG321" s="711">
        <f t="shared" si="173"/>
        <v>24</v>
      </c>
      <c r="AH321" s="711">
        <f t="shared" si="174"/>
        <v>40</v>
      </c>
      <c r="AI321" s="711">
        <f t="shared" si="157"/>
        <v>271</v>
      </c>
      <c r="AJ321" s="711">
        <f t="shared" si="158"/>
        <v>456</v>
      </c>
      <c r="AK321" s="711">
        <f t="shared" si="159"/>
        <v>144</v>
      </c>
      <c r="AL321" s="711">
        <f t="shared" si="160"/>
        <v>84</v>
      </c>
      <c r="AM321" s="711">
        <f t="shared" si="161"/>
        <v>3</v>
      </c>
      <c r="AN321" s="711">
        <f t="shared" si="162"/>
        <v>60</v>
      </c>
      <c r="AO321" s="711">
        <f t="shared" si="175"/>
        <v>65</v>
      </c>
      <c r="AP321" s="711">
        <f t="shared" si="176"/>
        <v>14</v>
      </c>
      <c r="AQ321" s="711">
        <f t="shared" si="169"/>
        <v>7</v>
      </c>
      <c r="AR321" s="711">
        <f t="shared" si="170"/>
        <v>10</v>
      </c>
      <c r="AS321" s="711">
        <f t="shared" si="170"/>
        <v>20</v>
      </c>
      <c r="AT321" s="711">
        <f t="shared" si="170"/>
        <v>179</v>
      </c>
      <c r="AU321" s="711">
        <f t="shared" si="170"/>
        <v>434</v>
      </c>
      <c r="AV321" s="711">
        <f t="shared" si="170"/>
        <v>50</v>
      </c>
      <c r="AW321" s="711">
        <f t="shared" si="170"/>
        <v>117</v>
      </c>
      <c r="AX321" s="711">
        <f t="shared" si="165"/>
        <v>143</v>
      </c>
      <c r="AY321" s="711">
        <f t="shared" si="165"/>
        <v>239</v>
      </c>
      <c r="AZ321" s="711">
        <f t="shared" si="165"/>
        <v>320</v>
      </c>
      <c r="BA321" s="711">
        <f t="shared" si="165"/>
        <v>328</v>
      </c>
    </row>
    <row r="322" spans="1:53">
      <c r="A322" s="106">
        <f t="shared" si="150"/>
        <v>311</v>
      </c>
      <c r="B322" s="858">
        <v>42315</v>
      </c>
      <c r="C322" s="859" t="s">
        <v>1724</v>
      </c>
      <c r="D322" s="860">
        <v>4385</v>
      </c>
      <c r="E322" s="860">
        <v>4315</v>
      </c>
      <c r="F322" s="860">
        <v>4280</v>
      </c>
      <c r="G322" s="860">
        <v>4381</v>
      </c>
      <c r="H322" s="860">
        <v>4442</v>
      </c>
      <c r="I322" s="860">
        <v>4566</v>
      </c>
      <c r="J322" s="860">
        <v>4668</v>
      </c>
      <c r="K322" s="860">
        <v>4747</v>
      </c>
      <c r="L322" s="860">
        <v>4795</v>
      </c>
      <c r="M322" s="860">
        <v>4701</v>
      </c>
      <c r="N322" s="860">
        <v>4658</v>
      </c>
      <c r="O322" s="860">
        <v>4577</v>
      </c>
      <c r="P322" s="860">
        <v>4513</v>
      </c>
      <c r="Q322" s="860">
        <v>4428</v>
      </c>
      <c r="R322" s="860">
        <v>4391</v>
      </c>
      <c r="S322" s="860">
        <v>4443</v>
      </c>
      <c r="T322" s="860">
        <v>4685</v>
      </c>
      <c r="U322" s="860">
        <v>5122</v>
      </c>
      <c r="V322" s="860">
        <v>5210</v>
      </c>
      <c r="W322" s="860">
        <v>5093</v>
      </c>
      <c r="X322" s="860">
        <v>5020</v>
      </c>
      <c r="Y322" s="860">
        <v>4854</v>
      </c>
      <c r="Z322" s="860">
        <v>4584</v>
      </c>
      <c r="AA322" s="860">
        <v>4342</v>
      </c>
      <c r="AC322" s="712">
        <f t="shared" si="151"/>
        <v>311</v>
      </c>
      <c r="AD322" s="711">
        <f t="shared" si="152"/>
        <v>19</v>
      </c>
      <c r="AE322" s="711">
        <f t="shared" si="171"/>
        <v>70</v>
      </c>
      <c r="AF322" s="711">
        <f t="shared" si="172"/>
        <v>35</v>
      </c>
      <c r="AG322" s="711">
        <f t="shared" si="173"/>
        <v>101</v>
      </c>
      <c r="AH322" s="711">
        <f t="shared" si="174"/>
        <v>61</v>
      </c>
      <c r="AI322" s="711">
        <f t="shared" si="157"/>
        <v>124</v>
      </c>
      <c r="AJ322" s="711">
        <f t="shared" si="158"/>
        <v>102</v>
      </c>
      <c r="AK322" s="711">
        <f t="shared" si="159"/>
        <v>79</v>
      </c>
      <c r="AL322" s="711">
        <f t="shared" si="160"/>
        <v>48</v>
      </c>
      <c r="AM322" s="711">
        <f t="shared" si="161"/>
        <v>94</v>
      </c>
      <c r="AN322" s="711">
        <f t="shared" si="162"/>
        <v>43</v>
      </c>
      <c r="AO322" s="711">
        <f t="shared" si="175"/>
        <v>81</v>
      </c>
      <c r="AP322" s="711">
        <f t="shared" si="176"/>
        <v>64</v>
      </c>
      <c r="AQ322" s="711">
        <f t="shared" si="169"/>
        <v>85</v>
      </c>
      <c r="AR322" s="711">
        <f t="shared" si="170"/>
        <v>37</v>
      </c>
      <c r="AS322" s="711">
        <f t="shared" si="170"/>
        <v>52</v>
      </c>
      <c r="AT322" s="711">
        <f t="shared" si="170"/>
        <v>242</v>
      </c>
      <c r="AU322" s="711">
        <f t="shared" si="170"/>
        <v>437</v>
      </c>
      <c r="AV322" s="711">
        <f t="shared" si="170"/>
        <v>88</v>
      </c>
      <c r="AW322" s="711">
        <f t="shared" si="170"/>
        <v>117</v>
      </c>
      <c r="AX322" s="711">
        <f t="shared" si="165"/>
        <v>73</v>
      </c>
      <c r="AY322" s="711">
        <f t="shared" si="165"/>
        <v>166</v>
      </c>
      <c r="AZ322" s="711">
        <f t="shared" si="165"/>
        <v>270</v>
      </c>
      <c r="BA322" s="711">
        <f t="shared" si="165"/>
        <v>242</v>
      </c>
    </row>
    <row r="323" spans="1:53">
      <c r="A323" s="106">
        <f t="shared" si="150"/>
        <v>312</v>
      </c>
      <c r="B323" s="858">
        <v>42316</v>
      </c>
      <c r="C323" s="859" t="s">
        <v>1724</v>
      </c>
      <c r="D323" s="860">
        <v>4187</v>
      </c>
      <c r="E323" s="860">
        <v>4220</v>
      </c>
      <c r="F323" s="860">
        <v>4229</v>
      </c>
      <c r="G323" s="860">
        <v>4252</v>
      </c>
      <c r="H323" s="860">
        <v>4299</v>
      </c>
      <c r="I323" s="860">
        <v>4296</v>
      </c>
      <c r="J323" s="860">
        <v>4414</v>
      </c>
      <c r="K323" s="860">
        <v>4445</v>
      </c>
      <c r="L323" s="860">
        <v>4458</v>
      </c>
      <c r="M323" s="860">
        <v>4450</v>
      </c>
      <c r="N323" s="860">
        <v>4409</v>
      </c>
      <c r="O323" s="860">
        <v>4389</v>
      </c>
      <c r="P323" s="860">
        <v>4393</v>
      </c>
      <c r="Q323" s="860">
        <v>4435</v>
      </c>
      <c r="R323" s="860">
        <v>4456</v>
      </c>
      <c r="S323" s="860">
        <v>4562</v>
      </c>
      <c r="T323" s="860">
        <v>4738</v>
      </c>
      <c r="U323" s="860">
        <v>5180</v>
      </c>
      <c r="V323" s="860">
        <v>5258</v>
      </c>
      <c r="W323" s="860">
        <v>5181</v>
      </c>
      <c r="X323" s="860">
        <v>4992</v>
      </c>
      <c r="Y323" s="860">
        <v>4742</v>
      </c>
      <c r="Z323" s="860">
        <v>4387</v>
      </c>
      <c r="AA323" s="860">
        <v>4125</v>
      </c>
      <c r="AC323" s="712">
        <f t="shared" si="151"/>
        <v>312</v>
      </c>
      <c r="AD323" s="711">
        <f t="shared" si="152"/>
        <v>155</v>
      </c>
      <c r="AE323" s="711">
        <f t="shared" si="171"/>
        <v>33</v>
      </c>
      <c r="AF323" s="711">
        <f t="shared" si="172"/>
        <v>9</v>
      </c>
      <c r="AG323" s="711">
        <f t="shared" si="173"/>
        <v>23</v>
      </c>
      <c r="AH323" s="711">
        <f t="shared" si="174"/>
        <v>47</v>
      </c>
      <c r="AI323" s="711">
        <f>ABS(I323-H323)</f>
        <v>3</v>
      </c>
      <c r="AJ323" s="711">
        <f>ABS(J323-I323)</f>
        <v>118</v>
      </c>
      <c r="AK323" s="711">
        <f>ABS(K323-J323)</f>
        <v>31</v>
      </c>
      <c r="AL323" s="711">
        <f>ABS(L323-K323)</f>
        <v>13</v>
      </c>
      <c r="AM323" s="711">
        <f t="shared" ref="AM323:AT363" si="177">ABS(M323-L323)</f>
        <v>8</v>
      </c>
      <c r="AN323" s="711">
        <f t="shared" si="177"/>
        <v>41</v>
      </c>
      <c r="AO323" s="711">
        <f t="shared" si="177"/>
        <v>20</v>
      </c>
      <c r="AP323" s="711">
        <f t="shared" si="177"/>
        <v>4</v>
      </c>
      <c r="AQ323" s="711">
        <f t="shared" si="177"/>
        <v>42</v>
      </c>
      <c r="AR323" s="711">
        <f t="shared" si="170"/>
        <v>21</v>
      </c>
      <c r="AS323" s="711">
        <f t="shared" si="170"/>
        <v>106</v>
      </c>
      <c r="AT323" s="711">
        <f t="shared" si="170"/>
        <v>176</v>
      </c>
      <c r="AU323" s="711">
        <f t="shared" si="170"/>
        <v>442</v>
      </c>
      <c r="AV323" s="711">
        <f t="shared" si="170"/>
        <v>78</v>
      </c>
      <c r="AW323" s="711">
        <f t="shared" si="170"/>
        <v>77</v>
      </c>
      <c r="AX323" s="711">
        <f t="shared" si="165"/>
        <v>189</v>
      </c>
      <c r="AY323" s="711">
        <f t="shared" si="165"/>
        <v>250</v>
      </c>
      <c r="AZ323" s="711">
        <f t="shared" si="165"/>
        <v>355</v>
      </c>
      <c r="BA323" s="711">
        <f t="shared" si="165"/>
        <v>262</v>
      </c>
    </row>
    <row r="324" spans="1:53">
      <c r="A324" s="106">
        <f t="shared" si="150"/>
        <v>313</v>
      </c>
      <c r="B324" s="858">
        <v>42317</v>
      </c>
      <c r="C324" s="859" t="s">
        <v>1724</v>
      </c>
      <c r="D324" s="860">
        <v>3995</v>
      </c>
      <c r="E324" s="860">
        <v>3911</v>
      </c>
      <c r="F324" s="860">
        <v>3930</v>
      </c>
      <c r="G324" s="860">
        <v>3952</v>
      </c>
      <c r="H324" s="860">
        <v>4127</v>
      </c>
      <c r="I324" s="860">
        <v>4462</v>
      </c>
      <c r="J324" s="860">
        <v>4928</v>
      </c>
      <c r="K324" s="860">
        <v>5041</v>
      </c>
      <c r="L324" s="860">
        <v>4971</v>
      </c>
      <c r="M324" s="860">
        <v>4937</v>
      </c>
      <c r="N324" s="860">
        <v>4929</v>
      </c>
      <c r="O324" s="860">
        <v>4886</v>
      </c>
      <c r="P324" s="860">
        <v>4857</v>
      </c>
      <c r="Q324" s="860">
        <v>4865</v>
      </c>
      <c r="R324" s="860">
        <v>4853</v>
      </c>
      <c r="S324" s="860">
        <v>4884</v>
      </c>
      <c r="T324" s="860">
        <v>5062</v>
      </c>
      <c r="U324" s="860">
        <v>5533</v>
      </c>
      <c r="V324" s="860">
        <v>5496</v>
      </c>
      <c r="W324" s="860">
        <v>5373</v>
      </c>
      <c r="X324" s="860">
        <v>5198</v>
      </c>
      <c r="Y324" s="860">
        <v>4910</v>
      </c>
      <c r="Z324" s="860">
        <v>4548</v>
      </c>
      <c r="AA324" s="860">
        <v>4343</v>
      </c>
      <c r="AC324" s="712">
        <f t="shared" si="151"/>
        <v>313</v>
      </c>
      <c r="AD324" s="711">
        <f t="shared" si="152"/>
        <v>130</v>
      </c>
      <c r="AE324" s="711">
        <f t="shared" ref="AE324:AL355" si="178">ABS(E324-D324)</f>
        <v>84</v>
      </c>
      <c r="AF324" s="711">
        <f t="shared" si="178"/>
        <v>19</v>
      </c>
      <c r="AG324" s="711">
        <f t="shared" si="178"/>
        <v>22</v>
      </c>
      <c r="AH324" s="711">
        <f t="shared" si="178"/>
        <v>175</v>
      </c>
      <c r="AI324" s="711">
        <f t="shared" si="178"/>
        <v>335</v>
      </c>
      <c r="AJ324" s="711">
        <f t="shared" si="178"/>
        <v>466</v>
      </c>
      <c r="AK324" s="711">
        <f t="shared" si="178"/>
        <v>113</v>
      </c>
      <c r="AL324" s="711">
        <f t="shared" si="178"/>
        <v>70</v>
      </c>
      <c r="AM324" s="711">
        <f t="shared" si="177"/>
        <v>34</v>
      </c>
      <c r="AN324" s="711">
        <f t="shared" si="177"/>
        <v>8</v>
      </c>
      <c r="AO324" s="711">
        <f t="shared" si="177"/>
        <v>43</v>
      </c>
      <c r="AP324" s="711">
        <f t="shared" si="177"/>
        <v>29</v>
      </c>
      <c r="AQ324" s="711">
        <f t="shared" si="177"/>
        <v>8</v>
      </c>
      <c r="AR324" s="711">
        <f t="shared" si="170"/>
        <v>12</v>
      </c>
      <c r="AS324" s="711">
        <f t="shared" si="170"/>
        <v>31</v>
      </c>
      <c r="AT324" s="711">
        <f t="shared" si="170"/>
        <v>178</v>
      </c>
      <c r="AU324" s="711">
        <f t="shared" si="170"/>
        <v>471</v>
      </c>
      <c r="AV324" s="711">
        <f t="shared" si="170"/>
        <v>37</v>
      </c>
      <c r="AW324" s="711">
        <f t="shared" si="170"/>
        <v>123</v>
      </c>
      <c r="AX324" s="711">
        <f t="shared" si="165"/>
        <v>175</v>
      </c>
      <c r="AY324" s="711">
        <f t="shared" si="165"/>
        <v>288</v>
      </c>
      <c r="AZ324" s="711">
        <f t="shared" si="165"/>
        <v>362</v>
      </c>
      <c r="BA324" s="711">
        <f t="shared" si="165"/>
        <v>205</v>
      </c>
    </row>
    <row r="325" spans="1:53">
      <c r="A325" s="106">
        <f t="shared" si="150"/>
        <v>314</v>
      </c>
      <c r="B325" s="858">
        <v>42318</v>
      </c>
      <c r="C325" s="859" t="s">
        <v>1724</v>
      </c>
      <c r="D325" s="860">
        <v>4272</v>
      </c>
      <c r="E325" s="860">
        <v>4213</v>
      </c>
      <c r="F325" s="860">
        <v>4182</v>
      </c>
      <c r="G325" s="860">
        <v>4230</v>
      </c>
      <c r="H325" s="860">
        <v>4345</v>
      </c>
      <c r="I325" s="860">
        <v>4575</v>
      </c>
      <c r="J325" s="860">
        <v>4928</v>
      </c>
      <c r="K325" s="860">
        <v>4991</v>
      </c>
      <c r="L325" s="860">
        <v>4931</v>
      </c>
      <c r="M325" s="860">
        <v>4916</v>
      </c>
      <c r="N325" s="860">
        <v>4894</v>
      </c>
      <c r="O325" s="860">
        <v>4858</v>
      </c>
      <c r="P325" s="860">
        <v>4840</v>
      </c>
      <c r="Q325" s="860">
        <v>4869</v>
      </c>
      <c r="R325" s="860">
        <v>4891</v>
      </c>
      <c r="S325" s="860">
        <v>4967</v>
      </c>
      <c r="T325" s="860">
        <v>5150</v>
      </c>
      <c r="U325" s="860">
        <v>5572</v>
      </c>
      <c r="V325" s="860">
        <v>5537</v>
      </c>
      <c r="W325" s="860">
        <v>5433</v>
      </c>
      <c r="X325" s="860">
        <v>5259</v>
      </c>
      <c r="Y325" s="860">
        <v>4969</v>
      </c>
      <c r="Z325" s="860">
        <v>4622</v>
      </c>
      <c r="AA325" s="860">
        <v>4438</v>
      </c>
      <c r="AC325" s="712">
        <f t="shared" si="151"/>
        <v>314</v>
      </c>
      <c r="AD325" s="711">
        <f t="shared" si="152"/>
        <v>71</v>
      </c>
      <c r="AE325" s="711">
        <f t="shared" si="178"/>
        <v>59</v>
      </c>
      <c r="AF325" s="711">
        <f t="shared" si="178"/>
        <v>31</v>
      </c>
      <c r="AG325" s="711">
        <f t="shared" si="178"/>
        <v>48</v>
      </c>
      <c r="AH325" s="711">
        <f t="shared" si="178"/>
        <v>115</v>
      </c>
      <c r="AI325" s="711">
        <f t="shared" si="178"/>
        <v>230</v>
      </c>
      <c r="AJ325" s="711">
        <f t="shared" si="178"/>
        <v>353</v>
      </c>
      <c r="AK325" s="711">
        <f t="shared" si="178"/>
        <v>63</v>
      </c>
      <c r="AL325" s="711">
        <f t="shared" si="178"/>
        <v>60</v>
      </c>
      <c r="AM325" s="711">
        <f t="shared" si="177"/>
        <v>15</v>
      </c>
      <c r="AN325" s="711">
        <f t="shared" si="177"/>
        <v>22</v>
      </c>
      <c r="AO325" s="711">
        <f t="shared" si="177"/>
        <v>36</v>
      </c>
      <c r="AP325" s="711">
        <f t="shared" si="177"/>
        <v>18</v>
      </c>
      <c r="AQ325" s="711">
        <f t="shared" si="177"/>
        <v>29</v>
      </c>
      <c r="AR325" s="711">
        <f t="shared" si="170"/>
        <v>22</v>
      </c>
      <c r="AS325" s="711">
        <f t="shared" si="170"/>
        <v>76</v>
      </c>
      <c r="AT325" s="711">
        <f t="shared" si="170"/>
        <v>183</v>
      </c>
      <c r="AU325" s="711">
        <f t="shared" si="170"/>
        <v>422</v>
      </c>
      <c r="AV325" s="711">
        <f t="shared" si="170"/>
        <v>35</v>
      </c>
      <c r="AW325" s="711">
        <f t="shared" si="170"/>
        <v>104</v>
      </c>
      <c r="AX325" s="711">
        <f t="shared" si="165"/>
        <v>174</v>
      </c>
      <c r="AY325" s="711">
        <f t="shared" si="165"/>
        <v>290</v>
      </c>
      <c r="AZ325" s="711">
        <f t="shared" si="165"/>
        <v>347</v>
      </c>
      <c r="BA325" s="711">
        <f t="shared" si="165"/>
        <v>184</v>
      </c>
    </row>
    <row r="326" spans="1:53">
      <c r="A326" s="106">
        <f t="shared" si="150"/>
        <v>315</v>
      </c>
      <c r="B326" s="858">
        <v>42319</v>
      </c>
      <c r="C326" s="859" t="s">
        <v>1724</v>
      </c>
      <c r="D326" s="860">
        <v>4353</v>
      </c>
      <c r="E326" s="860">
        <v>4318</v>
      </c>
      <c r="F326" s="860">
        <v>4314</v>
      </c>
      <c r="G326" s="860">
        <v>4347</v>
      </c>
      <c r="H326" s="860">
        <v>4443</v>
      </c>
      <c r="I326" s="860">
        <v>4634</v>
      </c>
      <c r="J326" s="860">
        <v>5018</v>
      </c>
      <c r="K326" s="860">
        <v>5120</v>
      </c>
      <c r="L326" s="860">
        <v>5225</v>
      </c>
      <c r="M326" s="860">
        <v>5245</v>
      </c>
      <c r="N326" s="860">
        <v>5214</v>
      </c>
      <c r="O326" s="860">
        <v>5141</v>
      </c>
      <c r="P326" s="860">
        <v>5113</v>
      </c>
      <c r="Q326" s="860">
        <v>5043</v>
      </c>
      <c r="R326" s="860">
        <v>5075</v>
      </c>
      <c r="S326" s="860">
        <v>5119</v>
      </c>
      <c r="T326" s="860">
        <v>5352</v>
      </c>
      <c r="U326" s="860">
        <v>5861</v>
      </c>
      <c r="V326" s="860">
        <v>5857</v>
      </c>
      <c r="W326" s="860">
        <v>5701</v>
      </c>
      <c r="X326" s="860">
        <v>5545</v>
      </c>
      <c r="Y326" s="860">
        <v>5225</v>
      </c>
      <c r="Z326" s="860">
        <v>4882</v>
      </c>
      <c r="AA326" s="860">
        <v>4738</v>
      </c>
      <c r="AC326" s="712">
        <f t="shared" si="151"/>
        <v>315</v>
      </c>
      <c r="AD326" s="711">
        <f t="shared" si="152"/>
        <v>85</v>
      </c>
      <c r="AE326" s="711">
        <f t="shared" si="178"/>
        <v>35</v>
      </c>
      <c r="AF326" s="711">
        <f t="shared" si="178"/>
        <v>4</v>
      </c>
      <c r="AG326" s="711">
        <f t="shared" si="178"/>
        <v>33</v>
      </c>
      <c r="AH326" s="711">
        <f t="shared" si="178"/>
        <v>96</v>
      </c>
      <c r="AI326" s="711">
        <f t="shared" si="178"/>
        <v>191</v>
      </c>
      <c r="AJ326" s="711">
        <f t="shared" si="178"/>
        <v>384</v>
      </c>
      <c r="AK326" s="711">
        <f t="shared" si="178"/>
        <v>102</v>
      </c>
      <c r="AL326" s="711">
        <f t="shared" si="178"/>
        <v>105</v>
      </c>
      <c r="AM326" s="711">
        <f t="shared" si="177"/>
        <v>20</v>
      </c>
      <c r="AN326" s="711">
        <f t="shared" si="177"/>
        <v>31</v>
      </c>
      <c r="AO326" s="711">
        <f t="shared" si="177"/>
        <v>73</v>
      </c>
      <c r="AP326" s="711">
        <f t="shared" si="177"/>
        <v>28</v>
      </c>
      <c r="AQ326" s="711">
        <f t="shared" si="177"/>
        <v>70</v>
      </c>
      <c r="AR326" s="711">
        <f t="shared" si="170"/>
        <v>32</v>
      </c>
      <c r="AS326" s="711">
        <f t="shared" si="170"/>
        <v>44</v>
      </c>
      <c r="AT326" s="711">
        <f t="shared" si="170"/>
        <v>233</v>
      </c>
      <c r="AU326" s="711">
        <f t="shared" si="170"/>
        <v>509</v>
      </c>
      <c r="AV326" s="711">
        <f t="shared" si="170"/>
        <v>4</v>
      </c>
      <c r="AW326" s="711">
        <f t="shared" si="170"/>
        <v>156</v>
      </c>
      <c r="AX326" s="711">
        <f t="shared" si="165"/>
        <v>156</v>
      </c>
      <c r="AY326" s="711">
        <f t="shared" si="165"/>
        <v>320</v>
      </c>
      <c r="AZ326" s="711">
        <f t="shared" si="165"/>
        <v>343</v>
      </c>
      <c r="BA326" s="711">
        <f t="shared" si="165"/>
        <v>144</v>
      </c>
    </row>
    <row r="327" spans="1:53">
      <c r="A327" s="106">
        <f t="shared" si="150"/>
        <v>316</v>
      </c>
      <c r="B327" s="858">
        <v>42320</v>
      </c>
      <c r="C327" s="859" t="s">
        <v>1724</v>
      </c>
      <c r="D327" s="860">
        <v>4568</v>
      </c>
      <c r="E327" s="860">
        <v>4466</v>
      </c>
      <c r="F327" s="860">
        <v>4452</v>
      </c>
      <c r="G327" s="860">
        <v>4452</v>
      </c>
      <c r="H327" s="860">
        <v>4498</v>
      </c>
      <c r="I327" s="860">
        <v>4799</v>
      </c>
      <c r="J327" s="860">
        <v>5202</v>
      </c>
      <c r="K327" s="860">
        <v>5223</v>
      </c>
      <c r="L327" s="860">
        <v>5152</v>
      </c>
      <c r="M327" s="860">
        <v>5085</v>
      </c>
      <c r="N327" s="860">
        <v>5044</v>
      </c>
      <c r="O327" s="860">
        <v>4989</v>
      </c>
      <c r="P327" s="860">
        <v>4930</v>
      </c>
      <c r="Q327" s="860">
        <v>4904</v>
      </c>
      <c r="R327" s="860">
        <v>4923</v>
      </c>
      <c r="S327" s="860">
        <v>4974</v>
      </c>
      <c r="T327" s="860">
        <v>5144</v>
      </c>
      <c r="U327" s="860">
        <v>5682</v>
      </c>
      <c r="V327" s="860">
        <v>5702</v>
      </c>
      <c r="W327" s="860">
        <v>5586</v>
      </c>
      <c r="X327" s="860">
        <v>5412</v>
      </c>
      <c r="Y327" s="860">
        <v>5155</v>
      </c>
      <c r="Z327" s="860">
        <v>4775</v>
      </c>
      <c r="AA327" s="860">
        <v>4564</v>
      </c>
      <c r="AC327" s="712">
        <f t="shared" si="151"/>
        <v>316</v>
      </c>
      <c r="AD327" s="711">
        <f t="shared" si="152"/>
        <v>170</v>
      </c>
      <c r="AE327" s="711">
        <f t="shared" si="178"/>
        <v>102</v>
      </c>
      <c r="AF327" s="711">
        <f t="shared" si="178"/>
        <v>14</v>
      </c>
      <c r="AG327" s="711">
        <f t="shared" si="178"/>
        <v>0</v>
      </c>
      <c r="AH327" s="711">
        <f t="shared" si="178"/>
        <v>46</v>
      </c>
      <c r="AI327" s="711">
        <f t="shared" si="178"/>
        <v>301</v>
      </c>
      <c r="AJ327" s="711">
        <f t="shared" si="178"/>
        <v>403</v>
      </c>
      <c r="AK327" s="711">
        <f t="shared" si="178"/>
        <v>21</v>
      </c>
      <c r="AL327" s="711">
        <f t="shared" si="178"/>
        <v>71</v>
      </c>
      <c r="AM327" s="711">
        <f t="shared" si="177"/>
        <v>67</v>
      </c>
      <c r="AN327" s="711">
        <f t="shared" si="177"/>
        <v>41</v>
      </c>
      <c r="AO327" s="711">
        <f t="shared" si="177"/>
        <v>55</v>
      </c>
      <c r="AP327" s="711">
        <f t="shared" si="177"/>
        <v>59</v>
      </c>
      <c r="AQ327" s="711">
        <f t="shared" si="177"/>
        <v>26</v>
      </c>
      <c r="AR327" s="711">
        <f t="shared" si="170"/>
        <v>19</v>
      </c>
      <c r="AS327" s="711">
        <f t="shared" si="170"/>
        <v>51</v>
      </c>
      <c r="AT327" s="711">
        <f t="shared" si="170"/>
        <v>170</v>
      </c>
      <c r="AU327" s="711">
        <f t="shared" si="170"/>
        <v>538</v>
      </c>
      <c r="AV327" s="711">
        <f t="shared" si="170"/>
        <v>20</v>
      </c>
      <c r="AW327" s="711">
        <f t="shared" si="170"/>
        <v>116</v>
      </c>
      <c r="AX327" s="711">
        <f t="shared" si="165"/>
        <v>174</v>
      </c>
      <c r="AY327" s="711">
        <f t="shared" si="165"/>
        <v>257</v>
      </c>
      <c r="AZ327" s="711">
        <f t="shared" si="165"/>
        <v>380</v>
      </c>
      <c r="BA327" s="711">
        <f t="shared" si="165"/>
        <v>211</v>
      </c>
    </row>
    <row r="328" spans="1:53">
      <c r="A328" s="106">
        <f t="shared" si="150"/>
        <v>317</v>
      </c>
      <c r="B328" s="858">
        <v>42321</v>
      </c>
      <c r="C328" s="859" t="s">
        <v>1724</v>
      </c>
      <c r="D328" s="860">
        <v>4561</v>
      </c>
      <c r="E328" s="860">
        <v>4475</v>
      </c>
      <c r="F328" s="860">
        <v>4433</v>
      </c>
      <c r="G328" s="860">
        <v>4471</v>
      </c>
      <c r="H328" s="860">
        <v>4532</v>
      </c>
      <c r="I328" s="860">
        <v>4798</v>
      </c>
      <c r="J328" s="860">
        <v>5193</v>
      </c>
      <c r="K328" s="860">
        <v>5206</v>
      </c>
      <c r="L328" s="860">
        <v>5199</v>
      </c>
      <c r="M328" s="860">
        <v>5094</v>
      </c>
      <c r="N328" s="860">
        <v>5010</v>
      </c>
      <c r="O328" s="860">
        <v>4943</v>
      </c>
      <c r="P328" s="860">
        <v>4847</v>
      </c>
      <c r="Q328" s="860">
        <v>4862</v>
      </c>
      <c r="R328" s="860">
        <v>4834</v>
      </c>
      <c r="S328" s="860">
        <v>4878</v>
      </c>
      <c r="T328" s="860">
        <v>5075</v>
      </c>
      <c r="U328" s="860">
        <v>5459</v>
      </c>
      <c r="V328" s="860">
        <v>5406</v>
      </c>
      <c r="W328" s="860">
        <v>5306</v>
      </c>
      <c r="X328" s="860">
        <v>5179</v>
      </c>
      <c r="Y328" s="860">
        <v>4965</v>
      </c>
      <c r="Z328" s="860">
        <v>4704</v>
      </c>
      <c r="AA328" s="860">
        <v>4475</v>
      </c>
      <c r="AC328" s="712">
        <f t="shared" si="151"/>
        <v>317</v>
      </c>
      <c r="AD328" s="711">
        <f t="shared" si="152"/>
        <v>3</v>
      </c>
      <c r="AE328" s="711">
        <f t="shared" si="178"/>
        <v>86</v>
      </c>
      <c r="AF328" s="711">
        <f t="shared" si="178"/>
        <v>42</v>
      </c>
      <c r="AG328" s="711">
        <f t="shared" si="178"/>
        <v>38</v>
      </c>
      <c r="AH328" s="711">
        <f t="shared" si="178"/>
        <v>61</v>
      </c>
      <c r="AI328" s="711">
        <f t="shared" si="178"/>
        <v>266</v>
      </c>
      <c r="AJ328" s="711">
        <f t="shared" si="178"/>
        <v>395</v>
      </c>
      <c r="AK328" s="711">
        <f t="shared" si="178"/>
        <v>13</v>
      </c>
      <c r="AL328" s="711">
        <f t="shared" si="178"/>
        <v>7</v>
      </c>
      <c r="AM328" s="711">
        <f t="shared" si="177"/>
        <v>105</v>
      </c>
      <c r="AN328" s="711">
        <f t="shared" si="177"/>
        <v>84</v>
      </c>
      <c r="AO328" s="711">
        <f t="shared" si="177"/>
        <v>67</v>
      </c>
      <c r="AP328" s="711">
        <f t="shared" si="177"/>
        <v>96</v>
      </c>
      <c r="AQ328" s="711">
        <f t="shared" si="177"/>
        <v>15</v>
      </c>
      <c r="AR328" s="711">
        <f t="shared" si="170"/>
        <v>28</v>
      </c>
      <c r="AS328" s="711">
        <f t="shared" si="170"/>
        <v>44</v>
      </c>
      <c r="AT328" s="711">
        <f t="shared" si="170"/>
        <v>197</v>
      </c>
      <c r="AU328" s="711">
        <f t="shared" si="170"/>
        <v>384</v>
      </c>
      <c r="AV328" s="711">
        <f t="shared" si="170"/>
        <v>53</v>
      </c>
      <c r="AW328" s="711">
        <f t="shared" si="170"/>
        <v>100</v>
      </c>
      <c r="AX328" s="711">
        <f t="shared" si="165"/>
        <v>127</v>
      </c>
      <c r="AY328" s="711">
        <f t="shared" si="165"/>
        <v>214</v>
      </c>
      <c r="AZ328" s="711">
        <f t="shared" si="165"/>
        <v>261</v>
      </c>
      <c r="BA328" s="711">
        <f t="shared" si="165"/>
        <v>229</v>
      </c>
    </row>
    <row r="329" spans="1:53">
      <c r="A329" s="106">
        <f t="shared" si="150"/>
        <v>318</v>
      </c>
      <c r="B329" s="858">
        <v>42322</v>
      </c>
      <c r="C329" s="859" t="s">
        <v>1724</v>
      </c>
      <c r="D329" s="860">
        <v>4336</v>
      </c>
      <c r="E329" s="860">
        <v>4233</v>
      </c>
      <c r="F329" s="860">
        <v>4192</v>
      </c>
      <c r="G329" s="860">
        <v>4191</v>
      </c>
      <c r="H329" s="860">
        <v>4145</v>
      </c>
      <c r="I329" s="860">
        <v>4287</v>
      </c>
      <c r="J329" s="860">
        <v>4490</v>
      </c>
      <c r="K329" s="860">
        <v>4589</v>
      </c>
      <c r="L329" s="860">
        <v>4657</v>
      </c>
      <c r="M329" s="860">
        <v>4604</v>
      </c>
      <c r="N329" s="860">
        <v>4546</v>
      </c>
      <c r="O329" s="860">
        <v>4520</v>
      </c>
      <c r="P329" s="860">
        <v>4487</v>
      </c>
      <c r="Q329" s="860">
        <v>4449</v>
      </c>
      <c r="R329" s="860">
        <v>4443</v>
      </c>
      <c r="S329" s="860">
        <v>4519</v>
      </c>
      <c r="T329" s="860">
        <v>4707</v>
      </c>
      <c r="U329" s="860">
        <v>5137</v>
      </c>
      <c r="V329" s="860">
        <v>5143</v>
      </c>
      <c r="W329" s="860">
        <v>5033</v>
      </c>
      <c r="X329" s="860">
        <v>4939</v>
      </c>
      <c r="Y329" s="860">
        <v>4756</v>
      </c>
      <c r="Z329" s="860">
        <v>4490</v>
      </c>
      <c r="AA329" s="860">
        <v>4317</v>
      </c>
      <c r="AC329" s="712">
        <f t="shared" si="151"/>
        <v>318</v>
      </c>
      <c r="AD329" s="711">
        <f t="shared" si="152"/>
        <v>139</v>
      </c>
      <c r="AE329" s="711">
        <f t="shared" si="178"/>
        <v>103</v>
      </c>
      <c r="AF329" s="711">
        <f t="shared" si="178"/>
        <v>41</v>
      </c>
      <c r="AG329" s="711">
        <f t="shared" si="178"/>
        <v>1</v>
      </c>
      <c r="AH329" s="711">
        <f t="shared" si="178"/>
        <v>46</v>
      </c>
      <c r="AI329" s="711">
        <f t="shared" si="178"/>
        <v>142</v>
      </c>
      <c r="AJ329" s="711">
        <f t="shared" si="178"/>
        <v>203</v>
      </c>
      <c r="AK329" s="711">
        <f t="shared" si="178"/>
        <v>99</v>
      </c>
      <c r="AL329" s="711">
        <f t="shared" si="178"/>
        <v>68</v>
      </c>
      <c r="AM329" s="711">
        <f t="shared" si="177"/>
        <v>53</v>
      </c>
      <c r="AN329" s="711">
        <f t="shared" si="177"/>
        <v>58</v>
      </c>
      <c r="AO329" s="711">
        <f t="shared" si="177"/>
        <v>26</v>
      </c>
      <c r="AP329" s="711">
        <f t="shared" si="177"/>
        <v>33</v>
      </c>
      <c r="AQ329" s="711">
        <f t="shared" si="177"/>
        <v>38</v>
      </c>
      <c r="AR329" s="711">
        <f t="shared" si="170"/>
        <v>6</v>
      </c>
      <c r="AS329" s="711">
        <f t="shared" si="170"/>
        <v>76</v>
      </c>
      <c r="AT329" s="711">
        <f t="shared" si="170"/>
        <v>188</v>
      </c>
      <c r="AU329" s="711">
        <f t="shared" si="170"/>
        <v>430</v>
      </c>
      <c r="AV329" s="711">
        <f t="shared" si="170"/>
        <v>6</v>
      </c>
      <c r="AW329" s="711">
        <f t="shared" si="170"/>
        <v>110</v>
      </c>
      <c r="AX329" s="711">
        <f t="shared" si="165"/>
        <v>94</v>
      </c>
      <c r="AY329" s="711">
        <f t="shared" si="165"/>
        <v>183</v>
      </c>
      <c r="AZ329" s="711">
        <f t="shared" si="165"/>
        <v>266</v>
      </c>
      <c r="BA329" s="711">
        <f t="shared" si="165"/>
        <v>173</v>
      </c>
    </row>
    <row r="330" spans="1:53">
      <c r="A330" s="106">
        <f t="shared" si="150"/>
        <v>319</v>
      </c>
      <c r="B330" s="858">
        <v>42323</v>
      </c>
      <c r="C330" s="859" t="s">
        <v>1724</v>
      </c>
      <c r="D330" s="860">
        <v>4225</v>
      </c>
      <c r="E330" s="860">
        <v>4126</v>
      </c>
      <c r="F330" s="860">
        <v>4031</v>
      </c>
      <c r="G330" s="860">
        <v>4013</v>
      </c>
      <c r="H330" s="860">
        <v>4073</v>
      </c>
      <c r="I330" s="860">
        <v>4174</v>
      </c>
      <c r="J330" s="860">
        <v>4248</v>
      </c>
      <c r="K330" s="860">
        <v>4272</v>
      </c>
      <c r="L330" s="860">
        <v>4356</v>
      </c>
      <c r="M330" s="860">
        <v>4394</v>
      </c>
      <c r="N330" s="860">
        <v>4383</v>
      </c>
      <c r="O330" s="860">
        <v>4381</v>
      </c>
      <c r="P330" s="860">
        <v>4386</v>
      </c>
      <c r="Q330" s="860">
        <v>4396</v>
      </c>
      <c r="R330" s="860">
        <v>4446</v>
      </c>
      <c r="S330" s="860">
        <v>4539</v>
      </c>
      <c r="T330" s="860">
        <v>4796</v>
      </c>
      <c r="U330" s="860">
        <v>5241</v>
      </c>
      <c r="V330" s="860">
        <v>5277</v>
      </c>
      <c r="W330" s="860">
        <v>5157</v>
      </c>
      <c r="X330" s="860">
        <v>5001</v>
      </c>
      <c r="Y330" s="860">
        <v>4717</v>
      </c>
      <c r="Z330" s="860">
        <v>4363</v>
      </c>
      <c r="AA330" s="860">
        <v>4140</v>
      </c>
      <c r="AC330" s="712">
        <f t="shared" si="151"/>
        <v>319</v>
      </c>
      <c r="AD330" s="711">
        <f t="shared" si="152"/>
        <v>92</v>
      </c>
      <c r="AE330" s="711">
        <f t="shared" si="178"/>
        <v>99</v>
      </c>
      <c r="AF330" s="711">
        <f t="shared" si="178"/>
        <v>95</v>
      </c>
      <c r="AG330" s="711">
        <f t="shared" si="178"/>
        <v>18</v>
      </c>
      <c r="AH330" s="711">
        <f t="shared" si="178"/>
        <v>60</v>
      </c>
      <c r="AI330" s="711">
        <f t="shared" si="178"/>
        <v>101</v>
      </c>
      <c r="AJ330" s="711">
        <f t="shared" si="178"/>
        <v>74</v>
      </c>
      <c r="AK330" s="711">
        <f t="shared" si="178"/>
        <v>24</v>
      </c>
      <c r="AL330" s="711">
        <f t="shared" si="178"/>
        <v>84</v>
      </c>
      <c r="AM330" s="711">
        <f t="shared" si="177"/>
        <v>38</v>
      </c>
      <c r="AN330" s="711">
        <f t="shared" si="177"/>
        <v>11</v>
      </c>
      <c r="AO330" s="711">
        <f t="shared" si="177"/>
        <v>2</v>
      </c>
      <c r="AP330" s="711">
        <f t="shared" si="177"/>
        <v>5</v>
      </c>
      <c r="AQ330" s="711">
        <f t="shared" si="177"/>
        <v>10</v>
      </c>
      <c r="AR330" s="711">
        <f t="shared" si="170"/>
        <v>50</v>
      </c>
      <c r="AS330" s="711">
        <f t="shared" si="170"/>
        <v>93</v>
      </c>
      <c r="AT330" s="711">
        <f t="shared" si="170"/>
        <v>257</v>
      </c>
      <c r="AU330" s="711">
        <f t="shared" si="170"/>
        <v>445</v>
      </c>
      <c r="AV330" s="711">
        <f t="shared" si="170"/>
        <v>36</v>
      </c>
      <c r="AW330" s="711">
        <f t="shared" si="170"/>
        <v>120</v>
      </c>
      <c r="AX330" s="711">
        <f t="shared" si="165"/>
        <v>156</v>
      </c>
      <c r="AY330" s="711">
        <f t="shared" si="165"/>
        <v>284</v>
      </c>
      <c r="AZ330" s="711">
        <f t="shared" si="165"/>
        <v>354</v>
      </c>
      <c r="BA330" s="711">
        <f t="shared" si="165"/>
        <v>223</v>
      </c>
    </row>
    <row r="331" spans="1:53">
      <c r="A331" s="106">
        <f t="shared" si="150"/>
        <v>320</v>
      </c>
      <c r="B331" s="858">
        <v>42324</v>
      </c>
      <c r="C331" s="859" t="s">
        <v>1724</v>
      </c>
      <c r="D331" s="860">
        <v>4121</v>
      </c>
      <c r="E331" s="860">
        <v>4093</v>
      </c>
      <c r="F331" s="860">
        <v>4061</v>
      </c>
      <c r="G331" s="860">
        <v>4079</v>
      </c>
      <c r="H331" s="860">
        <v>4103</v>
      </c>
      <c r="I331" s="860">
        <v>4368</v>
      </c>
      <c r="J331" s="860">
        <v>4796</v>
      </c>
      <c r="K331" s="860">
        <v>4958</v>
      </c>
      <c r="L331" s="860">
        <v>5039</v>
      </c>
      <c r="M331" s="860">
        <v>5028</v>
      </c>
      <c r="N331" s="860">
        <v>5012</v>
      </c>
      <c r="O331" s="860">
        <v>5017</v>
      </c>
      <c r="P331" s="860">
        <v>5093</v>
      </c>
      <c r="Q331" s="860">
        <v>5175</v>
      </c>
      <c r="R331" s="860">
        <v>5211</v>
      </c>
      <c r="S331" s="860">
        <v>5319</v>
      </c>
      <c r="T331" s="860">
        <v>5613</v>
      </c>
      <c r="U331" s="860">
        <v>5920</v>
      </c>
      <c r="V331" s="860">
        <v>5863</v>
      </c>
      <c r="W331" s="860">
        <v>5705</v>
      </c>
      <c r="X331" s="860">
        <v>5483</v>
      </c>
      <c r="Y331" s="860">
        <v>5126</v>
      </c>
      <c r="Z331" s="860">
        <v>4808</v>
      </c>
      <c r="AA331" s="860">
        <v>4483</v>
      </c>
      <c r="AC331" s="712">
        <f t="shared" si="151"/>
        <v>320</v>
      </c>
      <c r="AD331" s="711">
        <f t="shared" si="152"/>
        <v>19</v>
      </c>
      <c r="AE331" s="711">
        <f t="shared" si="178"/>
        <v>28</v>
      </c>
      <c r="AF331" s="711">
        <f t="shared" si="178"/>
        <v>32</v>
      </c>
      <c r="AG331" s="711">
        <f t="shared" si="178"/>
        <v>18</v>
      </c>
      <c r="AH331" s="711">
        <f t="shared" si="178"/>
        <v>24</v>
      </c>
      <c r="AI331" s="711">
        <f t="shared" si="178"/>
        <v>265</v>
      </c>
      <c r="AJ331" s="711">
        <f t="shared" si="178"/>
        <v>428</v>
      </c>
      <c r="AK331" s="711">
        <f t="shared" si="178"/>
        <v>162</v>
      </c>
      <c r="AL331" s="711">
        <f t="shared" si="178"/>
        <v>81</v>
      </c>
      <c r="AM331" s="711">
        <f t="shared" si="177"/>
        <v>11</v>
      </c>
      <c r="AN331" s="711">
        <f t="shared" si="177"/>
        <v>16</v>
      </c>
      <c r="AO331" s="711">
        <f t="shared" si="177"/>
        <v>5</v>
      </c>
      <c r="AP331" s="711">
        <f t="shared" si="177"/>
        <v>76</v>
      </c>
      <c r="AQ331" s="711">
        <f t="shared" si="177"/>
        <v>82</v>
      </c>
      <c r="AR331" s="711">
        <f t="shared" si="170"/>
        <v>36</v>
      </c>
      <c r="AS331" s="711">
        <f t="shared" si="170"/>
        <v>108</v>
      </c>
      <c r="AT331" s="711">
        <f t="shared" si="170"/>
        <v>294</v>
      </c>
      <c r="AU331" s="711">
        <f t="shared" si="170"/>
        <v>307</v>
      </c>
      <c r="AV331" s="711">
        <f t="shared" si="170"/>
        <v>57</v>
      </c>
      <c r="AW331" s="711">
        <f t="shared" si="170"/>
        <v>158</v>
      </c>
      <c r="AX331" s="711">
        <f t="shared" si="165"/>
        <v>222</v>
      </c>
      <c r="AY331" s="711">
        <f t="shared" si="165"/>
        <v>357</v>
      </c>
      <c r="AZ331" s="711">
        <f t="shared" si="165"/>
        <v>318</v>
      </c>
      <c r="BA331" s="711">
        <f t="shared" si="165"/>
        <v>325</v>
      </c>
    </row>
    <row r="332" spans="1:53">
      <c r="A332" s="106">
        <f t="shared" si="150"/>
        <v>321</v>
      </c>
      <c r="B332" s="858">
        <v>42325</v>
      </c>
      <c r="C332" s="859" t="s">
        <v>1724</v>
      </c>
      <c r="D332" s="860">
        <v>4324</v>
      </c>
      <c r="E332" s="860">
        <v>4301</v>
      </c>
      <c r="F332" s="860">
        <v>4266</v>
      </c>
      <c r="G332" s="860">
        <v>4258</v>
      </c>
      <c r="H332" s="860">
        <v>4382</v>
      </c>
      <c r="I332" s="860">
        <v>4607</v>
      </c>
      <c r="J332" s="860">
        <v>4991</v>
      </c>
      <c r="K332" s="860">
        <v>5203</v>
      </c>
      <c r="L332" s="860">
        <v>5333</v>
      </c>
      <c r="M332" s="860">
        <v>5398</v>
      </c>
      <c r="N332" s="860">
        <v>5389</v>
      </c>
      <c r="O332" s="860">
        <v>5345</v>
      </c>
      <c r="P332" s="860">
        <v>5244</v>
      </c>
      <c r="Q332" s="860">
        <v>5172</v>
      </c>
      <c r="R332" s="860">
        <v>5139</v>
      </c>
      <c r="S332" s="860">
        <v>5180</v>
      </c>
      <c r="T332" s="860">
        <v>5431</v>
      </c>
      <c r="U332" s="860">
        <v>5912</v>
      </c>
      <c r="V332" s="860">
        <v>5869</v>
      </c>
      <c r="W332" s="860">
        <v>5719</v>
      </c>
      <c r="X332" s="860">
        <v>5525</v>
      </c>
      <c r="Y332" s="860">
        <v>5180</v>
      </c>
      <c r="Z332" s="860">
        <v>4780</v>
      </c>
      <c r="AA332" s="860">
        <v>4528</v>
      </c>
      <c r="AC332" s="712">
        <f t="shared" si="151"/>
        <v>321</v>
      </c>
      <c r="AD332" s="711">
        <f t="shared" si="152"/>
        <v>159</v>
      </c>
      <c r="AE332" s="711">
        <f t="shared" si="178"/>
        <v>23</v>
      </c>
      <c r="AF332" s="711">
        <f t="shared" si="178"/>
        <v>35</v>
      </c>
      <c r="AG332" s="711">
        <f t="shared" si="178"/>
        <v>8</v>
      </c>
      <c r="AH332" s="711">
        <f t="shared" si="178"/>
        <v>124</v>
      </c>
      <c r="AI332" s="711">
        <f t="shared" si="178"/>
        <v>225</v>
      </c>
      <c r="AJ332" s="711">
        <f t="shared" si="178"/>
        <v>384</v>
      </c>
      <c r="AK332" s="711">
        <f t="shared" si="178"/>
        <v>212</v>
      </c>
      <c r="AL332" s="711">
        <f t="shared" si="178"/>
        <v>130</v>
      </c>
      <c r="AM332" s="711">
        <f t="shared" si="177"/>
        <v>65</v>
      </c>
      <c r="AN332" s="711">
        <f t="shared" si="177"/>
        <v>9</v>
      </c>
      <c r="AO332" s="711">
        <f t="shared" si="177"/>
        <v>44</v>
      </c>
      <c r="AP332" s="711">
        <f t="shared" si="177"/>
        <v>101</v>
      </c>
      <c r="AQ332" s="711">
        <f t="shared" si="177"/>
        <v>72</v>
      </c>
      <c r="AR332" s="711">
        <f t="shared" si="170"/>
        <v>33</v>
      </c>
      <c r="AS332" s="711">
        <f t="shared" si="170"/>
        <v>41</v>
      </c>
      <c r="AT332" s="711">
        <f t="shared" si="170"/>
        <v>251</v>
      </c>
      <c r="AU332" s="711">
        <f t="shared" si="170"/>
        <v>481</v>
      </c>
      <c r="AV332" s="711">
        <f t="shared" si="170"/>
        <v>43</v>
      </c>
      <c r="AW332" s="711">
        <f t="shared" si="170"/>
        <v>150</v>
      </c>
      <c r="AX332" s="711">
        <f t="shared" si="165"/>
        <v>194</v>
      </c>
      <c r="AY332" s="711">
        <f t="shared" si="165"/>
        <v>345</v>
      </c>
      <c r="AZ332" s="711">
        <f t="shared" si="165"/>
        <v>400</v>
      </c>
      <c r="BA332" s="711">
        <f t="shared" si="165"/>
        <v>252</v>
      </c>
    </row>
    <row r="333" spans="1:53">
      <c r="A333" s="106">
        <f t="shared" si="150"/>
        <v>322</v>
      </c>
      <c r="B333" s="858">
        <v>42326</v>
      </c>
      <c r="C333" s="859" t="s">
        <v>1724</v>
      </c>
      <c r="D333" s="860">
        <v>4495</v>
      </c>
      <c r="E333" s="860">
        <v>4414</v>
      </c>
      <c r="F333" s="860">
        <v>4381</v>
      </c>
      <c r="G333" s="860">
        <v>4386</v>
      </c>
      <c r="H333" s="860">
        <v>4493</v>
      </c>
      <c r="I333" s="860">
        <v>4701</v>
      </c>
      <c r="J333" s="860">
        <v>5143</v>
      </c>
      <c r="K333" s="860">
        <v>5191</v>
      </c>
      <c r="L333" s="860">
        <v>5129</v>
      </c>
      <c r="M333" s="860">
        <v>5101</v>
      </c>
      <c r="N333" s="860">
        <v>5085</v>
      </c>
      <c r="O333" s="860">
        <v>5036</v>
      </c>
      <c r="P333" s="860">
        <v>4984</v>
      </c>
      <c r="Q333" s="860">
        <v>4992</v>
      </c>
      <c r="R333" s="860">
        <v>4998</v>
      </c>
      <c r="S333" s="860">
        <v>5085</v>
      </c>
      <c r="T333" s="860">
        <v>5389</v>
      </c>
      <c r="U333" s="860">
        <v>5832</v>
      </c>
      <c r="V333" s="860">
        <v>5794</v>
      </c>
      <c r="W333" s="860">
        <v>5680</v>
      </c>
      <c r="X333" s="860">
        <v>5517</v>
      </c>
      <c r="Y333" s="860">
        <v>5216</v>
      </c>
      <c r="Z333" s="860">
        <v>4789</v>
      </c>
      <c r="AA333" s="860">
        <v>4494</v>
      </c>
      <c r="AC333" s="712">
        <f t="shared" si="151"/>
        <v>322</v>
      </c>
      <c r="AD333" s="711">
        <f t="shared" si="152"/>
        <v>33</v>
      </c>
      <c r="AE333" s="711">
        <f t="shared" si="178"/>
        <v>81</v>
      </c>
      <c r="AF333" s="711">
        <f t="shared" si="178"/>
        <v>33</v>
      </c>
      <c r="AG333" s="711">
        <f t="shared" si="178"/>
        <v>5</v>
      </c>
      <c r="AH333" s="711">
        <f t="shared" si="178"/>
        <v>107</v>
      </c>
      <c r="AI333" s="711">
        <f t="shared" si="178"/>
        <v>208</v>
      </c>
      <c r="AJ333" s="711">
        <f t="shared" si="178"/>
        <v>442</v>
      </c>
      <c r="AK333" s="711">
        <f t="shared" si="178"/>
        <v>48</v>
      </c>
      <c r="AL333" s="711">
        <f t="shared" si="178"/>
        <v>62</v>
      </c>
      <c r="AM333" s="711">
        <f t="shared" si="177"/>
        <v>28</v>
      </c>
      <c r="AN333" s="711">
        <f t="shared" si="177"/>
        <v>16</v>
      </c>
      <c r="AO333" s="711">
        <f t="shared" si="177"/>
        <v>49</v>
      </c>
      <c r="AP333" s="711">
        <f t="shared" si="177"/>
        <v>52</v>
      </c>
      <c r="AQ333" s="711">
        <f t="shared" si="177"/>
        <v>8</v>
      </c>
      <c r="AR333" s="711">
        <f t="shared" si="170"/>
        <v>6</v>
      </c>
      <c r="AS333" s="711">
        <f t="shared" si="170"/>
        <v>87</v>
      </c>
      <c r="AT333" s="711">
        <f t="shared" si="170"/>
        <v>304</v>
      </c>
      <c r="AU333" s="711">
        <f t="shared" si="170"/>
        <v>443</v>
      </c>
      <c r="AV333" s="711">
        <f t="shared" si="170"/>
        <v>38</v>
      </c>
      <c r="AW333" s="711">
        <f t="shared" si="170"/>
        <v>114</v>
      </c>
      <c r="AX333" s="711">
        <f t="shared" si="165"/>
        <v>163</v>
      </c>
      <c r="AY333" s="711">
        <f t="shared" si="165"/>
        <v>301</v>
      </c>
      <c r="AZ333" s="711">
        <f t="shared" si="165"/>
        <v>427</v>
      </c>
      <c r="BA333" s="711">
        <f t="shared" si="165"/>
        <v>295</v>
      </c>
    </row>
    <row r="334" spans="1:53">
      <c r="A334" s="106">
        <f t="shared" ref="A334:A376" si="179">A333+1</f>
        <v>323</v>
      </c>
      <c r="B334" s="858">
        <v>42327</v>
      </c>
      <c r="C334" s="859" t="s">
        <v>1724</v>
      </c>
      <c r="D334" s="860">
        <v>4306</v>
      </c>
      <c r="E334" s="860">
        <v>4432</v>
      </c>
      <c r="F334" s="860">
        <v>4474</v>
      </c>
      <c r="G334" s="860">
        <v>4494</v>
      </c>
      <c r="H334" s="860">
        <v>4624</v>
      </c>
      <c r="I334" s="860">
        <v>4920</v>
      </c>
      <c r="J334" s="860">
        <v>5253</v>
      </c>
      <c r="K334" s="860">
        <v>5310</v>
      </c>
      <c r="L334" s="860">
        <v>5249</v>
      </c>
      <c r="M334" s="860">
        <v>5219</v>
      </c>
      <c r="N334" s="860">
        <v>5207</v>
      </c>
      <c r="O334" s="860">
        <v>5140</v>
      </c>
      <c r="P334" s="860">
        <v>5073</v>
      </c>
      <c r="Q334" s="860">
        <v>4960</v>
      </c>
      <c r="R334" s="860">
        <v>4915</v>
      </c>
      <c r="S334" s="860">
        <v>4965</v>
      </c>
      <c r="T334" s="860">
        <v>5214</v>
      </c>
      <c r="U334" s="860">
        <v>5655</v>
      </c>
      <c r="V334" s="860">
        <v>5652</v>
      </c>
      <c r="W334" s="860">
        <v>5549</v>
      </c>
      <c r="X334" s="860">
        <v>5406</v>
      </c>
      <c r="Y334" s="860">
        <v>5117</v>
      </c>
      <c r="Z334" s="860">
        <v>4688</v>
      </c>
      <c r="AA334" s="860">
        <v>4492</v>
      </c>
      <c r="AC334" s="712">
        <f t="shared" ref="AC334:AC374" si="180">AC333+1</f>
        <v>323</v>
      </c>
      <c r="AD334" s="711">
        <f t="shared" ref="AD334:AD374" si="181">ABS(D334-AA333)</f>
        <v>188</v>
      </c>
      <c r="AE334" s="711">
        <f t="shared" si="178"/>
        <v>126</v>
      </c>
      <c r="AF334" s="711">
        <f t="shared" si="178"/>
        <v>42</v>
      </c>
      <c r="AG334" s="711">
        <f t="shared" si="178"/>
        <v>20</v>
      </c>
      <c r="AH334" s="711">
        <f t="shared" si="178"/>
        <v>130</v>
      </c>
      <c r="AI334" s="711">
        <f t="shared" si="178"/>
        <v>296</v>
      </c>
      <c r="AJ334" s="711">
        <f t="shared" si="178"/>
        <v>333</v>
      </c>
      <c r="AK334" s="711">
        <f t="shared" si="178"/>
        <v>57</v>
      </c>
      <c r="AL334" s="711">
        <f t="shared" si="178"/>
        <v>61</v>
      </c>
      <c r="AM334" s="711">
        <f t="shared" si="177"/>
        <v>30</v>
      </c>
      <c r="AN334" s="711">
        <f t="shared" si="177"/>
        <v>12</v>
      </c>
      <c r="AO334" s="711">
        <f t="shared" si="177"/>
        <v>67</v>
      </c>
      <c r="AP334" s="711">
        <f t="shared" si="177"/>
        <v>67</v>
      </c>
      <c r="AQ334" s="711">
        <f t="shared" si="177"/>
        <v>113</v>
      </c>
      <c r="AR334" s="711">
        <f t="shared" si="170"/>
        <v>45</v>
      </c>
      <c r="AS334" s="711">
        <f t="shared" si="170"/>
        <v>50</v>
      </c>
      <c r="AT334" s="711">
        <f t="shared" si="170"/>
        <v>249</v>
      </c>
      <c r="AU334" s="711">
        <f t="shared" si="170"/>
        <v>441</v>
      </c>
      <c r="AV334" s="711">
        <f t="shared" si="170"/>
        <v>3</v>
      </c>
      <c r="AW334" s="711">
        <f t="shared" si="170"/>
        <v>103</v>
      </c>
      <c r="AX334" s="711">
        <f t="shared" si="165"/>
        <v>143</v>
      </c>
      <c r="AY334" s="711">
        <f t="shared" si="165"/>
        <v>289</v>
      </c>
      <c r="AZ334" s="711">
        <f t="shared" si="165"/>
        <v>429</v>
      </c>
      <c r="BA334" s="711">
        <f t="shared" si="165"/>
        <v>196</v>
      </c>
    </row>
    <row r="335" spans="1:53">
      <c r="A335" s="106">
        <f t="shared" si="179"/>
        <v>324</v>
      </c>
      <c r="B335" s="858">
        <v>42328</v>
      </c>
      <c r="C335" s="859" t="s">
        <v>1724</v>
      </c>
      <c r="D335" s="860">
        <v>4435</v>
      </c>
      <c r="E335" s="860">
        <v>4333</v>
      </c>
      <c r="F335" s="860">
        <v>4281</v>
      </c>
      <c r="G335" s="860">
        <v>4297</v>
      </c>
      <c r="H335" s="860">
        <v>4372</v>
      </c>
      <c r="I335" s="860">
        <v>4608</v>
      </c>
      <c r="J335" s="860">
        <v>5001</v>
      </c>
      <c r="K335" s="860">
        <v>5076</v>
      </c>
      <c r="L335" s="860">
        <v>5033</v>
      </c>
      <c r="M335" s="860">
        <v>5046</v>
      </c>
      <c r="N335" s="860">
        <v>5096</v>
      </c>
      <c r="O335" s="860">
        <v>5065</v>
      </c>
      <c r="P335" s="860">
        <v>5034</v>
      </c>
      <c r="Q335" s="860">
        <v>5106</v>
      </c>
      <c r="R335" s="860">
        <v>5216</v>
      </c>
      <c r="S335" s="860">
        <v>5328</v>
      </c>
      <c r="T335" s="860">
        <v>5579</v>
      </c>
      <c r="U335" s="860">
        <v>5866</v>
      </c>
      <c r="V335" s="860">
        <v>5779</v>
      </c>
      <c r="W335" s="860">
        <v>5651</v>
      </c>
      <c r="X335" s="860">
        <v>5527</v>
      </c>
      <c r="Y335" s="860">
        <v>5362</v>
      </c>
      <c r="Z335" s="860">
        <v>5211</v>
      </c>
      <c r="AA335" s="860">
        <v>4910</v>
      </c>
      <c r="AC335" s="712">
        <f t="shared" si="180"/>
        <v>324</v>
      </c>
      <c r="AD335" s="711">
        <f t="shared" si="181"/>
        <v>57</v>
      </c>
      <c r="AE335" s="711">
        <f t="shared" si="178"/>
        <v>102</v>
      </c>
      <c r="AF335" s="711">
        <f t="shared" si="178"/>
        <v>52</v>
      </c>
      <c r="AG335" s="711">
        <f t="shared" si="178"/>
        <v>16</v>
      </c>
      <c r="AH335" s="711">
        <f t="shared" si="178"/>
        <v>75</v>
      </c>
      <c r="AI335" s="711">
        <f t="shared" si="178"/>
        <v>236</v>
      </c>
      <c r="AJ335" s="711">
        <f t="shared" si="178"/>
        <v>393</v>
      </c>
      <c r="AK335" s="711">
        <f t="shared" si="178"/>
        <v>75</v>
      </c>
      <c r="AL335" s="711">
        <f t="shared" si="178"/>
        <v>43</v>
      </c>
      <c r="AM335" s="711">
        <f t="shared" si="177"/>
        <v>13</v>
      </c>
      <c r="AN335" s="711">
        <f t="shared" si="177"/>
        <v>50</v>
      </c>
      <c r="AO335" s="711">
        <f t="shared" si="177"/>
        <v>31</v>
      </c>
      <c r="AP335" s="711">
        <f t="shared" si="177"/>
        <v>31</v>
      </c>
      <c r="AQ335" s="711">
        <f t="shared" si="177"/>
        <v>72</v>
      </c>
      <c r="AR335" s="711">
        <f t="shared" si="170"/>
        <v>110</v>
      </c>
      <c r="AS335" s="711">
        <f t="shared" si="170"/>
        <v>112</v>
      </c>
      <c r="AT335" s="711">
        <f t="shared" si="170"/>
        <v>251</v>
      </c>
      <c r="AU335" s="711">
        <f t="shared" si="170"/>
        <v>287</v>
      </c>
      <c r="AV335" s="711">
        <f t="shared" si="170"/>
        <v>87</v>
      </c>
      <c r="AW335" s="711">
        <f t="shared" si="170"/>
        <v>128</v>
      </c>
      <c r="AX335" s="711">
        <f t="shared" si="165"/>
        <v>124</v>
      </c>
      <c r="AY335" s="711">
        <f t="shared" si="165"/>
        <v>165</v>
      </c>
      <c r="AZ335" s="711">
        <f t="shared" si="165"/>
        <v>151</v>
      </c>
      <c r="BA335" s="711">
        <f t="shared" si="165"/>
        <v>301</v>
      </c>
    </row>
    <row r="336" spans="1:53">
      <c r="A336" s="106">
        <f t="shared" si="179"/>
        <v>325</v>
      </c>
      <c r="B336" s="858">
        <v>42329</v>
      </c>
      <c r="C336" s="859" t="s">
        <v>1724</v>
      </c>
      <c r="D336" s="860">
        <v>4730</v>
      </c>
      <c r="E336" s="860">
        <v>4613</v>
      </c>
      <c r="F336" s="860">
        <v>4505</v>
      </c>
      <c r="G336" s="860">
        <v>4453</v>
      </c>
      <c r="H336" s="860">
        <v>4422</v>
      </c>
      <c r="I336" s="860">
        <v>4547</v>
      </c>
      <c r="J336" s="860">
        <v>4767</v>
      </c>
      <c r="K336" s="860">
        <v>4909</v>
      </c>
      <c r="L336" s="860">
        <v>5038</v>
      </c>
      <c r="M336" s="860">
        <v>5062</v>
      </c>
      <c r="N336" s="860">
        <v>5044</v>
      </c>
      <c r="O336" s="860">
        <v>4940</v>
      </c>
      <c r="P336" s="860">
        <v>4832</v>
      </c>
      <c r="Q336" s="860">
        <v>4840</v>
      </c>
      <c r="R336" s="860">
        <v>4887</v>
      </c>
      <c r="S336" s="860">
        <v>4943</v>
      </c>
      <c r="T336" s="860">
        <v>5126</v>
      </c>
      <c r="U336" s="860">
        <v>5526</v>
      </c>
      <c r="V336" s="860">
        <v>5508</v>
      </c>
      <c r="W336" s="860">
        <v>5417</v>
      </c>
      <c r="X336" s="860">
        <v>5286</v>
      </c>
      <c r="Y336" s="860">
        <v>5080</v>
      </c>
      <c r="Z336" s="860">
        <v>4787</v>
      </c>
      <c r="AA336" s="860">
        <v>4569</v>
      </c>
      <c r="AC336" s="712">
        <f t="shared" si="180"/>
        <v>325</v>
      </c>
      <c r="AD336" s="711">
        <f t="shared" si="181"/>
        <v>180</v>
      </c>
      <c r="AE336" s="711">
        <f t="shared" si="178"/>
        <v>117</v>
      </c>
      <c r="AF336" s="711">
        <f t="shared" si="178"/>
        <v>108</v>
      </c>
      <c r="AG336" s="711">
        <f t="shared" si="178"/>
        <v>52</v>
      </c>
      <c r="AH336" s="711">
        <f t="shared" si="178"/>
        <v>31</v>
      </c>
      <c r="AI336" s="711">
        <f t="shared" si="178"/>
        <v>125</v>
      </c>
      <c r="AJ336" s="711">
        <f t="shared" si="178"/>
        <v>220</v>
      </c>
      <c r="AK336" s="711">
        <f t="shared" si="178"/>
        <v>142</v>
      </c>
      <c r="AL336" s="711">
        <f t="shared" si="178"/>
        <v>129</v>
      </c>
      <c r="AM336" s="711">
        <f t="shared" si="177"/>
        <v>24</v>
      </c>
      <c r="AN336" s="711">
        <f t="shared" si="177"/>
        <v>18</v>
      </c>
      <c r="AO336" s="711">
        <f t="shared" si="177"/>
        <v>104</v>
      </c>
      <c r="AP336" s="711">
        <f t="shared" si="177"/>
        <v>108</v>
      </c>
      <c r="AQ336" s="711">
        <f t="shared" si="177"/>
        <v>8</v>
      </c>
      <c r="AR336" s="711">
        <f t="shared" si="170"/>
        <v>47</v>
      </c>
      <c r="AS336" s="711">
        <f t="shared" si="170"/>
        <v>56</v>
      </c>
      <c r="AT336" s="711">
        <f t="shared" si="170"/>
        <v>183</v>
      </c>
      <c r="AU336" s="711">
        <f t="shared" si="170"/>
        <v>400</v>
      </c>
      <c r="AV336" s="711">
        <f t="shared" si="170"/>
        <v>18</v>
      </c>
      <c r="AW336" s="711">
        <f t="shared" si="170"/>
        <v>91</v>
      </c>
      <c r="AX336" s="711">
        <f t="shared" si="165"/>
        <v>131</v>
      </c>
      <c r="AY336" s="711">
        <f t="shared" si="165"/>
        <v>206</v>
      </c>
      <c r="AZ336" s="711">
        <f t="shared" si="165"/>
        <v>293</v>
      </c>
      <c r="BA336" s="711">
        <f t="shared" si="165"/>
        <v>218</v>
      </c>
    </row>
    <row r="337" spans="1:53">
      <c r="A337" s="106">
        <f t="shared" si="179"/>
        <v>326</v>
      </c>
      <c r="B337" s="858">
        <v>42330</v>
      </c>
      <c r="C337" s="859" t="s">
        <v>1724</v>
      </c>
      <c r="D337" s="860">
        <v>4584</v>
      </c>
      <c r="E337" s="860">
        <v>4506</v>
      </c>
      <c r="F337" s="860">
        <v>4454</v>
      </c>
      <c r="G337" s="860">
        <v>4428</v>
      </c>
      <c r="H337" s="860">
        <v>4466</v>
      </c>
      <c r="I337" s="860">
        <v>4493</v>
      </c>
      <c r="J337" s="860">
        <v>4601</v>
      </c>
      <c r="K337" s="860">
        <v>4690</v>
      </c>
      <c r="L337" s="860">
        <v>4668</v>
      </c>
      <c r="M337" s="860">
        <v>4712</v>
      </c>
      <c r="N337" s="860">
        <v>4685</v>
      </c>
      <c r="O337" s="860">
        <v>4604</v>
      </c>
      <c r="P337" s="860">
        <v>4619</v>
      </c>
      <c r="Q337" s="860">
        <v>4568</v>
      </c>
      <c r="R337" s="860">
        <v>4537</v>
      </c>
      <c r="S337" s="860">
        <v>4580</v>
      </c>
      <c r="T337" s="860">
        <v>4962</v>
      </c>
      <c r="U337" s="860">
        <v>5445</v>
      </c>
      <c r="V337" s="860">
        <v>5408</v>
      </c>
      <c r="W337" s="860">
        <v>5250</v>
      </c>
      <c r="X337" s="860">
        <v>5168</v>
      </c>
      <c r="Y337" s="860">
        <v>4925</v>
      </c>
      <c r="Z337" s="860">
        <v>4638</v>
      </c>
      <c r="AA337" s="860">
        <v>4435</v>
      </c>
      <c r="AC337" s="712">
        <f t="shared" si="180"/>
        <v>326</v>
      </c>
      <c r="AD337" s="711">
        <f t="shared" si="181"/>
        <v>15</v>
      </c>
      <c r="AE337" s="711">
        <f t="shared" si="178"/>
        <v>78</v>
      </c>
      <c r="AF337" s="711">
        <f t="shared" si="178"/>
        <v>52</v>
      </c>
      <c r="AG337" s="711">
        <f t="shared" si="178"/>
        <v>26</v>
      </c>
      <c r="AH337" s="711">
        <f t="shared" si="178"/>
        <v>38</v>
      </c>
      <c r="AI337" s="711">
        <f t="shared" si="178"/>
        <v>27</v>
      </c>
      <c r="AJ337" s="711">
        <f t="shared" si="178"/>
        <v>108</v>
      </c>
      <c r="AK337" s="711">
        <f t="shared" si="178"/>
        <v>89</v>
      </c>
      <c r="AL337" s="711">
        <f t="shared" si="178"/>
        <v>22</v>
      </c>
      <c r="AM337" s="711">
        <f t="shared" si="177"/>
        <v>44</v>
      </c>
      <c r="AN337" s="711">
        <f t="shared" si="177"/>
        <v>27</v>
      </c>
      <c r="AO337" s="711">
        <f t="shared" si="177"/>
        <v>81</v>
      </c>
      <c r="AP337" s="711">
        <f t="shared" si="177"/>
        <v>15</v>
      </c>
      <c r="AQ337" s="711">
        <f t="shared" si="177"/>
        <v>51</v>
      </c>
      <c r="AR337" s="711">
        <f t="shared" si="170"/>
        <v>31</v>
      </c>
      <c r="AS337" s="711">
        <f t="shared" si="170"/>
        <v>43</v>
      </c>
      <c r="AT337" s="711">
        <f t="shared" si="170"/>
        <v>382</v>
      </c>
      <c r="AU337" s="711">
        <f t="shared" si="170"/>
        <v>483</v>
      </c>
      <c r="AV337" s="711">
        <f t="shared" si="170"/>
        <v>37</v>
      </c>
      <c r="AW337" s="711">
        <f t="shared" si="170"/>
        <v>158</v>
      </c>
      <c r="AX337" s="711">
        <f t="shared" si="165"/>
        <v>82</v>
      </c>
      <c r="AY337" s="711">
        <f t="shared" si="165"/>
        <v>243</v>
      </c>
      <c r="AZ337" s="711">
        <f t="shared" si="165"/>
        <v>287</v>
      </c>
      <c r="BA337" s="711">
        <f t="shared" si="165"/>
        <v>203</v>
      </c>
    </row>
    <row r="338" spans="1:53">
      <c r="A338" s="106">
        <f t="shared" si="179"/>
        <v>327</v>
      </c>
      <c r="B338" s="858">
        <v>42331</v>
      </c>
      <c r="C338" s="859" t="s">
        <v>1724</v>
      </c>
      <c r="D338" s="860">
        <v>4325</v>
      </c>
      <c r="E338" s="860">
        <v>4367</v>
      </c>
      <c r="F338" s="860">
        <v>4366</v>
      </c>
      <c r="G338" s="860">
        <v>4364</v>
      </c>
      <c r="H338" s="860">
        <v>4395</v>
      </c>
      <c r="I338" s="860">
        <v>4720</v>
      </c>
      <c r="J338" s="860">
        <v>5076</v>
      </c>
      <c r="K338" s="860">
        <v>5166</v>
      </c>
      <c r="L338" s="860">
        <v>5181</v>
      </c>
      <c r="M338" s="860">
        <v>5126</v>
      </c>
      <c r="N338" s="860">
        <v>5096</v>
      </c>
      <c r="O338" s="860">
        <v>5047</v>
      </c>
      <c r="P338" s="860">
        <v>4943</v>
      </c>
      <c r="Q338" s="860">
        <v>4912</v>
      </c>
      <c r="R338" s="860">
        <v>4941</v>
      </c>
      <c r="S338" s="860">
        <v>5093</v>
      </c>
      <c r="T338" s="860">
        <v>5298</v>
      </c>
      <c r="U338" s="860">
        <v>5690</v>
      </c>
      <c r="V338" s="860">
        <v>5668</v>
      </c>
      <c r="W338" s="860">
        <v>5564</v>
      </c>
      <c r="X338" s="860">
        <v>5409</v>
      </c>
      <c r="Y338" s="860">
        <v>5159</v>
      </c>
      <c r="Z338" s="860">
        <v>4761</v>
      </c>
      <c r="AA338" s="860">
        <v>4459</v>
      </c>
      <c r="AC338" s="712">
        <f t="shared" si="180"/>
        <v>327</v>
      </c>
      <c r="AD338" s="711">
        <f t="shared" si="181"/>
        <v>110</v>
      </c>
      <c r="AE338" s="711">
        <f t="shared" si="178"/>
        <v>42</v>
      </c>
      <c r="AF338" s="711">
        <f t="shared" si="178"/>
        <v>1</v>
      </c>
      <c r="AG338" s="711">
        <f t="shared" si="178"/>
        <v>2</v>
      </c>
      <c r="AH338" s="711">
        <f t="shared" si="178"/>
        <v>31</v>
      </c>
      <c r="AI338" s="711">
        <f t="shared" si="178"/>
        <v>325</v>
      </c>
      <c r="AJ338" s="711">
        <f t="shared" si="178"/>
        <v>356</v>
      </c>
      <c r="AK338" s="711">
        <f t="shared" si="178"/>
        <v>90</v>
      </c>
      <c r="AL338" s="711">
        <f t="shared" si="178"/>
        <v>15</v>
      </c>
      <c r="AM338" s="711">
        <f t="shared" si="177"/>
        <v>55</v>
      </c>
      <c r="AN338" s="711">
        <f t="shared" si="177"/>
        <v>30</v>
      </c>
      <c r="AO338" s="711">
        <f t="shared" si="177"/>
        <v>49</v>
      </c>
      <c r="AP338" s="711">
        <f t="shared" si="177"/>
        <v>104</v>
      </c>
      <c r="AQ338" s="711">
        <f t="shared" si="177"/>
        <v>31</v>
      </c>
      <c r="AR338" s="711">
        <f t="shared" si="170"/>
        <v>29</v>
      </c>
      <c r="AS338" s="711">
        <f t="shared" si="170"/>
        <v>152</v>
      </c>
      <c r="AT338" s="711">
        <f t="shared" si="170"/>
        <v>205</v>
      </c>
      <c r="AU338" s="711">
        <f t="shared" si="170"/>
        <v>392</v>
      </c>
      <c r="AV338" s="711">
        <f t="shared" si="170"/>
        <v>22</v>
      </c>
      <c r="AW338" s="711">
        <f t="shared" si="170"/>
        <v>104</v>
      </c>
      <c r="AX338" s="711">
        <f t="shared" si="165"/>
        <v>155</v>
      </c>
      <c r="AY338" s="711">
        <f t="shared" si="165"/>
        <v>250</v>
      </c>
      <c r="AZ338" s="711">
        <f t="shared" si="165"/>
        <v>398</v>
      </c>
      <c r="BA338" s="711">
        <f t="shared" si="165"/>
        <v>302</v>
      </c>
    </row>
    <row r="339" spans="1:53">
      <c r="A339" s="106">
        <f t="shared" si="179"/>
        <v>328</v>
      </c>
      <c r="B339" s="858">
        <v>42332</v>
      </c>
      <c r="C339" s="859" t="s">
        <v>1724</v>
      </c>
      <c r="D339" s="860">
        <v>4429</v>
      </c>
      <c r="E339" s="860">
        <v>4422</v>
      </c>
      <c r="F339" s="860">
        <v>4313</v>
      </c>
      <c r="G339" s="860">
        <v>4371</v>
      </c>
      <c r="H339" s="860">
        <v>4535</v>
      </c>
      <c r="I339" s="860">
        <v>4716</v>
      </c>
      <c r="J339" s="860">
        <v>5120</v>
      </c>
      <c r="K339" s="860">
        <v>5281</v>
      </c>
      <c r="L339" s="860">
        <v>5172</v>
      </c>
      <c r="M339" s="860">
        <v>5091</v>
      </c>
      <c r="N339" s="860">
        <v>5059</v>
      </c>
      <c r="O339" s="860">
        <v>5033</v>
      </c>
      <c r="P339" s="860">
        <v>4993</v>
      </c>
      <c r="Q339" s="860">
        <v>4874</v>
      </c>
      <c r="R339" s="860">
        <v>4999</v>
      </c>
      <c r="S339" s="860">
        <v>4979</v>
      </c>
      <c r="T339" s="860">
        <v>5279</v>
      </c>
      <c r="U339" s="860">
        <v>5542</v>
      </c>
      <c r="V339" s="860">
        <v>5581</v>
      </c>
      <c r="W339" s="860">
        <v>5469</v>
      </c>
      <c r="X339" s="860">
        <v>5307</v>
      </c>
      <c r="Y339" s="860">
        <v>5080</v>
      </c>
      <c r="Z339" s="860">
        <v>4787</v>
      </c>
      <c r="AA339" s="860">
        <v>4578</v>
      </c>
      <c r="AC339" s="712">
        <f t="shared" si="180"/>
        <v>328</v>
      </c>
      <c r="AD339" s="711">
        <f t="shared" si="181"/>
        <v>30</v>
      </c>
      <c r="AE339" s="711">
        <f t="shared" si="178"/>
        <v>7</v>
      </c>
      <c r="AF339" s="711">
        <f t="shared" si="178"/>
        <v>109</v>
      </c>
      <c r="AG339" s="711">
        <f t="shared" si="178"/>
        <v>58</v>
      </c>
      <c r="AH339" s="711">
        <f t="shared" si="178"/>
        <v>164</v>
      </c>
      <c r="AI339" s="711">
        <f t="shared" si="178"/>
        <v>181</v>
      </c>
      <c r="AJ339" s="711">
        <f t="shared" si="178"/>
        <v>404</v>
      </c>
      <c r="AK339" s="711">
        <f t="shared" si="178"/>
        <v>161</v>
      </c>
      <c r="AL339" s="711">
        <f t="shared" si="178"/>
        <v>109</v>
      </c>
      <c r="AM339" s="711">
        <f t="shared" si="177"/>
        <v>81</v>
      </c>
      <c r="AN339" s="711">
        <f t="shared" si="177"/>
        <v>32</v>
      </c>
      <c r="AO339" s="711">
        <f t="shared" si="177"/>
        <v>26</v>
      </c>
      <c r="AP339" s="711">
        <f t="shared" si="177"/>
        <v>40</v>
      </c>
      <c r="AQ339" s="711">
        <f t="shared" si="177"/>
        <v>119</v>
      </c>
      <c r="AR339" s="711">
        <f t="shared" si="170"/>
        <v>125</v>
      </c>
      <c r="AS339" s="711">
        <f t="shared" si="170"/>
        <v>20</v>
      </c>
      <c r="AT339" s="711">
        <f t="shared" si="170"/>
        <v>300</v>
      </c>
      <c r="AU339" s="711">
        <f t="shared" si="170"/>
        <v>263</v>
      </c>
      <c r="AV339" s="711">
        <f t="shared" si="170"/>
        <v>39</v>
      </c>
      <c r="AW339" s="711">
        <f t="shared" si="170"/>
        <v>112</v>
      </c>
      <c r="AX339" s="711">
        <f t="shared" si="165"/>
        <v>162</v>
      </c>
      <c r="AY339" s="711">
        <f t="shared" si="165"/>
        <v>227</v>
      </c>
      <c r="AZ339" s="711">
        <f t="shared" si="165"/>
        <v>293</v>
      </c>
      <c r="BA339" s="711">
        <f t="shared" si="165"/>
        <v>209</v>
      </c>
    </row>
    <row r="340" spans="1:53">
      <c r="A340" s="106">
        <f t="shared" si="179"/>
        <v>329</v>
      </c>
      <c r="B340" s="858">
        <v>42333</v>
      </c>
      <c r="C340" s="859" t="s">
        <v>1724</v>
      </c>
      <c r="D340" s="860">
        <v>4424</v>
      </c>
      <c r="E340" s="860">
        <v>4393</v>
      </c>
      <c r="F340" s="860">
        <v>4360</v>
      </c>
      <c r="G340" s="860">
        <v>4375</v>
      </c>
      <c r="H340" s="860">
        <v>4432</v>
      </c>
      <c r="I340" s="860">
        <v>4646</v>
      </c>
      <c r="J340" s="860">
        <v>4937</v>
      </c>
      <c r="K340" s="860">
        <v>5128</v>
      </c>
      <c r="L340" s="860">
        <v>5197</v>
      </c>
      <c r="M340" s="860">
        <v>5165</v>
      </c>
      <c r="N340" s="860">
        <v>5181</v>
      </c>
      <c r="O340" s="860">
        <v>5180</v>
      </c>
      <c r="P340" s="860">
        <v>5137</v>
      </c>
      <c r="Q340" s="860">
        <v>5193</v>
      </c>
      <c r="R340" s="860">
        <v>5268</v>
      </c>
      <c r="S340" s="860">
        <v>5347</v>
      </c>
      <c r="T340" s="860">
        <v>5627</v>
      </c>
      <c r="U340" s="860">
        <v>5906</v>
      </c>
      <c r="V340" s="860">
        <v>5812</v>
      </c>
      <c r="W340" s="860">
        <v>5694</v>
      </c>
      <c r="X340" s="860">
        <v>5546</v>
      </c>
      <c r="Y340" s="860">
        <v>5300</v>
      </c>
      <c r="Z340" s="860">
        <v>4969</v>
      </c>
      <c r="AA340" s="860">
        <v>4652</v>
      </c>
      <c r="AC340" s="712">
        <f t="shared" si="180"/>
        <v>329</v>
      </c>
      <c r="AD340" s="711">
        <f t="shared" si="181"/>
        <v>154</v>
      </c>
      <c r="AE340" s="711">
        <f t="shared" si="178"/>
        <v>31</v>
      </c>
      <c r="AF340" s="711">
        <f t="shared" si="178"/>
        <v>33</v>
      </c>
      <c r="AG340" s="711">
        <f t="shared" si="178"/>
        <v>15</v>
      </c>
      <c r="AH340" s="711">
        <f t="shared" si="178"/>
        <v>57</v>
      </c>
      <c r="AI340" s="711">
        <f t="shared" si="178"/>
        <v>214</v>
      </c>
      <c r="AJ340" s="711">
        <f t="shared" si="178"/>
        <v>291</v>
      </c>
      <c r="AK340" s="711">
        <f t="shared" si="178"/>
        <v>191</v>
      </c>
      <c r="AL340" s="711">
        <f t="shared" si="178"/>
        <v>69</v>
      </c>
      <c r="AM340" s="711">
        <f t="shared" si="177"/>
        <v>32</v>
      </c>
      <c r="AN340" s="711">
        <f t="shared" si="177"/>
        <v>16</v>
      </c>
      <c r="AO340" s="711">
        <f t="shared" si="177"/>
        <v>1</v>
      </c>
      <c r="AP340" s="711">
        <f t="shared" si="177"/>
        <v>43</v>
      </c>
      <c r="AQ340" s="711">
        <f t="shared" si="177"/>
        <v>56</v>
      </c>
      <c r="AR340" s="711">
        <f t="shared" si="170"/>
        <v>75</v>
      </c>
      <c r="AS340" s="711">
        <f t="shared" si="170"/>
        <v>79</v>
      </c>
      <c r="AT340" s="711">
        <f t="shared" si="170"/>
        <v>280</v>
      </c>
      <c r="AU340" s="711">
        <f t="shared" si="170"/>
        <v>279</v>
      </c>
      <c r="AV340" s="711">
        <f t="shared" si="170"/>
        <v>94</v>
      </c>
      <c r="AW340" s="711">
        <f t="shared" si="170"/>
        <v>118</v>
      </c>
      <c r="AX340" s="711">
        <f t="shared" si="165"/>
        <v>148</v>
      </c>
      <c r="AY340" s="711">
        <f t="shared" si="165"/>
        <v>246</v>
      </c>
      <c r="AZ340" s="711">
        <f t="shared" si="165"/>
        <v>331</v>
      </c>
      <c r="BA340" s="711">
        <f t="shared" si="165"/>
        <v>317</v>
      </c>
    </row>
    <row r="341" spans="1:53">
      <c r="A341" s="106">
        <f t="shared" si="179"/>
        <v>330</v>
      </c>
      <c r="B341" s="858">
        <v>42334</v>
      </c>
      <c r="C341" s="859" t="s">
        <v>1724</v>
      </c>
      <c r="D341" s="860">
        <v>4450</v>
      </c>
      <c r="E341" s="860">
        <v>4272</v>
      </c>
      <c r="F341" s="860">
        <v>4204</v>
      </c>
      <c r="G341" s="860">
        <v>4177</v>
      </c>
      <c r="H341" s="860">
        <v>4233</v>
      </c>
      <c r="I341" s="860">
        <v>4368</v>
      </c>
      <c r="J341" s="860">
        <v>4562</v>
      </c>
      <c r="K341" s="860">
        <v>4773</v>
      </c>
      <c r="L341" s="860">
        <v>5044</v>
      </c>
      <c r="M341" s="860">
        <v>5281</v>
      </c>
      <c r="N341" s="860">
        <v>5431</v>
      </c>
      <c r="O341" s="860">
        <v>5488</v>
      </c>
      <c r="P341" s="860">
        <v>5444</v>
      </c>
      <c r="Q341" s="860">
        <v>5322</v>
      </c>
      <c r="R341" s="860">
        <v>5190</v>
      </c>
      <c r="S341" s="860">
        <v>5123</v>
      </c>
      <c r="T341" s="860">
        <v>5188</v>
      </c>
      <c r="U341" s="860">
        <v>5350</v>
      </c>
      <c r="V341" s="860">
        <v>5277</v>
      </c>
      <c r="W341" s="860">
        <v>5234</v>
      </c>
      <c r="X341" s="860">
        <v>5200</v>
      </c>
      <c r="Y341" s="860">
        <v>5084</v>
      </c>
      <c r="Z341" s="860">
        <v>4914</v>
      </c>
      <c r="AA341" s="860">
        <v>4847</v>
      </c>
      <c r="AC341" s="712">
        <f t="shared" si="180"/>
        <v>330</v>
      </c>
      <c r="AD341" s="711">
        <f t="shared" si="181"/>
        <v>202</v>
      </c>
      <c r="AE341" s="711">
        <f t="shared" si="178"/>
        <v>178</v>
      </c>
      <c r="AF341" s="711">
        <f t="shared" si="178"/>
        <v>68</v>
      </c>
      <c r="AG341" s="711">
        <f t="shared" si="178"/>
        <v>27</v>
      </c>
      <c r="AH341" s="711">
        <f t="shared" si="178"/>
        <v>56</v>
      </c>
      <c r="AI341" s="711">
        <f t="shared" si="178"/>
        <v>135</v>
      </c>
      <c r="AJ341" s="711">
        <f t="shared" si="178"/>
        <v>194</v>
      </c>
      <c r="AK341" s="711">
        <f t="shared" si="178"/>
        <v>211</v>
      </c>
      <c r="AL341" s="711">
        <f t="shared" si="178"/>
        <v>271</v>
      </c>
      <c r="AM341" s="711">
        <f t="shared" si="177"/>
        <v>237</v>
      </c>
      <c r="AN341" s="711">
        <f t="shared" si="177"/>
        <v>150</v>
      </c>
      <c r="AO341" s="711">
        <f t="shared" si="177"/>
        <v>57</v>
      </c>
      <c r="AP341" s="711">
        <f t="shared" si="177"/>
        <v>44</v>
      </c>
      <c r="AQ341" s="711">
        <f t="shared" si="177"/>
        <v>122</v>
      </c>
      <c r="AR341" s="711">
        <f t="shared" si="170"/>
        <v>132</v>
      </c>
      <c r="AS341" s="711">
        <f t="shared" si="170"/>
        <v>67</v>
      </c>
      <c r="AT341" s="711">
        <f t="shared" si="170"/>
        <v>65</v>
      </c>
      <c r="AU341" s="711">
        <f t="shared" si="170"/>
        <v>162</v>
      </c>
      <c r="AV341" s="711">
        <f t="shared" si="170"/>
        <v>73</v>
      </c>
      <c r="AW341" s="711">
        <f t="shared" si="170"/>
        <v>43</v>
      </c>
      <c r="AX341" s="711">
        <f t="shared" si="165"/>
        <v>34</v>
      </c>
      <c r="AY341" s="711">
        <f t="shared" si="165"/>
        <v>116</v>
      </c>
      <c r="AZ341" s="711">
        <f t="shared" si="165"/>
        <v>170</v>
      </c>
      <c r="BA341" s="711">
        <f t="shared" si="165"/>
        <v>67</v>
      </c>
    </row>
    <row r="342" spans="1:53">
      <c r="A342" s="106">
        <f t="shared" si="179"/>
        <v>331</v>
      </c>
      <c r="B342" s="858">
        <v>42335</v>
      </c>
      <c r="C342" s="859" t="s">
        <v>1724</v>
      </c>
      <c r="D342" s="860">
        <v>4730</v>
      </c>
      <c r="E342" s="860">
        <v>4636</v>
      </c>
      <c r="F342" s="860">
        <v>4606</v>
      </c>
      <c r="G342" s="860">
        <v>4622</v>
      </c>
      <c r="H342" s="860">
        <v>4652</v>
      </c>
      <c r="I342" s="860">
        <v>4786</v>
      </c>
      <c r="J342" s="860">
        <v>4970</v>
      </c>
      <c r="K342" s="860">
        <v>5002</v>
      </c>
      <c r="L342" s="860">
        <v>5161</v>
      </c>
      <c r="M342" s="860">
        <v>5233</v>
      </c>
      <c r="N342" s="860">
        <v>5271</v>
      </c>
      <c r="O342" s="860">
        <v>5267</v>
      </c>
      <c r="P342" s="860">
        <v>5236</v>
      </c>
      <c r="Q342" s="860">
        <v>5224</v>
      </c>
      <c r="R342" s="860">
        <v>5245</v>
      </c>
      <c r="S342" s="860">
        <v>5338</v>
      </c>
      <c r="T342" s="860">
        <v>5627</v>
      </c>
      <c r="U342" s="860">
        <v>5965</v>
      </c>
      <c r="V342" s="860">
        <v>5892</v>
      </c>
      <c r="W342" s="860">
        <v>5779</v>
      </c>
      <c r="X342" s="860">
        <v>5641</v>
      </c>
      <c r="Y342" s="860">
        <v>5424</v>
      </c>
      <c r="Z342" s="860">
        <v>5143</v>
      </c>
      <c r="AA342" s="860">
        <v>4947</v>
      </c>
      <c r="AC342" s="712">
        <f t="shared" si="180"/>
        <v>331</v>
      </c>
      <c r="AD342" s="711">
        <f t="shared" si="181"/>
        <v>117</v>
      </c>
      <c r="AE342" s="711">
        <f t="shared" si="178"/>
        <v>94</v>
      </c>
      <c r="AF342" s="711">
        <f t="shared" si="178"/>
        <v>30</v>
      </c>
      <c r="AG342" s="711">
        <f t="shared" si="178"/>
        <v>16</v>
      </c>
      <c r="AH342" s="711">
        <f t="shared" si="178"/>
        <v>30</v>
      </c>
      <c r="AI342" s="711">
        <f t="shared" si="178"/>
        <v>134</v>
      </c>
      <c r="AJ342" s="711">
        <f t="shared" si="178"/>
        <v>184</v>
      </c>
      <c r="AK342" s="711">
        <f t="shared" si="178"/>
        <v>32</v>
      </c>
      <c r="AL342" s="711">
        <f t="shared" si="178"/>
        <v>159</v>
      </c>
      <c r="AM342" s="711">
        <f t="shared" si="177"/>
        <v>72</v>
      </c>
      <c r="AN342" s="711">
        <f t="shared" si="177"/>
        <v>38</v>
      </c>
      <c r="AO342" s="711">
        <f t="shared" si="177"/>
        <v>4</v>
      </c>
      <c r="AP342" s="711">
        <f t="shared" si="177"/>
        <v>31</v>
      </c>
      <c r="AQ342" s="711">
        <f t="shared" si="177"/>
        <v>12</v>
      </c>
      <c r="AR342" s="711">
        <f t="shared" si="170"/>
        <v>21</v>
      </c>
      <c r="AS342" s="711">
        <f t="shared" si="170"/>
        <v>93</v>
      </c>
      <c r="AT342" s="711">
        <f t="shared" si="170"/>
        <v>289</v>
      </c>
      <c r="AU342" s="711">
        <f t="shared" si="170"/>
        <v>338</v>
      </c>
      <c r="AV342" s="711">
        <f t="shared" si="170"/>
        <v>73</v>
      </c>
      <c r="AW342" s="711">
        <f t="shared" si="170"/>
        <v>113</v>
      </c>
      <c r="AX342" s="711">
        <f t="shared" si="165"/>
        <v>138</v>
      </c>
      <c r="AY342" s="711">
        <f t="shared" si="165"/>
        <v>217</v>
      </c>
      <c r="AZ342" s="711">
        <f t="shared" si="165"/>
        <v>281</v>
      </c>
      <c r="BA342" s="711">
        <f t="shared" si="165"/>
        <v>196</v>
      </c>
    </row>
    <row r="343" spans="1:53">
      <c r="A343" s="106">
        <f t="shared" si="179"/>
        <v>332</v>
      </c>
      <c r="B343" s="858">
        <v>42336</v>
      </c>
      <c r="C343" s="859" t="s">
        <v>1724</v>
      </c>
      <c r="D343" s="860">
        <v>4719</v>
      </c>
      <c r="E343" s="860">
        <v>4610</v>
      </c>
      <c r="F343" s="860">
        <v>4552</v>
      </c>
      <c r="G343" s="860">
        <v>4537</v>
      </c>
      <c r="H343" s="860">
        <v>4589</v>
      </c>
      <c r="I343" s="860">
        <v>4607</v>
      </c>
      <c r="J343" s="860">
        <v>4793</v>
      </c>
      <c r="K343" s="860">
        <v>4938</v>
      </c>
      <c r="L343" s="860">
        <v>5148</v>
      </c>
      <c r="M343" s="860">
        <v>5280</v>
      </c>
      <c r="N343" s="860">
        <v>5314</v>
      </c>
      <c r="O343" s="860">
        <v>5285</v>
      </c>
      <c r="P343" s="860">
        <v>5229</v>
      </c>
      <c r="Q343" s="860">
        <v>5159</v>
      </c>
      <c r="R343" s="860">
        <v>5164</v>
      </c>
      <c r="S343" s="860">
        <v>5241</v>
      </c>
      <c r="T343" s="860">
        <v>5514</v>
      </c>
      <c r="U343" s="860">
        <v>5854</v>
      </c>
      <c r="V343" s="860">
        <v>5831</v>
      </c>
      <c r="W343" s="860">
        <v>5714</v>
      </c>
      <c r="X343" s="860">
        <v>5588</v>
      </c>
      <c r="Y343" s="860">
        <v>5378</v>
      </c>
      <c r="Z343" s="860">
        <v>5066</v>
      </c>
      <c r="AA343" s="860">
        <v>4854</v>
      </c>
      <c r="AC343" s="712">
        <f t="shared" si="180"/>
        <v>332</v>
      </c>
      <c r="AD343" s="711">
        <f t="shared" si="181"/>
        <v>228</v>
      </c>
      <c r="AE343" s="711">
        <f t="shared" si="178"/>
        <v>109</v>
      </c>
      <c r="AF343" s="711">
        <f t="shared" si="178"/>
        <v>58</v>
      </c>
      <c r="AG343" s="711">
        <f t="shared" si="178"/>
        <v>15</v>
      </c>
      <c r="AH343" s="711">
        <f t="shared" si="178"/>
        <v>52</v>
      </c>
      <c r="AI343" s="711">
        <f t="shared" si="178"/>
        <v>18</v>
      </c>
      <c r="AJ343" s="711">
        <f t="shared" si="178"/>
        <v>186</v>
      </c>
      <c r="AK343" s="711">
        <f t="shared" si="178"/>
        <v>145</v>
      </c>
      <c r="AL343" s="711">
        <f t="shared" si="178"/>
        <v>210</v>
      </c>
      <c r="AM343" s="711">
        <f t="shared" si="177"/>
        <v>132</v>
      </c>
      <c r="AN343" s="711">
        <f t="shared" si="177"/>
        <v>34</v>
      </c>
      <c r="AO343" s="711">
        <f t="shared" si="177"/>
        <v>29</v>
      </c>
      <c r="AP343" s="711">
        <f t="shared" si="177"/>
        <v>56</v>
      </c>
      <c r="AQ343" s="711">
        <f t="shared" si="177"/>
        <v>70</v>
      </c>
      <c r="AR343" s="711">
        <f t="shared" si="170"/>
        <v>5</v>
      </c>
      <c r="AS343" s="711">
        <f t="shared" si="170"/>
        <v>77</v>
      </c>
      <c r="AT343" s="711">
        <f t="shared" si="170"/>
        <v>273</v>
      </c>
      <c r="AU343" s="711">
        <f t="shared" si="170"/>
        <v>340</v>
      </c>
      <c r="AV343" s="711">
        <f t="shared" si="170"/>
        <v>23</v>
      </c>
      <c r="AW343" s="711">
        <f t="shared" si="170"/>
        <v>117</v>
      </c>
      <c r="AX343" s="711">
        <f t="shared" si="165"/>
        <v>126</v>
      </c>
      <c r="AY343" s="711">
        <f t="shared" si="165"/>
        <v>210</v>
      </c>
      <c r="AZ343" s="711">
        <f t="shared" si="165"/>
        <v>312</v>
      </c>
      <c r="BA343" s="711">
        <f t="shared" si="165"/>
        <v>212</v>
      </c>
    </row>
    <row r="344" spans="1:53">
      <c r="A344" s="106">
        <f t="shared" si="179"/>
        <v>333</v>
      </c>
      <c r="B344" s="858">
        <v>42337</v>
      </c>
      <c r="C344" s="859" t="s">
        <v>1724</v>
      </c>
      <c r="D344" s="860">
        <v>4689</v>
      </c>
      <c r="E344" s="860">
        <v>4574</v>
      </c>
      <c r="F344" s="860">
        <v>4530</v>
      </c>
      <c r="G344" s="860">
        <v>4512</v>
      </c>
      <c r="H344" s="860">
        <v>4537</v>
      </c>
      <c r="I344" s="860">
        <v>4633</v>
      </c>
      <c r="J344" s="860">
        <v>4710</v>
      </c>
      <c r="K344" s="860">
        <v>4855</v>
      </c>
      <c r="L344" s="860">
        <v>5030</v>
      </c>
      <c r="M344" s="860">
        <v>5156</v>
      </c>
      <c r="N344" s="860">
        <v>5204</v>
      </c>
      <c r="O344" s="860">
        <v>5276</v>
      </c>
      <c r="P344" s="860">
        <v>5271</v>
      </c>
      <c r="Q344" s="860">
        <v>5283</v>
      </c>
      <c r="R344" s="860">
        <v>5359</v>
      </c>
      <c r="S344" s="860">
        <v>5478</v>
      </c>
      <c r="T344" s="860">
        <v>5793</v>
      </c>
      <c r="U344" s="860">
        <v>6181</v>
      </c>
      <c r="V344" s="860">
        <v>6151</v>
      </c>
      <c r="W344" s="860">
        <v>5961</v>
      </c>
      <c r="X344" s="860">
        <v>5830</v>
      </c>
      <c r="Y344" s="860">
        <v>5553</v>
      </c>
      <c r="Z344" s="860">
        <v>5195</v>
      </c>
      <c r="AA344" s="860">
        <v>4919</v>
      </c>
      <c r="AC344" s="712">
        <f t="shared" si="180"/>
        <v>333</v>
      </c>
      <c r="AD344" s="711">
        <f t="shared" si="181"/>
        <v>165</v>
      </c>
      <c r="AE344" s="711">
        <f t="shared" si="178"/>
        <v>115</v>
      </c>
      <c r="AF344" s="711">
        <f t="shared" si="178"/>
        <v>44</v>
      </c>
      <c r="AG344" s="711">
        <f t="shared" si="178"/>
        <v>18</v>
      </c>
      <c r="AH344" s="711">
        <f t="shared" si="178"/>
        <v>25</v>
      </c>
      <c r="AI344" s="711">
        <f t="shared" si="178"/>
        <v>96</v>
      </c>
      <c r="AJ344" s="711">
        <f t="shared" si="178"/>
        <v>77</v>
      </c>
      <c r="AK344" s="711">
        <f t="shared" si="178"/>
        <v>145</v>
      </c>
      <c r="AL344" s="711">
        <f t="shared" si="178"/>
        <v>175</v>
      </c>
      <c r="AM344" s="711">
        <f t="shared" si="177"/>
        <v>126</v>
      </c>
      <c r="AN344" s="711">
        <f t="shared" si="177"/>
        <v>48</v>
      </c>
      <c r="AO344" s="711">
        <f t="shared" si="177"/>
        <v>72</v>
      </c>
      <c r="AP344" s="711">
        <f t="shared" si="177"/>
        <v>5</v>
      </c>
      <c r="AQ344" s="711">
        <f t="shared" si="177"/>
        <v>12</v>
      </c>
      <c r="AR344" s="711">
        <f t="shared" si="170"/>
        <v>76</v>
      </c>
      <c r="AS344" s="711">
        <f t="shared" si="170"/>
        <v>119</v>
      </c>
      <c r="AT344" s="711">
        <f t="shared" si="170"/>
        <v>315</v>
      </c>
      <c r="AU344" s="711">
        <f t="shared" si="170"/>
        <v>388</v>
      </c>
      <c r="AV344" s="711">
        <f t="shared" si="170"/>
        <v>30</v>
      </c>
      <c r="AW344" s="711">
        <f t="shared" si="170"/>
        <v>190</v>
      </c>
      <c r="AX344" s="711">
        <f t="shared" si="165"/>
        <v>131</v>
      </c>
      <c r="AY344" s="711">
        <f t="shared" si="165"/>
        <v>277</v>
      </c>
      <c r="AZ344" s="711">
        <f t="shared" si="165"/>
        <v>358</v>
      </c>
      <c r="BA344" s="711">
        <f t="shared" si="165"/>
        <v>276</v>
      </c>
    </row>
    <row r="345" spans="1:53">
      <c r="A345" s="106">
        <f t="shared" si="179"/>
        <v>334</v>
      </c>
      <c r="B345" s="858">
        <v>42338</v>
      </c>
      <c r="C345" s="859" t="s">
        <v>1724</v>
      </c>
      <c r="D345" s="860">
        <v>4850</v>
      </c>
      <c r="E345" s="860">
        <v>4762</v>
      </c>
      <c r="F345" s="860">
        <v>4661</v>
      </c>
      <c r="G345" s="860">
        <v>4611</v>
      </c>
      <c r="H345" s="860">
        <v>4691</v>
      </c>
      <c r="I345" s="860">
        <v>4949</v>
      </c>
      <c r="J345" s="860">
        <v>5415</v>
      </c>
      <c r="K345" s="860">
        <v>5576</v>
      </c>
      <c r="L345" s="860">
        <v>5682</v>
      </c>
      <c r="M345" s="860">
        <v>5703</v>
      </c>
      <c r="N345" s="860">
        <v>5634</v>
      </c>
      <c r="O345" s="860">
        <v>5586</v>
      </c>
      <c r="P345" s="860">
        <v>5515</v>
      </c>
      <c r="Q345" s="860">
        <v>5473</v>
      </c>
      <c r="R345" s="860">
        <v>5427</v>
      </c>
      <c r="S345" s="860">
        <v>5517</v>
      </c>
      <c r="T345" s="860">
        <v>5860</v>
      </c>
      <c r="U345" s="860">
        <v>6381</v>
      </c>
      <c r="V345" s="860">
        <v>6383</v>
      </c>
      <c r="W345" s="860">
        <v>6271</v>
      </c>
      <c r="X345" s="860">
        <v>6076</v>
      </c>
      <c r="Y345" s="860">
        <v>5745</v>
      </c>
      <c r="Z345" s="860">
        <v>5304</v>
      </c>
      <c r="AA345" s="860">
        <v>5065</v>
      </c>
      <c r="AC345" s="712">
        <f t="shared" si="180"/>
        <v>334</v>
      </c>
      <c r="AD345" s="711">
        <f t="shared" si="181"/>
        <v>69</v>
      </c>
      <c r="AE345" s="711">
        <f t="shared" si="178"/>
        <v>88</v>
      </c>
      <c r="AF345" s="711">
        <f t="shared" si="178"/>
        <v>101</v>
      </c>
      <c r="AG345" s="711">
        <f t="shared" si="178"/>
        <v>50</v>
      </c>
      <c r="AH345" s="711">
        <f t="shared" si="178"/>
        <v>80</v>
      </c>
      <c r="AI345" s="711">
        <f t="shared" si="178"/>
        <v>258</v>
      </c>
      <c r="AJ345" s="711">
        <f t="shared" si="178"/>
        <v>466</v>
      </c>
      <c r="AK345" s="711">
        <f t="shared" si="178"/>
        <v>161</v>
      </c>
      <c r="AL345" s="711">
        <f t="shared" si="178"/>
        <v>106</v>
      </c>
      <c r="AM345" s="711">
        <f t="shared" si="177"/>
        <v>21</v>
      </c>
      <c r="AN345" s="711">
        <f t="shared" si="177"/>
        <v>69</v>
      </c>
      <c r="AO345" s="711">
        <f t="shared" si="177"/>
        <v>48</v>
      </c>
      <c r="AP345" s="711">
        <f t="shared" si="177"/>
        <v>71</v>
      </c>
      <c r="AQ345" s="711">
        <f t="shared" si="177"/>
        <v>42</v>
      </c>
      <c r="AR345" s="711">
        <f t="shared" si="170"/>
        <v>46</v>
      </c>
      <c r="AS345" s="711">
        <f t="shared" si="170"/>
        <v>90</v>
      </c>
      <c r="AT345" s="711">
        <f t="shared" si="170"/>
        <v>343</v>
      </c>
      <c r="AU345" s="711">
        <f t="shared" ref="AU345:BA376" si="182">ABS(U345-T345)</f>
        <v>521</v>
      </c>
      <c r="AV345" s="711">
        <f t="shared" si="182"/>
        <v>2</v>
      </c>
      <c r="AW345" s="711">
        <f t="shared" si="182"/>
        <v>112</v>
      </c>
      <c r="AX345" s="711">
        <f t="shared" si="165"/>
        <v>195</v>
      </c>
      <c r="AY345" s="711">
        <f t="shared" si="165"/>
        <v>331</v>
      </c>
      <c r="AZ345" s="711">
        <f t="shared" si="165"/>
        <v>441</v>
      </c>
      <c r="BA345" s="711">
        <f t="shared" si="165"/>
        <v>239</v>
      </c>
    </row>
    <row r="346" spans="1:53">
      <c r="A346" s="106">
        <f t="shared" si="179"/>
        <v>335</v>
      </c>
      <c r="B346" s="858">
        <v>42339</v>
      </c>
      <c r="C346" s="859" t="s">
        <v>1724</v>
      </c>
      <c r="D346" s="860">
        <v>4884</v>
      </c>
      <c r="E346" s="860">
        <v>4894</v>
      </c>
      <c r="F346" s="860">
        <v>4854</v>
      </c>
      <c r="G346" s="860">
        <v>4817</v>
      </c>
      <c r="H346" s="860">
        <v>4847</v>
      </c>
      <c r="I346" s="860">
        <v>5142</v>
      </c>
      <c r="J346" s="860">
        <v>5614</v>
      </c>
      <c r="K346" s="860">
        <v>5713</v>
      </c>
      <c r="L346" s="860">
        <v>5693</v>
      </c>
      <c r="M346" s="860">
        <v>5699</v>
      </c>
      <c r="N346" s="860">
        <v>5676</v>
      </c>
      <c r="O346" s="860">
        <v>5619</v>
      </c>
      <c r="P346" s="860">
        <v>5581</v>
      </c>
      <c r="Q346" s="860">
        <v>5547</v>
      </c>
      <c r="R346" s="860">
        <v>5540</v>
      </c>
      <c r="S346" s="860">
        <v>5613</v>
      </c>
      <c r="T346" s="860">
        <v>5898</v>
      </c>
      <c r="U346" s="860">
        <v>6294</v>
      </c>
      <c r="V346" s="860">
        <v>6261</v>
      </c>
      <c r="W346" s="860">
        <v>6130</v>
      </c>
      <c r="X346" s="860">
        <v>5984</v>
      </c>
      <c r="Y346" s="860">
        <v>5620</v>
      </c>
      <c r="Z346" s="860">
        <v>5201</v>
      </c>
      <c r="AA346" s="860">
        <v>4950</v>
      </c>
      <c r="AB346" s="711">
        <f>MAX(D346:AA376)</f>
        <v>6613</v>
      </c>
      <c r="AC346" s="712">
        <f t="shared" si="180"/>
        <v>335</v>
      </c>
      <c r="AD346" s="711">
        <f t="shared" si="181"/>
        <v>181</v>
      </c>
      <c r="AE346" s="711">
        <f t="shared" si="178"/>
        <v>10</v>
      </c>
      <c r="AF346" s="711">
        <f t="shared" si="178"/>
        <v>40</v>
      </c>
      <c r="AG346" s="711">
        <f t="shared" si="178"/>
        <v>37</v>
      </c>
      <c r="AH346" s="711">
        <f t="shared" si="178"/>
        <v>30</v>
      </c>
      <c r="AI346" s="711">
        <f t="shared" si="178"/>
        <v>295</v>
      </c>
      <c r="AJ346" s="711">
        <f t="shared" si="178"/>
        <v>472</v>
      </c>
      <c r="AK346" s="711">
        <f t="shared" si="178"/>
        <v>99</v>
      </c>
      <c r="AL346" s="711">
        <f t="shared" si="178"/>
        <v>20</v>
      </c>
      <c r="AM346" s="711">
        <f t="shared" si="177"/>
        <v>6</v>
      </c>
      <c r="AN346" s="711">
        <f t="shared" si="177"/>
        <v>23</v>
      </c>
      <c r="AO346" s="711">
        <f t="shared" si="177"/>
        <v>57</v>
      </c>
      <c r="AP346" s="711">
        <f t="shared" si="177"/>
        <v>38</v>
      </c>
      <c r="AQ346" s="711">
        <f t="shared" si="177"/>
        <v>34</v>
      </c>
      <c r="AR346" s="711">
        <f t="shared" si="177"/>
        <v>7</v>
      </c>
      <c r="AS346" s="711">
        <f t="shared" si="177"/>
        <v>73</v>
      </c>
      <c r="AT346" s="711">
        <f t="shared" si="177"/>
        <v>285</v>
      </c>
      <c r="AU346" s="711">
        <f t="shared" si="182"/>
        <v>396</v>
      </c>
      <c r="AV346" s="711">
        <f t="shared" si="182"/>
        <v>33</v>
      </c>
      <c r="AW346" s="711">
        <f t="shared" si="182"/>
        <v>131</v>
      </c>
      <c r="AX346" s="711">
        <f t="shared" si="165"/>
        <v>146</v>
      </c>
      <c r="AY346" s="711">
        <f t="shared" si="165"/>
        <v>364</v>
      </c>
      <c r="AZ346" s="711">
        <f t="shared" si="165"/>
        <v>419</v>
      </c>
      <c r="BA346" s="711">
        <f t="shared" si="165"/>
        <v>251</v>
      </c>
    </row>
    <row r="347" spans="1:53">
      <c r="A347" s="106">
        <f t="shared" si="179"/>
        <v>336</v>
      </c>
      <c r="B347" s="858">
        <v>42340</v>
      </c>
      <c r="C347" s="859" t="s">
        <v>1724</v>
      </c>
      <c r="D347" s="860">
        <v>4812</v>
      </c>
      <c r="E347" s="860">
        <v>4770</v>
      </c>
      <c r="F347" s="860">
        <v>4742</v>
      </c>
      <c r="G347" s="860">
        <v>4706</v>
      </c>
      <c r="H347" s="860">
        <v>4784</v>
      </c>
      <c r="I347" s="860">
        <v>5040</v>
      </c>
      <c r="J347" s="860">
        <v>5485</v>
      </c>
      <c r="K347" s="860">
        <v>5638</v>
      </c>
      <c r="L347" s="860">
        <v>5562</v>
      </c>
      <c r="M347" s="860">
        <v>5470</v>
      </c>
      <c r="N347" s="860">
        <v>5439</v>
      </c>
      <c r="O347" s="860">
        <v>5376</v>
      </c>
      <c r="P347" s="860">
        <v>5283</v>
      </c>
      <c r="Q347" s="860">
        <v>5205</v>
      </c>
      <c r="R347" s="860">
        <v>5192</v>
      </c>
      <c r="S347" s="860">
        <v>5255</v>
      </c>
      <c r="T347" s="860">
        <v>5570</v>
      </c>
      <c r="U347" s="860">
        <v>6050</v>
      </c>
      <c r="V347" s="860">
        <v>6087</v>
      </c>
      <c r="W347" s="860">
        <v>5996</v>
      </c>
      <c r="X347" s="860">
        <v>5837</v>
      </c>
      <c r="Y347" s="860">
        <v>5538</v>
      </c>
      <c r="Z347" s="860">
        <v>5061</v>
      </c>
      <c r="AA347" s="860">
        <v>4782</v>
      </c>
      <c r="AC347" s="712">
        <f t="shared" si="180"/>
        <v>336</v>
      </c>
      <c r="AD347" s="711">
        <f t="shared" si="181"/>
        <v>138</v>
      </c>
      <c r="AE347" s="711">
        <f t="shared" si="178"/>
        <v>42</v>
      </c>
      <c r="AF347" s="711">
        <f t="shared" si="178"/>
        <v>28</v>
      </c>
      <c r="AG347" s="711">
        <f t="shared" si="178"/>
        <v>36</v>
      </c>
      <c r="AH347" s="711">
        <f t="shared" si="178"/>
        <v>78</v>
      </c>
      <c r="AI347" s="711">
        <f t="shared" si="178"/>
        <v>256</v>
      </c>
      <c r="AJ347" s="711">
        <f t="shared" si="178"/>
        <v>445</v>
      </c>
      <c r="AK347" s="711">
        <f t="shared" si="178"/>
        <v>153</v>
      </c>
      <c r="AL347" s="711">
        <f t="shared" si="178"/>
        <v>76</v>
      </c>
      <c r="AM347" s="711">
        <f t="shared" si="177"/>
        <v>92</v>
      </c>
      <c r="AN347" s="711">
        <f t="shared" si="177"/>
        <v>31</v>
      </c>
      <c r="AO347" s="711">
        <f t="shared" si="177"/>
        <v>63</v>
      </c>
      <c r="AP347" s="711">
        <f t="shared" si="177"/>
        <v>93</v>
      </c>
      <c r="AQ347" s="711">
        <f t="shared" si="177"/>
        <v>78</v>
      </c>
      <c r="AR347" s="711">
        <f t="shared" si="177"/>
        <v>13</v>
      </c>
      <c r="AS347" s="711">
        <f t="shared" si="177"/>
        <v>63</v>
      </c>
      <c r="AT347" s="711">
        <f t="shared" si="177"/>
        <v>315</v>
      </c>
      <c r="AU347" s="711">
        <f t="shared" si="182"/>
        <v>480</v>
      </c>
      <c r="AV347" s="711">
        <f t="shared" si="182"/>
        <v>37</v>
      </c>
      <c r="AW347" s="711">
        <f t="shared" si="182"/>
        <v>91</v>
      </c>
      <c r="AX347" s="711">
        <f t="shared" si="165"/>
        <v>159</v>
      </c>
      <c r="AY347" s="711">
        <f t="shared" si="165"/>
        <v>299</v>
      </c>
      <c r="AZ347" s="711">
        <f t="shared" si="165"/>
        <v>477</v>
      </c>
      <c r="BA347" s="711">
        <f t="shared" si="165"/>
        <v>279</v>
      </c>
    </row>
    <row r="348" spans="1:53">
      <c r="A348" s="106">
        <f t="shared" si="179"/>
        <v>337</v>
      </c>
      <c r="B348" s="858">
        <v>42341</v>
      </c>
      <c r="C348" s="859" t="s">
        <v>1724</v>
      </c>
      <c r="D348" s="860">
        <v>4668</v>
      </c>
      <c r="E348" s="860">
        <v>4555</v>
      </c>
      <c r="F348" s="860">
        <v>4631</v>
      </c>
      <c r="G348" s="860">
        <v>4641</v>
      </c>
      <c r="H348" s="860">
        <v>4767</v>
      </c>
      <c r="I348" s="860">
        <v>5087</v>
      </c>
      <c r="J348" s="860">
        <v>5459</v>
      </c>
      <c r="K348" s="860">
        <v>5625</v>
      </c>
      <c r="L348" s="860">
        <v>5459</v>
      </c>
      <c r="M348" s="860">
        <v>5319</v>
      </c>
      <c r="N348" s="860">
        <v>5236</v>
      </c>
      <c r="O348" s="860">
        <v>5179</v>
      </c>
      <c r="P348" s="860">
        <v>5113</v>
      </c>
      <c r="Q348" s="860">
        <v>5089</v>
      </c>
      <c r="R348" s="860">
        <v>5082</v>
      </c>
      <c r="S348" s="860">
        <v>5154</v>
      </c>
      <c r="T348" s="860">
        <v>5563</v>
      </c>
      <c r="U348" s="860">
        <v>5957</v>
      </c>
      <c r="V348" s="860">
        <v>5966</v>
      </c>
      <c r="W348" s="860">
        <v>5882</v>
      </c>
      <c r="X348" s="860">
        <v>5725</v>
      </c>
      <c r="Y348" s="860">
        <v>5491</v>
      </c>
      <c r="Z348" s="860">
        <v>5058</v>
      </c>
      <c r="AA348" s="860">
        <v>4774</v>
      </c>
      <c r="AC348" s="712">
        <f t="shared" si="180"/>
        <v>337</v>
      </c>
      <c r="AD348" s="711">
        <f t="shared" si="181"/>
        <v>114</v>
      </c>
      <c r="AE348" s="711">
        <f t="shared" si="178"/>
        <v>113</v>
      </c>
      <c r="AF348" s="711">
        <f t="shared" si="178"/>
        <v>76</v>
      </c>
      <c r="AG348" s="711">
        <f t="shared" si="178"/>
        <v>10</v>
      </c>
      <c r="AH348" s="711">
        <f t="shared" si="178"/>
        <v>126</v>
      </c>
      <c r="AI348" s="711">
        <f t="shared" si="178"/>
        <v>320</v>
      </c>
      <c r="AJ348" s="711">
        <f t="shared" si="178"/>
        <v>372</v>
      </c>
      <c r="AK348" s="711">
        <f t="shared" si="178"/>
        <v>166</v>
      </c>
      <c r="AL348" s="711">
        <f t="shared" si="178"/>
        <v>166</v>
      </c>
      <c r="AM348" s="711">
        <f t="shared" si="177"/>
        <v>140</v>
      </c>
      <c r="AN348" s="711">
        <f t="shared" si="177"/>
        <v>83</v>
      </c>
      <c r="AO348" s="711">
        <f t="shared" si="177"/>
        <v>57</v>
      </c>
      <c r="AP348" s="711">
        <f t="shared" si="177"/>
        <v>66</v>
      </c>
      <c r="AQ348" s="711">
        <f t="shared" si="177"/>
        <v>24</v>
      </c>
      <c r="AR348" s="711">
        <f t="shared" si="177"/>
        <v>7</v>
      </c>
      <c r="AS348" s="711">
        <f t="shared" si="177"/>
        <v>72</v>
      </c>
      <c r="AT348" s="711">
        <f t="shared" si="177"/>
        <v>409</v>
      </c>
      <c r="AU348" s="711">
        <f t="shared" si="182"/>
        <v>394</v>
      </c>
      <c r="AV348" s="711">
        <f t="shared" si="182"/>
        <v>9</v>
      </c>
      <c r="AW348" s="711">
        <f t="shared" si="182"/>
        <v>84</v>
      </c>
      <c r="AX348" s="711">
        <f t="shared" si="165"/>
        <v>157</v>
      </c>
      <c r="AY348" s="711">
        <f t="shared" si="165"/>
        <v>234</v>
      </c>
      <c r="AZ348" s="711">
        <f t="shared" si="165"/>
        <v>433</v>
      </c>
      <c r="BA348" s="711">
        <f t="shared" si="165"/>
        <v>284</v>
      </c>
    </row>
    <row r="349" spans="1:53">
      <c r="A349" s="106">
        <f t="shared" si="179"/>
        <v>338</v>
      </c>
      <c r="B349" s="858">
        <v>42342</v>
      </c>
      <c r="C349" s="859" t="s">
        <v>1724</v>
      </c>
      <c r="D349" s="860">
        <v>4721</v>
      </c>
      <c r="E349" s="860">
        <v>4661</v>
      </c>
      <c r="F349" s="860">
        <v>4609</v>
      </c>
      <c r="G349" s="860">
        <v>4627</v>
      </c>
      <c r="H349" s="860">
        <v>4710</v>
      </c>
      <c r="I349" s="860">
        <v>4957</v>
      </c>
      <c r="J349" s="860">
        <v>5347</v>
      </c>
      <c r="K349" s="860">
        <v>5495</v>
      </c>
      <c r="L349" s="860">
        <v>5497</v>
      </c>
      <c r="M349" s="860">
        <v>5308</v>
      </c>
      <c r="N349" s="860">
        <v>5206</v>
      </c>
      <c r="O349" s="860">
        <v>5062</v>
      </c>
      <c r="P349" s="860">
        <v>4993</v>
      </c>
      <c r="Q349" s="860">
        <v>4982</v>
      </c>
      <c r="R349" s="860">
        <v>5049</v>
      </c>
      <c r="S349" s="860">
        <v>5089</v>
      </c>
      <c r="T349" s="860">
        <v>5396</v>
      </c>
      <c r="U349" s="860">
        <v>5771</v>
      </c>
      <c r="V349" s="860">
        <v>5697</v>
      </c>
      <c r="W349" s="860">
        <v>5606</v>
      </c>
      <c r="X349" s="860">
        <v>5491</v>
      </c>
      <c r="Y349" s="860">
        <v>5261</v>
      </c>
      <c r="Z349" s="860">
        <v>4897</v>
      </c>
      <c r="AA349" s="860">
        <v>4610</v>
      </c>
      <c r="AC349" s="712">
        <f t="shared" si="180"/>
        <v>338</v>
      </c>
      <c r="AD349" s="711">
        <f t="shared" si="181"/>
        <v>53</v>
      </c>
      <c r="AE349" s="711">
        <f t="shared" si="178"/>
        <v>60</v>
      </c>
      <c r="AF349" s="711">
        <f t="shared" si="178"/>
        <v>52</v>
      </c>
      <c r="AG349" s="711">
        <f t="shared" si="178"/>
        <v>18</v>
      </c>
      <c r="AH349" s="711">
        <f t="shared" si="178"/>
        <v>83</v>
      </c>
      <c r="AI349" s="711">
        <f t="shared" si="178"/>
        <v>247</v>
      </c>
      <c r="AJ349" s="711">
        <f t="shared" si="178"/>
        <v>390</v>
      </c>
      <c r="AK349" s="711">
        <f t="shared" si="178"/>
        <v>148</v>
      </c>
      <c r="AL349" s="711">
        <f t="shared" si="178"/>
        <v>2</v>
      </c>
      <c r="AM349" s="711">
        <f t="shared" si="177"/>
        <v>189</v>
      </c>
      <c r="AN349" s="711">
        <f t="shared" si="177"/>
        <v>102</v>
      </c>
      <c r="AO349" s="711">
        <f t="shared" si="177"/>
        <v>144</v>
      </c>
      <c r="AP349" s="711">
        <f t="shared" si="177"/>
        <v>69</v>
      </c>
      <c r="AQ349" s="711">
        <f t="shared" si="177"/>
        <v>11</v>
      </c>
      <c r="AR349" s="711">
        <f t="shared" si="177"/>
        <v>67</v>
      </c>
      <c r="AS349" s="711">
        <f t="shared" si="177"/>
        <v>40</v>
      </c>
      <c r="AT349" s="711">
        <f t="shared" si="177"/>
        <v>307</v>
      </c>
      <c r="AU349" s="711">
        <f t="shared" si="182"/>
        <v>375</v>
      </c>
      <c r="AV349" s="711">
        <f t="shared" si="182"/>
        <v>74</v>
      </c>
      <c r="AW349" s="711">
        <f t="shared" si="182"/>
        <v>91</v>
      </c>
      <c r="AX349" s="711">
        <f t="shared" si="165"/>
        <v>115</v>
      </c>
      <c r="AY349" s="711">
        <f t="shared" si="165"/>
        <v>230</v>
      </c>
      <c r="AZ349" s="711">
        <f t="shared" si="165"/>
        <v>364</v>
      </c>
      <c r="BA349" s="711">
        <f t="shared" si="165"/>
        <v>287</v>
      </c>
    </row>
    <row r="350" spans="1:53">
      <c r="A350" s="106">
        <f t="shared" si="179"/>
        <v>339</v>
      </c>
      <c r="B350" s="858">
        <v>42343</v>
      </c>
      <c r="C350" s="859" t="s">
        <v>1724</v>
      </c>
      <c r="D350" s="860">
        <v>4371</v>
      </c>
      <c r="E350" s="860">
        <v>4262</v>
      </c>
      <c r="F350" s="860">
        <v>4188</v>
      </c>
      <c r="G350" s="860">
        <v>4183</v>
      </c>
      <c r="H350" s="860">
        <v>4377</v>
      </c>
      <c r="I350" s="860">
        <v>4522</v>
      </c>
      <c r="J350" s="860">
        <v>4762</v>
      </c>
      <c r="K350" s="860">
        <v>4942</v>
      </c>
      <c r="L350" s="860">
        <v>5091</v>
      </c>
      <c r="M350" s="860">
        <v>5087</v>
      </c>
      <c r="N350" s="860">
        <v>5140</v>
      </c>
      <c r="O350" s="860">
        <v>5154</v>
      </c>
      <c r="P350" s="860">
        <v>5110</v>
      </c>
      <c r="Q350" s="860">
        <v>5039</v>
      </c>
      <c r="R350" s="860">
        <v>5037</v>
      </c>
      <c r="S350" s="860">
        <v>5075</v>
      </c>
      <c r="T350" s="860">
        <v>5283</v>
      </c>
      <c r="U350" s="860">
        <v>5734</v>
      </c>
      <c r="V350" s="860">
        <v>5712</v>
      </c>
      <c r="W350" s="860">
        <v>5620</v>
      </c>
      <c r="X350" s="860">
        <v>5566</v>
      </c>
      <c r="Y350" s="860">
        <v>5331</v>
      </c>
      <c r="Z350" s="860">
        <v>5075</v>
      </c>
      <c r="AA350" s="860">
        <v>4772</v>
      </c>
      <c r="AC350" s="712">
        <f t="shared" si="180"/>
        <v>339</v>
      </c>
      <c r="AD350" s="711">
        <f t="shared" si="181"/>
        <v>239</v>
      </c>
      <c r="AE350" s="711">
        <f t="shared" si="178"/>
        <v>109</v>
      </c>
      <c r="AF350" s="711">
        <f t="shared" si="178"/>
        <v>74</v>
      </c>
      <c r="AG350" s="711">
        <f t="shared" si="178"/>
        <v>5</v>
      </c>
      <c r="AH350" s="711">
        <f t="shared" si="178"/>
        <v>194</v>
      </c>
      <c r="AI350" s="711">
        <f t="shared" si="178"/>
        <v>145</v>
      </c>
      <c r="AJ350" s="711">
        <f t="shared" si="178"/>
        <v>240</v>
      </c>
      <c r="AK350" s="711">
        <f t="shared" si="178"/>
        <v>180</v>
      </c>
      <c r="AL350" s="711">
        <f t="shared" si="178"/>
        <v>149</v>
      </c>
      <c r="AM350" s="711">
        <f t="shared" si="177"/>
        <v>4</v>
      </c>
      <c r="AN350" s="711">
        <f t="shared" si="177"/>
        <v>53</v>
      </c>
      <c r="AO350" s="711">
        <f t="shared" si="177"/>
        <v>14</v>
      </c>
      <c r="AP350" s="711">
        <f t="shared" si="177"/>
        <v>44</v>
      </c>
      <c r="AQ350" s="711">
        <f t="shared" si="177"/>
        <v>71</v>
      </c>
      <c r="AR350" s="711">
        <f t="shared" si="177"/>
        <v>2</v>
      </c>
      <c r="AS350" s="711">
        <f t="shared" si="177"/>
        <v>38</v>
      </c>
      <c r="AT350" s="711">
        <f t="shared" si="177"/>
        <v>208</v>
      </c>
      <c r="AU350" s="711">
        <f t="shared" si="182"/>
        <v>451</v>
      </c>
      <c r="AV350" s="711">
        <f t="shared" si="182"/>
        <v>22</v>
      </c>
      <c r="AW350" s="711">
        <f t="shared" si="182"/>
        <v>92</v>
      </c>
      <c r="AX350" s="711">
        <f t="shared" si="165"/>
        <v>54</v>
      </c>
      <c r="AY350" s="711">
        <f t="shared" si="165"/>
        <v>235</v>
      </c>
      <c r="AZ350" s="711">
        <f t="shared" si="165"/>
        <v>256</v>
      </c>
      <c r="BA350" s="711">
        <f t="shared" si="165"/>
        <v>303</v>
      </c>
    </row>
    <row r="351" spans="1:53">
      <c r="A351" s="106">
        <f t="shared" si="179"/>
        <v>340</v>
      </c>
      <c r="B351" s="858">
        <v>42344</v>
      </c>
      <c r="C351" s="859" t="s">
        <v>1724</v>
      </c>
      <c r="D351" s="860">
        <v>4562</v>
      </c>
      <c r="E351" s="860">
        <v>4422</v>
      </c>
      <c r="F351" s="860">
        <v>4325</v>
      </c>
      <c r="G351" s="860">
        <v>4316</v>
      </c>
      <c r="H351" s="860">
        <v>4385</v>
      </c>
      <c r="I351" s="860">
        <v>4537</v>
      </c>
      <c r="J351" s="860">
        <v>4712</v>
      </c>
      <c r="K351" s="860">
        <v>4768</v>
      </c>
      <c r="L351" s="860">
        <v>4816</v>
      </c>
      <c r="M351" s="860">
        <v>4808</v>
      </c>
      <c r="N351" s="860">
        <v>4817</v>
      </c>
      <c r="O351" s="860">
        <v>4775</v>
      </c>
      <c r="P351" s="860">
        <v>4935</v>
      </c>
      <c r="Q351" s="860">
        <v>4961</v>
      </c>
      <c r="R351" s="860">
        <v>4981</v>
      </c>
      <c r="S351" s="860">
        <v>5057</v>
      </c>
      <c r="T351" s="860">
        <v>5336</v>
      </c>
      <c r="U351" s="860">
        <v>5813</v>
      </c>
      <c r="V351" s="860">
        <v>5866</v>
      </c>
      <c r="W351" s="860">
        <v>5768</v>
      </c>
      <c r="X351" s="860">
        <v>5631</v>
      </c>
      <c r="Y351" s="860">
        <v>5325</v>
      </c>
      <c r="Z351" s="860">
        <v>4958</v>
      </c>
      <c r="AA351" s="860">
        <v>4704</v>
      </c>
      <c r="AC351" s="712">
        <f t="shared" si="180"/>
        <v>340</v>
      </c>
      <c r="AD351" s="711">
        <f t="shared" si="181"/>
        <v>210</v>
      </c>
      <c r="AE351" s="711">
        <f t="shared" si="178"/>
        <v>140</v>
      </c>
      <c r="AF351" s="711">
        <f t="shared" si="178"/>
        <v>97</v>
      </c>
      <c r="AG351" s="711">
        <f t="shared" si="178"/>
        <v>9</v>
      </c>
      <c r="AH351" s="711">
        <f t="shared" si="178"/>
        <v>69</v>
      </c>
      <c r="AI351" s="711">
        <f t="shared" si="178"/>
        <v>152</v>
      </c>
      <c r="AJ351" s="711">
        <f t="shared" si="178"/>
        <v>175</v>
      </c>
      <c r="AK351" s="711">
        <f t="shared" si="178"/>
        <v>56</v>
      </c>
      <c r="AL351" s="711">
        <f t="shared" si="178"/>
        <v>48</v>
      </c>
      <c r="AM351" s="711">
        <f t="shared" si="177"/>
        <v>8</v>
      </c>
      <c r="AN351" s="711">
        <f t="shared" si="177"/>
        <v>9</v>
      </c>
      <c r="AO351" s="711">
        <f t="shared" si="177"/>
        <v>42</v>
      </c>
      <c r="AP351" s="711">
        <f t="shared" si="177"/>
        <v>160</v>
      </c>
      <c r="AQ351" s="711">
        <f t="shared" si="177"/>
        <v>26</v>
      </c>
      <c r="AR351" s="711">
        <f t="shared" si="177"/>
        <v>20</v>
      </c>
      <c r="AS351" s="711">
        <f t="shared" si="177"/>
        <v>76</v>
      </c>
      <c r="AT351" s="711">
        <f t="shared" si="177"/>
        <v>279</v>
      </c>
      <c r="AU351" s="711">
        <f t="shared" si="182"/>
        <v>477</v>
      </c>
      <c r="AV351" s="711">
        <f t="shared" si="182"/>
        <v>53</v>
      </c>
      <c r="AW351" s="711">
        <f t="shared" si="182"/>
        <v>98</v>
      </c>
      <c r="AX351" s="711">
        <f t="shared" si="165"/>
        <v>137</v>
      </c>
      <c r="AY351" s="711">
        <f t="shared" si="165"/>
        <v>306</v>
      </c>
      <c r="AZ351" s="711">
        <f t="shared" si="165"/>
        <v>367</v>
      </c>
      <c r="BA351" s="711">
        <f t="shared" si="165"/>
        <v>254</v>
      </c>
    </row>
    <row r="352" spans="1:53">
      <c r="A352" s="106">
        <f t="shared" si="179"/>
        <v>341</v>
      </c>
      <c r="B352" s="858">
        <v>42345</v>
      </c>
      <c r="C352" s="859" t="s">
        <v>1724</v>
      </c>
      <c r="D352" s="860">
        <v>4592</v>
      </c>
      <c r="E352" s="860">
        <v>4497</v>
      </c>
      <c r="F352" s="860">
        <v>4461</v>
      </c>
      <c r="G352" s="860">
        <v>4467</v>
      </c>
      <c r="H352" s="860">
        <v>4508</v>
      </c>
      <c r="I352" s="860">
        <v>4857</v>
      </c>
      <c r="J352" s="860">
        <v>5205</v>
      </c>
      <c r="K352" s="860">
        <v>5411</v>
      </c>
      <c r="L352" s="860">
        <v>5432</v>
      </c>
      <c r="M352" s="860">
        <v>5357</v>
      </c>
      <c r="N352" s="860">
        <v>5399</v>
      </c>
      <c r="O352" s="860">
        <v>5406</v>
      </c>
      <c r="P352" s="860">
        <v>5268</v>
      </c>
      <c r="Q352" s="860">
        <v>5278</v>
      </c>
      <c r="R352" s="860">
        <v>5250</v>
      </c>
      <c r="S352" s="860">
        <v>5223</v>
      </c>
      <c r="T352" s="860">
        <v>5595</v>
      </c>
      <c r="U352" s="860">
        <v>6074</v>
      </c>
      <c r="V352" s="860">
        <v>6041</v>
      </c>
      <c r="W352" s="860">
        <v>5923</v>
      </c>
      <c r="X352" s="860">
        <v>5752</v>
      </c>
      <c r="Y352" s="860">
        <v>5382</v>
      </c>
      <c r="Z352" s="860">
        <v>5048</v>
      </c>
      <c r="AA352" s="860">
        <v>4763</v>
      </c>
      <c r="AC352" s="712">
        <f t="shared" si="180"/>
        <v>341</v>
      </c>
      <c r="AD352" s="711">
        <f t="shared" si="181"/>
        <v>112</v>
      </c>
      <c r="AE352" s="711">
        <f t="shared" si="178"/>
        <v>95</v>
      </c>
      <c r="AF352" s="711">
        <f t="shared" si="178"/>
        <v>36</v>
      </c>
      <c r="AG352" s="711">
        <f t="shared" si="178"/>
        <v>6</v>
      </c>
      <c r="AH352" s="711">
        <f t="shared" si="178"/>
        <v>41</v>
      </c>
      <c r="AI352" s="711">
        <f t="shared" si="178"/>
        <v>349</v>
      </c>
      <c r="AJ352" s="711">
        <f t="shared" si="178"/>
        <v>348</v>
      </c>
      <c r="AK352" s="711">
        <f t="shared" si="178"/>
        <v>206</v>
      </c>
      <c r="AL352" s="711">
        <f t="shared" si="178"/>
        <v>21</v>
      </c>
      <c r="AM352" s="711">
        <f t="shared" si="177"/>
        <v>75</v>
      </c>
      <c r="AN352" s="711">
        <f t="shared" si="177"/>
        <v>42</v>
      </c>
      <c r="AO352" s="711">
        <f t="shared" si="177"/>
        <v>7</v>
      </c>
      <c r="AP352" s="711">
        <f t="shared" si="177"/>
        <v>138</v>
      </c>
      <c r="AQ352" s="711">
        <f t="shared" si="177"/>
        <v>10</v>
      </c>
      <c r="AR352" s="711">
        <f t="shared" si="177"/>
        <v>28</v>
      </c>
      <c r="AS352" s="711">
        <f t="shared" si="177"/>
        <v>27</v>
      </c>
      <c r="AT352" s="711">
        <f t="shared" si="177"/>
        <v>372</v>
      </c>
      <c r="AU352" s="711">
        <f t="shared" si="182"/>
        <v>479</v>
      </c>
      <c r="AV352" s="711">
        <f t="shared" si="182"/>
        <v>33</v>
      </c>
      <c r="AW352" s="711">
        <f t="shared" si="182"/>
        <v>118</v>
      </c>
      <c r="AX352" s="711">
        <f t="shared" si="165"/>
        <v>171</v>
      </c>
      <c r="AY352" s="711">
        <f t="shared" si="165"/>
        <v>370</v>
      </c>
      <c r="AZ352" s="711">
        <f t="shared" si="165"/>
        <v>334</v>
      </c>
      <c r="BA352" s="711">
        <f t="shared" si="165"/>
        <v>285</v>
      </c>
    </row>
    <row r="353" spans="1:53">
      <c r="A353" s="106">
        <f t="shared" si="179"/>
        <v>342</v>
      </c>
      <c r="B353" s="858">
        <v>42346</v>
      </c>
      <c r="C353" s="859" t="s">
        <v>1724</v>
      </c>
      <c r="D353" s="860">
        <v>4513</v>
      </c>
      <c r="E353" s="860">
        <v>4386</v>
      </c>
      <c r="F353" s="860">
        <v>4349</v>
      </c>
      <c r="G353" s="860">
        <v>4290</v>
      </c>
      <c r="H353" s="860">
        <v>4360</v>
      </c>
      <c r="I353" s="860">
        <v>4667</v>
      </c>
      <c r="J353" s="860">
        <v>5103</v>
      </c>
      <c r="K353" s="860">
        <v>5207</v>
      </c>
      <c r="L353" s="860">
        <v>5135</v>
      </c>
      <c r="M353" s="860">
        <v>5185</v>
      </c>
      <c r="N353" s="860">
        <v>5218</v>
      </c>
      <c r="O353" s="860">
        <v>5183</v>
      </c>
      <c r="P353" s="860">
        <v>5038</v>
      </c>
      <c r="Q353" s="860">
        <v>5049</v>
      </c>
      <c r="R353" s="860">
        <v>5020</v>
      </c>
      <c r="S353" s="860">
        <v>5435</v>
      </c>
      <c r="T353" s="860">
        <v>5908</v>
      </c>
      <c r="U353" s="860">
        <v>6072</v>
      </c>
      <c r="V353" s="860">
        <v>5825</v>
      </c>
      <c r="W353" s="860">
        <v>5727</v>
      </c>
      <c r="X353" s="860">
        <v>5563</v>
      </c>
      <c r="Y353" s="860">
        <v>5259</v>
      </c>
      <c r="Z353" s="860">
        <v>4830</v>
      </c>
      <c r="AA353" s="860">
        <v>4662</v>
      </c>
      <c r="AC353" s="712">
        <f t="shared" si="180"/>
        <v>342</v>
      </c>
      <c r="AD353" s="711">
        <f t="shared" si="181"/>
        <v>250</v>
      </c>
      <c r="AE353" s="711">
        <f t="shared" si="178"/>
        <v>127</v>
      </c>
      <c r="AF353" s="711">
        <f t="shared" si="178"/>
        <v>37</v>
      </c>
      <c r="AG353" s="711">
        <f t="shared" si="178"/>
        <v>59</v>
      </c>
      <c r="AH353" s="711">
        <f t="shared" si="178"/>
        <v>70</v>
      </c>
      <c r="AI353" s="711">
        <f t="shared" si="178"/>
        <v>307</v>
      </c>
      <c r="AJ353" s="711">
        <f t="shared" si="178"/>
        <v>436</v>
      </c>
      <c r="AK353" s="711">
        <f t="shared" si="178"/>
        <v>104</v>
      </c>
      <c r="AL353" s="711">
        <f t="shared" si="178"/>
        <v>72</v>
      </c>
      <c r="AM353" s="711">
        <f t="shared" si="177"/>
        <v>50</v>
      </c>
      <c r="AN353" s="711">
        <f t="shared" si="177"/>
        <v>33</v>
      </c>
      <c r="AO353" s="711">
        <f t="shared" si="177"/>
        <v>35</v>
      </c>
      <c r="AP353" s="711">
        <f t="shared" si="177"/>
        <v>145</v>
      </c>
      <c r="AQ353" s="711">
        <f t="shared" si="177"/>
        <v>11</v>
      </c>
      <c r="AR353" s="711">
        <f t="shared" si="177"/>
        <v>29</v>
      </c>
      <c r="AS353" s="711">
        <f t="shared" si="177"/>
        <v>415</v>
      </c>
      <c r="AT353" s="711">
        <f t="shared" si="177"/>
        <v>473</v>
      </c>
      <c r="AU353" s="711">
        <f t="shared" si="182"/>
        <v>164</v>
      </c>
      <c r="AV353" s="711">
        <f t="shared" si="182"/>
        <v>247</v>
      </c>
      <c r="AW353" s="711">
        <f t="shared" si="182"/>
        <v>98</v>
      </c>
      <c r="AX353" s="711">
        <f t="shared" si="182"/>
        <v>164</v>
      </c>
      <c r="AY353" s="711">
        <f t="shared" si="182"/>
        <v>304</v>
      </c>
      <c r="AZ353" s="711">
        <f t="shared" si="182"/>
        <v>429</v>
      </c>
      <c r="BA353" s="711">
        <f t="shared" si="182"/>
        <v>168</v>
      </c>
    </row>
    <row r="354" spans="1:53">
      <c r="A354" s="106">
        <f t="shared" si="179"/>
        <v>343</v>
      </c>
      <c r="B354" s="858">
        <v>42347</v>
      </c>
      <c r="C354" s="859" t="s">
        <v>1724</v>
      </c>
      <c r="D354" s="860">
        <v>4452</v>
      </c>
      <c r="E354" s="860">
        <v>4342</v>
      </c>
      <c r="F354" s="860">
        <v>4300</v>
      </c>
      <c r="G354" s="860">
        <v>4249</v>
      </c>
      <c r="H354" s="860">
        <v>4307</v>
      </c>
      <c r="I354" s="860">
        <v>4628</v>
      </c>
      <c r="J354" s="860">
        <v>5123</v>
      </c>
      <c r="K354" s="860">
        <v>5221</v>
      </c>
      <c r="L354" s="860">
        <v>5247</v>
      </c>
      <c r="M354" s="860">
        <v>5269</v>
      </c>
      <c r="N354" s="860">
        <v>5279</v>
      </c>
      <c r="O354" s="860">
        <v>5277</v>
      </c>
      <c r="P354" s="860">
        <v>5245</v>
      </c>
      <c r="Q354" s="860">
        <v>5175</v>
      </c>
      <c r="R354" s="860">
        <v>5205</v>
      </c>
      <c r="S354" s="860">
        <v>5212</v>
      </c>
      <c r="T354" s="860">
        <v>5501</v>
      </c>
      <c r="U354" s="860">
        <v>5925</v>
      </c>
      <c r="V354" s="860">
        <v>5891</v>
      </c>
      <c r="W354" s="860">
        <v>5797</v>
      </c>
      <c r="X354" s="860">
        <v>5602</v>
      </c>
      <c r="Y354" s="860">
        <v>5300</v>
      </c>
      <c r="Z354" s="860">
        <v>4910</v>
      </c>
      <c r="AA354" s="860">
        <v>4652</v>
      </c>
      <c r="AC354" s="712">
        <f t="shared" si="180"/>
        <v>343</v>
      </c>
      <c r="AD354" s="711">
        <f t="shared" si="181"/>
        <v>210</v>
      </c>
      <c r="AE354" s="711">
        <f t="shared" si="178"/>
        <v>110</v>
      </c>
      <c r="AF354" s="711">
        <f t="shared" si="178"/>
        <v>42</v>
      </c>
      <c r="AG354" s="711">
        <f t="shared" si="178"/>
        <v>51</v>
      </c>
      <c r="AH354" s="711">
        <f t="shared" si="178"/>
        <v>58</v>
      </c>
      <c r="AI354" s="711">
        <f t="shared" si="178"/>
        <v>321</v>
      </c>
      <c r="AJ354" s="711">
        <f t="shared" si="178"/>
        <v>495</v>
      </c>
      <c r="AK354" s="711">
        <f t="shared" si="178"/>
        <v>98</v>
      </c>
      <c r="AL354" s="711">
        <f t="shared" si="178"/>
        <v>26</v>
      </c>
      <c r="AM354" s="711">
        <f t="shared" si="177"/>
        <v>22</v>
      </c>
      <c r="AN354" s="711">
        <f t="shared" si="177"/>
        <v>10</v>
      </c>
      <c r="AO354" s="711">
        <f t="shared" si="177"/>
        <v>2</v>
      </c>
      <c r="AP354" s="711">
        <f t="shared" si="177"/>
        <v>32</v>
      </c>
      <c r="AQ354" s="711">
        <f t="shared" si="177"/>
        <v>70</v>
      </c>
      <c r="AR354" s="711">
        <f t="shared" si="177"/>
        <v>30</v>
      </c>
      <c r="AS354" s="711">
        <f t="shared" si="177"/>
        <v>7</v>
      </c>
      <c r="AT354" s="711">
        <f t="shared" si="177"/>
        <v>289</v>
      </c>
      <c r="AU354" s="711">
        <f t="shared" si="182"/>
        <v>424</v>
      </c>
      <c r="AV354" s="711">
        <f t="shared" si="182"/>
        <v>34</v>
      </c>
      <c r="AW354" s="711">
        <f t="shared" si="182"/>
        <v>94</v>
      </c>
      <c r="AX354" s="711">
        <f t="shared" si="182"/>
        <v>195</v>
      </c>
      <c r="AY354" s="711">
        <f t="shared" si="182"/>
        <v>302</v>
      </c>
      <c r="AZ354" s="711">
        <f t="shared" si="182"/>
        <v>390</v>
      </c>
      <c r="BA354" s="711">
        <f t="shared" si="182"/>
        <v>258</v>
      </c>
    </row>
    <row r="355" spans="1:53">
      <c r="A355" s="106">
        <f t="shared" si="179"/>
        <v>344</v>
      </c>
      <c r="B355" s="858">
        <v>42348</v>
      </c>
      <c r="C355" s="859" t="s">
        <v>1724</v>
      </c>
      <c r="D355" s="860">
        <v>4430</v>
      </c>
      <c r="E355" s="860">
        <v>4348</v>
      </c>
      <c r="F355" s="860">
        <v>4303</v>
      </c>
      <c r="G355" s="860">
        <v>4295</v>
      </c>
      <c r="H355" s="860">
        <v>4317</v>
      </c>
      <c r="I355" s="860">
        <v>4608</v>
      </c>
      <c r="J355" s="860">
        <v>5125</v>
      </c>
      <c r="K355" s="860">
        <v>5227</v>
      </c>
      <c r="L355" s="860">
        <v>5159</v>
      </c>
      <c r="M355" s="860">
        <v>5148</v>
      </c>
      <c r="N355" s="860">
        <v>5217</v>
      </c>
      <c r="O355" s="860">
        <v>5092</v>
      </c>
      <c r="P355" s="860">
        <v>5045</v>
      </c>
      <c r="Q355" s="860">
        <v>5065</v>
      </c>
      <c r="R355" s="860">
        <v>5219</v>
      </c>
      <c r="S355" s="860">
        <v>5241</v>
      </c>
      <c r="T355" s="860">
        <v>5523</v>
      </c>
      <c r="U355" s="860">
        <v>5824</v>
      </c>
      <c r="V355" s="860">
        <v>5772</v>
      </c>
      <c r="W355" s="860">
        <v>5662</v>
      </c>
      <c r="X355" s="860">
        <v>5478</v>
      </c>
      <c r="Y355" s="860">
        <v>5204</v>
      </c>
      <c r="Z355" s="860">
        <v>4723</v>
      </c>
      <c r="AA355" s="860">
        <v>4458</v>
      </c>
      <c r="AC355" s="712">
        <f t="shared" si="180"/>
        <v>344</v>
      </c>
      <c r="AD355" s="711">
        <f t="shared" si="181"/>
        <v>222</v>
      </c>
      <c r="AE355" s="711">
        <f t="shared" si="178"/>
        <v>82</v>
      </c>
      <c r="AF355" s="711">
        <f t="shared" si="178"/>
        <v>45</v>
      </c>
      <c r="AG355" s="711">
        <f t="shared" si="178"/>
        <v>8</v>
      </c>
      <c r="AH355" s="711">
        <f t="shared" si="178"/>
        <v>22</v>
      </c>
      <c r="AI355" s="711">
        <f t="shared" si="178"/>
        <v>291</v>
      </c>
      <c r="AJ355" s="711">
        <f t="shared" si="178"/>
        <v>517</v>
      </c>
      <c r="AK355" s="711">
        <f t="shared" si="178"/>
        <v>102</v>
      </c>
      <c r="AL355" s="711">
        <f t="shared" ref="AL355:AP376" si="183">ABS(L355-K355)</f>
        <v>68</v>
      </c>
      <c r="AM355" s="711">
        <f t="shared" si="177"/>
        <v>11</v>
      </c>
      <c r="AN355" s="711">
        <f t="shared" si="177"/>
        <v>69</v>
      </c>
      <c r="AO355" s="711">
        <f t="shared" si="177"/>
        <v>125</v>
      </c>
      <c r="AP355" s="711">
        <f t="shared" si="177"/>
        <v>47</v>
      </c>
      <c r="AQ355" s="711">
        <f t="shared" si="177"/>
        <v>20</v>
      </c>
      <c r="AR355" s="711">
        <f t="shared" si="177"/>
        <v>154</v>
      </c>
      <c r="AS355" s="711">
        <f t="shared" si="177"/>
        <v>22</v>
      </c>
      <c r="AT355" s="711">
        <f t="shared" si="177"/>
        <v>282</v>
      </c>
      <c r="AU355" s="711">
        <f t="shared" si="182"/>
        <v>301</v>
      </c>
      <c r="AV355" s="711">
        <f t="shared" si="182"/>
        <v>52</v>
      </c>
      <c r="AW355" s="711">
        <f t="shared" si="182"/>
        <v>110</v>
      </c>
      <c r="AX355" s="711">
        <f t="shared" si="182"/>
        <v>184</v>
      </c>
      <c r="AY355" s="711">
        <f t="shared" si="182"/>
        <v>274</v>
      </c>
      <c r="AZ355" s="711">
        <f t="shared" si="182"/>
        <v>481</v>
      </c>
      <c r="BA355" s="711">
        <f t="shared" si="182"/>
        <v>265</v>
      </c>
    </row>
    <row r="356" spans="1:53">
      <c r="A356" s="106">
        <f t="shared" si="179"/>
        <v>345</v>
      </c>
      <c r="B356" s="858">
        <v>42349</v>
      </c>
      <c r="C356" s="859" t="s">
        <v>1724</v>
      </c>
      <c r="D356" s="860">
        <v>4371</v>
      </c>
      <c r="E356" s="860">
        <v>4257</v>
      </c>
      <c r="F356" s="860">
        <v>4172</v>
      </c>
      <c r="G356" s="860">
        <v>4136</v>
      </c>
      <c r="H356" s="860">
        <v>4223</v>
      </c>
      <c r="I356" s="860">
        <v>4392</v>
      </c>
      <c r="J356" s="860">
        <v>4907</v>
      </c>
      <c r="K356" s="860">
        <v>5125</v>
      </c>
      <c r="L356" s="860">
        <v>5088</v>
      </c>
      <c r="M356" s="860">
        <v>5069</v>
      </c>
      <c r="N356" s="860">
        <v>5063</v>
      </c>
      <c r="O356" s="860">
        <v>5012</v>
      </c>
      <c r="P356" s="860">
        <v>4972</v>
      </c>
      <c r="Q356" s="860">
        <v>5037</v>
      </c>
      <c r="R356" s="860">
        <v>5028</v>
      </c>
      <c r="S356" s="860">
        <v>5128</v>
      </c>
      <c r="T356" s="860">
        <v>5484</v>
      </c>
      <c r="U356" s="860">
        <v>5829</v>
      </c>
      <c r="V356" s="860">
        <v>5759</v>
      </c>
      <c r="W356" s="860">
        <v>5640</v>
      </c>
      <c r="X356" s="860">
        <v>5480</v>
      </c>
      <c r="Y356" s="860">
        <v>5277</v>
      </c>
      <c r="Z356" s="860">
        <v>4894</v>
      </c>
      <c r="AA356" s="860">
        <v>4553</v>
      </c>
      <c r="AC356" s="712">
        <f t="shared" si="180"/>
        <v>345</v>
      </c>
      <c r="AD356" s="711">
        <f t="shared" si="181"/>
        <v>87</v>
      </c>
      <c r="AE356" s="711">
        <f t="shared" ref="AE356:AK374" si="184">ABS(E356-D356)</f>
        <v>114</v>
      </c>
      <c r="AF356" s="711">
        <f t="shared" si="184"/>
        <v>85</v>
      </c>
      <c r="AG356" s="711">
        <f t="shared" si="184"/>
        <v>36</v>
      </c>
      <c r="AH356" s="711">
        <f t="shared" si="184"/>
        <v>87</v>
      </c>
      <c r="AI356" s="711">
        <f t="shared" si="184"/>
        <v>169</v>
      </c>
      <c r="AJ356" s="711">
        <f t="shared" si="184"/>
        <v>515</v>
      </c>
      <c r="AK356" s="711">
        <f t="shared" si="184"/>
        <v>218</v>
      </c>
      <c r="AL356" s="711">
        <f t="shared" si="183"/>
        <v>37</v>
      </c>
      <c r="AM356" s="711">
        <f t="shared" si="177"/>
        <v>19</v>
      </c>
      <c r="AN356" s="711">
        <f t="shared" si="177"/>
        <v>6</v>
      </c>
      <c r="AO356" s="711">
        <f t="shared" si="177"/>
        <v>51</v>
      </c>
      <c r="AP356" s="711">
        <f t="shared" si="177"/>
        <v>40</v>
      </c>
      <c r="AQ356" s="711">
        <f t="shared" si="177"/>
        <v>65</v>
      </c>
      <c r="AR356" s="711">
        <f t="shared" si="177"/>
        <v>9</v>
      </c>
      <c r="AS356" s="711">
        <f t="shared" si="177"/>
        <v>100</v>
      </c>
      <c r="AT356" s="711">
        <f t="shared" si="177"/>
        <v>356</v>
      </c>
      <c r="AU356" s="711">
        <f t="shared" si="182"/>
        <v>345</v>
      </c>
      <c r="AV356" s="711">
        <f t="shared" si="182"/>
        <v>70</v>
      </c>
      <c r="AW356" s="711">
        <f t="shared" si="182"/>
        <v>119</v>
      </c>
      <c r="AX356" s="711">
        <f t="shared" si="182"/>
        <v>160</v>
      </c>
      <c r="AY356" s="711">
        <f t="shared" si="182"/>
        <v>203</v>
      </c>
      <c r="AZ356" s="711">
        <f t="shared" si="182"/>
        <v>383</v>
      </c>
      <c r="BA356" s="711">
        <f t="shared" si="182"/>
        <v>341</v>
      </c>
    </row>
    <row r="357" spans="1:53">
      <c r="A357" s="106">
        <f t="shared" si="179"/>
        <v>346</v>
      </c>
      <c r="B357" s="858">
        <v>42350</v>
      </c>
      <c r="C357" s="859" t="s">
        <v>1724</v>
      </c>
      <c r="D357" s="860">
        <v>4489</v>
      </c>
      <c r="E357" s="860">
        <v>4444</v>
      </c>
      <c r="F357" s="860">
        <v>4362</v>
      </c>
      <c r="G357" s="860">
        <v>4366</v>
      </c>
      <c r="H357" s="860">
        <v>4432</v>
      </c>
      <c r="I357" s="860">
        <v>4497</v>
      </c>
      <c r="J357" s="860">
        <v>4665</v>
      </c>
      <c r="K357" s="860">
        <v>4850</v>
      </c>
      <c r="L357" s="860">
        <v>5113</v>
      </c>
      <c r="M357" s="860">
        <v>5327</v>
      </c>
      <c r="N357" s="860">
        <v>5436</v>
      </c>
      <c r="O357" s="860">
        <v>5436</v>
      </c>
      <c r="P357" s="860">
        <v>5400</v>
      </c>
      <c r="Q357" s="860">
        <v>5419</v>
      </c>
      <c r="R357" s="860">
        <v>5421</v>
      </c>
      <c r="S357" s="860">
        <v>5466</v>
      </c>
      <c r="T357" s="860">
        <v>5739</v>
      </c>
      <c r="U357" s="860">
        <v>6086</v>
      </c>
      <c r="V357" s="860">
        <v>6010</v>
      </c>
      <c r="W357" s="860">
        <v>5855</v>
      </c>
      <c r="X357" s="860">
        <v>5712</v>
      </c>
      <c r="Y357" s="860">
        <v>5458</v>
      </c>
      <c r="Z357" s="860">
        <v>5137</v>
      </c>
      <c r="AA357" s="860">
        <v>4815</v>
      </c>
      <c r="AC357" s="712">
        <f t="shared" si="180"/>
        <v>346</v>
      </c>
      <c r="AD357" s="711">
        <f t="shared" si="181"/>
        <v>64</v>
      </c>
      <c r="AE357" s="711">
        <f t="shared" si="184"/>
        <v>45</v>
      </c>
      <c r="AF357" s="711">
        <f t="shared" si="184"/>
        <v>82</v>
      </c>
      <c r="AG357" s="711">
        <f t="shared" si="184"/>
        <v>4</v>
      </c>
      <c r="AH357" s="711">
        <f t="shared" si="184"/>
        <v>66</v>
      </c>
      <c r="AI357" s="711">
        <f t="shared" si="184"/>
        <v>65</v>
      </c>
      <c r="AJ357" s="711">
        <f t="shared" si="184"/>
        <v>168</v>
      </c>
      <c r="AK357" s="711">
        <f t="shared" si="184"/>
        <v>185</v>
      </c>
      <c r="AL357" s="711">
        <f t="shared" si="183"/>
        <v>263</v>
      </c>
      <c r="AM357" s="711">
        <f t="shared" si="177"/>
        <v>214</v>
      </c>
      <c r="AN357" s="711">
        <f t="shared" si="177"/>
        <v>109</v>
      </c>
      <c r="AO357" s="711">
        <f t="shared" si="177"/>
        <v>0</v>
      </c>
      <c r="AP357" s="711">
        <f t="shared" si="177"/>
        <v>36</v>
      </c>
      <c r="AQ357" s="711">
        <f t="shared" si="177"/>
        <v>19</v>
      </c>
      <c r="AR357" s="711">
        <f t="shared" si="177"/>
        <v>2</v>
      </c>
      <c r="AS357" s="711">
        <f t="shared" si="177"/>
        <v>45</v>
      </c>
      <c r="AT357" s="711">
        <f t="shared" si="177"/>
        <v>273</v>
      </c>
      <c r="AU357" s="711">
        <f t="shared" si="182"/>
        <v>347</v>
      </c>
      <c r="AV357" s="711">
        <f t="shared" si="182"/>
        <v>76</v>
      </c>
      <c r="AW357" s="711">
        <f t="shared" si="182"/>
        <v>155</v>
      </c>
      <c r="AX357" s="711">
        <f t="shared" si="182"/>
        <v>143</v>
      </c>
      <c r="AY357" s="711">
        <f t="shared" si="182"/>
        <v>254</v>
      </c>
      <c r="AZ357" s="711">
        <f t="shared" si="182"/>
        <v>321</v>
      </c>
      <c r="BA357" s="711">
        <f t="shared" si="182"/>
        <v>322</v>
      </c>
    </row>
    <row r="358" spans="1:53">
      <c r="A358" s="106">
        <f t="shared" si="179"/>
        <v>347</v>
      </c>
      <c r="B358" s="858">
        <v>42351</v>
      </c>
      <c r="C358" s="859" t="s">
        <v>1724</v>
      </c>
      <c r="D358" s="860">
        <v>4560</v>
      </c>
      <c r="E358" s="860">
        <v>4625</v>
      </c>
      <c r="F358" s="860">
        <v>4593</v>
      </c>
      <c r="G358" s="860">
        <v>4540</v>
      </c>
      <c r="H358" s="860">
        <v>4578</v>
      </c>
      <c r="I358" s="860">
        <v>4685</v>
      </c>
      <c r="J358" s="860">
        <v>4813</v>
      </c>
      <c r="K358" s="860">
        <v>4927</v>
      </c>
      <c r="L358" s="860">
        <v>5026</v>
      </c>
      <c r="M358" s="860">
        <v>5150</v>
      </c>
      <c r="N358" s="860">
        <v>5151</v>
      </c>
      <c r="O358" s="860">
        <v>5097</v>
      </c>
      <c r="P358" s="860">
        <v>5037</v>
      </c>
      <c r="Q358" s="860">
        <v>4950</v>
      </c>
      <c r="R358" s="860">
        <v>4895</v>
      </c>
      <c r="S358" s="860">
        <v>4964</v>
      </c>
      <c r="T358" s="860">
        <v>5302</v>
      </c>
      <c r="U358" s="860">
        <v>5887</v>
      </c>
      <c r="V358" s="860">
        <v>5968</v>
      </c>
      <c r="W358" s="860">
        <v>5858</v>
      </c>
      <c r="X358" s="860">
        <v>5785</v>
      </c>
      <c r="Y358" s="860">
        <v>5524</v>
      </c>
      <c r="Z358" s="860">
        <v>5055</v>
      </c>
      <c r="AA358" s="860">
        <v>4600</v>
      </c>
      <c r="AC358" s="712">
        <f t="shared" si="180"/>
        <v>347</v>
      </c>
      <c r="AD358" s="711">
        <f t="shared" si="181"/>
        <v>255</v>
      </c>
      <c r="AE358" s="711">
        <f t="shared" si="184"/>
        <v>65</v>
      </c>
      <c r="AF358" s="711">
        <f t="shared" si="184"/>
        <v>32</v>
      </c>
      <c r="AG358" s="711">
        <f t="shared" si="184"/>
        <v>53</v>
      </c>
      <c r="AH358" s="711">
        <f t="shared" si="184"/>
        <v>38</v>
      </c>
      <c r="AI358" s="711">
        <f t="shared" si="184"/>
        <v>107</v>
      </c>
      <c r="AJ358" s="711">
        <f t="shared" si="184"/>
        <v>128</v>
      </c>
      <c r="AK358" s="711">
        <f t="shared" si="184"/>
        <v>114</v>
      </c>
      <c r="AL358" s="711">
        <f t="shared" si="183"/>
        <v>99</v>
      </c>
      <c r="AM358" s="711">
        <f t="shared" si="177"/>
        <v>124</v>
      </c>
      <c r="AN358" s="711">
        <f t="shared" si="177"/>
        <v>1</v>
      </c>
      <c r="AO358" s="711">
        <f t="shared" si="177"/>
        <v>54</v>
      </c>
      <c r="AP358" s="711">
        <f t="shared" si="177"/>
        <v>60</v>
      </c>
      <c r="AQ358" s="711">
        <f t="shared" si="177"/>
        <v>87</v>
      </c>
      <c r="AR358" s="711">
        <f t="shared" si="177"/>
        <v>55</v>
      </c>
      <c r="AS358" s="711">
        <f t="shared" si="177"/>
        <v>69</v>
      </c>
      <c r="AT358" s="711">
        <f t="shared" si="177"/>
        <v>338</v>
      </c>
      <c r="AU358" s="711">
        <f t="shared" si="182"/>
        <v>585</v>
      </c>
      <c r="AV358" s="711">
        <f t="shared" si="182"/>
        <v>81</v>
      </c>
      <c r="AW358" s="711">
        <f t="shared" si="182"/>
        <v>110</v>
      </c>
      <c r="AX358" s="711">
        <f t="shared" si="182"/>
        <v>73</v>
      </c>
      <c r="AY358" s="711">
        <f t="shared" si="182"/>
        <v>261</v>
      </c>
      <c r="AZ358" s="711">
        <f t="shared" si="182"/>
        <v>469</v>
      </c>
      <c r="BA358" s="711">
        <f t="shared" si="182"/>
        <v>455</v>
      </c>
    </row>
    <row r="359" spans="1:53">
      <c r="A359" s="106">
        <f t="shared" si="179"/>
        <v>348</v>
      </c>
      <c r="B359" s="858">
        <v>42352</v>
      </c>
      <c r="C359" s="859" t="s">
        <v>1724</v>
      </c>
      <c r="D359" s="860">
        <v>4376</v>
      </c>
      <c r="E359" s="860">
        <v>4274</v>
      </c>
      <c r="F359" s="860">
        <v>4238</v>
      </c>
      <c r="G359" s="860">
        <v>4273</v>
      </c>
      <c r="H359" s="860">
        <v>4422</v>
      </c>
      <c r="I359" s="860">
        <v>4771</v>
      </c>
      <c r="J359" s="860">
        <v>5286</v>
      </c>
      <c r="K359" s="860">
        <v>5474</v>
      </c>
      <c r="L359" s="860">
        <v>5433</v>
      </c>
      <c r="M359" s="860">
        <v>5382</v>
      </c>
      <c r="N359" s="860">
        <v>5313</v>
      </c>
      <c r="O359" s="860">
        <v>5237</v>
      </c>
      <c r="P359" s="860">
        <v>5175</v>
      </c>
      <c r="Q359" s="860">
        <v>5157</v>
      </c>
      <c r="R359" s="860">
        <v>5149</v>
      </c>
      <c r="S359" s="860">
        <v>5231</v>
      </c>
      <c r="T359" s="860">
        <v>5603</v>
      </c>
      <c r="U359" s="860">
        <v>6156</v>
      </c>
      <c r="V359" s="860">
        <v>6161</v>
      </c>
      <c r="W359" s="860">
        <v>6061</v>
      </c>
      <c r="X359" s="860">
        <v>5890</v>
      </c>
      <c r="Y359" s="860">
        <v>5559</v>
      </c>
      <c r="Z359" s="860">
        <v>5089</v>
      </c>
      <c r="AA359" s="860">
        <v>4711</v>
      </c>
      <c r="AC359" s="712">
        <f t="shared" si="180"/>
        <v>348</v>
      </c>
      <c r="AD359" s="711">
        <f t="shared" si="181"/>
        <v>224</v>
      </c>
      <c r="AE359" s="711">
        <f t="shared" si="184"/>
        <v>102</v>
      </c>
      <c r="AF359" s="711">
        <f t="shared" si="184"/>
        <v>36</v>
      </c>
      <c r="AG359" s="711">
        <f t="shared" si="184"/>
        <v>35</v>
      </c>
      <c r="AH359" s="711">
        <f t="shared" si="184"/>
        <v>149</v>
      </c>
      <c r="AI359" s="711">
        <f t="shared" si="184"/>
        <v>349</v>
      </c>
      <c r="AJ359" s="711">
        <f t="shared" si="184"/>
        <v>515</v>
      </c>
      <c r="AK359" s="711">
        <f t="shared" si="184"/>
        <v>188</v>
      </c>
      <c r="AL359" s="711">
        <f t="shared" si="183"/>
        <v>41</v>
      </c>
      <c r="AM359" s="711">
        <f t="shared" si="177"/>
        <v>51</v>
      </c>
      <c r="AN359" s="711">
        <f t="shared" si="177"/>
        <v>69</v>
      </c>
      <c r="AO359" s="711">
        <f t="shared" si="177"/>
        <v>76</v>
      </c>
      <c r="AP359" s="711">
        <f t="shared" si="177"/>
        <v>62</v>
      </c>
      <c r="AQ359" s="711">
        <f t="shared" si="177"/>
        <v>18</v>
      </c>
      <c r="AR359" s="711">
        <f t="shared" si="177"/>
        <v>8</v>
      </c>
      <c r="AS359" s="711">
        <f t="shared" si="177"/>
        <v>82</v>
      </c>
      <c r="AT359" s="711">
        <f t="shared" si="177"/>
        <v>372</v>
      </c>
      <c r="AU359" s="711">
        <f t="shared" si="182"/>
        <v>553</v>
      </c>
      <c r="AV359" s="711">
        <f t="shared" si="182"/>
        <v>5</v>
      </c>
      <c r="AW359" s="711">
        <f t="shared" si="182"/>
        <v>100</v>
      </c>
      <c r="AX359" s="711">
        <f t="shared" si="182"/>
        <v>171</v>
      </c>
      <c r="AY359" s="711">
        <f t="shared" si="182"/>
        <v>331</v>
      </c>
      <c r="AZ359" s="711">
        <f t="shared" si="182"/>
        <v>470</v>
      </c>
      <c r="BA359" s="711">
        <f t="shared" si="182"/>
        <v>378</v>
      </c>
    </row>
    <row r="360" spans="1:53">
      <c r="A360" s="106">
        <f t="shared" si="179"/>
        <v>349</v>
      </c>
      <c r="B360" s="858">
        <v>42353</v>
      </c>
      <c r="C360" s="859" t="s">
        <v>1724</v>
      </c>
      <c r="D360" s="860">
        <v>4486</v>
      </c>
      <c r="E360" s="860">
        <v>4411</v>
      </c>
      <c r="F360" s="860">
        <v>4386</v>
      </c>
      <c r="G360" s="860">
        <v>4579</v>
      </c>
      <c r="H360" s="860">
        <v>4823</v>
      </c>
      <c r="I360" s="860">
        <v>5138</v>
      </c>
      <c r="J360" s="860">
        <v>5570</v>
      </c>
      <c r="K360" s="860">
        <v>5824</v>
      </c>
      <c r="L360" s="860">
        <v>5941</v>
      </c>
      <c r="M360" s="860">
        <v>5996</v>
      </c>
      <c r="N360" s="860">
        <v>6072</v>
      </c>
      <c r="O360" s="860">
        <v>5992</v>
      </c>
      <c r="P360" s="860">
        <v>5972</v>
      </c>
      <c r="Q360" s="860">
        <v>5926</v>
      </c>
      <c r="R360" s="860">
        <v>5852</v>
      </c>
      <c r="S360" s="860">
        <v>5847</v>
      </c>
      <c r="T360" s="860">
        <v>6126</v>
      </c>
      <c r="U360" s="860">
        <v>6613</v>
      </c>
      <c r="V360" s="860">
        <v>6526</v>
      </c>
      <c r="W360" s="860">
        <v>6345</v>
      </c>
      <c r="X360" s="860">
        <v>6138</v>
      </c>
      <c r="Y360" s="860">
        <v>5777</v>
      </c>
      <c r="Z360" s="860">
        <v>5320</v>
      </c>
      <c r="AA360" s="860">
        <v>5051</v>
      </c>
      <c r="AC360" s="712">
        <f t="shared" si="180"/>
        <v>349</v>
      </c>
      <c r="AD360" s="711">
        <f t="shared" si="181"/>
        <v>225</v>
      </c>
      <c r="AE360" s="711">
        <f t="shared" si="184"/>
        <v>75</v>
      </c>
      <c r="AF360" s="711">
        <f t="shared" si="184"/>
        <v>25</v>
      </c>
      <c r="AG360" s="711">
        <f t="shared" si="184"/>
        <v>193</v>
      </c>
      <c r="AH360" s="711">
        <f t="shared" si="184"/>
        <v>244</v>
      </c>
      <c r="AI360" s="711">
        <f t="shared" si="184"/>
        <v>315</v>
      </c>
      <c r="AJ360" s="711">
        <f t="shared" si="184"/>
        <v>432</v>
      </c>
      <c r="AK360" s="711">
        <f t="shared" si="184"/>
        <v>254</v>
      </c>
      <c r="AL360" s="711">
        <f t="shared" si="183"/>
        <v>117</v>
      </c>
      <c r="AM360" s="711">
        <f t="shared" si="177"/>
        <v>55</v>
      </c>
      <c r="AN360" s="711">
        <f t="shared" si="177"/>
        <v>76</v>
      </c>
      <c r="AO360" s="711">
        <f t="shared" si="177"/>
        <v>80</v>
      </c>
      <c r="AP360" s="711">
        <f t="shared" si="177"/>
        <v>20</v>
      </c>
      <c r="AQ360" s="711">
        <f t="shared" si="177"/>
        <v>46</v>
      </c>
      <c r="AR360" s="711">
        <f t="shared" si="177"/>
        <v>74</v>
      </c>
      <c r="AS360" s="711">
        <f t="shared" si="177"/>
        <v>5</v>
      </c>
      <c r="AT360" s="711">
        <f t="shared" si="177"/>
        <v>279</v>
      </c>
      <c r="AU360" s="711">
        <f t="shared" si="182"/>
        <v>487</v>
      </c>
      <c r="AV360" s="711">
        <f t="shared" si="182"/>
        <v>87</v>
      </c>
      <c r="AW360" s="711">
        <f t="shared" si="182"/>
        <v>181</v>
      </c>
      <c r="AX360" s="711">
        <f t="shared" si="182"/>
        <v>207</v>
      </c>
      <c r="AY360" s="711">
        <f t="shared" si="182"/>
        <v>361</v>
      </c>
      <c r="AZ360" s="711">
        <f t="shared" si="182"/>
        <v>457</v>
      </c>
      <c r="BA360" s="711">
        <f t="shared" si="182"/>
        <v>269</v>
      </c>
    </row>
    <row r="361" spans="1:53">
      <c r="A361" s="106">
        <f t="shared" si="179"/>
        <v>350</v>
      </c>
      <c r="B361" s="858">
        <v>42354</v>
      </c>
      <c r="C361" s="859" t="s">
        <v>1724</v>
      </c>
      <c r="D361" s="860">
        <v>4870</v>
      </c>
      <c r="E361" s="860">
        <v>4763</v>
      </c>
      <c r="F361" s="860">
        <v>4738</v>
      </c>
      <c r="G361" s="860">
        <v>4870</v>
      </c>
      <c r="H361" s="860">
        <v>4915</v>
      </c>
      <c r="I361" s="860">
        <v>5073</v>
      </c>
      <c r="J361" s="860">
        <v>5588</v>
      </c>
      <c r="K361" s="860">
        <v>5796</v>
      </c>
      <c r="L361" s="860">
        <v>5763</v>
      </c>
      <c r="M361" s="860">
        <v>5699</v>
      </c>
      <c r="N361" s="860">
        <v>5625</v>
      </c>
      <c r="O361" s="860">
        <v>5552</v>
      </c>
      <c r="P361" s="860">
        <v>5462</v>
      </c>
      <c r="Q361" s="860">
        <v>5462</v>
      </c>
      <c r="R361" s="860">
        <v>5476</v>
      </c>
      <c r="S361" s="860">
        <v>5515</v>
      </c>
      <c r="T361" s="860">
        <v>5871</v>
      </c>
      <c r="U361" s="860">
        <v>6400</v>
      </c>
      <c r="V361" s="860">
        <v>6386</v>
      </c>
      <c r="W361" s="860">
        <v>6302</v>
      </c>
      <c r="X361" s="860">
        <v>6147</v>
      </c>
      <c r="Y361" s="860">
        <v>5836</v>
      </c>
      <c r="Z361" s="860">
        <v>5368</v>
      </c>
      <c r="AA361" s="860">
        <v>5004</v>
      </c>
      <c r="AC361" s="712">
        <f t="shared" si="180"/>
        <v>350</v>
      </c>
      <c r="AD361" s="711">
        <f t="shared" si="181"/>
        <v>181</v>
      </c>
      <c r="AE361" s="711">
        <f t="shared" si="184"/>
        <v>107</v>
      </c>
      <c r="AF361" s="711">
        <f t="shared" si="184"/>
        <v>25</v>
      </c>
      <c r="AG361" s="711">
        <f t="shared" si="184"/>
        <v>132</v>
      </c>
      <c r="AH361" s="711">
        <f t="shared" si="184"/>
        <v>45</v>
      </c>
      <c r="AI361" s="711">
        <f t="shared" si="184"/>
        <v>158</v>
      </c>
      <c r="AJ361" s="711">
        <f t="shared" si="184"/>
        <v>515</v>
      </c>
      <c r="AK361" s="711">
        <f t="shared" si="184"/>
        <v>208</v>
      </c>
      <c r="AL361" s="711">
        <f t="shared" si="183"/>
        <v>33</v>
      </c>
      <c r="AM361" s="711">
        <f t="shared" si="177"/>
        <v>64</v>
      </c>
      <c r="AN361" s="711">
        <f t="shared" si="177"/>
        <v>74</v>
      </c>
      <c r="AO361" s="711">
        <f t="shared" si="177"/>
        <v>73</v>
      </c>
      <c r="AP361" s="711">
        <f t="shared" si="177"/>
        <v>90</v>
      </c>
      <c r="AQ361" s="711">
        <f t="shared" si="177"/>
        <v>0</v>
      </c>
      <c r="AR361" s="711">
        <f t="shared" si="177"/>
        <v>14</v>
      </c>
      <c r="AS361" s="711">
        <f t="shared" si="177"/>
        <v>39</v>
      </c>
      <c r="AT361" s="711">
        <f t="shared" si="177"/>
        <v>356</v>
      </c>
      <c r="AU361" s="711">
        <f t="shared" si="182"/>
        <v>529</v>
      </c>
      <c r="AV361" s="711">
        <f t="shared" si="182"/>
        <v>14</v>
      </c>
      <c r="AW361" s="711">
        <f t="shared" si="182"/>
        <v>84</v>
      </c>
      <c r="AX361" s="711">
        <f t="shared" si="182"/>
        <v>155</v>
      </c>
      <c r="AY361" s="711">
        <f t="shared" si="182"/>
        <v>311</v>
      </c>
      <c r="AZ361" s="711">
        <f t="shared" si="182"/>
        <v>468</v>
      </c>
      <c r="BA361" s="711">
        <f t="shared" si="182"/>
        <v>364</v>
      </c>
    </row>
    <row r="362" spans="1:53">
      <c r="A362" s="106">
        <f t="shared" si="179"/>
        <v>351</v>
      </c>
      <c r="B362" s="858">
        <v>42355</v>
      </c>
      <c r="C362" s="859" t="s">
        <v>1724</v>
      </c>
      <c r="D362" s="860">
        <v>4847</v>
      </c>
      <c r="E362" s="860">
        <v>4857</v>
      </c>
      <c r="F362" s="860">
        <v>4895</v>
      </c>
      <c r="G362" s="860">
        <v>4916</v>
      </c>
      <c r="H362" s="860">
        <v>5008</v>
      </c>
      <c r="I362" s="860">
        <v>5249</v>
      </c>
      <c r="J362" s="860">
        <v>5673</v>
      </c>
      <c r="K362" s="860">
        <v>5849</v>
      </c>
      <c r="L362" s="860">
        <v>5849</v>
      </c>
      <c r="M362" s="860">
        <v>5879</v>
      </c>
      <c r="N362" s="860">
        <v>5849</v>
      </c>
      <c r="O362" s="860">
        <v>5804</v>
      </c>
      <c r="P362" s="860">
        <v>5699</v>
      </c>
      <c r="Q362" s="860">
        <v>5650</v>
      </c>
      <c r="R362" s="860">
        <v>5583</v>
      </c>
      <c r="S362" s="860">
        <v>5654</v>
      </c>
      <c r="T362" s="860">
        <v>6057</v>
      </c>
      <c r="U362" s="860">
        <v>6556</v>
      </c>
      <c r="V362" s="860">
        <v>6576</v>
      </c>
      <c r="W362" s="860">
        <v>6479</v>
      </c>
      <c r="X362" s="860">
        <v>6350</v>
      </c>
      <c r="Y362" s="860">
        <v>6049</v>
      </c>
      <c r="Z362" s="860">
        <v>5626</v>
      </c>
      <c r="AA362" s="860">
        <v>5337</v>
      </c>
      <c r="AC362" s="712">
        <f t="shared" si="180"/>
        <v>351</v>
      </c>
      <c r="AD362" s="711">
        <f t="shared" si="181"/>
        <v>157</v>
      </c>
      <c r="AE362" s="711">
        <f t="shared" si="184"/>
        <v>10</v>
      </c>
      <c r="AF362" s="711">
        <f t="shared" si="184"/>
        <v>38</v>
      </c>
      <c r="AG362" s="711">
        <f t="shared" si="184"/>
        <v>21</v>
      </c>
      <c r="AH362" s="711">
        <f t="shared" si="184"/>
        <v>92</v>
      </c>
      <c r="AI362" s="711">
        <f t="shared" si="184"/>
        <v>241</v>
      </c>
      <c r="AJ362" s="711">
        <f t="shared" si="184"/>
        <v>424</v>
      </c>
      <c r="AK362" s="711">
        <f t="shared" si="184"/>
        <v>176</v>
      </c>
      <c r="AL362" s="711">
        <f t="shared" si="183"/>
        <v>0</v>
      </c>
      <c r="AM362" s="711">
        <f t="shared" si="177"/>
        <v>30</v>
      </c>
      <c r="AN362" s="711">
        <f t="shared" si="177"/>
        <v>30</v>
      </c>
      <c r="AO362" s="711">
        <f t="shared" si="177"/>
        <v>45</v>
      </c>
      <c r="AP362" s="711">
        <f t="shared" si="177"/>
        <v>105</v>
      </c>
      <c r="AQ362" s="711">
        <f t="shared" si="177"/>
        <v>49</v>
      </c>
      <c r="AR362" s="711">
        <f t="shared" si="177"/>
        <v>67</v>
      </c>
      <c r="AS362" s="711">
        <f t="shared" si="177"/>
        <v>71</v>
      </c>
      <c r="AT362" s="711">
        <f t="shared" si="177"/>
        <v>403</v>
      </c>
      <c r="AU362" s="711">
        <f t="shared" si="182"/>
        <v>499</v>
      </c>
      <c r="AV362" s="711">
        <f t="shared" si="182"/>
        <v>20</v>
      </c>
      <c r="AW362" s="711">
        <f t="shared" si="182"/>
        <v>97</v>
      </c>
      <c r="AX362" s="711">
        <f t="shared" si="182"/>
        <v>129</v>
      </c>
      <c r="AY362" s="711">
        <f t="shared" si="182"/>
        <v>301</v>
      </c>
      <c r="AZ362" s="711">
        <f t="shared" si="182"/>
        <v>423</v>
      </c>
      <c r="BA362" s="711">
        <f t="shared" si="182"/>
        <v>289</v>
      </c>
    </row>
    <row r="363" spans="1:53">
      <c r="A363" s="106">
        <f t="shared" si="179"/>
        <v>352</v>
      </c>
      <c r="B363" s="858">
        <v>42356</v>
      </c>
      <c r="C363" s="859" t="s">
        <v>1724</v>
      </c>
      <c r="D363" s="860">
        <v>5201</v>
      </c>
      <c r="E363" s="860">
        <v>5065</v>
      </c>
      <c r="F363" s="860">
        <v>5007</v>
      </c>
      <c r="G363" s="860">
        <v>4972</v>
      </c>
      <c r="H363" s="860">
        <v>4983</v>
      </c>
      <c r="I363" s="860">
        <v>5259</v>
      </c>
      <c r="J363" s="860">
        <v>5604</v>
      </c>
      <c r="K363" s="860">
        <v>5805</v>
      </c>
      <c r="L363" s="860">
        <v>5800</v>
      </c>
      <c r="M363" s="860">
        <v>5698</v>
      </c>
      <c r="N363" s="860">
        <v>5577</v>
      </c>
      <c r="O363" s="860">
        <v>5469</v>
      </c>
      <c r="P363" s="860">
        <v>5343</v>
      </c>
      <c r="Q363" s="860">
        <v>5285</v>
      </c>
      <c r="R363" s="860">
        <v>5234</v>
      </c>
      <c r="S363" s="860">
        <v>5333</v>
      </c>
      <c r="T363" s="860">
        <v>5567</v>
      </c>
      <c r="U363" s="860">
        <v>6040</v>
      </c>
      <c r="V363" s="860">
        <v>6014</v>
      </c>
      <c r="W363" s="860">
        <v>5915</v>
      </c>
      <c r="X363" s="860">
        <v>5794</v>
      </c>
      <c r="Y363" s="860">
        <v>5567</v>
      </c>
      <c r="Z363" s="860">
        <v>5203</v>
      </c>
      <c r="AA363" s="860">
        <v>4869</v>
      </c>
      <c r="AC363" s="712">
        <f t="shared" si="180"/>
        <v>352</v>
      </c>
      <c r="AD363" s="711">
        <f t="shared" si="181"/>
        <v>136</v>
      </c>
      <c r="AE363" s="711">
        <f t="shared" si="184"/>
        <v>136</v>
      </c>
      <c r="AF363" s="711">
        <f t="shared" si="184"/>
        <v>58</v>
      </c>
      <c r="AG363" s="711">
        <f t="shared" si="184"/>
        <v>35</v>
      </c>
      <c r="AH363" s="711">
        <f t="shared" si="184"/>
        <v>11</v>
      </c>
      <c r="AI363" s="711">
        <f t="shared" si="184"/>
        <v>276</v>
      </c>
      <c r="AJ363" s="711">
        <f t="shared" si="184"/>
        <v>345</v>
      </c>
      <c r="AK363" s="711">
        <f t="shared" si="184"/>
        <v>201</v>
      </c>
      <c r="AL363" s="711">
        <f t="shared" si="183"/>
        <v>5</v>
      </c>
      <c r="AM363" s="711">
        <f t="shared" si="177"/>
        <v>102</v>
      </c>
      <c r="AN363" s="711">
        <f t="shared" si="177"/>
        <v>121</v>
      </c>
      <c r="AO363" s="711">
        <f t="shared" si="177"/>
        <v>108</v>
      </c>
      <c r="AP363" s="711">
        <f t="shared" si="177"/>
        <v>126</v>
      </c>
      <c r="AQ363" s="711">
        <f t="shared" ref="AQ363:AT376" si="185">ABS(Q363-P363)</f>
        <v>58</v>
      </c>
      <c r="AR363" s="711">
        <f t="shared" si="185"/>
        <v>51</v>
      </c>
      <c r="AS363" s="711">
        <f t="shared" si="185"/>
        <v>99</v>
      </c>
      <c r="AT363" s="711">
        <f t="shared" si="185"/>
        <v>234</v>
      </c>
      <c r="AU363" s="711">
        <f t="shared" si="182"/>
        <v>473</v>
      </c>
      <c r="AV363" s="711">
        <f t="shared" si="182"/>
        <v>26</v>
      </c>
      <c r="AW363" s="711">
        <f t="shared" si="182"/>
        <v>99</v>
      </c>
      <c r="AX363" s="711">
        <f t="shared" si="182"/>
        <v>121</v>
      </c>
      <c r="AY363" s="711">
        <f t="shared" si="182"/>
        <v>227</v>
      </c>
      <c r="AZ363" s="711">
        <f t="shared" si="182"/>
        <v>364</v>
      </c>
      <c r="BA363" s="711">
        <f t="shared" si="182"/>
        <v>334</v>
      </c>
    </row>
    <row r="364" spans="1:53">
      <c r="A364" s="106">
        <f t="shared" si="179"/>
        <v>353</v>
      </c>
      <c r="B364" s="858">
        <v>42357</v>
      </c>
      <c r="C364" s="859" t="s">
        <v>1724</v>
      </c>
      <c r="D364" s="860">
        <v>4703</v>
      </c>
      <c r="E364" s="860">
        <v>4730</v>
      </c>
      <c r="F364" s="860">
        <v>4680</v>
      </c>
      <c r="G364" s="860">
        <v>4673</v>
      </c>
      <c r="H364" s="860">
        <v>4693</v>
      </c>
      <c r="I364" s="860">
        <v>4706</v>
      </c>
      <c r="J364" s="860">
        <v>4937</v>
      </c>
      <c r="K364" s="860">
        <v>5091</v>
      </c>
      <c r="L364" s="860">
        <v>5123</v>
      </c>
      <c r="M364" s="860">
        <v>5100</v>
      </c>
      <c r="N364" s="860">
        <v>5057</v>
      </c>
      <c r="O364" s="860">
        <v>5001</v>
      </c>
      <c r="P364" s="860">
        <v>4929</v>
      </c>
      <c r="Q364" s="860">
        <v>4821</v>
      </c>
      <c r="R364" s="860">
        <v>4778</v>
      </c>
      <c r="S364" s="860">
        <v>4858</v>
      </c>
      <c r="T364" s="860">
        <v>5221</v>
      </c>
      <c r="U364" s="860">
        <v>5706</v>
      </c>
      <c r="V364" s="860">
        <v>5700</v>
      </c>
      <c r="W364" s="860">
        <v>5582</v>
      </c>
      <c r="X364" s="860">
        <v>5458</v>
      </c>
      <c r="Y364" s="860">
        <v>5277</v>
      </c>
      <c r="Z364" s="860">
        <v>4991</v>
      </c>
      <c r="AA364" s="860">
        <v>4766</v>
      </c>
      <c r="AC364" s="712">
        <f t="shared" si="180"/>
        <v>353</v>
      </c>
      <c r="AD364" s="711">
        <f t="shared" si="181"/>
        <v>166</v>
      </c>
      <c r="AE364" s="711">
        <f t="shared" si="184"/>
        <v>27</v>
      </c>
      <c r="AF364" s="711">
        <f t="shared" si="184"/>
        <v>50</v>
      </c>
      <c r="AG364" s="711">
        <f t="shared" si="184"/>
        <v>7</v>
      </c>
      <c r="AH364" s="711">
        <f t="shared" si="184"/>
        <v>20</v>
      </c>
      <c r="AI364" s="711">
        <f t="shared" si="184"/>
        <v>13</v>
      </c>
      <c r="AJ364" s="711">
        <f t="shared" si="184"/>
        <v>231</v>
      </c>
      <c r="AK364" s="711">
        <f t="shared" si="184"/>
        <v>154</v>
      </c>
      <c r="AL364" s="711">
        <f t="shared" si="183"/>
        <v>32</v>
      </c>
      <c r="AM364" s="711">
        <f t="shared" si="183"/>
        <v>23</v>
      </c>
      <c r="AN364" s="711">
        <f t="shared" si="183"/>
        <v>43</v>
      </c>
      <c r="AO364" s="711">
        <f t="shared" si="183"/>
        <v>56</v>
      </c>
      <c r="AP364" s="711">
        <f t="shared" si="183"/>
        <v>72</v>
      </c>
      <c r="AQ364" s="711">
        <f t="shared" si="185"/>
        <v>108</v>
      </c>
      <c r="AR364" s="711">
        <f t="shared" si="185"/>
        <v>43</v>
      </c>
      <c r="AS364" s="711">
        <f t="shared" si="185"/>
        <v>80</v>
      </c>
      <c r="AT364" s="711">
        <f t="shared" si="185"/>
        <v>363</v>
      </c>
      <c r="AU364" s="711">
        <f t="shared" si="182"/>
        <v>485</v>
      </c>
      <c r="AV364" s="711">
        <f t="shared" si="182"/>
        <v>6</v>
      </c>
      <c r="AW364" s="711">
        <f t="shared" si="182"/>
        <v>118</v>
      </c>
      <c r="AX364" s="711">
        <f t="shared" si="182"/>
        <v>124</v>
      </c>
      <c r="AY364" s="711">
        <f t="shared" si="182"/>
        <v>181</v>
      </c>
      <c r="AZ364" s="711">
        <f t="shared" si="182"/>
        <v>286</v>
      </c>
      <c r="BA364" s="711">
        <f t="shared" si="182"/>
        <v>225</v>
      </c>
    </row>
    <row r="365" spans="1:53">
      <c r="A365" s="106">
        <f t="shared" si="179"/>
        <v>354</v>
      </c>
      <c r="B365" s="858">
        <v>42358</v>
      </c>
      <c r="C365" s="859" t="s">
        <v>1724</v>
      </c>
      <c r="D365" s="860">
        <v>4514</v>
      </c>
      <c r="E365" s="860">
        <v>4360</v>
      </c>
      <c r="F365" s="860">
        <v>4294</v>
      </c>
      <c r="G365" s="860">
        <v>4263</v>
      </c>
      <c r="H365" s="860">
        <v>4293</v>
      </c>
      <c r="I365" s="860">
        <v>4408</v>
      </c>
      <c r="J365" s="860">
        <v>4490</v>
      </c>
      <c r="K365" s="860">
        <v>4649</v>
      </c>
      <c r="L365" s="860">
        <v>4827</v>
      </c>
      <c r="M365" s="860">
        <v>4813</v>
      </c>
      <c r="N365" s="860">
        <v>4858</v>
      </c>
      <c r="O365" s="860">
        <v>4926</v>
      </c>
      <c r="P365" s="860">
        <v>4921</v>
      </c>
      <c r="Q365" s="860">
        <v>5038</v>
      </c>
      <c r="R365" s="860">
        <v>5137</v>
      </c>
      <c r="S365" s="860">
        <v>5270</v>
      </c>
      <c r="T365" s="860">
        <v>5524</v>
      </c>
      <c r="U365" s="860">
        <v>5943</v>
      </c>
      <c r="V365" s="860">
        <v>6018</v>
      </c>
      <c r="W365" s="860">
        <v>5872</v>
      </c>
      <c r="X365" s="860">
        <v>5709</v>
      </c>
      <c r="Y365" s="860">
        <v>5438</v>
      </c>
      <c r="Z365" s="860">
        <v>5066</v>
      </c>
      <c r="AA365" s="860">
        <v>4917</v>
      </c>
      <c r="AC365" s="712">
        <f t="shared" si="180"/>
        <v>354</v>
      </c>
      <c r="AD365" s="711">
        <f t="shared" si="181"/>
        <v>252</v>
      </c>
      <c r="AE365" s="711">
        <f t="shared" si="184"/>
        <v>154</v>
      </c>
      <c r="AF365" s="711">
        <f t="shared" si="184"/>
        <v>66</v>
      </c>
      <c r="AG365" s="711">
        <f t="shared" si="184"/>
        <v>31</v>
      </c>
      <c r="AH365" s="711">
        <f t="shared" si="184"/>
        <v>30</v>
      </c>
      <c r="AI365" s="711">
        <f t="shared" si="184"/>
        <v>115</v>
      </c>
      <c r="AJ365" s="711">
        <f t="shared" si="184"/>
        <v>82</v>
      </c>
      <c r="AK365" s="711">
        <f t="shared" si="184"/>
        <v>159</v>
      </c>
      <c r="AL365" s="711">
        <f t="shared" si="183"/>
        <v>178</v>
      </c>
      <c r="AM365" s="711">
        <f t="shared" si="183"/>
        <v>14</v>
      </c>
      <c r="AN365" s="711">
        <f t="shared" si="183"/>
        <v>45</v>
      </c>
      <c r="AO365" s="711">
        <f t="shared" si="183"/>
        <v>68</v>
      </c>
      <c r="AP365" s="711">
        <f t="shared" si="183"/>
        <v>5</v>
      </c>
      <c r="AQ365" s="711">
        <f t="shared" si="185"/>
        <v>117</v>
      </c>
      <c r="AR365" s="711">
        <f t="shared" si="185"/>
        <v>99</v>
      </c>
      <c r="AS365" s="711">
        <f t="shared" si="185"/>
        <v>133</v>
      </c>
      <c r="AT365" s="711">
        <f t="shared" si="185"/>
        <v>254</v>
      </c>
      <c r="AU365" s="711">
        <f t="shared" si="182"/>
        <v>419</v>
      </c>
      <c r="AV365" s="711">
        <f t="shared" si="182"/>
        <v>75</v>
      </c>
      <c r="AW365" s="711">
        <f t="shared" si="182"/>
        <v>146</v>
      </c>
      <c r="AX365" s="711">
        <f t="shared" si="182"/>
        <v>163</v>
      </c>
      <c r="AY365" s="711">
        <f t="shared" si="182"/>
        <v>271</v>
      </c>
      <c r="AZ365" s="711">
        <f t="shared" si="182"/>
        <v>372</v>
      </c>
      <c r="BA365" s="711">
        <f t="shared" si="182"/>
        <v>149</v>
      </c>
    </row>
    <row r="366" spans="1:53">
      <c r="A366" s="106">
        <f t="shared" si="179"/>
        <v>355</v>
      </c>
      <c r="B366" s="858">
        <v>42359</v>
      </c>
      <c r="C366" s="859" t="s">
        <v>1724</v>
      </c>
      <c r="D366" s="860">
        <v>4770</v>
      </c>
      <c r="E366" s="860">
        <v>4635</v>
      </c>
      <c r="F366" s="860">
        <v>4601</v>
      </c>
      <c r="G366" s="860">
        <v>4619</v>
      </c>
      <c r="H366" s="860">
        <v>4626</v>
      </c>
      <c r="I366" s="860">
        <v>4899</v>
      </c>
      <c r="J366" s="860">
        <v>5260</v>
      </c>
      <c r="K366" s="860">
        <v>5487</v>
      </c>
      <c r="L366" s="860">
        <v>5556</v>
      </c>
      <c r="M366" s="860">
        <v>5526</v>
      </c>
      <c r="N366" s="860">
        <v>5467</v>
      </c>
      <c r="O366" s="860">
        <v>5389</v>
      </c>
      <c r="P366" s="860">
        <v>5320</v>
      </c>
      <c r="Q366" s="860">
        <v>5301</v>
      </c>
      <c r="R366" s="860">
        <v>5313</v>
      </c>
      <c r="S366" s="860">
        <v>5358</v>
      </c>
      <c r="T366" s="860">
        <v>5730</v>
      </c>
      <c r="U366" s="860">
        <v>6194</v>
      </c>
      <c r="V366" s="860">
        <v>6192</v>
      </c>
      <c r="W366" s="860">
        <v>6084</v>
      </c>
      <c r="X366" s="860">
        <v>5953</v>
      </c>
      <c r="Y366" s="860">
        <v>5675</v>
      </c>
      <c r="Z366" s="860">
        <v>5230</v>
      </c>
      <c r="AA366" s="860">
        <v>4841</v>
      </c>
      <c r="AC366" s="712">
        <f t="shared" si="180"/>
        <v>355</v>
      </c>
      <c r="AD366" s="711">
        <f t="shared" si="181"/>
        <v>147</v>
      </c>
      <c r="AE366" s="711">
        <f t="shared" si="184"/>
        <v>135</v>
      </c>
      <c r="AF366" s="711">
        <f t="shared" si="184"/>
        <v>34</v>
      </c>
      <c r="AG366" s="711">
        <f t="shared" si="184"/>
        <v>18</v>
      </c>
      <c r="AH366" s="711">
        <f t="shared" si="184"/>
        <v>7</v>
      </c>
      <c r="AI366" s="711">
        <f t="shared" si="184"/>
        <v>273</v>
      </c>
      <c r="AJ366" s="711">
        <f t="shared" si="184"/>
        <v>361</v>
      </c>
      <c r="AK366" s="711">
        <f t="shared" si="184"/>
        <v>227</v>
      </c>
      <c r="AL366" s="711">
        <f t="shared" si="183"/>
        <v>69</v>
      </c>
      <c r="AM366" s="711">
        <f t="shared" si="183"/>
        <v>30</v>
      </c>
      <c r="AN366" s="711">
        <f t="shared" si="183"/>
        <v>59</v>
      </c>
      <c r="AO366" s="711">
        <f t="shared" si="183"/>
        <v>78</v>
      </c>
      <c r="AP366" s="711">
        <f t="shared" si="183"/>
        <v>69</v>
      </c>
      <c r="AQ366" s="711">
        <f t="shared" si="185"/>
        <v>19</v>
      </c>
      <c r="AR366" s="711">
        <f t="shared" si="185"/>
        <v>12</v>
      </c>
      <c r="AS366" s="711">
        <f t="shared" si="185"/>
        <v>45</v>
      </c>
      <c r="AT366" s="711">
        <f t="shared" si="185"/>
        <v>372</v>
      </c>
      <c r="AU366" s="711">
        <f t="shared" si="182"/>
        <v>464</v>
      </c>
      <c r="AV366" s="711">
        <f t="shared" si="182"/>
        <v>2</v>
      </c>
      <c r="AW366" s="711">
        <f t="shared" si="182"/>
        <v>108</v>
      </c>
      <c r="AX366" s="711">
        <f t="shared" si="182"/>
        <v>131</v>
      </c>
      <c r="AY366" s="711">
        <f t="shared" si="182"/>
        <v>278</v>
      </c>
      <c r="AZ366" s="711">
        <f t="shared" si="182"/>
        <v>445</v>
      </c>
      <c r="BA366" s="711">
        <f t="shared" si="182"/>
        <v>389</v>
      </c>
    </row>
    <row r="367" spans="1:53">
      <c r="A367" s="106">
        <f t="shared" si="179"/>
        <v>356</v>
      </c>
      <c r="B367" s="858">
        <v>42360</v>
      </c>
      <c r="C367" s="859" t="s">
        <v>1724</v>
      </c>
      <c r="D367" s="860">
        <v>4740</v>
      </c>
      <c r="E367" s="860">
        <v>4697</v>
      </c>
      <c r="F367" s="860">
        <v>4646</v>
      </c>
      <c r="G367" s="860">
        <v>4617</v>
      </c>
      <c r="H367" s="860">
        <v>4694</v>
      </c>
      <c r="I367" s="860">
        <v>4912</v>
      </c>
      <c r="J367" s="860">
        <v>5292</v>
      </c>
      <c r="K367" s="860">
        <v>5513</v>
      </c>
      <c r="L367" s="860">
        <v>5500</v>
      </c>
      <c r="M367" s="860">
        <v>5490</v>
      </c>
      <c r="N367" s="860">
        <v>5417</v>
      </c>
      <c r="O367" s="860">
        <v>5348</v>
      </c>
      <c r="P367" s="860">
        <v>5259</v>
      </c>
      <c r="Q367" s="860">
        <v>5247</v>
      </c>
      <c r="R367" s="860">
        <v>5263</v>
      </c>
      <c r="S367" s="860">
        <v>5361</v>
      </c>
      <c r="T367" s="860">
        <v>5717</v>
      </c>
      <c r="U367" s="860">
        <v>6157</v>
      </c>
      <c r="V367" s="860">
        <v>6119</v>
      </c>
      <c r="W367" s="860">
        <v>5995</v>
      </c>
      <c r="X367" s="860">
        <v>5851</v>
      </c>
      <c r="Y367" s="860">
        <v>5598</v>
      </c>
      <c r="Z367" s="860">
        <v>5198</v>
      </c>
      <c r="AA367" s="860">
        <v>4821</v>
      </c>
      <c r="AC367" s="712">
        <f t="shared" si="180"/>
        <v>356</v>
      </c>
      <c r="AD367" s="711">
        <f t="shared" si="181"/>
        <v>101</v>
      </c>
      <c r="AE367" s="711">
        <f t="shared" si="184"/>
        <v>43</v>
      </c>
      <c r="AF367" s="711">
        <f t="shared" si="184"/>
        <v>51</v>
      </c>
      <c r="AG367" s="711">
        <f t="shared" si="184"/>
        <v>29</v>
      </c>
      <c r="AH367" s="711">
        <f t="shared" si="184"/>
        <v>77</v>
      </c>
      <c r="AI367" s="711">
        <f t="shared" si="184"/>
        <v>218</v>
      </c>
      <c r="AJ367" s="711">
        <f t="shared" si="184"/>
        <v>380</v>
      </c>
      <c r="AK367" s="711">
        <f t="shared" si="184"/>
        <v>221</v>
      </c>
      <c r="AL367" s="711">
        <f t="shared" si="183"/>
        <v>13</v>
      </c>
      <c r="AM367" s="711">
        <f t="shared" si="183"/>
        <v>10</v>
      </c>
      <c r="AN367" s="711">
        <f t="shared" si="183"/>
        <v>73</v>
      </c>
      <c r="AO367" s="711">
        <f t="shared" si="183"/>
        <v>69</v>
      </c>
      <c r="AP367" s="711">
        <f t="shared" si="183"/>
        <v>89</v>
      </c>
      <c r="AQ367" s="711">
        <f t="shared" si="185"/>
        <v>12</v>
      </c>
      <c r="AR367" s="711">
        <f t="shared" si="185"/>
        <v>16</v>
      </c>
      <c r="AS367" s="711">
        <f t="shared" si="185"/>
        <v>98</v>
      </c>
      <c r="AT367" s="711">
        <f t="shared" si="185"/>
        <v>356</v>
      </c>
      <c r="AU367" s="711">
        <f t="shared" si="182"/>
        <v>440</v>
      </c>
      <c r="AV367" s="711">
        <f t="shared" si="182"/>
        <v>38</v>
      </c>
      <c r="AW367" s="711">
        <f t="shared" si="182"/>
        <v>124</v>
      </c>
      <c r="AX367" s="711">
        <f t="shared" si="182"/>
        <v>144</v>
      </c>
      <c r="AY367" s="711">
        <f t="shared" si="182"/>
        <v>253</v>
      </c>
      <c r="AZ367" s="711">
        <f t="shared" si="182"/>
        <v>400</v>
      </c>
      <c r="BA367" s="711">
        <f t="shared" si="182"/>
        <v>377</v>
      </c>
    </row>
    <row r="368" spans="1:53">
      <c r="A368" s="106">
        <f t="shared" si="179"/>
        <v>357</v>
      </c>
      <c r="B368" s="858">
        <v>42361</v>
      </c>
      <c r="C368" s="859" t="s">
        <v>1724</v>
      </c>
      <c r="D368" s="860">
        <v>4801</v>
      </c>
      <c r="E368" s="860">
        <v>4676</v>
      </c>
      <c r="F368" s="860">
        <v>4651</v>
      </c>
      <c r="G368" s="860">
        <v>4658</v>
      </c>
      <c r="H368" s="860">
        <v>4788</v>
      </c>
      <c r="I368" s="860">
        <v>4942</v>
      </c>
      <c r="J368" s="860">
        <v>5352</v>
      </c>
      <c r="K368" s="860">
        <v>5501</v>
      </c>
      <c r="L368" s="860">
        <v>5516</v>
      </c>
      <c r="M368" s="860">
        <v>5462</v>
      </c>
      <c r="N368" s="860">
        <v>5437</v>
      </c>
      <c r="O368" s="860">
        <v>5355</v>
      </c>
      <c r="P368" s="860">
        <v>5266</v>
      </c>
      <c r="Q368" s="860">
        <v>5230</v>
      </c>
      <c r="R368" s="860">
        <v>5352</v>
      </c>
      <c r="S368" s="860">
        <v>5370</v>
      </c>
      <c r="T368" s="860">
        <v>5722</v>
      </c>
      <c r="U368" s="860">
        <v>6228</v>
      </c>
      <c r="V368" s="860">
        <v>6223</v>
      </c>
      <c r="W368" s="860">
        <v>6106</v>
      </c>
      <c r="X368" s="860">
        <v>6005</v>
      </c>
      <c r="Y368" s="860">
        <v>5743</v>
      </c>
      <c r="Z368" s="860">
        <v>5363</v>
      </c>
      <c r="AA368" s="860">
        <v>5040</v>
      </c>
      <c r="AC368" s="712">
        <f t="shared" si="180"/>
        <v>357</v>
      </c>
      <c r="AD368" s="711">
        <f t="shared" si="181"/>
        <v>20</v>
      </c>
      <c r="AE368" s="711">
        <f t="shared" si="184"/>
        <v>125</v>
      </c>
      <c r="AF368" s="711">
        <f t="shared" si="184"/>
        <v>25</v>
      </c>
      <c r="AG368" s="711">
        <f t="shared" si="184"/>
        <v>7</v>
      </c>
      <c r="AH368" s="711">
        <f t="shared" si="184"/>
        <v>130</v>
      </c>
      <c r="AI368" s="711">
        <f t="shared" si="184"/>
        <v>154</v>
      </c>
      <c r="AJ368" s="711">
        <f t="shared" si="184"/>
        <v>410</v>
      </c>
      <c r="AK368" s="711">
        <f t="shared" si="184"/>
        <v>149</v>
      </c>
      <c r="AL368" s="711">
        <f t="shared" si="183"/>
        <v>15</v>
      </c>
      <c r="AM368" s="711">
        <f t="shared" si="183"/>
        <v>54</v>
      </c>
      <c r="AN368" s="711">
        <f t="shared" si="183"/>
        <v>25</v>
      </c>
      <c r="AO368" s="711">
        <f t="shared" si="183"/>
        <v>82</v>
      </c>
      <c r="AP368" s="711">
        <f t="shared" si="183"/>
        <v>89</v>
      </c>
      <c r="AQ368" s="711">
        <f t="shared" si="185"/>
        <v>36</v>
      </c>
      <c r="AR368" s="711">
        <f t="shared" si="185"/>
        <v>122</v>
      </c>
      <c r="AS368" s="711">
        <f t="shared" si="185"/>
        <v>18</v>
      </c>
      <c r="AT368" s="711">
        <f t="shared" si="185"/>
        <v>352</v>
      </c>
      <c r="AU368" s="711">
        <f t="shared" si="182"/>
        <v>506</v>
      </c>
      <c r="AV368" s="711">
        <f t="shared" si="182"/>
        <v>5</v>
      </c>
      <c r="AW368" s="711">
        <f t="shared" si="182"/>
        <v>117</v>
      </c>
      <c r="AX368" s="711">
        <f t="shared" si="182"/>
        <v>101</v>
      </c>
      <c r="AY368" s="711">
        <f t="shared" si="182"/>
        <v>262</v>
      </c>
      <c r="AZ368" s="711">
        <f t="shared" si="182"/>
        <v>380</v>
      </c>
      <c r="BA368" s="711">
        <f t="shared" si="182"/>
        <v>323</v>
      </c>
    </row>
    <row r="369" spans="1:53">
      <c r="A369" s="106">
        <f t="shared" si="179"/>
        <v>358</v>
      </c>
      <c r="B369" s="858">
        <v>42362</v>
      </c>
      <c r="C369" s="859" t="s">
        <v>1724</v>
      </c>
      <c r="D369" s="860">
        <v>4997</v>
      </c>
      <c r="E369" s="860">
        <v>4816</v>
      </c>
      <c r="F369" s="860">
        <v>4736</v>
      </c>
      <c r="G369" s="860">
        <v>4761</v>
      </c>
      <c r="H369" s="860">
        <v>4848</v>
      </c>
      <c r="I369" s="860">
        <v>4954</v>
      </c>
      <c r="J369" s="860">
        <v>5242</v>
      </c>
      <c r="K369" s="860">
        <v>5390</v>
      </c>
      <c r="L369" s="860">
        <v>5465</v>
      </c>
      <c r="M369" s="860">
        <v>5386</v>
      </c>
      <c r="N369" s="860">
        <v>5368</v>
      </c>
      <c r="O369" s="860">
        <v>5268</v>
      </c>
      <c r="P369" s="860">
        <v>5150</v>
      </c>
      <c r="Q369" s="860">
        <v>5106</v>
      </c>
      <c r="R369" s="860">
        <v>5114</v>
      </c>
      <c r="S369" s="860">
        <v>5236</v>
      </c>
      <c r="T369" s="860">
        <v>5558</v>
      </c>
      <c r="U369" s="860">
        <v>5915</v>
      </c>
      <c r="V369" s="860">
        <v>5764</v>
      </c>
      <c r="W369" s="860">
        <v>5599</v>
      </c>
      <c r="X369" s="860">
        <v>5515</v>
      </c>
      <c r="Y369" s="860">
        <v>5363</v>
      </c>
      <c r="Z369" s="860">
        <v>5128</v>
      </c>
      <c r="AA369" s="860">
        <v>4904</v>
      </c>
      <c r="AC369" s="712">
        <f t="shared" si="180"/>
        <v>358</v>
      </c>
      <c r="AD369" s="711">
        <f t="shared" si="181"/>
        <v>43</v>
      </c>
      <c r="AE369" s="711">
        <f t="shared" si="184"/>
        <v>181</v>
      </c>
      <c r="AF369" s="711">
        <f t="shared" si="184"/>
        <v>80</v>
      </c>
      <c r="AG369" s="711">
        <f t="shared" si="184"/>
        <v>25</v>
      </c>
      <c r="AH369" s="711">
        <f t="shared" si="184"/>
        <v>87</v>
      </c>
      <c r="AI369" s="711">
        <f t="shared" si="184"/>
        <v>106</v>
      </c>
      <c r="AJ369" s="711">
        <f t="shared" si="184"/>
        <v>288</v>
      </c>
      <c r="AK369" s="711">
        <f t="shared" si="184"/>
        <v>148</v>
      </c>
      <c r="AL369" s="711">
        <f t="shared" si="183"/>
        <v>75</v>
      </c>
      <c r="AM369" s="711">
        <f t="shared" si="183"/>
        <v>79</v>
      </c>
      <c r="AN369" s="711">
        <f t="shared" si="183"/>
        <v>18</v>
      </c>
      <c r="AO369" s="711">
        <f t="shared" si="183"/>
        <v>100</v>
      </c>
      <c r="AP369" s="711">
        <f t="shared" si="183"/>
        <v>118</v>
      </c>
      <c r="AQ369" s="711">
        <f t="shared" si="185"/>
        <v>44</v>
      </c>
      <c r="AR369" s="711">
        <f t="shared" si="185"/>
        <v>8</v>
      </c>
      <c r="AS369" s="711">
        <f t="shared" si="185"/>
        <v>122</v>
      </c>
      <c r="AT369" s="711">
        <f t="shared" si="185"/>
        <v>322</v>
      </c>
      <c r="AU369" s="711">
        <f t="shared" si="182"/>
        <v>357</v>
      </c>
      <c r="AV369" s="711">
        <f t="shared" si="182"/>
        <v>151</v>
      </c>
      <c r="AW369" s="711">
        <f t="shared" si="182"/>
        <v>165</v>
      </c>
      <c r="AX369" s="711">
        <f t="shared" si="182"/>
        <v>84</v>
      </c>
      <c r="AY369" s="711">
        <f t="shared" si="182"/>
        <v>152</v>
      </c>
      <c r="AZ369" s="711">
        <f t="shared" si="182"/>
        <v>235</v>
      </c>
      <c r="BA369" s="711">
        <f t="shared" si="182"/>
        <v>224</v>
      </c>
    </row>
    <row r="370" spans="1:53">
      <c r="A370" s="106">
        <f t="shared" si="179"/>
        <v>359</v>
      </c>
      <c r="B370" s="858">
        <v>42363</v>
      </c>
      <c r="C370" s="859" t="s">
        <v>1724</v>
      </c>
      <c r="D370" s="860">
        <v>4756</v>
      </c>
      <c r="E370" s="860">
        <v>4588</v>
      </c>
      <c r="F370" s="860">
        <v>4515</v>
      </c>
      <c r="G370" s="860">
        <v>4491</v>
      </c>
      <c r="H370" s="860">
        <v>4550</v>
      </c>
      <c r="I370" s="860">
        <v>4688</v>
      </c>
      <c r="J370" s="860">
        <v>4783</v>
      </c>
      <c r="K370" s="860">
        <v>4944</v>
      </c>
      <c r="L370" s="860">
        <v>5120</v>
      </c>
      <c r="M370" s="860">
        <v>5236</v>
      </c>
      <c r="N370" s="860">
        <v>5246</v>
      </c>
      <c r="O370" s="860">
        <v>5276</v>
      </c>
      <c r="P370" s="860">
        <v>5231</v>
      </c>
      <c r="Q370" s="860">
        <v>5155</v>
      </c>
      <c r="R370" s="860">
        <v>5106</v>
      </c>
      <c r="S370" s="860">
        <v>5125</v>
      </c>
      <c r="T370" s="860">
        <v>5333</v>
      </c>
      <c r="U370" s="860">
        <v>5633</v>
      </c>
      <c r="V370" s="860">
        <v>5599</v>
      </c>
      <c r="W370" s="860">
        <v>5543</v>
      </c>
      <c r="X370" s="860">
        <v>5458</v>
      </c>
      <c r="Y370" s="860">
        <v>5323</v>
      </c>
      <c r="Z370" s="860">
        <v>5099</v>
      </c>
      <c r="AA370" s="860">
        <v>5036</v>
      </c>
      <c r="AC370" s="712">
        <f t="shared" si="180"/>
        <v>359</v>
      </c>
      <c r="AD370" s="711">
        <f t="shared" si="181"/>
        <v>148</v>
      </c>
      <c r="AE370" s="711">
        <f t="shared" si="184"/>
        <v>168</v>
      </c>
      <c r="AF370" s="711">
        <f t="shared" si="184"/>
        <v>73</v>
      </c>
      <c r="AG370" s="711">
        <f t="shared" si="184"/>
        <v>24</v>
      </c>
      <c r="AH370" s="711">
        <f t="shared" si="184"/>
        <v>59</v>
      </c>
      <c r="AI370" s="711">
        <f t="shared" si="184"/>
        <v>138</v>
      </c>
      <c r="AJ370" s="711">
        <f t="shared" si="184"/>
        <v>95</v>
      </c>
      <c r="AK370" s="711">
        <f t="shared" si="184"/>
        <v>161</v>
      </c>
      <c r="AL370" s="711">
        <f t="shared" si="183"/>
        <v>176</v>
      </c>
      <c r="AM370" s="711">
        <f t="shared" si="183"/>
        <v>116</v>
      </c>
      <c r="AN370" s="711">
        <f t="shared" si="183"/>
        <v>10</v>
      </c>
      <c r="AO370" s="711">
        <f t="shared" si="183"/>
        <v>30</v>
      </c>
      <c r="AP370" s="711">
        <f t="shared" si="183"/>
        <v>45</v>
      </c>
      <c r="AQ370" s="711">
        <f t="shared" si="185"/>
        <v>76</v>
      </c>
      <c r="AR370" s="711">
        <f t="shared" si="185"/>
        <v>49</v>
      </c>
      <c r="AS370" s="711">
        <f t="shared" si="185"/>
        <v>19</v>
      </c>
      <c r="AT370" s="711">
        <f t="shared" si="185"/>
        <v>208</v>
      </c>
      <c r="AU370" s="711">
        <f t="shared" si="182"/>
        <v>300</v>
      </c>
      <c r="AV370" s="711">
        <f t="shared" si="182"/>
        <v>34</v>
      </c>
      <c r="AW370" s="711">
        <f t="shared" si="182"/>
        <v>56</v>
      </c>
      <c r="AX370" s="711">
        <f t="shared" si="182"/>
        <v>85</v>
      </c>
      <c r="AY370" s="711">
        <f t="shared" si="182"/>
        <v>135</v>
      </c>
      <c r="AZ370" s="711">
        <f t="shared" si="182"/>
        <v>224</v>
      </c>
      <c r="BA370" s="711">
        <f t="shared" si="182"/>
        <v>63</v>
      </c>
    </row>
    <row r="371" spans="1:53">
      <c r="A371" s="106">
        <f t="shared" si="179"/>
        <v>360</v>
      </c>
      <c r="B371" s="858">
        <v>42364</v>
      </c>
      <c r="C371" s="859" t="s">
        <v>1724</v>
      </c>
      <c r="D371" s="860">
        <v>4841</v>
      </c>
      <c r="E371" s="860">
        <v>4741</v>
      </c>
      <c r="F371" s="860">
        <v>4697</v>
      </c>
      <c r="G371" s="860">
        <v>4697</v>
      </c>
      <c r="H371" s="860">
        <v>4667</v>
      </c>
      <c r="I371" s="860">
        <v>4749</v>
      </c>
      <c r="J371" s="860">
        <v>4944</v>
      </c>
      <c r="K371" s="860">
        <v>5063</v>
      </c>
      <c r="L371" s="860">
        <v>5206</v>
      </c>
      <c r="M371" s="860">
        <v>5367</v>
      </c>
      <c r="N371" s="860">
        <v>5409</v>
      </c>
      <c r="O371" s="860">
        <v>5386</v>
      </c>
      <c r="P371" s="860">
        <v>5379</v>
      </c>
      <c r="Q371" s="860">
        <v>5250</v>
      </c>
      <c r="R371" s="860">
        <v>5195</v>
      </c>
      <c r="S371" s="860">
        <v>5322</v>
      </c>
      <c r="T371" s="860">
        <v>5647</v>
      </c>
      <c r="U371" s="860">
        <v>6146</v>
      </c>
      <c r="V371" s="860">
        <v>6181</v>
      </c>
      <c r="W371" s="860">
        <v>6095</v>
      </c>
      <c r="X371" s="860">
        <v>5961</v>
      </c>
      <c r="Y371" s="860">
        <v>5815</v>
      </c>
      <c r="Z371" s="860">
        <v>5660</v>
      </c>
      <c r="AA371" s="860">
        <v>5405</v>
      </c>
      <c r="AC371" s="712">
        <f t="shared" si="180"/>
        <v>360</v>
      </c>
      <c r="AD371" s="711">
        <f t="shared" si="181"/>
        <v>195</v>
      </c>
      <c r="AE371" s="711">
        <f t="shared" si="184"/>
        <v>100</v>
      </c>
      <c r="AF371" s="711">
        <f t="shared" si="184"/>
        <v>44</v>
      </c>
      <c r="AG371" s="711">
        <f t="shared" si="184"/>
        <v>0</v>
      </c>
      <c r="AH371" s="711">
        <f t="shared" si="184"/>
        <v>30</v>
      </c>
      <c r="AI371" s="711">
        <f t="shared" si="184"/>
        <v>82</v>
      </c>
      <c r="AJ371" s="711">
        <f t="shared" si="184"/>
        <v>195</v>
      </c>
      <c r="AK371" s="711">
        <f t="shared" si="184"/>
        <v>119</v>
      </c>
      <c r="AL371" s="711">
        <f t="shared" si="183"/>
        <v>143</v>
      </c>
      <c r="AM371" s="711">
        <f t="shared" si="183"/>
        <v>161</v>
      </c>
      <c r="AN371" s="711">
        <f t="shared" si="183"/>
        <v>42</v>
      </c>
      <c r="AO371" s="711">
        <f t="shared" si="183"/>
        <v>23</v>
      </c>
      <c r="AP371" s="711">
        <f t="shared" si="183"/>
        <v>7</v>
      </c>
      <c r="AQ371" s="711">
        <f t="shared" si="185"/>
        <v>129</v>
      </c>
      <c r="AR371" s="711">
        <f t="shared" si="185"/>
        <v>55</v>
      </c>
      <c r="AS371" s="711">
        <f t="shared" si="185"/>
        <v>127</v>
      </c>
      <c r="AT371" s="711">
        <f t="shared" si="185"/>
        <v>325</v>
      </c>
      <c r="AU371" s="711">
        <f t="shared" si="182"/>
        <v>499</v>
      </c>
      <c r="AV371" s="711">
        <f t="shared" si="182"/>
        <v>35</v>
      </c>
      <c r="AW371" s="711">
        <f t="shared" si="182"/>
        <v>86</v>
      </c>
      <c r="AX371" s="711">
        <f t="shared" si="182"/>
        <v>134</v>
      </c>
      <c r="AY371" s="711">
        <f t="shared" si="182"/>
        <v>146</v>
      </c>
      <c r="AZ371" s="711">
        <f t="shared" si="182"/>
        <v>155</v>
      </c>
      <c r="BA371" s="711">
        <f t="shared" si="182"/>
        <v>255</v>
      </c>
    </row>
    <row r="372" spans="1:53">
      <c r="A372" s="106">
        <f t="shared" si="179"/>
        <v>361</v>
      </c>
      <c r="B372" s="858">
        <v>42365</v>
      </c>
      <c r="C372" s="859" t="s">
        <v>1724</v>
      </c>
      <c r="D372" s="860">
        <v>5178</v>
      </c>
      <c r="E372" s="860">
        <v>5068</v>
      </c>
      <c r="F372" s="860">
        <v>5032</v>
      </c>
      <c r="G372" s="860">
        <v>4976</v>
      </c>
      <c r="H372" s="860">
        <v>4920</v>
      </c>
      <c r="I372" s="860">
        <v>4987</v>
      </c>
      <c r="J372" s="860">
        <v>5099</v>
      </c>
      <c r="K372" s="860">
        <v>5242</v>
      </c>
      <c r="L372" s="860">
        <v>5317</v>
      </c>
      <c r="M372" s="860">
        <v>5393</v>
      </c>
      <c r="N372" s="860">
        <v>5388</v>
      </c>
      <c r="O372" s="860">
        <v>5316</v>
      </c>
      <c r="P372" s="860">
        <v>5266</v>
      </c>
      <c r="Q372" s="860">
        <v>5203</v>
      </c>
      <c r="R372" s="860">
        <v>5188</v>
      </c>
      <c r="S372" s="860">
        <v>5267</v>
      </c>
      <c r="T372" s="860">
        <v>5632</v>
      </c>
      <c r="U372" s="860">
        <v>6242</v>
      </c>
      <c r="V372" s="860">
        <v>6271</v>
      </c>
      <c r="W372" s="860">
        <v>6198</v>
      </c>
      <c r="X372" s="860">
        <v>6071</v>
      </c>
      <c r="Y372" s="860">
        <v>5801</v>
      </c>
      <c r="Z372" s="860">
        <v>5531</v>
      </c>
      <c r="AA372" s="860">
        <v>5181</v>
      </c>
      <c r="AC372" s="712">
        <f t="shared" si="180"/>
        <v>361</v>
      </c>
      <c r="AD372" s="711">
        <f t="shared" si="181"/>
        <v>227</v>
      </c>
      <c r="AE372" s="711">
        <f t="shared" si="184"/>
        <v>110</v>
      </c>
      <c r="AF372" s="711">
        <f t="shared" si="184"/>
        <v>36</v>
      </c>
      <c r="AG372" s="711">
        <f t="shared" si="184"/>
        <v>56</v>
      </c>
      <c r="AH372" s="711">
        <f t="shared" si="184"/>
        <v>56</v>
      </c>
      <c r="AI372" s="711">
        <f t="shared" si="184"/>
        <v>67</v>
      </c>
      <c r="AJ372" s="711">
        <f t="shared" si="184"/>
        <v>112</v>
      </c>
      <c r="AK372" s="711">
        <f t="shared" si="184"/>
        <v>143</v>
      </c>
      <c r="AL372" s="711">
        <f t="shared" si="183"/>
        <v>75</v>
      </c>
      <c r="AM372" s="711">
        <f t="shared" si="183"/>
        <v>76</v>
      </c>
      <c r="AN372" s="711">
        <f t="shared" si="183"/>
        <v>5</v>
      </c>
      <c r="AO372" s="711">
        <f t="shared" si="183"/>
        <v>72</v>
      </c>
      <c r="AP372" s="711">
        <f t="shared" si="183"/>
        <v>50</v>
      </c>
      <c r="AQ372" s="711">
        <f t="shared" si="185"/>
        <v>63</v>
      </c>
      <c r="AR372" s="711">
        <f t="shared" si="185"/>
        <v>15</v>
      </c>
      <c r="AS372" s="711">
        <f t="shared" si="185"/>
        <v>79</v>
      </c>
      <c r="AT372" s="711">
        <f t="shared" si="185"/>
        <v>365</v>
      </c>
      <c r="AU372" s="711">
        <f t="shared" si="182"/>
        <v>610</v>
      </c>
      <c r="AV372" s="711">
        <f t="shared" si="182"/>
        <v>29</v>
      </c>
      <c r="AW372" s="711">
        <f t="shared" si="182"/>
        <v>73</v>
      </c>
      <c r="AX372" s="711">
        <f t="shared" si="182"/>
        <v>127</v>
      </c>
      <c r="AY372" s="711">
        <f t="shared" si="182"/>
        <v>270</v>
      </c>
      <c r="AZ372" s="711">
        <f t="shared" si="182"/>
        <v>270</v>
      </c>
      <c r="BA372" s="711">
        <f t="shared" si="182"/>
        <v>350</v>
      </c>
    </row>
    <row r="373" spans="1:53">
      <c r="A373" s="106">
        <f t="shared" si="179"/>
        <v>362</v>
      </c>
      <c r="B373" s="858">
        <v>42366</v>
      </c>
      <c r="C373" s="859" t="s">
        <v>1724</v>
      </c>
      <c r="D373" s="860">
        <v>4993</v>
      </c>
      <c r="E373" s="860">
        <v>4932</v>
      </c>
      <c r="F373" s="860">
        <v>4991</v>
      </c>
      <c r="G373" s="860">
        <v>4969</v>
      </c>
      <c r="H373" s="860">
        <v>5075</v>
      </c>
      <c r="I373" s="860">
        <v>5273</v>
      </c>
      <c r="J373" s="860">
        <v>5523</v>
      </c>
      <c r="K373" s="860">
        <v>5773</v>
      </c>
      <c r="L373" s="860">
        <v>5857</v>
      </c>
      <c r="M373" s="860">
        <v>5845</v>
      </c>
      <c r="N373" s="860">
        <v>5748</v>
      </c>
      <c r="O373" s="860">
        <v>5736</v>
      </c>
      <c r="P373" s="860">
        <v>5616</v>
      </c>
      <c r="Q373" s="860">
        <v>5598</v>
      </c>
      <c r="R373" s="860">
        <v>5619</v>
      </c>
      <c r="S373" s="860">
        <v>5721</v>
      </c>
      <c r="T373" s="860">
        <v>6017</v>
      </c>
      <c r="U373" s="860">
        <v>6544</v>
      </c>
      <c r="V373" s="860">
        <v>6533</v>
      </c>
      <c r="W373" s="860">
        <v>6405</v>
      </c>
      <c r="X373" s="860">
        <v>6250</v>
      </c>
      <c r="Y373" s="860">
        <v>5969</v>
      </c>
      <c r="Z373" s="860">
        <v>5569</v>
      </c>
      <c r="AA373" s="860">
        <v>5210</v>
      </c>
      <c r="AC373" s="712">
        <f t="shared" si="180"/>
        <v>362</v>
      </c>
      <c r="AD373" s="711">
        <f t="shared" si="181"/>
        <v>188</v>
      </c>
      <c r="AE373" s="711">
        <f t="shared" si="184"/>
        <v>61</v>
      </c>
      <c r="AF373" s="711">
        <f t="shared" si="184"/>
        <v>59</v>
      </c>
      <c r="AG373" s="711">
        <f t="shared" si="184"/>
        <v>22</v>
      </c>
      <c r="AH373" s="711">
        <f t="shared" si="184"/>
        <v>106</v>
      </c>
      <c r="AI373" s="711">
        <f t="shared" si="184"/>
        <v>198</v>
      </c>
      <c r="AJ373" s="711">
        <f t="shared" si="184"/>
        <v>250</v>
      </c>
      <c r="AK373" s="711">
        <f t="shared" si="184"/>
        <v>250</v>
      </c>
      <c r="AL373" s="711">
        <f t="shared" si="183"/>
        <v>84</v>
      </c>
      <c r="AM373" s="711">
        <f t="shared" si="183"/>
        <v>12</v>
      </c>
      <c r="AN373" s="711">
        <f t="shared" si="183"/>
        <v>97</v>
      </c>
      <c r="AO373" s="711">
        <f t="shared" si="183"/>
        <v>12</v>
      </c>
      <c r="AP373" s="711">
        <f t="shared" si="183"/>
        <v>120</v>
      </c>
      <c r="AQ373" s="711">
        <f t="shared" si="185"/>
        <v>18</v>
      </c>
      <c r="AR373" s="711">
        <f t="shared" si="185"/>
        <v>21</v>
      </c>
      <c r="AS373" s="711">
        <f t="shared" si="185"/>
        <v>102</v>
      </c>
      <c r="AT373" s="711">
        <f t="shared" si="185"/>
        <v>296</v>
      </c>
      <c r="AU373" s="711">
        <f t="shared" si="182"/>
        <v>527</v>
      </c>
      <c r="AV373" s="711">
        <f t="shared" si="182"/>
        <v>11</v>
      </c>
      <c r="AW373" s="711">
        <f t="shared" si="182"/>
        <v>128</v>
      </c>
      <c r="AX373" s="711">
        <f t="shared" si="182"/>
        <v>155</v>
      </c>
      <c r="AY373" s="711">
        <f t="shared" si="182"/>
        <v>281</v>
      </c>
      <c r="AZ373" s="711">
        <f t="shared" si="182"/>
        <v>400</v>
      </c>
      <c r="BA373" s="711">
        <f t="shared" si="182"/>
        <v>359</v>
      </c>
    </row>
    <row r="374" spans="1:53">
      <c r="A374" s="106">
        <f t="shared" si="179"/>
        <v>363</v>
      </c>
      <c r="B374" s="858">
        <v>42367</v>
      </c>
      <c r="C374" s="859" t="s">
        <v>1724</v>
      </c>
      <c r="D374" s="860">
        <v>5062</v>
      </c>
      <c r="E374" s="860">
        <v>4927</v>
      </c>
      <c r="F374" s="860">
        <v>4931</v>
      </c>
      <c r="G374" s="860">
        <v>5003</v>
      </c>
      <c r="H374" s="860">
        <v>5100</v>
      </c>
      <c r="I374" s="860">
        <v>5199</v>
      </c>
      <c r="J374" s="860">
        <v>5541</v>
      </c>
      <c r="K374" s="860">
        <v>5734</v>
      </c>
      <c r="L374" s="860">
        <v>5757</v>
      </c>
      <c r="M374" s="860">
        <v>5794</v>
      </c>
      <c r="N374" s="860">
        <v>5792</v>
      </c>
      <c r="O374" s="860">
        <v>5726</v>
      </c>
      <c r="P374" s="860">
        <v>5652</v>
      </c>
      <c r="Q374" s="860">
        <v>5593</v>
      </c>
      <c r="R374" s="860">
        <v>5610</v>
      </c>
      <c r="S374" s="860">
        <v>5662</v>
      </c>
      <c r="T374" s="860">
        <v>5998</v>
      </c>
      <c r="U374" s="860">
        <v>6544</v>
      </c>
      <c r="V374" s="860">
        <v>6546</v>
      </c>
      <c r="W374" s="860">
        <v>6438</v>
      </c>
      <c r="X374" s="860">
        <v>6282</v>
      </c>
      <c r="Y374" s="860">
        <v>5984</v>
      </c>
      <c r="Z374" s="860">
        <v>5579</v>
      </c>
      <c r="AA374" s="860">
        <v>5230</v>
      </c>
      <c r="AC374" s="712">
        <f t="shared" si="180"/>
        <v>363</v>
      </c>
      <c r="AD374" s="711">
        <f t="shared" si="181"/>
        <v>148</v>
      </c>
      <c r="AE374" s="711">
        <f t="shared" si="184"/>
        <v>135</v>
      </c>
      <c r="AF374" s="711">
        <f t="shared" si="184"/>
        <v>4</v>
      </c>
      <c r="AG374" s="711">
        <f t="shared" si="184"/>
        <v>72</v>
      </c>
      <c r="AH374" s="711">
        <f t="shared" si="184"/>
        <v>97</v>
      </c>
      <c r="AI374" s="711">
        <f t="shared" si="184"/>
        <v>99</v>
      </c>
      <c r="AJ374" s="711">
        <f t="shared" si="184"/>
        <v>342</v>
      </c>
      <c r="AK374" s="711">
        <f t="shared" si="184"/>
        <v>193</v>
      </c>
      <c r="AL374" s="711">
        <f t="shared" si="183"/>
        <v>23</v>
      </c>
      <c r="AM374" s="711">
        <f t="shared" si="183"/>
        <v>37</v>
      </c>
      <c r="AN374" s="711">
        <f t="shared" si="183"/>
        <v>2</v>
      </c>
      <c r="AO374" s="711">
        <f t="shared" si="183"/>
        <v>66</v>
      </c>
      <c r="AP374" s="711">
        <f t="shared" si="183"/>
        <v>74</v>
      </c>
      <c r="AQ374" s="711">
        <f t="shared" si="185"/>
        <v>59</v>
      </c>
      <c r="AR374" s="711">
        <f t="shared" si="185"/>
        <v>17</v>
      </c>
      <c r="AS374" s="711">
        <f t="shared" si="185"/>
        <v>52</v>
      </c>
      <c r="AT374" s="711">
        <f t="shared" si="185"/>
        <v>336</v>
      </c>
      <c r="AU374" s="711">
        <f t="shared" si="182"/>
        <v>546</v>
      </c>
      <c r="AV374" s="711">
        <f t="shared" si="182"/>
        <v>2</v>
      </c>
      <c r="AW374" s="711">
        <f t="shared" si="182"/>
        <v>108</v>
      </c>
      <c r="AX374" s="711">
        <f t="shared" si="182"/>
        <v>156</v>
      </c>
      <c r="AY374" s="711">
        <f t="shared" si="182"/>
        <v>298</v>
      </c>
      <c r="AZ374" s="711">
        <f t="shared" si="182"/>
        <v>405</v>
      </c>
      <c r="BA374" s="711">
        <f t="shared" si="182"/>
        <v>349</v>
      </c>
    </row>
    <row r="375" spans="1:53">
      <c r="A375" s="106">
        <f t="shared" si="179"/>
        <v>364</v>
      </c>
      <c r="B375" s="858">
        <v>42368</v>
      </c>
      <c r="C375" s="859" t="s">
        <v>1724</v>
      </c>
      <c r="D375" s="860">
        <v>5142</v>
      </c>
      <c r="E375" s="860">
        <v>5122</v>
      </c>
      <c r="F375" s="860">
        <v>5083</v>
      </c>
      <c r="G375" s="860">
        <v>5069</v>
      </c>
      <c r="H375" s="860">
        <v>5080</v>
      </c>
      <c r="I375" s="860">
        <v>5324</v>
      </c>
      <c r="J375" s="860">
        <v>5575</v>
      </c>
      <c r="K375" s="860">
        <v>5790</v>
      </c>
      <c r="L375" s="860">
        <v>5906</v>
      </c>
      <c r="M375" s="860">
        <v>5884</v>
      </c>
      <c r="N375" s="860">
        <v>5753</v>
      </c>
      <c r="O375" s="860">
        <v>5645</v>
      </c>
      <c r="P375" s="860">
        <v>5574</v>
      </c>
      <c r="Q375" s="860">
        <v>5580</v>
      </c>
      <c r="R375" s="860">
        <v>5583</v>
      </c>
      <c r="S375" s="860">
        <v>5673</v>
      </c>
      <c r="T375" s="860">
        <v>5980</v>
      </c>
      <c r="U375" s="860">
        <v>6517</v>
      </c>
      <c r="V375" s="860">
        <v>6502</v>
      </c>
      <c r="W375" s="860">
        <v>6404</v>
      </c>
      <c r="X375" s="860">
        <v>6254</v>
      </c>
      <c r="Y375" s="860">
        <v>5954</v>
      </c>
      <c r="Z375" s="860">
        <v>5567</v>
      </c>
      <c r="AA375" s="860">
        <v>5327</v>
      </c>
      <c r="AC375" s="712">
        <f>AC374+1</f>
        <v>364</v>
      </c>
      <c r="AD375" s="711">
        <f>ABS(D375-AA374)</f>
        <v>88</v>
      </c>
      <c r="AE375" s="711">
        <f t="shared" ref="AE375:AN376" si="186">ABS(E375-D375)</f>
        <v>20</v>
      </c>
      <c r="AF375" s="711">
        <f t="shared" si="186"/>
        <v>39</v>
      </c>
      <c r="AG375" s="711">
        <f t="shared" si="186"/>
        <v>14</v>
      </c>
      <c r="AH375" s="711">
        <f t="shared" si="186"/>
        <v>11</v>
      </c>
      <c r="AI375" s="711">
        <f t="shared" si="186"/>
        <v>244</v>
      </c>
      <c r="AJ375" s="711">
        <f t="shared" si="186"/>
        <v>251</v>
      </c>
      <c r="AK375" s="711">
        <f t="shared" si="186"/>
        <v>215</v>
      </c>
      <c r="AL375" s="711">
        <f t="shared" si="186"/>
        <v>116</v>
      </c>
      <c r="AM375" s="711">
        <f t="shared" si="186"/>
        <v>22</v>
      </c>
      <c r="AN375" s="711">
        <f t="shared" si="186"/>
        <v>131</v>
      </c>
      <c r="AO375" s="711">
        <f t="shared" si="183"/>
        <v>108</v>
      </c>
      <c r="AP375" s="711">
        <f t="shared" si="183"/>
        <v>71</v>
      </c>
      <c r="AQ375" s="711">
        <f t="shared" si="185"/>
        <v>6</v>
      </c>
      <c r="AR375" s="711">
        <f t="shared" si="185"/>
        <v>3</v>
      </c>
      <c r="AS375" s="711">
        <f t="shared" si="185"/>
        <v>90</v>
      </c>
      <c r="AT375" s="711">
        <f t="shared" si="185"/>
        <v>307</v>
      </c>
      <c r="AU375" s="711">
        <f t="shared" si="182"/>
        <v>537</v>
      </c>
      <c r="AV375" s="711">
        <f t="shared" si="182"/>
        <v>15</v>
      </c>
      <c r="AW375" s="711">
        <f t="shared" si="182"/>
        <v>98</v>
      </c>
      <c r="AX375" s="711">
        <f t="shared" si="182"/>
        <v>150</v>
      </c>
      <c r="AY375" s="711">
        <f t="shared" si="182"/>
        <v>300</v>
      </c>
      <c r="AZ375" s="711">
        <f t="shared" si="182"/>
        <v>387</v>
      </c>
      <c r="BA375" s="711">
        <f t="shared" si="182"/>
        <v>240</v>
      </c>
    </row>
    <row r="376" spans="1:53">
      <c r="A376" s="106">
        <f t="shared" si="179"/>
        <v>365</v>
      </c>
      <c r="B376" s="858">
        <v>42369</v>
      </c>
      <c r="C376" s="859" t="s">
        <v>1724</v>
      </c>
      <c r="D376" s="860">
        <v>5252</v>
      </c>
      <c r="E376" s="860">
        <v>5107</v>
      </c>
      <c r="F376" s="860">
        <v>5030</v>
      </c>
      <c r="G376" s="860">
        <v>5039</v>
      </c>
      <c r="H376" s="860">
        <v>5083</v>
      </c>
      <c r="I376" s="860">
        <v>5195</v>
      </c>
      <c r="J376" s="860">
        <v>5442</v>
      </c>
      <c r="K376" s="860">
        <v>5661</v>
      </c>
      <c r="L376" s="860">
        <v>5760</v>
      </c>
      <c r="M376" s="860">
        <v>5772</v>
      </c>
      <c r="N376" s="860">
        <v>5693</v>
      </c>
      <c r="O376" s="860">
        <v>5592</v>
      </c>
      <c r="P376" s="860">
        <v>5486</v>
      </c>
      <c r="Q376" s="860">
        <v>5414</v>
      </c>
      <c r="R376" s="860">
        <v>5391</v>
      </c>
      <c r="S376" s="860">
        <v>5487</v>
      </c>
      <c r="T376" s="860">
        <v>5809</v>
      </c>
      <c r="U376" s="860">
        <v>6346</v>
      </c>
      <c r="V376" s="860">
        <v>6312</v>
      </c>
      <c r="W376" s="860">
        <v>6112</v>
      </c>
      <c r="X376" s="860">
        <v>5932</v>
      </c>
      <c r="Y376" s="860">
        <v>5723</v>
      </c>
      <c r="Z376" s="860">
        <v>5494</v>
      </c>
      <c r="AA376" s="860">
        <v>5372</v>
      </c>
      <c r="AC376" s="712">
        <f>AC375+1</f>
        <v>365</v>
      </c>
      <c r="AD376" s="711">
        <f>ABS(D376-AA375)</f>
        <v>75</v>
      </c>
      <c r="AE376" s="711">
        <f t="shared" si="186"/>
        <v>145</v>
      </c>
      <c r="AF376" s="711">
        <f t="shared" si="186"/>
        <v>77</v>
      </c>
      <c r="AG376" s="711">
        <f t="shared" si="186"/>
        <v>9</v>
      </c>
      <c r="AH376" s="711">
        <f t="shared" si="186"/>
        <v>44</v>
      </c>
      <c r="AI376" s="711">
        <f t="shared" si="186"/>
        <v>112</v>
      </c>
      <c r="AJ376" s="711">
        <f t="shared" si="186"/>
        <v>247</v>
      </c>
      <c r="AK376" s="711">
        <f t="shared" si="186"/>
        <v>219</v>
      </c>
      <c r="AL376" s="711">
        <f t="shared" si="186"/>
        <v>99</v>
      </c>
      <c r="AM376" s="711">
        <f t="shared" si="186"/>
        <v>12</v>
      </c>
      <c r="AN376" s="711">
        <f t="shared" si="186"/>
        <v>79</v>
      </c>
      <c r="AO376" s="711">
        <f t="shared" si="183"/>
        <v>101</v>
      </c>
      <c r="AP376" s="711">
        <f t="shared" si="183"/>
        <v>106</v>
      </c>
      <c r="AQ376" s="711">
        <f t="shared" si="185"/>
        <v>72</v>
      </c>
      <c r="AR376" s="711">
        <f t="shared" si="185"/>
        <v>23</v>
      </c>
      <c r="AS376" s="711">
        <f t="shared" si="185"/>
        <v>96</v>
      </c>
      <c r="AT376" s="711">
        <f t="shared" si="185"/>
        <v>322</v>
      </c>
      <c r="AU376" s="711">
        <f t="shared" si="182"/>
        <v>537</v>
      </c>
      <c r="AV376" s="711">
        <f t="shared" si="182"/>
        <v>34</v>
      </c>
      <c r="AW376" s="711">
        <f t="shared" si="182"/>
        <v>200</v>
      </c>
      <c r="AX376" s="711">
        <f t="shared" si="182"/>
        <v>180</v>
      </c>
      <c r="AY376" s="711">
        <f t="shared" si="182"/>
        <v>209</v>
      </c>
      <c r="AZ376" s="711">
        <f t="shared" si="182"/>
        <v>229</v>
      </c>
      <c r="BA376" s="711">
        <f t="shared" si="182"/>
        <v>122</v>
      </c>
    </row>
    <row r="379" spans="1:53">
      <c r="AA379" s="975"/>
    </row>
  </sheetData>
  <phoneticPr fontId="2" type="noConversion"/>
  <pageMargins left="0.5" right="0.5" top="1" bottom="1" header="0.5" footer="0.5"/>
  <pageSetup scale="50" fitToWidth="2" fitToHeight="33" orientation="landscape" r:id="rId1"/>
  <headerFooter alignWithMargins="0">
    <oddHeader>&amp;RPage &amp;P of &amp;N</oddHeader>
  </headerFooter>
  <colBreaks count="1" manualBreakCount="1">
    <brk id="28" max="375" man="1"/>
  </colBreaks>
  <ignoredErrors>
    <ignoredError sqref="D10:AA10 AD10:BA10"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56"/>
  <sheetViews>
    <sheetView view="pageBreakPreview" zoomScale="60" zoomScaleNormal="100" workbookViewId="0">
      <selection activeCell="Z34" sqref="Z34"/>
    </sheetView>
  </sheetViews>
  <sheetFormatPr defaultRowHeight="12.75"/>
  <cols>
    <col min="2" max="2" width="41.7109375" customWidth="1"/>
    <col min="3" max="3" width="12.28515625" customWidth="1"/>
    <col min="4" max="4" width="10.85546875" bestFit="1" customWidth="1"/>
    <col min="5" max="5" width="11" bestFit="1" customWidth="1"/>
    <col min="6" max="6" width="12.28515625" bestFit="1" customWidth="1"/>
    <col min="7" max="7" width="20.140625" bestFit="1" customWidth="1"/>
    <col min="8" max="8" width="15.28515625" bestFit="1" customWidth="1"/>
    <col min="9" max="9" width="12.42578125" bestFit="1" customWidth="1"/>
    <col min="10" max="10" width="23.28515625" customWidth="1"/>
    <col min="12" max="12" width="8.5703125" customWidth="1"/>
  </cols>
  <sheetData>
    <row r="1" spans="1:10">
      <c r="A1" s="99" t="str">
        <f>'Cover Page'!A5</f>
        <v>Public Service Company of Colorado</v>
      </c>
      <c r="I1" s="133" t="str">
        <f>'Table of Contents'!A43</f>
        <v>Table 35</v>
      </c>
      <c r="J1" s="133"/>
    </row>
    <row r="2" spans="1:10">
      <c r="A2" s="99" t="str">
        <f>'Cover Page'!A6</f>
        <v>Transmission Formula Rate Template</v>
      </c>
      <c r="I2" s="133" t="str">
        <f ca="1">MID(CELL("filename",$A$1),FIND("]",CELL("filename",$A$1))+1,LEN(CELL("filename",$A$1))-FIND("]",CELL("filename",$A$1)))</f>
        <v>Schedule 16</v>
      </c>
      <c r="J2" s="133"/>
    </row>
    <row r="3" spans="1:10">
      <c r="A3" s="940" t="s">
        <v>1550</v>
      </c>
      <c r="B3" s="908"/>
      <c r="C3" s="908"/>
      <c r="D3" s="908"/>
      <c r="E3" s="908"/>
      <c r="F3" s="908"/>
      <c r="G3" s="908"/>
      <c r="H3" s="908"/>
      <c r="I3" s="908"/>
    </row>
    <row r="4" spans="1:10">
      <c r="A4" s="941" t="s">
        <v>1495</v>
      </c>
      <c r="B4" s="909"/>
      <c r="C4" s="909"/>
      <c r="D4" s="910"/>
      <c r="E4" s="910"/>
      <c r="F4" s="911"/>
      <c r="G4" s="910"/>
      <c r="H4" s="909"/>
      <c r="I4" s="910"/>
    </row>
    <row r="5" spans="1:10">
      <c r="A5" s="910"/>
      <c r="B5" s="908"/>
      <c r="C5" s="908"/>
      <c r="D5" s="908"/>
      <c r="E5" s="908"/>
      <c r="F5" s="908"/>
      <c r="G5" s="908"/>
      <c r="H5" s="908"/>
      <c r="I5" s="908"/>
    </row>
    <row r="6" spans="1:10" ht="63.75">
      <c r="A6" s="912" t="s">
        <v>1375</v>
      </c>
      <c r="B6" s="912" t="s">
        <v>1449</v>
      </c>
      <c r="C6" s="913"/>
      <c r="D6" s="912" t="s">
        <v>1450</v>
      </c>
      <c r="E6" s="912" t="s">
        <v>1496</v>
      </c>
      <c r="F6" s="914" t="s">
        <v>1497</v>
      </c>
      <c r="G6" s="915" t="s">
        <v>1453</v>
      </c>
      <c r="H6" s="914" t="s">
        <v>1454</v>
      </c>
      <c r="I6" s="916" t="s">
        <v>1455</v>
      </c>
    </row>
    <row r="7" spans="1:10">
      <c r="A7" s="917"/>
      <c r="B7" s="918" t="s">
        <v>1456</v>
      </c>
      <c r="C7" s="918" t="s">
        <v>1457</v>
      </c>
      <c r="D7" s="918" t="s">
        <v>1458</v>
      </c>
      <c r="E7" s="918" t="s">
        <v>1459</v>
      </c>
      <c r="F7" s="918" t="s">
        <v>1460</v>
      </c>
      <c r="G7" s="918" t="s">
        <v>1461</v>
      </c>
      <c r="H7" s="918" t="s">
        <v>1462</v>
      </c>
      <c r="I7" s="918" t="s">
        <v>1463</v>
      </c>
      <c r="J7" s="173"/>
    </row>
    <row r="8" spans="1:10">
      <c r="A8" s="917"/>
      <c r="B8" s="918"/>
      <c r="C8" s="918"/>
      <c r="D8" s="918"/>
      <c r="E8" s="918"/>
      <c r="F8" s="918"/>
      <c r="G8" s="918"/>
      <c r="H8" s="918"/>
      <c r="I8" s="918"/>
      <c r="J8" s="194"/>
    </row>
    <row r="9" spans="1:10">
      <c r="A9" s="919">
        <v>1</v>
      </c>
      <c r="B9" s="920" t="s">
        <v>430</v>
      </c>
      <c r="C9" s="921"/>
      <c r="D9" s="922">
        <v>1.1955172700077142E-2</v>
      </c>
      <c r="E9" s="923">
        <v>0</v>
      </c>
      <c r="F9" s="923">
        <v>0</v>
      </c>
      <c r="G9" s="923">
        <f>E9*(WP_FCR!$F$28-WP_FCR!$F$8)</f>
        <v>0</v>
      </c>
      <c r="H9" s="924">
        <f>D9*'WP_Reactive Cost'!G9</f>
        <v>0</v>
      </c>
      <c r="I9" s="925">
        <f t="shared" ref="I9:I30" si="0">+ROUND((G9+F9-H9)*D9,2)</f>
        <v>0</v>
      </c>
      <c r="J9" s="106"/>
    </row>
    <row r="10" spans="1:10">
      <c r="A10" s="919">
        <f>+A9+1</f>
        <v>2</v>
      </c>
      <c r="B10" s="920" t="s">
        <v>431</v>
      </c>
      <c r="C10" s="921"/>
      <c r="D10" s="922">
        <v>2.8383173819435829E-2</v>
      </c>
      <c r="E10" s="923">
        <f>'WP_Installed Cost'!H10</f>
        <v>540.0385</v>
      </c>
      <c r="F10" s="923">
        <f>IF('WP_O&amp;M Cost'!L10=0,0,'WP_O&amp;M Cost'!L10/'WP_O&amp;M Cost'!C10/1000)</f>
        <v>6.8410636615262943</v>
      </c>
      <c r="G10" s="923">
        <f>E10*(WP_FCR!$F$28-WP_FCR!$F$8)</f>
        <v>62.388745998583062</v>
      </c>
      <c r="H10" s="924">
        <f>D10*'WP_Reactive Cost'!G10</f>
        <v>7.4848754624100997E-2</v>
      </c>
      <c r="I10" s="925">
        <f t="shared" si="0"/>
        <v>1.96</v>
      </c>
      <c r="J10" s="106"/>
    </row>
    <row r="11" spans="1:10">
      <c r="A11" s="919">
        <f t="shared" ref="A11:A48" si="1">+A10+1</f>
        <v>3</v>
      </c>
      <c r="B11" s="920" t="s">
        <v>432</v>
      </c>
      <c r="C11" s="921"/>
      <c r="D11" s="922">
        <v>2.9525833646238616E-2</v>
      </c>
      <c r="E11" s="923">
        <f>'WP_Installed Cost'!H12</f>
        <v>945.50570000000005</v>
      </c>
      <c r="F11" s="923">
        <f>IF('WP_O&amp;M Cost'!L12=0,0,'WP_O&amp;M Cost'!L12/'WP_O&amp;M Cost'!C12/1000)</f>
        <v>20.4668776371308</v>
      </c>
      <c r="G11" s="923">
        <f>E11*(WP_FCR!$F$28-WP_FCR!$F$8)</f>
        <v>109.23094364107833</v>
      </c>
      <c r="H11" s="924">
        <f>D11*'WP_Reactive Cost'!G12</f>
        <v>7.7862042198608053E-2</v>
      </c>
      <c r="I11" s="925">
        <f t="shared" si="0"/>
        <v>3.83</v>
      </c>
      <c r="J11" s="848"/>
    </row>
    <row r="12" spans="1:10">
      <c r="A12" s="919">
        <f t="shared" si="1"/>
        <v>4</v>
      </c>
      <c r="B12" s="920" t="s">
        <v>433</v>
      </c>
      <c r="C12" s="921"/>
      <c r="D12" s="922">
        <v>0</v>
      </c>
      <c r="E12" s="923">
        <f>'WP_Installed Cost'!H13</f>
        <v>1121.7799</v>
      </c>
      <c r="F12" s="923">
        <f>IF('WP_O&amp;M Cost'!L13=0,0,'WP_O&amp;M Cost'!L13/'WP_O&amp;M Cost'!C13/1000)</f>
        <v>27.941622554660526</v>
      </c>
      <c r="G12" s="923">
        <f>E12*(WP_FCR!$F$28-WP_FCR!$F$8)</f>
        <v>129.59528116498342</v>
      </c>
      <c r="H12" s="924">
        <f>D12*'WP_Reactive Cost'!G13</f>
        <v>0</v>
      </c>
      <c r="I12" s="925">
        <f t="shared" si="0"/>
        <v>0</v>
      </c>
      <c r="J12" s="428"/>
    </row>
    <row r="13" spans="1:10">
      <c r="A13" s="919">
        <f t="shared" si="1"/>
        <v>5</v>
      </c>
      <c r="B13" s="920" t="s">
        <v>441</v>
      </c>
      <c r="C13" s="921"/>
      <c r="D13" s="922">
        <v>5.9501257919995455E-3</v>
      </c>
      <c r="E13" s="923">
        <f>'WP_Installed Cost'!H14</f>
        <v>674.97680000000003</v>
      </c>
      <c r="F13" s="923">
        <f>IF('WP_O&amp;M Cost'!L14=0,0,'WP_O&amp;M Cost'!L14/'WP_O&amp;M Cost'!C14/1000)</f>
        <v>22.002954511270119</v>
      </c>
      <c r="G13" s="923">
        <f>E13*(WP_FCR!$F$28-WP_FCR!$F$8)</f>
        <v>77.977692572171051</v>
      </c>
      <c r="H13" s="924">
        <f>D13*'WP_Reactive Cost'!G14</f>
        <v>1.5690969171423021E-2</v>
      </c>
      <c r="I13" s="925">
        <f t="shared" si="0"/>
        <v>0.59</v>
      </c>
      <c r="J13" s="428"/>
    </row>
    <row r="14" spans="1:10">
      <c r="A14" s="919">
        <f t="shared" si="1"/>
        <v>6</v>
      </c>
      <c r="B14" s="920" t="s">
        <v>442</v>
      </c>
      <c r="C14" s="921"/>
      <c r="D14" s="922">
        <v>1.3885070757199669E-2</v>
      </c>
      <c r="E14" s="923">
        <f>'WP_Installed Cost'!H15</f>
        <v>1662.3258000000001</v>
      </c>
      <c r="F14" s="923">
        <f>IF('WP_O&amp;M Cost'!L15=0,0,'WP_O&amp;M Cost'!L15/'WP_O&amp;M Cost'!C15/1000)</f>
        <v>36.818226422609669</v>
      </c>
      <c r="G14" s="923">
        <f>E14*(WP_FCR!$F$28-WP_FCR!$F$8)</f>
        <v>192.04264529860629</v>
      </c>
      <c r="H14" s="924">
        <f>D14*'WP_Reactive Cost'!G15</f>
        <v>3.6616069106840149E-2</v>
      </c>
      <c r="I14" s="925">
        <f t="shared" si="0"/>
        <v>3.18</v>
      </c>
      <c r="J14" s="428"/>
    </row>
    <row r="15" spans="1:10">
      <c r="A15" s="919">
        <f t="shared" si="1"/>
        <v>7</v>
      </c>
      <c r="B15" s="920" t="s">
        <v>635</v>
      </c>
      <c r="C15" s="921"/>
      <c r="D15" s="922">
        <v>9.9614168666103259E-3</v>
      </c>
      <c r="E15" s="923">
        <f>'WP_Installed Cost'!H16</f>
        <v>740.54269999999997</v>
      </c>
      <c r="F15" s="923">
        <f>IF('WP_O&amp;M Cost'!L16=0,0,'WP_O&amp;M Cost'!L16/'WP_O&amp;M Cost'!C16/1000)</f>
        <v>30.108696786310517</v>
      </c>
      <c r="G15" s="923">
        <f>E15*(WP_FCR!$F$28-WP_FCR!$F$8)</f>
        <v>85.55229008932676</v>
      </c>
      <c r="H15" s="924">
        <f>D15*'WP_Reactive Cost'!G16</f>
        <v>2.6269072356056817E-2</v>
      </c>
      <c r="I15" s="925">
        <f t="shared" si="0"/>
        <v>1.1499999999999999</v>
      </c>
      <c r="J15" s="428"/>
    </row>
    <row r="16" spans="1:10">
      <c r="A16" s="919">
        <f t="shared" si="1"/>
        <v>8</v>
      </c>
      <c r="B16" s="920" t="s">
        <v>443</v>
      </c>
      <c r="C16" s="921"/>
      <c r="D16" s="922">
        <v>0</v>
      </c>
      <c r="E16" s="923">
        <f>'WP_Installed Cost'!H17</f>
        <v>352.88040000000001</v>
      </c>
      <c r="F16" s="923">
        <f>IF('WP_O&amp;M Cost'!L17=0,0,'WP_O&amp;M Cost'!L17/'WP_O&amp;M Cost'!C17/1000)</f>
        <v>28.995493333333332</v>
      </c>
      <c r="G16" s="923">
        <f>E16*(WP_FCR!$F$28-WP_FCR!$F$8)</f>
        <v>40.767029838573343</v>
      </c>
      <c r="H16" s="924">
        <f>D16*'WP_Reactive Cost'!G17</f>
        <v>0</v>
      </c>
      <c r="I16" s="925">
        <f t="shared" si="0"/>
        <v>0</v>
      </c>
      <c r="J16" s="428"/>
    </row>
    <row r="17" spans="1:10">
      <c r="A17" s="919">
        <f t="shared" si="1"/>
        <v>9</v>
      </c>
      <c r="B17" s="920" t="s">
        <v>444</v>
      </c>
      <c r="C17" s="921"/>
      <c r="D17" s="922">
        <v>8.7475751447231714E-3</v>
      </c>
      <c r="E17" s="923">
        <f>'WP_Installed Cost'!H18</f>
        <v>181.22290000000001</v>
      </c>
      <c r="F17" s="923">
        <f>IF('WP_O&amp;M Cost'!L18=0,0,'WP_O&amp;M Cost'!L18/'WP_O&amp;M Cost'!C18/1000)</f>
        <v>1.2732169669669671</v>
      </c>
      <c r="G17" s="923">
        <f>E17*(WP_FCR!$F$28-WP_FCR!$F$8)</f>
        <v>20.936043406584194</v>
      </c>
      <c r="H17" s="924">
        <f>D17*'WP_Reactive Cost'!G18</f>
        <v>2.3068072292708942E-2</v>
      </c>
      <c r="I17" s="925">
        <f t="shared" si="0"/>
        <v>0.19</v>
      </c>
      <c r="J17" s="428"/>
    </row>
    <row r="18" spans="1:10">
      <c r="A18" s="919">
        <f t="shared" si="1"/>
        <v>10</v>
      </c>
      <c r="B18" s="920" t="s">
        <v>445</v>
      </c>
      <c r="C18" s="921"/>
      <c r="D18" s="922">
        <v>2.4912201419450605E-2</v>
      </c>
      <c r="E18" s="923">
        <f>'WP_Installed Cost'!H19</f>
        <v>136.16130000000001</v>
      </c>
      <c r="F18" s="923">
        <f>IF('WP_O&amp;M Cost'!L19=0,0,'WP_O&amp;M Cost'!L19/'WP_O&amp;M Cost'!C19/1000)</f>
        <v>0.20038690476190477</v>
      </c>
      <c r="G18" s="923">
        <f>E18*(WP_FCR!$F$28-WP_FCR!$F$8)</f>
        <v>15.73023545642925</v>
      </c>
      <c r="H18" s="924">
        <f>D18*'WP_Reactive Cost'!G19</f>
        <v>6.5695516049505076E-2</v>
      </c>
      <c r="I18" s="925">
        <f t="shared" si="0"/>
        <v>0.4</v>
      </c>
      <c r="J18" s="428"/>
    </row>
    <row r="19" spans="1:10">
      <c r="A19" s="919">
        <f t="shared" si="1"/>
        <v>11</v>
      </c>
      <c r="B19" s="920" t="s">
        <v>446</v>
      </c>
      <c r="C19" s="921"/>
      <c r="D19" s="922">
        <v>6.8114984515471539E-3</v>
      </c>
      <c r="E19" s="923">
        <f>'WP_Installed Cost'!H20</f>
        <v>130.0265</v>
      </c>
      <c r="F19" s="923">
        <f>IF('WP_O&amp;M Cost'!L20=0,0,'WP_O&amp;M Cost'!L20/'WP_O&amp;M Cost'!C20/1000)</f>
        <v>0.45138888888888884</v>
      </c>
      <c r="G19" s="923">
        <f>E19*(WP_FCR!$F$28-WP_FCR!$F$8)</f>
        <v>15.021503617954572</v>
      </c>
      <c r="H19" s="924">
        <f>D19*'WP_Reactive Cost'!G20</f>
        <v>1.7962479441717021E-2</v>
      </c>
      <c r="I19" s="925">
        <f t="shared" si="0"/>
        <v>0.11</v>
      </c>
      <c r="J19" s="428"/>
    </row>
    <row r="20" spans="1:10">
      <c r="A20" s="919">
        <f t="shared" si="1"/>
        <v>12</v>
      </c>
      <c r="B20" s="920" t="s">
        <v>447</v>
      </c>
      <c r="C20" s="921"/>
      <c r="D20" s="922">
        <v>1.1866813276474989E-2</v>
      </c>
      <c r="E20" s="923">
        <f>'WP_Installed Cost'!H21</f>
        <v>158.74639999999999</v>
      </c>
      <c r="F20" s="923">
        <f>IF('WP_O&amp;M Cost'!L21=0,0,'WP_O&amp;M Cost'!L21/'WP_O&amp;M Cost'!C21/1000)</f>
        <v>0.20059021922428333</v>
      </c>
      <c r="G20" s="923">
        <f>E20*(WP_FCR!$F$28-WP_FCR!$F$8)</f>
        <v>18.3394125192731</v>
      </c>
      <c r="H20" s="924">
        <f>D20*'WP_Reactive Cost'!G21</f>
        <v>3.1293758786506129E-2</v>
      </c>
      <c r="I20" s="925">
        <f t="shared" si="0"/>
        <v>0.22</v>
      </c>
      <c r="J20" s="428"/>
    </row>
    <row r="21" spans="1:10">
      <c r="A21" s="919">
        <f t="shared" si="1"/>
        <v>13</v>
      </c>
      <c r="B21" s="920" t="s">
        <v>636</v>
      </c>
      <c r="C21" s="921"/>
      <c r="D21" s="922">
        <v>7.2973685860219253E-2</v>
      </c>
      <c r="E21" s="923">
        <f>'WP_Installed Cost'!H22</f>
        <v>493.6644</v>
      </c>
      <c r="F21" s="923">
        <f>IF('WP_O&amp;M Cost'!L22=0,0,'WP_O&amp;M Cost'!L22/'WP_O&amp;M Cost'!C22/1000)</f>
        <v>8.5638854640778934</v>
      </c>
      <c r="G21" s="923">
        <f>E21*(WP_FCR!$F$28-WP_FCR!$F$8)</f>
        <v>57.031309545787764</v>
      </c>
      <c r="H21" s="924">
        <f>D21*'WP_Reactive Cost'!G22</f>
        <v>0.1924375879073677</v>
      </c>
      <c r="I21" s="925">
        <f t="shared" si="0"/>
        <v>4.7699999999999996</v>
      </c>
      <c r="J21" s="428"/>
    </row>
    <row r="22" spans="1:10">
      <c r="A22" s="919">
        <f t="shared" si="1"/>
        <v>14</v>
      </c>
      <c r="B22" s="920" t="s">
        <v>742</v>
      </c>
      <c r="C22" s="921"/>
      <c r="D22" s="922">
        <v>0.13258542722243716</v>
      </c>
      <c r="E22" s="923">
        <f>'WP_Installed Cost'!H23</f>
        <v>587.904</v>
      </c>
      <c r="F22" s="923">
        <f>IF('WP_O&amp;M Cost'!L23=0,0,'WP_O&amp;M Cost'!L23/'WP_O&amp;M Cost'!C23/1000)</f>
        <v>0.98455614973262029</v>
      </c>
      <c r="G22" s="923">
        <f>E22*(WP_FCR!$F$28-WP_FCR!$F$8)</f>
        <v>67.91847864096907</v>
      </c>
      <c r="H22" s="924">
        <f>D22*'WP_Reactive Cost'!G23</f>
        <v>0.34963863350998059</v>
      </c>
      <c r="I22" s="925">
        <f t="shared" si="0"/>
        <v>9.09</v>
      </c>
      <c r="J22" s="428"/>
    </row>
    <row r="23" spans="1:10">
      <c r="A23" s="919">
        <f t="shared" si="1"/>
        <v>15</v>
      </c>
      <c r="B23" s="920" t="s">
        <v>1197</v>
      </c>
      <c r="C23" s="921"/>
      <c r="D23" s="922">
        <v>0.11208326461704594</v>
      </c>
      <c r="E23" s="923">
        <f>'WP_Installed Cost'!H24</f>
        <v>548.16660000000002</v>
      </c>
      <c r="F23" s="923">
        <f>IF('WP_O&amp;M Cost'!L24=0,0,'WP_O&amp;M Cost'!L24/'WP_O&amp;M Cost'!C24/1000)</f>
        <v>4.1424308697838104</v>
      </c>
      <c r="G23" s="923">
        <f>E23*(WP_FCR!$F$28-WP_FCR!$F$8)</f>
        <v>63.327756766058123</v>
      </c>
      <c r="H23" s="924">
        <f>D23*'WP_Reactive Cost'!G24</f>
        <v>0.2955727511010327</v>
      </c>
      <c r="I23" s="925">
        <f t="shared" si="0"/>
        <v>7.53</v>
      </c>
      <c r="J23" s="428"/>
    </row>
    <row r="24" spans="1:10">
      <c r="A24" s="919">
        <f t="shared" si="1"/>
        <v>16</v>
      </c>
      <c r="B24" s="920" t="s">
        <v>743</v>
      </c>
      <c r="C24" s="921"/>
      <c r="D24" s="922">
        <v>8.0625902142340139E-2</v>
      </c>
      <c r="E24" s="923">
        <f>'WP_Installed Cost'!H25</f>
        <v>578.82939999999996</v>
      </c>
      <c r="F24" s="923">
        <f>IF('WP_O&amp;M Cost'!L25=0,0,'WP_O&amp;M Cost'!L25/'WP_O&amp;M Cost'!C25/1000)</f>
        <v>17.066489563567359</v>
      </c>
      <c r="G24" s="923">
        <f>E24*(WP_FCR!$F$28-WP_FCR!$F$8)</f>
        <v>66.870122061875648</v>
      </c>
      <c r="H24" s="924">
        <f>D24*'WP_Reactive Cost'!G25</f>
        <v>0.21261710914324905</v>
      </c>
      <c r="I24" s="925">
        <f t="shared" si="0"/>
        <v>6.75</v>
      </c>
      <c r="J24" s="428"/>
    </row>
    <row r="25" spans="1:10">
      <c r="A25" s="919">
        <f t="shared" si="1"/>
        <v>17</v>
      </c>
      <c r="B25" s="920" t="s">
        <v>448</v>
      </c>
      <c r="C25" s="921"/>
      <c r="D25" s="922">
        <v>6.1908009459377522E-2</v>
      </c>
      <c r="E25" s="923">
        <f>'WP_Installed Cost'!H26</f>
        <v>200.30459999999999</v>
      </c>
      <c r="F25" s="923">
        <f>IF('WP_O&amp;M Cost'!L26=0,0,'WP_O&amp;M Cost'!L26/'WP_O&amp;M Cost'!C26/1000)</f>
        <v>6.6025</v>
      </c>
      <c r="G25" s="923">
        <f>E25*(WP_FCR!$F$28-WP_FCR!$F$8)</f>
        <v>23.140485005694558</v>
      </c>
      <c r="H25" s="924">
        <f>D25*'WP_Reactive Cost'!G27</f>
        <v>0.16325649269421894</v>
      </c>
      <c r="I25" s="925">
        <f t="shared" si="0"/>
        <v>1.83</v>
      </c>
      <c r="J25" s="428"/>
    </row>
    <row r="26" spans="1:10">
      <c r="A26" s="919">
        <f t="shared" si="1"/>
        <v>18</v>
      </c>
      <c r="B26" s="920" t="s">
        <v>1465</v>
      </c>
      <c r="C26" s="921"/>
      <c r="D26" s="922">
        <v>4.0217201267452811E-2</v>
      </c>
      <c r="E26" s="923">
        <f>'WP_Installed Cost'!H27</f>
        <v>75</v>
      </c>
      <c r="F26" s="923">
        <f>IF('WP_O&amp;M Cost'!L27=0,0,'WP_O&amp;M Cost'!L27/'WP_O&amp;M Cost'!C27/1000)</f>
        <v>0</v>
      </c>
      <c r="G26" s="923">
        <f>E26</f>
        <v>75</v>
      </c>
      <c r="H26" s="924">
        <v>0.21</v>
      </c>
      <c r="I26" s="925">
        <f>+ROUND((G26+F26-H26)*D26,2)</f>
        <v>3.01</v>
      </c>
      <c r="J26" s="963"/>
    </row>
    <row r="27" spans="1:10">
      <c r="A27" s="919">
        <f t="shared" si="1"/>
        <v>19</v>
      </c>
      <c r="B27" s="920" t="s">
        <v>1466</v>
      </c>
      <c r="C27" s="921"/>
      <c r="D27" s="922">
        <v>6.5032070134604547E-2</v>
      </c>
      <c r="E27" s="923">
        <f>'WP_Installed Cost'!H28</f>
        <v>73</v>
      </c>
      <c r="F27" s="923">
        <f>IF('WP_O&amp;M Cost'!L28=0,0,'WP_O&amp;M Cost'!L28/'WP_O&amp;M Cost'!C28/1000)</f>
        <v>0</v>
      </c>
      <c r="G27" s="923">
        <f>E27</f>
        <v>73</v>
      </c>
      <c r="H27" s="924">
        <v>0.21</v>
      </c>
      <c r="I27" s="925">
        <f t="shared" si="0"/>
        <v>4.7300000000000004</v>
      </c>
      <c r="J27" s="428"/>
    </row>
    <row r="28" spans="1:10">
      <c r="A28" s="919">
        <f t="shared" si="1"/>
        <v>20</v>
      </c>
      <c r="B28" s="920" t="s">
        <v>1467</v>
      </c>
      <c r="C28" s="921"/>
      <c r="D28" s="922">
        <v>0.12227533811227842</v>
      </c>
      <c r="E28" s="923">
        <f>'WP_Installed Cost'!H29</f>
        <v>64</v>
      </c>
      <c r="F28" s="923">
        <f>IF('WP_O&amp;M Cost'!L29=0,0,'WP_O&amp;M Cost'!L29/'WP_O&amp;M Cost'!C29/1000)</f>
        <v>0</v>
      </c>
      <c r="G28" s="923">
        <f>E28</f>
        <v>64</v>
      </c>
      <c r="H28" s="924">
        <v>0.4</v>
      </c>
      <c r="I28" s="925">
        <f>+ROUND((G28+F28-H28)*D28,2)+0.01</f>
        <v>7.79</v>
      </c>
      <c r="J28" s="428"/>
    </row>
    <row r="29" spans="1:10">
      <c r="A29" s="919">
        <f t="shared" si="1"/>
        <v>21</v>
      </c>
      <c r="B29" s="920" t="s">
        <v>1468</v>
      </c>
      <c r="C29" s="921"/>
      <c r="D29" s="922">
        <v>5.15547843562323E-2</v>
      </c>
      <c r="E29" s="923">
        <f>'WP_Installed Cost'!H30</f>
        <v>98</v>
      </c>
      <c r="F29" s="923">
        <f>IF('WP_O&amp;M Cost'!L30=0,0,'WP_O&amp;M Cost'!L30/'WP_O&amp;M Cost'!C30/1000)</f>
        <v>0</v>
      </c>
      <c r="G29" s="923">
        <f>E29</f>
        <v>98</v>
      </c>
      <c r="H29" s="924">
        <v>0.17</v>
      </c>
      <c r="I29" s="925">
        <f>+ROUND((G29+F29-H29)*D29,2)+0.01</f>
        <v>5.05</v>
      </c>
      <c r="J29" s="428"/>
    </row>
    <row r="30" spans="1:10">
      <c r="A30" s="919">
        <f t="shared" si="1"/>
        <v>22</v>
      </c>
      <c r="B30" s="920" t="s">
        <v>1469</v>
      </c>
      <c r="C30" s="921"/>
      <c r="D30" s="922">
        <v>0.10836950857007675</v>
      </c>
      <c r="E30" s="923">
        <f>'WP_Installed Cost'!H31</f>
        <v>71</v>
      </c>
      <c r="F30" s="923">
        <f>IF('WP_O&amp;M Cost'!L31=0,0,'WP_O&amp;M Cost'!L31/'WP_O&amp;M Cost'!C31/1000)</f>
        <v>0</v>
      </c>
      <c r="G30" s="923">
        <f>E30</f>
        <v>71</v>
      </c>
      <c r="H30" s="924">
        <v>0.35</v>
      </c>
      <c r="I30" s="925">
        <f t="shared" si="0"/>
        <v>7.66</v>
      </c>
      <c r="J30" s="428"/>
    </row>
    <row r="31" spans="1:10">
      <c r="A31" s="919">
        <f t="shared" si="1"/>
        <v>23</v>
      </c>
      <c r="B31" s="910"/>
      <c r="C31" s="910"/>
      <c r="D31" s="910"/>
      <c r="E31" s="910" t="s">
        <v>1464</v>
      </c>
      <c r="F31" s="910"/>
      <c r="G31" s="910"/>
      <c r="H31" s="910"/>
      <c r="I31" s="910"/>
      <c r="J31" s="428"/>
    </row>
    <row r="32" spans="1:10">
      <c r="A32" s="919">
        <f t="shared" si="1"/>
        <v>24</v>
      </c>
      <c r="B32" s="910"/>
      <c r="C32" s="910"/>
      <c r="D32" s="910"/>
      <c r="E32" s="910" t="s">
        <v>1464</v>
      </c>
      <c r="F32" s="910"/>
      <c r="G32" s="910"/>
      <c r="H32" s="910"/>
      <c r="I32" s="910"/>
      <c r="J32" s="428"/>
    </row>
    <row r="33" spans="1:10">
      <c r="A33" s="919">
        <f t="shared" si="1"/>
        <v>25</v>
      </c>
      <c r="B33" s="910"/>
      <c r="C33" s="910"/>
      <c r="D33" s="87">
        <v>1</v>
      </c>
      <c r="E33" s="910" t="s">
        <v>1464</v>
      </c>
      <c r="F33" s="910"/>
      <c r="G33" s="909"/>
      <c r="H33" s="927"/>
      <c r="I33" s="928">
        <f>ROUND(SUM(I9:I30),2)</f>
        <v>69.84</v>
      </c>
      <c r="J33" s="428"/>
    </row>
    <row r="34" spans="1:10">
      <c r="A34" s="919">
        <f t="shared" si="1"/>
        <v>26</v>
      </c>
      <c r="B34" s="910"/>
      <c r="C34" s="910"/>
      <c r="D34" s="910"/>
      <c r="E34" s="910" t="s">
        <v>1464</v>
      </c>
      <c r="F34" s="910"/>
      <c r="G34" s="909"/>
      <c r="H34" s="929"/>
      <c r="I34" s="930">
        <v>0</v>
      </c>
      <c r="J34" s="428"/>
    </row>
    <row r="35" spans="1:10">
      <c r="A35" s="919">
        <f t="shared" si="1"/>
        <v>27</v>
      </c>
      <c r="B35" s="910"/>
      <c r="C35" s="910"/>
      <c r="D35" s="910"/>
      <c r="E35" s="910" t="s">
        <v>1464</v>
      </c>
      <c r="F35" s="910"/>
      <c r="G35" s="909"/>
      <c r="H35" s="931"/>
      <c r="I35" s="932">
        <f>+I33*1000</f>
        <v>69840</v>
      </c>
      <c r="J35" s="428"/>
    </row>
    <row r="36" spans="1:10">
      <c r="A36" s="919">
        <f t="shared" si="1"/>
        <v>28</v>
      </c>
      <c r="B36" s="926"/>
      <c r="C36" s="926"/>
      <c r="D36" s="926"/>
      <c r="E36" s="926" t="s">
        <v>1464</v>
      </c>
      <c r="F36" s="926"/>
      <c r="G36" s="926"/>
      <c r="H36" s="926"/>
      <c r="I36" s="942"/>
      <c r="J36" s="428"/>
    </row>
    <row r="37" spans="1:10">
      <c r="A37" s="919">
        <f t="shared" si="1"/>
        <v>29</v>
      </c>
      <c r="B37" s="910" t="s">
        <v>1474</v>
      </c>
      <c r="C37" s="910">
        <v>411</v>
      </c>
      <c r="D37" s="908"/>
      <c r="E37" s="908" t="s">
        <v>1464</v>
      </c>
      <c r="F37" s="908"/>
      <c r="G37" s="908"/>
      <c r="H37" s="908"/>
      <c r="I37" s="908"/>
      <c r="J37" s="428"/>
    </row>
    <row r="38" spans="1:10">
      <c r="A38" s="919">
        <f t="shared" si="1"/>
        <v>30</v>
      </c>
      <c r="B38" s="910" t="s">
        <v>1571</v>
      </c>
      <c r="C38" s="934">
        <v>2168</v>
      </c>
      <c r="D38" s="926"/>
      <c r="E38" s="926" t="s">
        <v>1464</v>
      </c>
      <c r="F38" s="926"/>
      <c r="G38" s="926"/>
      <c r="H38" s="926"/>
      <c r="I38" s="926"/>
      <c r="J38" s="428"/>
    </row>
    <row r="39" spans="1:10">
      <c r="A39" s="919">
        <f t="shared" si="1"/>
        <v>31</v>
      </c>
      <c r="B39" s="910" t="s">
        <v>1498</v>
      </c>
      <c r="C39" s="935">
        <f>+C37/C38</f>
        <v>0.18957564575645758</v>
      </c>
      <c r="D39" s="908"/>
      <c r="E39" s="908" t="s">
        <v>1464</v>
      </c>
      <c r="F39" s="908"/>
      <c r="G39" s="908"/>
      <c r="H39" s="908"/>
      <c r="I39" s="908"/>
      <c r="J39" s="428"/>
    </row>
    <row r="40" spans="1:10">
      <c r="A40" s="919">
        <f t="shared" si="1"/>
        <v>32</v>
      </c>
      <c r="B40" s="910" t="s">
        <v>1476</v>
      </c>
      <c r="C40" s="907">
        <f>I33</f>
        <v>69.84</v>
      </c>
      <c r="D40" s="908"/>
      <c r="E40" s="908" t="s">
        <v>1464</v>
      </c>
      <c r="F40" s="908"/>
      <c r="G40" s="908"/>
      <c r="H40" s="908"/>
      <c r="I40" s="908"/>
      <c r="J40" s="428"/>
    </row>
    <row r="41" spans="1:10">
      <c r="A41" s="919">
        <f t="shared" si="1"/>
        <v>33</v>
      </c>
      <c r="B41" s="910" t="s">
        <v>1477</v>
      </c>
      <c r="C41" s="936">
        <f>+C40/12</f>
        <v>5.82</v>
      </c>
      <c r="D41" s="908"/>
      <c r="E41" s="908" t="s">
        <v>1464</v>
      </c>
      <c r="F41" s="908"/>
      <c r="G41" s="908"/>
      <c r="H41" s="908"/>
      <c r="I41" s="908"/>
      <c r="J41" s="428"/>
    </row>
    <row r="42" spans="1:10">
      <c r="A42" s="919">
        <f t="shared" si="1"/>
        <v>34</v>
      </c>
      <c r="B42" s="910" t="s">
        <v>1478</v>
      </c>
      <c r="C42" s="936">
        <f>+C40/52</f>
        <v>1.3430769230769231</v>
      </c>
      <c r="D42" s="908"/>
      <c r="E42" s="908" t="s">
        <v>1464</v>
      </c>
      <c r="F42" s="908"/>
      <c r="G42" s="908"/>
      <c r="H42" s="908"/>
      <c r="I42" s="908"/>
      <c r="J42" s="428"/>
    </row>
    <row r="43" spans="1:10">
      <c r="A43" s="919">
        <f t="shared" si="1"/>
        <v>35</v>
      </c>
      <c r="B43" s="910" t="s">
        <v>1479</v>
      </c>
      <c r="C43" s="936">
        <f>+C42/6*1000</f>
        <v>223.84615384615384</v>
      </c>
      <c r="D43" s="908"/>
      <c r="E43" s="908"/>
      <c r="F43" s="908"/>
      <c r="G43" s="908"/>
      <c r="H43" s="908"/>
      <c r="I43" s="908"/>
      <c r="J43" s="428"/>
    </row>
    <row r="44" spans="1:10">
      <c r="A44" s="919">
        <f t="shared" si="1"/>
        <v>36</v>
      </c>
      <c r="B44" s="910" t="s">
        <v>1480</v>
      </c>
      <c r="C44" s="936">
        <f>+C42/7*1000</f>
        <v>191.86813186813188</v>
      </c>
      <c r="D44" s="908"/>
      <c r="E44" s="908"/>
      <c r="F44" s="908"/>
      <c r="G44" s="908"/>
      <c r="H44" s="908"/>
      <c r="I44" s="908"/>
      <c r="J44" s="428"/>
    </row>
    <row r="45" spans="1:10">
      <c r="A45" s="919">
        <f t="shared" si="1"/>
        <v>37</v>
      </c>
      <c r="B45" s="910" t="s">
        <v>1481</v>
      </c>
      <c r="C45" s="936">
        <f>+C43/16</f>
        <v>13.990384615384615</v>
      </c>
      <c r="D45" s="908"/>
      <c r="E45" s="908"/>
      <c r="F45" s="908"/>
      <c r="G45" s="908"/>
      <c r="H45" s="908"/>
      <c r="I45" s="908"/>
      <c r="J45" s="428"/>
    </row>
    <row r="46" spans="1:10">
      <c r="A46" s="919">
        <f t="shared" si="1"/>
        <v>38</v>
      </c>
      <c r="B46" s="910" t="s">
        <v>1482</v>
      </c>
      <c r="C46" s="936">
        <f>+C44/24</f>
        <v>7.9945054945054954</v>
      </c>
      <c r="D46" s="908"/>
      <c r="E46" s="908"/>
      <c r="F46" s="908"/>
      <c r="G46" s="908"/>
      <c r="H46" s="908"/>
      <c r="I46" s="908"/>
    </row>
    <row r="47" spans="1:10">
      <c r="A47" s="919">
        <f t="shared" si="1"/>
        <v>39</v>
      </c>
      <c r="B47" s="910" t="s">
        <v>1483</v>
      </c>
      <c r="C47" s="936">
        <f>+C41</f>
        <v>5.82</v>
      </c>
      <c r="D47" s="908"/>
      <c r="E47" s="908"/>
      <c r="F47" s="908"/>
      <c r="G47" s="908"/>
      <c r="H47" s="908"/>
      <c r="I47" s="908"/>
      <c r="J47" s="1"/>
    </row>
    <row r="48" spans="1:10">
      <c r="A48" s="919">
        <f t="shared" si="1"/>
        <v>40</v>
      </c>
      <c r="B48" s="910" t="s">
        <v>1484</v>
      </c>
      <c r="C48" s="936">
        <f>+C41</f>
        <v>5.82</v>
      </c>
      <c r="D48" s="908"/>
      <c r="E48" s="908"/>
      <c r="F48" s="908"/>
      <c r="G48" s="908"/>
      <c r="H48" s="908"/>
      <c r="I48" s="908"/>
    </row>
    <row r="49" spans="1:10">
      <c r="A49" s="919"/>
      <c r="B49" s="908"/>
      <c r="C49" s="908"/>
      <c r="D49" s="908"/>
      <c r="E49" s="908"/>
      <c r="F49" s="908"/>
      <c r="G49" s="908"/>
      <c r="H49" s="908"/>
      <c r="I49" s="908"/>
      <c r="J49" s="1"/>
    </row>
    <row r="50" spans="1:10">
      <c r="A50" s="910"/>
      <c r="B50" s="908"/>
      <c r="C50" s="908"/>
      <c r="D50" s="908"/>
      <c r="E50" s="908"/>
      <c r="F50" s="908"/>
      <c r="G50" s="908"/>
      <c r="H50" s="908"/>
      <c r="I50" s="908"/>
    </row>
    <row r="51" spans="1:10">
      <c r="A51" s="909"/>
      <c r="B51" s="910" t="s">
        <v>870</v>
      </c>
      <c r="C51" s="908"/>
      <c r="D51" s="908"/>
      <c r="E51" s="908"/>
      <c r="F51" s="908"/>
      <c r="G51" s="908"/>
      <c r="H51" s="908"/>
      <c r="I51" s="908"/>
      <c r="J51" s="1"/>
    </row>
    <row r="52" spans="1:10">
      <c r="A52" s="909"/>
      <c r="B52" s="937" t="s">
        <v>1485</v>
      </c>
      <c r="C52" s="908"/>
      <c r="D52" s="908"/>
      <c r="E52" s="908"/>
      <c r="F52" s="908"/>
      <c r="G52" s="908"/>
      <c r="H52" s="908"/>
      <c r="I52" s="908"/>
    </row>
    <row r="53" spans="1:10">
      <c r="A53" s="909"/>
      <c r="B53" s="938" t="s">
        <v>1486</v>
      </c>
      <c r="C53" s="908"/>
      <c r="D53" s="908"/>
      <c r="E53" s="908"/>
      <c r="F53" s="908"/>
      <c r="G53" s="908"/>
      <c r="H53" s="908"/>
      <c r="I53" s="908"/>
    </row>
    <row r="54" spans="1:10">
      <c r="A54" s="909"/>
      <c r="B54" s="939" t="s">
        <v>1487</v>
      </c>
      <c r="C54" s="926" t="s">
        <v>1549</v>
      </c>
      <c r="D54" s="926"/>
      <c r="E54" s="926"/>
      <c r="F54" s="926"/>
      <c r="G54" s="926"/>
      <c r="H54" s="908"/>
      <c r="I54" s="908"/>
    </row>
    <row r="55" spans="1:10">
      <c r="A55" s="910"/>
      <c r="B55" s="939" t="s">
        <v>1488</v>
      </c>
      <c r="C55" s="908"/>
      <c r="D55" s="908"/>
      <c r="E55" s="908"/>
      <c r="F55" s="908"/>
      <c r="G55" s="908"/>
      <c r="H55" s="908"/>
      <c r="I55" s="908"/>
    </row>
    <row r="56" spans="1:10">
      <c r="A56" s="910"/>
      <c r="B56" s="939" t="s">
        <v>1489</v>
      </c>
      <c r="C56" s="926"/>
      <c r="D56" s="926"/>
      <c r="E56" s="926"/>
      <c r="F56" s="926"/>
      <c r="G56" s="926"/>
      <c r="H56" s="908"/>
      <c r="I56" s="908"/>
    </row>
  </sheetData>
  <printOptions horizontalCentered="1"/>
  <pageMargins left="0.75" right="0.75" top="1" bottom="1" header="0.5" footer="0.5"/>
  <pageSetup scale="62" orientation="portrait" r:id="rId1"/>
  <headerFooter alignWithMargins="0">
    <oddHeader>&amp;RPage &amp;P of &amp;N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J40"/>
  <sheetViews>
    <sheetView view="pageBreakPreview" zoomScale="60" zoomScaleNormal="100" workbookViewId="0">
      <selection activeCell="Z34" sqref="Z34"/>
    </sheetView>
  </sheetViews>
  <sheetFormatPr defaultRowHeight="12.75"/>
  <cols>
    <col min="2" max="2" width="50.7109375" customWidth="1"/>
    <col min="3" max="3" width="15.28515625" bestFit="1" customWidth="1"/>
    <col min="4" max="4" width="16.85546875" bestFit="1" customWidth="1"/>
    <col min="5" max="5" width="12.7109375" bestFit="1" customWidth="1"/>
    <col min="6" max="7" width="10.7109375" bestFit="1" customWidth="1"/>
    <col min="8" max="8" width="12" bestFit="1" customWidth="1"/>
    <col min="9" max="9" width="17.5703125" bestFit="1" customWidth="1"/>
    <col min="10" max="10" width="23.28515625" customWidth="1"/>
    <col min="12" max="12" width="8.5703125" customWidth="1"/>
  </cols>
  <sheetData>
    <row r="1" spans="1:10">
      <c r="A1" s="99" t="str">
        <f>'Cover Page'!A5</f>
        <v>Public Service Company of Colorado</v>
      </c>
      <c r="I1" s="133" t="str">
        <f>'Table of Contents'!A44</f>
        <v>Table 36</v>
      </c>
      <c r="J1" s="133"/>
    </row>
    <row r="2" spans="1:10">
      <c r="A2" s="99" t="str">
        <f>'Cover Page'!A6</f>
        <v>Transmission Formula Rate Template</v>
      </c>
      <c r="I2" s="133" t="str">
        <f ca="1">MID(CELL("filename",$A$1),FIND("]",CELL("filename",$A$1))+1,LEN(CELL("filename",$A$1))-FIND("]",CELL("filename",$A$1)))</f>
        <v>WP_Installed Cost</v>
      </c>
      <c r="J2" s="133"/>
    </row>
    <row r="3" spans="1:10" ht="15">
      <c r="A3" s="944" t="s">
        <v>1499</v>
      </c>
      <c r="B3" s="945"/>
      <c r="C3" s="945"/>
      <c r="D3" s="945"/>
      <c r="E3" s="945"/>
      <c r="F3" s="945"/>
      <c r="G3" s="945"/>
      <c r="H3" s="945"/>
      <c r="I3" s="945"/>
    </row>
    <row r="4" spans="1:10">
      <c r="A4" s="943" t="str">
        <f>'Cover Page'!A7</f>
        <v>Twelve Months Ended December 31, 2017</v>
      </c>
      <c r="B4" s="909"/>
      <c r="C4" s="909"/>
      <c r="D4" s="910"/>
      <c r="E4" s="910"/>
      <c r="F4" s="911"/>
      <c r="G4" s="910"/>
      <c r="H4" s="909"/>
      <c r="I4" s="910"/>
    </row>
    <row r="5" spans="1:10" ht="15">
      <c r="A5" s="945"/>
      <c r="B5" s="945"/>
      <c r="C5" s="947"/>
      <c r="D5" s="947"/>
      <c r="E5" s="947"/>
      <c r="F5" s="947"/>
      <c r="G5" s="947"/>
      <c r="H5" s="947"/>
      <c r="I5" s="945"/>
    </row>
    <row r="6" spans="1:10" ht="51">
      <c r="A6" s="912" t="s">
        <v>1375</v>
      </c>
      <c r="B6" s="912" t="s">
        <v>461</v>
      </c>
      <c r="C6" s="916" t="s">
        <v>1500</v>
      </c>
      <c r="D6" s="916" t="s">
        <v>1501</v>
      </c>
      <c r="E6" s="916" t="s">
        <v>1502</v>
      </c>
      <c r="F6" s="916" t="s">
        <v>1503</v>
      </c>
      <c r="G6" s="912" t="s">
        <v>1504</v>
      </c>
      <c r="H6" s="916" t="s">
        <v>1505</v>
      </c>
      <c r="I6" s="916" t="s">
        <v>1506</v>
      </c>
    </row>
    <row r="7" spans="1:10">
      <c r="A7" s="917"/>
      <c r="B7" s="918" t="s">
        <v>1456</v>
      </c>
      <c r="C7" s="918" t="s">
        <v>1457</v>
      </c>
      <c r="D7" s="918" t="s">
        <v>1458</v>
      </c>
      <c r="E7" s="918" t="s">
        <v>1459</v>
      </c>
      <c r="F7" s="918" t="s">
        <v>1460</v>
      </c>
      <c r="G7" s="918" t="s">
        <v>1461</v>
      </c>
      <c r="H7" s="918" t="s">
        <v>1462</v>
      </c>
      <c r="I7" s="918" t="s">
        <v>1463</v>
      </c>
      <c r="J7" s="173"/>
    </row>
    <row r="8" spans="1:10" ht="15">
      <c r="A8" s="945"/>
      <c r="B8" s="945"/>
      <c r="C8" s="945"/>
      <c r="D8" s="945"/>
      <c r="E8" s="945"/>
      <c r="F8" s="945"/>
      <c r="G8" s="945"/>
      <c r="H8" s="945"/>
      <c r="I8" s="945"/>
      <c r="J8" s="194"/>
    </row>
    <row r="9" spans="1:10" ht="15">
      <c r="A9" s="919">
        <v>1</v>
      </c>
      <c r="B9" s="920" t="s">
        <v>430</v>
      </c>
      <c r="C9" s="1038">
        <v>-1348</v>
      </c>
      <c r="D9" s="1038">
        <v>0</v>
      </c>
      <c r="E9" s="951">
        <f>IF(D9=0,0,C9/D9)</f>
        <v>0</v>
      </c>
      <c r="F9" s="1039">
        <f>'WP_Cost per Unit'!F11</f>
        <v>0</v>
      </c>
      <c r="G9" s="952">
        <f>+F9</f>
        <v>0</v>
      </c>
      <c r="H9" s="961">
        <v>0</v>
      </c>
      <c r="I9" s="953">
        <f>IF(D9=0,0,D9/F9/8760/1000)</f>
        <v>0</v>
      </c>
      <c r="J9" s="106"/>
    </row>
    <row r="10" spans="1:10" ht="15">
      <c r="A10" s="919">
        <f>A9+1</f>
        <v>2</v>
      </c>
      <c r="B10" s="920" t="s">
        <v>1721</v>
      </c>
      <c r="C10" s="1038">
        <v>1925133</v>
      </c>
      <c r="D10" s="1038">
        <v>2345168000</v>
      </c>
      <c r="E10" s="951">
        <f t="shared" ref="E10:E31" si="0">IF(D10=0,0,C10/D10)</f>
        <v>8.2089342853049337E-4</v>
      </c>
      <c r="F10" s="1039">
        <f>'WP_Cost per Unit'!F13/1000</f>
        <v>505.8</v>
      </c>
      <c r="G10" s="952">
        <f>+G9+F10</f>
        <v>505.8</v>
      </c>
      <c r="H10" s="961">
        <v>540.0385</v>
      </c>
      <c r="I10" s="953">
        <f t="shared" ref="I10:I31" si="1">IF(D10=0,0,D10/F10/8760/1000)</f>
        <v>0.52928675762975952</v>
      </c>
      <c r="J10" s="106"/>
    </row>
    <row r="11" spans="1:10" ht="15">
      <c r="A11" s="919">
        <f t="shared" ref="A11:A31" si="2">A10+1</f>
        <v>3</v>
      </c>
      <c r="B11" s="920" t="s">
        <v>1722</v>
      </c>
      <c r="C11" s="1038">
        <v>74109017</v>
      </c>
      <c r="D11" s="1038">
        <v>1109775000</v>
      </c>
      <c r="E11" s="951">
        <f t="shared" si="0"/>
        <v>6.677841634565565E-2</v>
      </c>
      <c r="F11" s="1039">
        <f>'WP_Cost per Unit'!F15/1000</f>
        <v>625.6</v>
      </c>
      <c r="G11" s="952">
        <f>+G10+F11</f>
        <v>1131.4000000000001</v>
      </c>
      <c r="H11" s="961">
        <v>932.83</v>
      </c>
      <c r="I11" s="953">
        <f t="shared" si="1"/>
        <v>0.20250422607994953</v>
      </c>
      <c r="J11" s="106"/>
    </row>
    <row r="12" spans="1:10" ht="15">
      <c r="A12" s="919">
        <f t="shared" si="2"/>
        <v>4</v>
      </c>
      <c r="B12" s="920" t="s">
        <v>432</v>
      </c>
      <c r="C12" s="1038">
        <v>117289326</v>
      </c>
      <c r="D12" s="1038">
        <v>7029257000</v>
      </c>
      <c r="E12" s="951">
        <f t="shared" si="0"/>
        <v>1.6685878180297008E-2</v>
      </c>
      <c r="F12" s="1039">
        <f>'WP_Cost per Unit'!F17/1000</f>
        <v>1635.3</v>
      </c>
      <c r="G12" s="952">
        <f>+G10+F12</f>
        <v>2141.1</v>
      </c>
      <c r="H12" s="961">
        <v>945.50570000000005</v>
      </c>
      <c r="I12" s="953">
        <f t="shared" si="1"/>
        <v>0.4906907589882688</v>
      </c>
      <c r="J12" s="848"/>
    </row>
    <row r="13" spans="1:10" ht="15">
      <c r="A13" s="919">
        <f t="shared" si="2"/>
        <v>5</v>
      </c>
      <c r="B13" s="920" t="s">
        <v>433</v>
      </c>
      <c r="C13" s="1038">
        <v>10520711</v>
      </c>
      <c r="D13" s="1038">
        <v>527759520</v>
      </c>
      <c r="E13" s="951">
        <f t="shared" si="0"/>
        <v>1.9934668350463862E-2</v>
      </c>
      <c r="F13" s="1039">
        <f>'WP_Cost per Unit'!F19/1000</f>
        <v>86.9</v>
      </c>
      <c r="G13" s="952">
        <f t="shared" ref="G13:G31" si="3">+G12+F13</f>
        <v>2228</v>
      </c>
      <c r="H13" s="961">
        <v>1121.7799</v>
      </c>
      <c r="I13" s="953">
        <f t="shared" si="1"/>
        <v>0.69328562195564103</v>
      </c>
      <c r="J13" s="428"/>
    </row>
    <row r="14" spans="1:10" ht="15">
      <c r="A14" s="919">
        <f t="shared" si="2"/>
        <v>6</v>
      </c>
      <c r="B14" s="920" t="s">
        <v>441</v>
      </c>
      <c r="C14" s="1038">
        <v>34257052</v>
      </c>
      <c r="D14" s="1038">
        <v>1356341000</v>
      </c>
      <c r="E14" s="951">
        <f t="shared" si="0"/>
        <v>2.5256961191912654E-2</v>
      </c>
      <c r="F14" s="1039">
        <f>'WP_Cost per Unit'!F21/1000</f>
        <v>465.39</v>
      </c>
      <c r="G14" s="952">
        <f t="shared" si="3"/>
        <v>2693.39</v>
      </c>
      <c r="H14" s="961">
        <v>674.97680000000003</v>
      </c>
      <c r="I14" s="953">
        <f t="shared" si="1"/>
        <v>0.33269612043358149</v>
      </c>
      <c r="J14" s="428"/>
    </row>
    <row r="15" spans="1:10" ht="15">
      <c r="A15" s="919">
        <f t="shared" si="2"/>
        <v>7</v>
      </c>
      <c r="B15" s="920" t="s">
        <v>442</v>
      </c>
      <c r="C15" s="1038">
        <v>55348824</v>
      </c>
      <c r="D15" s="1038">
        <v>3427166000</v>
      </c>
      <c r="E15" s="951">
        <f t="shared" si="0"/>
        <v>1.6150027165302176E-2</v>
      </c>
      <c r="F15" s="1039">
        <f>'WP_Cost per Unit'!F23/1000</f>
        <v>552.33000000000004</v>
      </c>
      <c r="G15" s="952">
        <f t="shared" si="3"/>
        <v>3245.72</v>
      </c>
      <c r="H15" s="961">
        <v>1662.3258000000001</v>
      </c>
      <c r="I15" s="953">
        <f t="shared" si="1"/>
        <v>0.70832472513495548</v>
      </c>
      <c r="J15" s="428"/>
    </row>
    <row r="16" spans="1:10" ht="15">
      <c r="A16" s="919">
        <f t="shared" si="2"/>
        <v>8</v>
      </c>
      <c r="B16" s="920" t="s">
        <v>635</v>
      </c>
      <c r="C16" s="1038">
        <v>33922972</v>
      </c>
      <c r="D16" s="1038">
        <v>1057147000</v>
      </c>
      <c r="E16" s="951">
        <f t="shared" si="0"/>
        <v>3.2089172082974272E-2</v>
      </c>
      <c r="F16" s="1039">
        <f>'WP_Cost per Unit'!F25/1000</f>
        <v>191.68</v>
      </c>
      <c r="G16" s="952">
        <f t="shared" si="3"/>
        <v>3437.3999999999996</v>
      </c>
      <c r="H16" s="961">
        <v>740.54269999999997</v>
      </c>
      <c r="I16" s="953">
        <f t="shared" si="1"/>
        <v>0.62958514857334524</v>
      </c>
      <c r="J16" s="428"/>
    </row>
    <row r="17" spans="1:10" ht="15">
      <c r="A17" s="919">
        <f t="shared" si="2"/>
        <v>9</v>
      </c>
      <c r="B17" s="920" t="s">
        <v>443</v>
      </c>
      <c r="C17" s="1038">
        <v>49472</v>
      </c>
      <c r="D17" s="1038">
        <v>-1237000</v>
      </c>
      <c r="E17" s="951">
        <f t="shared" si="0"/>
        <v>-3.9993532740501214E-2</v>
      </c>
      <c r="F17" s="1039">
        <f>'WP_Cost per Unit'!F27/1000</f>
        <v>75</v>
      </c>
      <c r="G17" s="952">
        <f t="shared" si="3"/>
        <v>3512.3999999999996</v>
      </c>
      <c r="H17" s="961">
        <v>352.88040000000001</v>
      </c>
      <c r="I17" s="953">
        <f t="shared" si="1"/>
        <v>-1.882800608828006E-3</v>
      </c>
      <c r="J17" s="428"/>
    </row>
    <row r="18" spans="1:10" ht="15">
      <c r="A18" s="919">
        <f t="shared" si="2"/>
        <v>10</v>
      </c>
      <c r="B18" s="910" t="s">
        <v>444</v>
      </c>
      <c r="C18" s="1038">
        <v>313506</v>
      </c>
      <c r="D18" s="1038">
        <v>3585000</v>
      </c>
      <c r="E18" s="951">
        <f t="shared" si="0"/>
        <v>8.7449372384937232E-2</v>
      </c>
      <c r="F18" s="1039">
        <f>'WP_Cost per Unit'!F29/1000</f>
        <v>53.28</v>
      </c>
      <c r="G18" s="952">
        <f t="shared" si="3"/>
        <v>3565.68</v>
      </c>
      <c r="H18" s="961">
        <v>181.22290000000001</v>
      </c>
      <c r="I18" s="953">
        <f t="shared" si="1"/>
        <v>7.6810543420132455E-3</v>
      </c>
      <c r="J18" s="428"/>
    </row>
    <row r="19" spans="1:10" ht="15">
      <c r="A19" s="919">
        <f t="shared" si="2"/>
        <v>11</v>
      </c>
      <c r="B19" s="910" t="s">
        <v>445</v>
      </c>
      <c r="C19" s="1038">
        <v>333711</v>
      </c>
      <c r="D19" s="1038">
        <v>3201000</v>
      </c>
      <c r="E19" s="951">
        <f t="shared" si="0"/>
        <v>0.10425210871602625</v>
      </c>
      <c r="F19" s="1039">
        <f>'WP_Cost per Unit'!F31/1000</f>
        <v>100.8</v>
      </c>
      <c r="G19" s="952">
        <f t="shared" si="3"/>
        <v>3666.48</v>
      </c>
      <c r="H19" s="961">
        <v>136.16130000000001</v>
      </c>
      <c r="I19" s="953">
        <f t="shared" si="1"/>
        <v>3.6251087192868017E-3</v>
      </c>
      <c r="J19" s="428"/>
    </row>
    <row r="20" spans="1:10" ht="15">
      <c r="A20" s="919">
        <f t="shared" si="2"/>
        <v>12</v>
      </c>
      <c r="B20" s="910" t="s">
        <v>446</v>
      </c>
      <c r="C20" s="1038">
        <v>70413</v>
      </c>
      <c r="D20" s="1038">
        <v>135000</v>
      </c>
      <c r="E20" s="951">
        <f t="shared" si="0"/>
        <v>0.52157777777777781</v>
      </c>
      <c r="F20" s="1039">
        <f>'WP_Cost per Unit'!F33/1000</f>
        <v>26.64</v>
      </c>
      <c r="G20" s="952">
        <f t="shared" si="3"/>
        <v>3693.12</v>
      </c>
      <c r="H20" s="961">
        <v>130.0265</v>
      </c>
      <c r="I20" s="953">
        <f t="shared" si="1"/>
        <v>5.784894483524621E-4</v>
      </c>
      <c r="J20" s="428"/>
    </row>
    <row r="21" spans="1:10" ht="15">
      <c r="A21" s="919">
        <f t="shared" si="2"/>
        <v>13</v>
      </c>
      <c r="B21" s="910" t="s">
        <v>447</v>
      </c>
      <c r="C21" s="1038">
        <v>113806</v>
      </c>
      <c r="D21" s="1038">
        <v>1329000</v>
      </c>
      <c r="E21" s="951">
        <f t="shared" si="0"/>
        <v>8.5632806621519938E-2</v>
      </c>
      <c r="F21" s="1039">
        <f>'WP_Cost per Unit'!F35/1000</f>
        <v>59.3</v>
      </c>
      <c r="G21" s="952">
        <f t="shared" si="3"/>
        <v>3752.42</v>
      </c>
      <c r="H21" s="961">
        <v>158.74639999999999</v>
      </c>
      <c r="I21" s="953">
        <f t="shared" si="1"/>
        <v>2.5583866571184367E-3</v>
      </c>
      <c r="J21" s="428"/>
    </row>
    <row r="22" spans="1:10" ht="15">
      <c r="A22" s="919">
        <f t="shared" si="2"/>
        <v>14</v>
      </c>
      <c r="B22" s="910" t="s">
        <v>636</v>
      </c>
      <c r="C22" s="1038">
        <v>118890602</v>
      </c>
      <c r="D22" s="1038">
        <v>3468266000</v>
      </c>
      <c r="E22" s="951">
        <f t="shared" si="0"/>
        <v>3.4279551222426423E-2</v>
      </c>
      <c r="F22" s="1039">
        <f>'WP_Cost per Unit'!F37/1000</f>
        <v>867.85</v>
      </c>
      <c r="G22" s="952">
        <f t="shared" si="3"/>
        <v>4620.2700000000004</v>
      </c>
      <c r="H22" s="961">
        <v>493.6644</v>
      </c>
      <c r="I22" s="953">
        <f t="shared" si="1"/>
        <v>0.45620876448200465</v>
      </c>
      <c r="J22" s="428"/>
    </row>
    <row r="23" spans="1:10" ht="15">
      <c r="A23" s="919">
        <f t="shared" si="2"/>
        <v>15</v>
      </c>
      <c r="B23" s="910" t="s">
        <v>742</v>
      </c>
      <c r="C23" s="1038">
        <v>4740009</v>
      </c>
      <c r="D23" s="1038">
        <v>98257000</v>
      </c>
      <c r="E23" s="951">
        <f t="shared" si="0"/>
        <v>4.82409293994321E-2</v>
      </c>
      <c r="F23" s="1039">
        <f>'WP_Cost per Unit'!F39/1000</f>
        <v>280.5</v>
      </c>
      <c r="G23" s="952">
        <f t="shared" si="3"/>
        <v>4900.7700000000004</v>
      </c>
      <c r="H23" s="961">
        <v>587.904</v>
      </c>
      <c r="I23" s="953">
        <f t="shared" si="1"/>
        <v>3.9987709488112387E-2</v>
      </c>
      <c r="J23" s="428"/>
    </row>
    <row r="24" spans="1:10" ht="15">
      <c r="A24" s="919">
        <f t="shared" si="2"/>
        <v>16</v>
      </c>
      <c r="B24" s="910" t="s">
        <v>1197</v>
      </c>
      <c r="C24" s="1038">
        <v>21236462</v>
      </c>
      <c r="D24" s="1038">
        <v>402090000</v>
      </c>
      <c r="E24" s="951">
        <f t="shared" si="0"/>
        <v>5.2815195602974457E-2</v>
      </c>
      <c r="F24" s="1039">
        <f>'WP_Cost per Unit'!F41/1000</f>
        <v>397.8</v>
      </c>
      <c r="G24" s="952">
        <f t="shared" si="3"/>
        <v>5298.5700000000006</v>
      </c>
      <c r="H24" s="961">
        <v>548.16660000000002</v>
      </c>
      <c r="I24" s="953">
        <f t="shared" si="1"/>
        <v>0.11538633718327514</v>
      </c>
      <c r="J24" s="428"/>
    </row>
    <row r="25" spans="1:10" ht="15">
      <c r="A25" s="919">
        <f t="shared" si="2"/>
        <v>17</v>
      </c>
      <c r="B25" s="910" t="s">
        <v>743</v>
      </c>
      <c r="C25" s="1038">
        <v>61546993</v>
      </c>
      <c r="D25" s="1038">
        <v>1848027000</v>
      </c>
      <c r="E25" s="951">
        <f t="shared" si="0"/>
        <v>3.3304163304973357E-2</v>
      </c>
      <c r="F25" s="1039">
        <f>'WP_Cost per Unit'!F43/1000</f>
        <v>685.1</v>
      </c>
      <c r="G25" s="952">
        <f t="shared" si="3"/>
        <v>5983.670000000001</v>
      </c>
      <c r="H25" s="961">
        <v>578.82939999999996</v>
      </c>
      <c r="I25" s="953">
        <f t="shared" si="1"/>
        <v>0.30792874952761617</v>
      </c>
      <c r="J25" s="428"/>
    </row>
    <row r="26" spans="1:10" ht="15">
      <c r="A26" s="919">
        <f>A25+1</f>
        <v>18</v>
      </c>
      <c r="B26" s="910" t="s">
        <v>448</v>
      </c>
      <c r="C26" s="1038">
        <v>0</v>
      </c>
      <c r="D26" s="1038">
        <v>80256000</v>
      </c>
      <c r="E26" s="951">
        <f t="shared" si="0"/>
        <v>0</v>
      </c>
      <c r="F26" s="1039">
        <f>'WP_Cost per Unit'!F45/1000</f>
        <v>300</v>
      </c>
      <c r="G26" s="952">
        <f>+G25+F26</f>
        <v>6283.670000000001</v>
      </c>
      <c r="H26" s="961">
        <v>200.30459999999999</v>
      </c>
      <c r="I26" s="953">
        <f t="shared" si="1"/>
        <v>3.0538812785388128E-2</v>
      </c>
      <c r="J26" s="428"/>
    </row>
    <row r="27" spans="1:10" ht="15">
      <c r="A27" s="919">
        <f t="shared" si="2"/>
        <v>19</v>
      </c>
      <c r="B27" s="910" t="s">
        <v>1465</v>
      </c>
      <c r="C27" s="1038">
        <v>29521</v>
      </c>
      <c r="D27" s="1038">
        <v>3556000</v>
      </c>
      <c r="E27" s="951">
        <f t="shared" si="0"/>
        <v>8.3017435320584931E-3</v>
      </c>
      <c r="F27" s="1039">
        <v>75</v>
      </c>
      <c r="G27" s="952">
        <f t="shared" si="3"/>
        <v>6358.670000000001</v>
      </c>
      <c r="H27" s="1039">
        <v>75</v>
      </c>
      <c r="I27" s="953">
        <f t="shared" si="1"/>
        <v>5.4124809741248094E-3</v>
      </c>
      <c r="J27" s="428"/>
    </row>
    <row r="28" spans="1:10" ht="15">
      <c r="A28" s="919">
        <f t="shared" si="2"/>
        <v>20</v>
      </c>
      <c r="B28" s="910" t="s">
        <v>1466</v>
      </c>
      <c r="C28" s="1038">
        <v>964670</v>
      </c>
      <c r="D28" s="1038">
        <v>12073000</v>
      </c>
      <c r="E28" s="951">
        <f t="shared" si="0"/>
        <v>7.9903089538639935E-2</v>
      </c>
      <c r="F28" s="1039">
        <v>135</v>
      </c>
      <c r="G28" s="952">
        <f t="shared" si="3"/>
        <v>6493.670000000001</v>
      </c>
      <c r="H28" s="1039">
        <v>73</v>
      </c>
      <c r="I28" s="953">
        <f t="shared" si="1"/>
        <v>1.0208861829866397E-2</v>
      </c>
      <c r="J28" s="428"/>
    </row>
    <row r="29" spans="1:10" ht="15">
      <c r="A29" s="919">
        <f t="shared" si="2"/>
        <v>21</v>
      </c>
      <c r="B29" s="910" t="s">
        <v>1467</v>
      </c>
      <c r="C29" s="1038">
        <v>10950789</v>
      </c>
      <c r="D29" s="1038">
        <v>186511000</v>
      </c>
      <c r="E29" s="951">
        <f t="shared" si="0"/>
        <v>5.8713904273742568E-2</v>
      </c>
      <c r="F29" s="1039">
        <v>256</v>
      </c>
      <c r="G29" s="952">
        <f t="shared" si="3"/>
        <v>6749.670000000001</v>
      </c>
      <c r="H29" s="1039">
        <v>64</v>
      </c>
      <c r="I29" s="953">
        <f t="shared" si="1"/>
        <v>8.3168789240867583E-2</v>
      </c>
      <c r="J29" s="428"/>
    </row>
    <row r="30" spans="1:10" ht="15">
      <c r="A30" s="919">
        <f t="shared" si="2"/>
        <v>22</v>
      </c>
      <c r="B30" s="910" t="s">
        <v>1468</v>
      </c>
      <c r="C30" s="1038">
        <v>4139030</v>
      </c>
      <c r="D30" s="1038">
        <v>46912000</v>
      </c>
      <c r="E30" s="951">
        <f t="shared" si="0"/>
        <v>8.8229664051841752E-2</v>
      </c>
      <c r="F30" s="1039">
        <v>231</v>
      </c>
      <c r="G30" s="952">
        <f t="shared" si="3"/>
        <v>6980.670000000001</v>
      </c>
      <c r="H30" s="1039">
        <v>98</v>
      </c>
      <c r="I30" s="953">
        <f t="shared" si="1"/>
        <v>2.3182905374686195E-2</v>
      </c>
      <c r="J30" s="428"/>
    </row>
    <row r="31" spans="1:10" ht="15">
      <c r="A31" s="919">
        <f t="shared" si="2"/>
        <v>23</v>
      </c>
      <c r="B31" s="910" t="s">
        <v>1469</v>
      </c>
      <c r="C31" s="1038">
        <v>10868442</v>
      </c>
      <c r="D31" s="1038">
        <v>184304000</v>
      </c>
      <c r="E31" s="951">
        <f t="shared" si="0"/>
        <v>5.8970190554735652E-2</v>
      </c>
      <c r="F31" s="1039">
        <v>288</v>
      </c>
      <c r="G31" s="952">
        <f t="shared" si="3"/>
        <v>7268.670000000001</v>
      </c>
      <c r="H31" s="1039">
        <v>71</v>
      </c>
      <c r="I31" s="953">
        <f t="shared" si="1"/>
        <v>7.3053018772196859E-2</v>
      </c>
      <c r="J31" s="428"/>
    </row>
    <row r="32" spans="1:10">
      <c r="A32" s="910"/>
      <c r="B32" s="948"/>
      <c r="C32" s="910"/>
      <c r="D32" s="910"/>
      <c r="E32" s="910"/>
      <c r="F32" s="910"/>
      <c r="G32" s="910"/>
      <c r="H32" s="910"/>
      <c r="I32" s="910"/>
      <c r="J32" s="428"/>
    </row>
    <row r="33" spans="1:10">
      <c r="A33" s="910"/>
      <c r="B33" s="910" t="s">
        <v>870</v>
      </c>
      <c r="C33" s="910"/>
      <c r="D33" s="910"/>
      <c r="E33" s="910"/>
      <c r="F33" s="910"/>
      <c r="G33" s="910"/>
      <c r="H33" s="910"/>
      <c r="I33" s="910"/>
      <c r="J33" s="428"/>
    </row>
    <row r="34" spans="1:10">
      <c r="A34" s="947"/>
      <c r="B34" s="950" t="s">
        <v>1507</v>
      </c>
      <c r="C34" s="947"/>
      <c r="D34" s="947"/>
      <c r="E34" s="947"/>
      <c r="F34" s="947"/>
      <c r="G34" s="947"/>
      <c r="H34" s="947"/>
      <c r="I34" s="947"/>
      <c r="J34" s="428"/>
    </row>
    <row r="35" spans="1:10">
      <c r="A35" s="947"/>
      <c r="B35" s="954" t="s">
        <v>1508</v>
      </c>
      <c r="C35" s="947"/>
      <c r="D35" s="947"/>
      <c r="E35" s="947"/>
      <c r="F35" s="947"/>
      <c r="G35" s="947"/>
      <c r="H35" s="947"/>
      <c r="I35" s="947"/>
      <c r="J35" s="428"/>
    </row>
    <row r="36" spans="1:10" ht="15">
      <c r="A36" s="945"/>
      <c r="B36" s="949" t="s">
        <v>1509</v>
      </c>
      <c r="C36" s="945"/>
      <c r="D36" s="945"/>
      <c r="E36" s="945"/>
      <c r="F36" s="945"/>
      <c r="G36" s="945"/>
      <c r="H36" s="945"/>
      <c r="I36" s="945"/>
      <c r="J36" s="428"/>
    </row>
    <row r="37" spans="1:10" ht="15">
      <c r="A37" s="945"/>
      <c r="B37" s="939" t="s">
        <v>1510</v>
      </c>
      <c r="C37" s="945"/>
      <c r="D37" s="945"/>
      <c r="E37" s="945"/>
      <c r="F37" s="945"/>
      <c r="G37" s="945"/>
      <c r="H37" s="946"/>
      <c r="I37" s="945"/>
      <c r="J37" s="428"/>
    </row>
    <row r="38" spans="1:10" ht="15">
      <c r="A38" s="945"/>
      <c r="B38" s="910" t="s">
        <v>1511</v>
      </c>
      <c r="C38" s="945"/>
      <c r="D38" s="945"/>
      <c r="E38" s="945"/>
      <c r="F38" s="945"/>
      <c r="G38" s="945"/>
      <c r="H38" s="946"/>
      <c r="I38" s="945"/>
      <c r="J38" s="428"/>
    </row>
    <row r="39" spans="1:10" ht="15">
      <c r="A39" s="945"/>
      <c r="B39" s="949" t="s">
        <v>1512</v>
      </c>
      <c r="C39" s="945"/>
      <c r="D39" s="945"/>
      <c r="E39" s="945"/>
      <c r="F39" s="945"/>
      <c r="G39" s="945"/>
      <c r="H39" s="945"/>
      <c r="I39" s="945"/>
      <c r="J39" s="428"/>
    </row>
    <row r="40" spans="1:10" ht="15">
      <c r="A40" s="945"/>
      <c r="B40" s="949" t="s">
        <v>1513</v>
      </c>
      <c r="C40" s="945"/>
      <c r="D40" s="945"/>
      <c r="E40" s="945"/>
      <c r="F40" s="945"/>
      <c r="G40" s="945"/>
      <c r="H40" s="946"/>
      <c r="I40" s="945"/>
      <c r="J40" s="428"/>
    </row>
  </sheetData>
  <printOptions horizontalCentered="1"/>
  <pageMargins left="0.75" right="0.75" top="1" bottom="1" header="0.5" footer="0.5"/>
  <pageSetup scale="58" orientation="portrait" r:id="rId1"/>
  <headerFooter alignWithMargins="0">
    <oddHeader>&amp;RPage &amp;P of &amp;N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44"/>
  <sheetViews>
    <sheetView view="pageBreakPreview" zoomScale="60" zoomScaleNormal="100" workbookViewId="0">
      <selection activeCell="Z34" sqref="Z34"/>
    </sheetView>
  </sheetViews>
  <sheetFormatPr defaultRowHeight="12.75"/>
  <cols>
    <col min="2" max="2" width="42" customWidth="1"/>
    <col min="3" max="3" width="10.85546875" bestFit="1" customWidth="1"/>
    <col min="4" max="4" width="15.28515625" bestFit="1" customWidth="1"/>
    <col min="5" max="5" width="13.7109375" bestFit="1" customWidth="1"/>
    <col min="6" max="6" width="14" bestFit="1" customWidth="1"/>
    <col min="7" max="9" width="12.85546875" bestFit="1" customWidth="1"/>
    <col min="10" max="10" width="14.42578125" bestFit="1" customWidth="1"/>
    <col min="11" max="11" width="14.28515625" customWidth="1"/>
    <col min="12" max="12" width="15.140625" bestFit="1" customWidth="1"/>
    <col min="13" max="13" width="11.140625" customWidth="1"/>
  </cols>
  <sheetData>
    <row r="1" spans="1:13">
      <c r="A1" s="99" t="str">
        <f>'Cover Page'!A5</f>
        <v>Public Service Company of Colorado</v>
      </c>
      <c r="J1" s="133"/>
      <c r="M1" s="133" t="str">
        <f>'Table of Contents'!A45</f>
        <v>Table 37</v>
      </c>
    </row>
    <row r="2" spans="1:13">
      <c r="A2" s="99" t="str">
        <f>'Cover Page'!A6</f>
        <v>Transmission Formula Rate Template</v>
      </c>
      <c r="J2" s="133"/>
      <c r="M2" s="133" t="str">
        <f ca="1">MID(CELL("filename",$A$1),FIND("]",CELL("filename",$A$1))+1,LEN(CELL("filename",$A$1))-FIND("]",CELL("filename",$A$1)))</f>
        <v>WP_O&amp;M Cost</v>
      </c>
    </row>
    <row r="3" spans="1:13" ht="15">
      <c r="A3" s="955" t="s">
        <v>1514</v>
      </c>
      <c r="B3" s="956"/>
      <c r="C3" s="956"/>
      <c r="D3" s="956"/>
      <c r="E3" s="956"/>
      <c r="F3" s="956"/>
      <c r="G3" s="956"/>
      <c r="H3" s="956"/>
      <c r="I3" s="956"/>
      <c r="J3" s="956"/>
      <c r="K3" s="956"/>
      <c r="L3" s="956"/>
      <c r="M3" s="956"/>
    </row>
    <row r="4" spans="1:13" ht="15">
      <c r="A4" s="943" t="str">
        <f>'Cover Page'!A7</f>
        <v>Twelve Months Ended December 31, 2017</v>
      </c>
      <c r="B4" s="909"/>
      <c r="C4" s="909"/>
      <c r="D4" s="910"/>
      <c r="E4" s="910"/>
      <c r="F4" s="911"/>
      <c r="G4" s="910"/>
      <c r="H4" s="909"/>
      <c r="I4" s="910"/>
      <c r="J4" s="956"/>
      <c r="K4" s="956"/>
      <c r="L4" s="956"/>
      <c r="M4" s="956"/>
    </row>
    <row r="5" spans="1:13" ht="15">
      <c r="A5" s="956"/>
      <c r="B5" s="956"/>
      <c r="C5" s="957"/>
      <c r="D5" s="957"/>
      <c r="E5" s="957"/>
      <c r="F5" s="957"/>
      <c r="G5" s="957"/>
      <c r="H5" s="957"/>
      <c r="I5" s="957"/>
      <c r="J5" s="957"/>
      <c r="K5" s="957"/>
      <c r="L5" s="956"/>
      <c r="M5" s="956"/>
    </row>
    <row r="6" spans="1:13" ht="76.5">
      <c r="A6" s="912" t="s">
        <v>1375</v>
      </c>
      <c r="B6" s="912" t="s">
        <v>461</v>
      </c>
      <c r="C6" s="916" t="s">
        <v>1515</v>
      </c>
      <c r="D6" s="913" t="s">
        <v>1516</v>
      </c>
      <c r="E6" s="959" t="s">
        <v>1517</v>
      </c>
      <c r="F6" s="959" t="s">
        <v>1518</v>
      </c>
      <c r="G6" s="959" t="s">
        <v>1519</v>
      </c>
      <c r="H6" s="959" t="s">
        <v>1520</v>
      </c>
      <c r="I6" s="959" t="s">
        <v>1521</v>
      </c>
      <c r="J6" s="959" t="s">
        <v>1522</v>
      </c>
      <c r="K6" s="959" t="s">
        <v>1523</v>
      </c>
      <c r="L6" s="959" t="s">
        <v>1524</v>
      </c>
      <c r="M6" s="959" t="s">
        <v>1525</v>
      </c>
    </row>
    <row r="7" spans="1:13">
      <c r="A7" s="917"/>
      <c r="B7" s="918" t="s">
        <v>1456</v>
      </c>
      <c r="C7" s="918" t="s">
        <v>1457</v>
      </c>
      <c r="D7" s="918" t="s">
        <v>1458</v>
      </c>
      <c r="E7" s="918" t="s">
        <v>1459</v>
      </c>
      <c r="F7" s="918" t="s">
        <v>1460</v>
      </c>
      <c r="G7" s="918" t="s">
        <v>1461</v>
      </c>
      <c r="H7" s="918" t="s">
        <v>1462</v>
      </c>
      <c r="I7" s="918" t="s">
        <v>1463</v>
      </c>
      <c r="J7" s="918" t="s">
        <v>1526</v>
      </c>
      <c r="K7" s="918" t="s">
        <v>1527</v>
      </c>
      <c r="L7" s="918" t="s">
        <v>1528</v>
      </c>
      <c r="M7" s="918" t="s">
        <v>1529</v>
      </c>
    </row>
    <row r="8" spans="1:13" ht="15">
      <c r="A8" s="956"/>
      <c r="B8" s="956"/>
      <c r="C8" s="956"/>
      <c r="D8" s="956"/>
      <c r="E8" s="956"/>
      <c r="F8" s="956"/>
      <c r="G8" s="956"/>
      <c r="H8" s="956"/>
      <c r="I8" s="956"/>
      <c r="J8" s="956"/>
      <c r="K8" s="956"/>
      <c r="L8" s="956"/>
      <c r="M8" s="956"/>
    </row>
    <row r="9" spans="1:13">
      <c r="A9" s="919">
        <v>1</v>
      </c>
      <c r="B9" s="920" t="s">
        <v>430</v>
      </c>
      <c r="C9" s="1040">
        <f>'WP_Installed Cost'!F9</f>
        <v>0</v>
      </c>
      <c r="D9" s="1040">
        <v>0</v>
      </c>
      <c r="E9" s="1040">
        <v>0</v>
      </c>
      <c r="F9" s="1040">
        <v>-85994</v>
      </c>
      <c r="G9" s="1040">
        <v>4682</v>
      </c>
      <c r="H9" s="1040">
        <v>37840</v>
      </c>
      <c r="I9" s="1040">
        <v>0</v>
      </c>
      <c r="J9" s="1040">
        <v>2917</v>
      </c>
      <c r="K9" s="1040">
        <v>-28</v>
      </c>
      <c r="L9" s="962">
        <f>SUM(D9:K9)</f>
        <v>-40583</v>
      </c>
      <c r="M9" s="1148">
        <f>IF(C9=0,0,L9/C9/1000)</f>
        <v>0</v>
      </c>
    </row>
    <row r="10" spans="1:13">
      <c r="A10" s="919">
        <f>A9+1</f>
        <v>2</v>
      </c>
      <c r="B10" s="920" t="s">
        <v>1721</v>
      </c>
      <c r="C10" s="1040">
        <f>'WP_Installed Cost'!F10</f>
        <v>505.8</v>
      </c>
      <c r="D10" s="1040">
        <v>202633</v>
      </c>
      <c r="E10" s="1040">
        <v>0</v>
      </c>
      <c r="F10" s="1040">
        <v>243592</v>
      </c>
      <c r="G10" s="1040">
        <v>29721</v>
      </c>
      <c r="H10" s="1040">
        <v>1253739</v>
      </c>
      <c r="I10" s="1040">
        <v>1023136</v>
      </c>
      <c r="J10" s="1040">
        <v>74394</v>
      </c>
      <c r="K10" s="1040">
        <v>632995</v>
      </c>
      <c r="L10" s="962">
        <f t="shared" ref="L10:L31" si="0">SUM(D10:K10)</f>
        <v>3460210</v>
      </c>
      <c r="M10" s="1148">
        <f t="shared" ref="M10:M31" si="1">IF(C10=0,0,L10/C10/1000)</f>
        <v>6.8410636615262943</v>
      </c>
    </row>
    <row r="11" spans="1:13">
      <c r="A11" s="919">
        <f t="shared" ref="A11:A31" si="2">A10+1</f>
        <v>3</v>
      </c>
      <c r="B11" s="920" t="s">
        <v>1722</v>
      </c>
      <c r="C11" s="1040">
        <f>'WP_Installed Cost'!F11</f>
        <v>625.6</v>
      </c>
      <c r="D11" s="1040">
        <v>324010</v>
      </c>
      <c r="E11" s="1040">
        <v>0</v>
      </c>
      <c r="F11" s="1040">
        <v>5248441</v>
      </c>
      <c r="G11" s="1040">
        <v>653543</v>
      </c>
      <c r="H11" s="1040">
        <v>4133992</v>
      </c>
      <c r="I11" s="1040">
        <v>484166</v>
      </c>
      <c r="J11" s="1040">
        <v>1747165</v>
      </c>
      <c r="K11" s="1040">
        <v>3799549</v>
      </c>
      <c r="L11" s="962">
        <f>SUM(D11:K11)</f>
        <v>16390866</v>
      </c>
      <c r="M11" s="1148">
        <f>IF(C11=0,0,L11/C11/1000)</f>
        <v>26.20023337595908</v>
      </c>
    </row>
    <row r="12" spans="1:13">
      <c r="A12" s="919">
        <f t="shared" si="2"/>
        <v>4</v>
      </c>
      <c r="B12" s="920" t="s">
        <v>432</v>
      </c>
      <c r="C12" s="1040">
        <f>'WP_Installed Cost'!F12</f>
        <v>1635.3</v>
      </c>
      <c r="D12" s="1040">
        <v>1462556</v>
      </c>
      <c r="E12" s="1040">
        <v>0</v>
      </c>
      <c r="F12" s="1040">
        <v>16200274</v>
      </c>
      <c r="G12" s="1040">
        <v>1415181</v>
      </c>
      <c r="H12" s="1040">
        <v>5092634</v>
      </c>
      <c r="I12" s="1040">
        <v>3066682</v>
      </c>
      <c r="J12" s="1040">
        <v>2324383</v>
      </c>
      <c r="K12" s="1040">
        <v>3907775</v>
      </c>
      <c r="L12" s="962">
        <f t="shared" si="0"/>
        <v>33469485</v>
      </c>
      <c r="M12" s="1148">
        <f t="shared" si="1"/>
        <v>20.4668776371308</v>
      </c>
    </row>
    <row r="13" spans="1:13">
      <c r="A13" s="919">
        <f t="shared" si="2"/>
        <v>5</v>
      </c>
      <c r="B13" s="920" t="s">
        <v>433</v>
      </c>
      <c r="C13" s="1040">
        <f>'WP_Installed Cost'!F13</f>
        <v>86.9</v>
      </c>
      <c r="D13" s="1040">
        <v>44390</v>
      </c>
      <c r="E13" s="1040">
        <v>0</v>
      </c>
      <c r="F13" s="1040">
        <v>658268</v>
      </c>
      <c r="G13" s="1040">
        <v>276189</v>
      </c>
      <c r="H13" s="1040">
        <v>615422</v>
      </c>
      <c r="I13" s="1040">
        <v>230248</v>
      </c>
      <c r="J13" s="1040">
        <v>162379</v>
      </c>
      <c r="K13" s="1040">
        <v>441231</v>
      </c>
      <c r="L13" s="962">
        <f t="shared" si="0"/>
        <v>2428127</v>
      </c>
      <c r="M13" s="1148">
        <f t="shared" si="1"/>
        <v>27.941622554660526</v>
      </c>
    </row>
    <row r="14" spans="1:13">
      <c r="A14" s="919">
        <f t="shared" si="2"/>
        <v>6</v>
      </c>
      <c r="B14" s="920" t="s">
        <v>441</v>
      </c>
      <c r="C14" s="1040">
        <f>'WP_Installed Cost'!F14</f>
        <v>465.39</v>
      </c>
      <c r="D14" s="1040">
        <v>1123592</v>
      </c>
      <c r="E14" s="1040">
        <v>0</v>
      </c>
      <c r="F14" s="1040">
        <v>2253392</v>
      </c>
      <c r="G14" s="1040">
        <v>345447</v>
      </c>
      <c r="H14" s="1040">
        <v>3262287</v>
      </c>
      <c r="I14" s="1040">
        <v>591736</v>
      </c>
      <c r="J14" s="1040">
        <v>1118272</v>
      </c>
      <c r="K14" s="1040">
        <v>1545229</v>
      </c>
      <c r="L14" s="962">
        <f t="shared" si="0"/>
        <v>10239955</v>
      </c>
      <c r="M14" s="1148">
        <f t="shared" si="1"/>
        <v>22.002954511270119</v>
      </c>
    </row>
    <row r="15" spans="1:13">
      <c r="A15" s="919">
        <f t="shared" si="2"/>
        <v>7</v>
      </c>
      <c r="B15" s="920" t="s">
        <v>442</v>
      </c>
      <c r="C15" s="1040">
        <f>'WP_Installed Cost'!F15</f>
        <v>552.33000000000004</v>
      </c>
      <c r="D15" s="1040">
        <v>365671</v>
      </c>
      <c r="E15" s="1040">
        <v>0</v>
      </c>
      <c r="F15" s="1040">
        <v>7468356</v>
      </c>
      <c r="G15" s="1040">
        <v>1185537</v>
      </c>
      <c r="H15" s="1040">
        <v>4028907</v>
      </c>
      <c r="I15" s="1040">
        <v>1495183</v>
      </c>
      <c r="J15" s="1040">
        <v>1339332</v>
      </c>
      <c r="K15" s="1040">
        <v>4452825</v>
      </c>
      <c r="L15" s="962">
        <f t="shared" si="0"/>
        <v>20335811</v>
      </c>
      <c r="M15" s="1148">
        <f t="shared" si="1"/>
        <v>36.818226422609669</v>
      </c>
    </row>
    <row r="16" spans="1:13">
      <c r="A16" s="919">
        <f t="shared" si="2"/>
        <v>8</v>
      </c>
      <c r="B16" s="920" t="s">
        <v>635</v>
      </c>
      <c r="C16" s="1040">
        <f>'WP_Installed Cost'!F16</f>
        <v>191.68</v>
      </c>
      <c r="D16" s="1040">
        <v>5631</v>
      </c>
      <c r="E16" s="1040">
        <v>0</v>
      </c>
      <c r="F16" s="1040">
        <v>2854623</v>
      </c>
      <c r="G16" s="1040">
        <v>793118</v>
      </c>
      <c r="H16" s="1040">
        <v>864210</v>
      </c>
      <c r="I16" s="1040">
        <v>580</v>
      </c>
      <c r="J16" s="1040">
        <v>401385</v>
      </c>
      <c r="K16" s="1040">
        <v>851688</v>
      </c>
      <c r="L16" s="962">
        <f t="shared" si="0"/>
        <v>5771235</v>
      </c>
      <c r="M16" s="1148">
        <f t="shared" si="1"/>
        <v>30.108696786310517</v>
      </c>
    </row>
    <row r="17" spans="1:13">
      <c r="A17" s="919">
        <f t="shared" si="2"/>
        <v>9</v>
      </c>
      <c r="B17" s="920" t="s">
        <v>443</v>
      </c>
      <c r="C17" s="1040">
        <f>'WP_Installed Cost'!F17</f>
        <v>75</v>
      </c>
      <c r="D17" s="1040">
        <v>-50</v>
      </c>
      <c r="E17" s="1040">
        <v>0</v>
      </c>
      <c r="F17" s="1040">
        <v>1101705</v>
      </c>
      <c r="G17" s="1040">
        <v>21545</v>
      </c>
      <c r="H17" s="1040">
        <v>332337</v>
      </c>
      <c r="I17" s="1040">
        <v>-540</v>
      </c>
      <c r="J17" s="1040">
        <v>386957</v>
      </c>
      <c r="K17" s="1040">
        <v>332708</v>
      </c>
      <c r="L17" s="962">
        <f t="shared" si="0"/>
        <v>2174662</v>
      </c>
      <c r="M17" s="1148">
        <f t="shared" si="1"/>
        <v>28.995493333333332</v>
      </c>
    </row>
    <row r="18" spans="1:13">
      <c r="A18" s="919">
        <f t="shared" si="2"/>
        <v>10</v>
      </c>
      <c r="B18" s="910" t="s">
        <v>444</v>
      </c>
      <c r="C18" s="1040">
        <f>'WP_Installed Cost'!F18</f>
        <v>53.28</v>
      </c>
      <c r="D18" s="1040">
        <v>374</v>
      </c>
      <c r="E18" s="1040">
        <v>0</v>
      </c>
      <c r="F18" s="1040">
        <v>0</v>
      </c>
      <c r="G18" s="1040">
        <v>58</v>
      </c>
      <c r="H18" s="1040">
        <v>1664</v>
      </c>
      <c r="I18" s="1040">
        <v>1115</v>
      </c>
      <c r="J18" s="1040">
        <v>8088</v>
      </c>
      <c r="K18" s="1040">
        <v>56538</v>
      </c>
      <c r="L18" s="962">
        <f t="shared" si="0"/>
        <v>67837</v>
      </c>
      <c r="M18" s="1148">
        <f t="shared" si="1"/>
        <v>1.2732169669669671</v>
      </c>
    </row>
    <row r="19" spans="1:13">
      <c r="A19" s="919">
        <f t="shared" si="2"/>
        <v>11</v>
      </c>
      <c r="B19" s="910" t="s">
        <v>445</v>
      </c>
      <c r="C19" s="1040">
        <f>'WP_Installed Cost'!F19</f>
        <v>100.8</v>
      </c>
      <c r="D19" s="1040">
        <v>734</v>
      </c>
      <c r="E19" s="1040">
        <v>0</v>
      </c>
      <c r="F19" s="1040">
        <v>0</v>
      </c>
      <c r="G19" s="1040">
        <v>52</v>
      </c>
      <c r="H19" s="1040">
        <v>2566</v>
      </c>
      <c r="I19" s="1040">
        <v>996</v>
      </c>
      <c r="J19" s="1040">
        <v>15200</v>
      </c>
      <c r="K19" s="1040">
        <v>651</v>
      </c>
      <c r="L19" s="962">
        <f t="shared" si="0"/>
        <v>20199</v>
      </c>
      <c r="M19" s="1148">
        <f t="shared" si="1"/>
        <v>0.20038690476190477</v>
      </c>
    </row>
    <row r="20" spans="1:13">
      <c r="A20" s="919">
        <f t="shared" si="2"/>
        <v>12</v>
      </c>
      <c r="B20" s="910" t="s">
        <v>446</v>
      </c>
      <c r="C20" s="1040">
        <f>'WP_Installed Cost'!F20</f>
        <v>26.64</v>
      </c>
      <c r="D20" s="1040">
        <v>54</v>
      </c>
      <c r="E20" s="1040">
        <v>0</v>
      </c>
      <c r="F20" s="1040">
        <v>0</v>
      </c>
      <c r="G20" s="1040">
        <v>3936</v>
      </c>
      <c r="H20" s="1040">
        <v>2346</v>
      </c>
      <c r="I20" s="1040">
        <v>42</v>
      </c>
      <c r="J20" s="1040">
        <v>5569</v>
      </c>
      <c r="K20" s="1040">
        <v>78</v>
      </c>
      <c r="L20" s="962">
        <f t="shared" si="0"/>
        <v>12025</v>
      </c>
      <c r="M20" s="1148">
        <f t="shared" si="1"/>
        <v>0.45138888888888884</v>
      </c>
    </row>
    <row r="21" spans="1:13">
      <c r="A21" s="919">
        <f t="shared" si="2"/>
        <v>13</v>
      </c>
      <c r="B21" s="910" t="s">
        <v>447</v>
      </c>
      <c r="C21" s="1040">
        <f>'WP_Installed Cost'!F21</f>
        <v>59.3</v>
      </c>
      <c r="D21" s="1040">
        <v>138</v>
      </c>
      <c r="E21" s="1040">
        <v>0</v>
      </c>
      <c r="F21" s="1040">
        <v>0</v>
      </c>
      <c r="G21" s="1040">
        <v>897</v>
      </c>
      <c r="H21" s="1040">
        <v>325</v>
      </c>
      <c r="I21" s="1040">
        <v>413</v>
      </c>
      <c r="J21" s="1040">
        <v>7746</v>
      </c>
      <c r="K21" s="1040">
        <v>2376</v>
      </c>
      <c r="L21" s="962">
        <f t="shared" si="0"/>
        <v>11895</v>
      </c>
      <c r="M21" s="1148">
        <f t="shared" si="1"/>
        <v>0.20059021922428333</v>
      </c>
    </row>
    <row r="22" spans="1:13">
      <c r="A22" s="919">
        <f t="shared" si="2"/>
        <v>14</v>
      </c>
      <c r="B22" s="910" t="s">
        <v>636</v>
      </c>
      <c r="C22" s="1040">
        <f>'WP_Installed Cost'!F22</f>
        <v>867.85</v>
      </c>
      <c r="D22" s="1040">
        <v>568746</v>
      </c>
      <c r="E22" s="1040">
        <v>0</v>
      </c>
      <c r="F22" s="1040">
        <v>0</v>
      </c>
      <c r="G22" s="1040">
        <v>2494343</v>
      </c>
      <c r="H22" s="1040">
        <v>1179257</v>
      </c>
      <c r="I22" s="1040">
        <v>1079210</v>
      </c>
      <c r="J22" s="1040">
        <v>1311300</v>
      </c>
      <c r="K22" s="1040">
        <v>799312</v>
      </c>
      <c r="L22" s="962">
        <f t="shared" si="0"/>
        <v>7432168</v>
      </c>
      <c r="M22" s="1148">
        <f t="shared" si="1"/>
        <v>8.5638854640778934</v>
      </c>
    </row>
    <row r="23" spans="1:13">
      <c r="A23" s="919">
        <f t="shared" si="2"/>
        <v>15</v>
      </c>
      <c r="B23" s="910" t="s">
        <v>742</v>
      </c>
      <c r="C23" s="1040">
        <f>'WP_Installed Cost'!F23</f>
        <v>280.5</v>
      </c>
      <c r="D23" s="1040">
        <v>18968</v>
      </c>
      <c r="E23" s="1040">
        <v>0</v>
      </c>
      <c r="F23" s="1040">
        <v>0</v>
      </c>
      <c r="G23" s="1040">
        <v>104236</v>
      </c>
      <c r="H23" s="1040">
        <v>37951</v>
      </c>
      <c r="I23" s="1040">
        <v>30580</v>
      </c>
      <c r="J23" s="1040">
        <v>51314</v>
      </c>
      <c r="K23" s="1040">
        <v>33119</v>
      </c>
      <c r="L23" s="962">
        <f t="shared" si="0"/>
        <v>276168</v>
      </c>
      <c r="M23" s="1148">
        <f t="shared" si="1"/>
        <v>0.98455614973262029</v>
      </c>
    </row>
    <row r="24" spans="1:13">
      <c r="A24" s="919">
        <f t="shared" si="2"/>
        <v>16</v>
      </c>
      <c r="B24" s="910" t="s">
        <v>1197</v>
      </c>
      <c r="C24" s="1040">
        <f>'WP_Installed Cost'!F24</f>
        <v>397.8</v>
      </c>
      <c r="D24" s="1040">
        <v>42380</v>
      </c>
      <c r="E24" s="1040">
        <v>0</v>
      </c>
      <c r="F24" s="1040">
        <v>0</v>
      </c>
      <c r="G24" s="1040">
        <v>9434</v>
      </c>
      <c r="H24" s="1040">
        <v>958019</v>
      </c>
      <c r="I24" s="1040">
        <v>132610</v>
      </c>
      <c r="J24" s="1040">
        <v>571643</v>
      </c>
      <c r="K24" s="1040">
        <v>-66227</v>
      </c>
      <c r="L24" s="962">
        <f t="shared" si="0"/>
        <v>1647859</v>
      </c>
      <c r="M24" s="1148">
        <f t="shared" si="1"/>
        <v>4.1424308697838104</v>
      </c>
    </row>
    <row r="25" spans="1:13">
      <c r="A25" s="919">
        <f t="shared" si="2"/>
        <v>17</v>
      </c>
      <c r="B25" s="910" t="s">
        <v>743</v>
      </c>
      <c r="C25" s="1040">
        <f>'WP_Installed Cost'!F25</f>
        <v>685.1</v>
      </c>
      <c r="D25" s="1040">
        <v>591410</v>
      </c>
      <c r="E25" s="1040">
        <v>0</v>
      </c>
      <c r="F25" s="1040">
        <v>0</v>
      </c>
      <c r="G25" s="1040">
        <v>-1383234</v>
      </c>
      <c r="H25" s="1040">
        <v>7345708</v>
      </c>
      <c r="I25" s="1040">
        <v>574812</v>
      </c>
      <c r="J25" s="1040">
        <v>2241508</v>
      </c>
      <c r="K25" s="1040">
        <v>2322048</v>
      </c>
      <c r="L25" s="962">
        <f t="shared" si="0"/>
        <v>11692252</v>
      </c>
      <c r="M25" s="1148">
        <f t="shared" si="1"/>
        <v>17.066489563567359</v>
      </c>
    </row>
    <row r="26" spans="1:13">
      <c r="A26" s="919">
        <f>A25+1</f>
        <v>18</v>
      </c>
      <c r="B26" s="910" t="s">
        <v>448</v>
      </c>
      <c r="C26" s="1040">
        <f>'WP_Installed Cost'!F26</f>
        <v>300</v>
      </c>
      <c r="D26" s="1040">
        <f>0+949</f>
        <v>949</v>
      </c>
      <c r="E26" s="1040">
        <v>0</v>
      </c>
      <c r="F26" s="1040">
        <v>795228</v>
      </c>
      <c r="G26" s="1040">
        <v>2369</v>
      </c>
      <c r="H26" s="1040">
        <v>803995</v>
      </c>
      <c r="I26" s="1040">
        <v>866</v>
      </c>
      <c r="J26" s="1040">
        <v>314861</v>
      </c>
      <c r="K26" s="1040">
        <v>62482</v>
      </c>
      <c r="L26" s="962">
        <f t="shared" si="0"/>
        <v>1980750</v>
      </c>
      <c r="M26" s="1148">
        <f t="shared" si="1"/>
        <v>6.6025</v>
      </c>
    </row>
    <row r="27" spans="1:13">
      <c r="A27" s="919">
        <f t="shared" si="2"/>
        <v>19</v>
      </c>
      <c r="B27" s="910" t="s">
        <v>1465</v>
      </c>
      <c r="C27" s="1040">
        <f>'WP_Installed Cost'!F27</f>
        <v>75</v>
      </c>
      <c r="D27" s="1040"/>
      <c r="E27" s="1040"/>
      <c r="F27" s="1040"/>
      <c r="G27" s="1040"/>
      <c r="H27" s="1040"/>
      <c r="I27" s="1040"/>
      <c r="J27" s="1040"/>
      <c r="K27" s="1040"/>
      <c r="L27" s="962">
        <f>SUM(D27:K27)</f>
        <v>0</v>
      </c>
      <c r="M27" s="1148">
        <f>IF(C27=0,0,L27/C27/1000)</f>
        <v>0</v>
      </c>
    </row>
    <row r="28" spans="1:13">
      <c r="A28" s="919">
        <f t="shared" si="2"/>
        <v>20</v>
      </c>
      <c r="B28" s="910" t="s">
        <v>1466</v>
      </c>
      <c r="C28" s="1040">
        <f>'WP_Installed Cost'!F28</f>
        <v>135</v>
      </c>
      <c r="D28" s="1040"/>
      <c r="E28" s="1040"/>
      <c r="F28" s="1040"/>
      <c r="G28" s="1040"/>
      <c r="H28" s="1040"/>
      <c r="I28" s="1040"/>
      <c r="J28" s="1040"/>
      <c r="K28" s="1040"/>
      <c r="L28" s="962">
        <f>SUM(D28:K28)</f>
        <v>0</v>
      </c>
      <c r="M28" s="1148">
        <f>IF(C28=0,0,L28/C28/1000)</f>
        <v>0</v>
      </c>
    </row>
    <row r="29" spans="1:13">
      <c r="A29" s="919">
        <f t="shared" si="2"/>
        <v>21</v>
      </c>
      <c r="B29" s="910" t="s">
        <v>1467</v>
      </c>
      <c r="C29" s="1040">
        <f>'WP_Installed Cost'!F29</f>
        <v>256</v>
      </c>
      <c r="D29" s="1040"/>
      <c r="E29" s="1040"/>
      <c r="F29" s="1040"/>
      <c r="G29" s="1040"/>
      <c r="H29" s="1040"/>
      <c r="I29" s="1040"/>
      <c r="J29" s="1040"/>
      <c r="K29" s="1040"/>
      <c r="L29" s="962">
        <f t="shared" si="0"/>
        <v>0</v>
      </c>
      <c r="M29" s="1148">
        <f t="shared" si="1"/>
        <v>0</v>
      </c>
    </row>
    <row r="30" spans="1:13">
      <c r="A30" s="919">
        <f t="shared" si="2"/>
        <v>22</v>
      </c>
      <c r="B30" s="910" t="s">
        <v>1468</v>
      </c>
      <c r="C30" s="1040">
        <f>'WP_Installed Cost'!F30</f>
        <v>231</v>
      </c>
      <c r="D30" s="1040"/>
      <c r="E30" s="1040"/>
      <c r="F30" s="1040"/>
      <c r="G30" s="1040"/>
      <c r="H30" s="1040"/>
      <c r="I30" s="1040"/>
      <c r="J30" s="1040"/>
      <c r="K30" s="1040"/>
      <c r="L30" s="962">
        <f t="shared" si="0"/>
        <v>0</v>
      </c>
      <c r="M30" s="1148">
        <f t="shared" si="1"/>
        <v>0</v>
      </c>
    </row>
    <row r="31" spans="1:13">
      <c r="A31" s="919">
        <f t="shared" si="2"/>
        <v>23</v>
      </c>
      <c r="B31" s="910" t="s">
        <v>1469</v>
      </c>
      <c r="C31" s="1040">
        <f>'WP_Installed Cost'!F31</f>
        <v>288</v>
      </c>
      <c r="D31" s="1040"/>
      <c r="E31" s="1040"/>
      <c r="F31" s="1040"/>
      <c r="G31" s="1040"/>
      <c r="H31" s="1040"/>
      <c r="I31" s="1040"/>
      <c r="J31" s="1040"/>
      <c r="K31" s="1040"/>
      <c r="L31" s="962">
        <f t="shared" si="0"/>
        <v>0</v>
      </c>
      <c r="M31" s="1148">
        <f t="shared" si="1"/>
        <v>0</v>
      </c>
    </row>
    <row r="32" spans="1:13">
      <c r="A32" s="910"/>
      <c r="B32" s="910"/>
      <c r="C32" s="910"/>
      <c r="D32" s="910"/>
      <c r="E32" s="910"/>
      <c r="F32" s="910"/>
      <c r="G32" s="910"/>
      <c r="H32" s="910"/>
      <c r="I32" s="910"/>
      <c r="J32" s="910"/>
      <c r="K32" s="910"/>
      <c r="L32" s="910"/>
      <c r="M32" s="910"/>
    </row>
    <row r="33" spans="1:13">
      <c r="A33" s="910"/>
      <c r="B33" s="910" t="s">
        <v>870</v>
      </c>
      <c r="C33" s="910"/>
      <c r="D33" s="910"/>
      <c r="E33" s="910"/>
      <c r="F33" s="910"/>
      <c r="G33" s="910"/>
      <c r="H33" s="910"/>
      <c r="I33" s="910"/>
      <c r="J33" s="910"/>
      <c r="K33" s="910"/>
      <c r="L33" s="910"/>
      <c r="M33" s="910"/>
    </row>
    <row r="34" spans="1:13">
      <c r="A34" s="957"/>
      <c r="B34" s="958" t="s">
        <v>1530</v>
      </c>
      <c r="C34" s="957"/>
      <c r="D34" s="957"/>
      <c r="E34" s="957"/>
      <c r="F34" s="957"/>
      <c r="G34" s="957"/>
      <c r="H34" s="957"/>
      <c r="I34" s="957"/>
      <c r="J34" s="957"/>
      <c r="K34" s="957"/>
      <c r="L34" s="957"/>
      <c r="M34" s="957"/>
    </row>
    <row r="35" spans="1:13">
      <c r="A35" s="957"/>
      <c r="B35" s="939" t="s">
        <v>1531</v>
      </c>
      <c r="C35" s="957"/>
      <c r="D35" s="957"/>
      <c r="E35" s="957"/>
      <c r="F35" s="957"/>
      <c r="G35" s="957"/>
      <c r="H35" s="957"/>
      <c r="I35" s="957"/>
      <c r="J35" s="957"/>
      <c r="K35" s="957"/>
      <c r="L35" s="957"/>
      <c r="M35" s="957"/>
    </row>
    <row r="36" spans="1:13" ht="15">
      <c r="A36" s="956"/>
      <c r="B36" s="960" t="s">
        <v>1532</v>
      </c>
      <c r="C36" s="956"/>
      <c r="D36" s="956"/>
      <c r="E36" s="956"/>
      <c r="F36" s="956"/>
      <c r="G36" s="956"/>
      <c r="H36" s="956"/>
      <c r="I36" s="956"/>
      <c r="J36" s="956"/>
      <c r="K36" s="956"/>
      <c r="L36" s="956"/>
      <c r="M36" s="956"/>
    </row>
    <row r="37" spans="1:13" ht="15">
      <c r="A37" s="956"/>
      <c r="B37" s="960" t="s">
        <v>1533</v>
      </c>
      <c r="C37" s="956"/>
      <c r="D37" s="956"/>
      <c r="E37" s="956"/>
      <c r="F37" s="956"/>
      <c r="G37" s="956"/>
      <c r="H37" s="956"/>
      <c r="I37" s="956"/>
      <c r="J37" s="956"/>
      <c r="K37" s="956"/>
      <c r="L37" s="956"/>
      <c r="M37" s="956"/>
    </row>
    <row r="38" spans="1:13" ht="15">
      <c r="A38" s="956"/>
      <c r="B38" s="960" t="s">
        <v>1534</v>
      </c>
      <c r="C38" s="956"/>
      <c r="D38" s="956"/>
      <c r="E38" s="956"/>
      <c r="F38" s="956"/>
      <c r="G38" s="956"/>
      <c r="H38" s="956"/>
      <c r="I38" s="956"/>
      <c r="J38" s="956"/>
      <c r="K38" s="956"/>
      <c r="L38" s="956"/>
      <c r="M38" s="956"/>
    </row>
    <row r="39" spans="1:13" ht="15">
      <c r="A39" s="956"/>
      <c r="B39" s="960" t="s">
        <v>1535</v>
      </c>
      <c r="C39" s="956"/>
      <c r="D39" s="956"/>
      <c r="E39" s="956"/>
      <c r="F39" s="956"/>
      <c r="G39" s="956"/>
      <c r="H39" s="956"/>
      <c r="I39" s="956"/>
      <c r="J39" s="956"/>
      <c r="K39" s="956"/>
      <c r="L39" s="956"/>
      <c r="M39" s="956"/>
    </row>
    <row r="40" spans="1:13" ht="15">
      <c r="A40" s="956"/>
      <c r="B40" s="960" t="s">
        <v>1536</v>
      </c>
      <c r="C40" s="956"/>
      <c r="D40" s="956"/>
      <c r="E40" s="956"/>
      <c r="F40" s="956"/>
      <c r="G40" s="956"/>
      <c r="H40" s="956"/>
      <c r="I40" s="956"/>
      <c r="J40" s="956"/>
      <c r="K40" s="956"/>
      <c r="L40" s="956"/>
      <c r="M40" s="956"/>
    </row>
    <row r="41" spans="1:13" ht="15">
      <c r="A41" s="956"/>
      <c r="B41" s="960" t="s">
        <v>1537</v>
      </c>
      <c r="C41" s="956"/>
      <c r="D41" s="956"/>
      <c r="E41" s="956"/>
      <c r="F41" s="956"/>
      <c r="G41" s="956"/>
      <c r="H41" s="956"/>
      <c r="I41" s="956"/>
      <c r="J41" s="956"/>
      <c r="K41" s="956"/>
      <c r="L41" s="956"/>
      <c r="M41" s="956"/>
    </row>
    <row r="42" spans="1:13" ht="15">
      <c r="A42" s="956"/>
      <c r="B42" s="958" t="s">
        <v>1538</v>
      </c>
      <c r="C42" s="956"/>
      <c r="D42" s="956"/>
      <c r="E42" s="956"/>
      <c r="F42" s="956"/>
      <c r="G42" s="956"/>
      <c r="H42" s="956"/>
      <c r="I42" s="956"/>
      <c r="J42" s="956"/>
      <c r="K42" s="956"/>
      <c r="L42" s="956"/>
      <c r="M42" s="956"/>
    </row>
    <row r="43" spans="1:13" ht="15">
      <c r="A43" s="956"/>
      <c r="B43" s="958" t="s">
        <v>1539</v>
      </c>
      <c r="C43" s="956"/>
      <c r="D43" s="956"/>
      <c r="E43" s="956"/>
      <c r="F43" s="956"/>
      <c r="G43" s="956"/>
      <c r="H43" s="956"/>
      <c r="I43" s="956"/>
      <c r="J43" s="956"/>
      <c r="K43" s="956"/>
      <c r="L43" s="956"/>
      <c r="M43" s="956"/>
    </row>
    <row r="44" spans="1:13" ht="15">
      <c r="A44" s="956"/>
      <c r="B44" s="958" t="s">
        <v>1540</v>
      </c>
      <c r="C44" s="956"/>
      <c r="D44" s="956"/>
      <c r="E44" s="956"/>
      <c r="F44" s="956"/>
      <c r="G44" s="956"/>
      <c r="H44" s="956"/>
      <c r="I44" s="956"/>
      <c r="J44" s="956"/>
      <c r="K44" s="956"/>
      <c r="L44" s="956"/>
      <c r="M44" s="956"/>
    </row>
  </sheetData>
  <printOptions horizontalCentered="1"/>
  <pageMargins left="0.75" right="0.75" top="1" bottom="1" header="0.5" footer="0.5"/>
  <pageSetup scale="45" orientation="portrait" r:id="rId1"/>
  <headerFooter alignWithMargins="0">
    <oddHeader>&amp;RPage &amp;P of &amp;N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G33"/>
  <sheetViews>
    <sheetView view="pageBreakPreview" zoomScale="60" zoomScaleNormal="100" workbookViewId="0">
      <selection activeCell="Z34" sqref="Z34"/>
    </sheetView>
  </sheetViews>
  <sheetFormatPr defaultRowHeight="12.75"/>
  <cols>
    <col min="2" max="2" width="42" customWidth="1"/>
    <col min="3" max="3" width="10.7109375" bestFit="1" customWidth="1"/>
    <col min="4" max="4" width="15.140625" bestFit="1" customWidth="1"/>
    <col min="5" max="5" width="14.28515625" customWidth="1"/>
    <col min="6" max="6" width="10.7109375" bestFit="1" customWidth="1"/>
    <col min="7" max="7" width="17.7109375" bestFit="1" customWidth="1"/>
  </cols>
  <sheetData>
    <row r="1" spans="1:7">
      <c r="A1" s="99" t="str">
        <f>'Cover Page'!A5</f>
        <v>Public Service Company of Colorado</v>
      </c>
      <c r="G1" s="133" t="str">
        <f>'Table of Contents'!A46</f>
        <v>Table 38</v>
      </c>
    </row>
    <row r="2" spans="1:7">
      <c r="A2" s="99" t="str">
        <f>'Cover Page'!A6</f>
        <v>Transmission Formula Rate Template</v>
      </c>
      <c r="G2" s="133" t="str">
        <f ca="1">MID(CELL("filename",$A$1),FIND("]",CELL("filename",$A$1))+1,LEN(CELL("filename",$A$1))-FIND("]",CELL("filename",$A$1)))</f>
        <v>WP_Reactive Cost</v>
      </c>
    </row>
    <row r="3" spans="1:7" ht="15">
      <c r="A3" s="964" t="s">
        <v>1541</v>
      </c>
      <c r="B3" s="956"/>
      <c r="C3" s="956"/>
      <c r="D3" s="956"/>
      <c r="E3" s="956"/>
      <c r="F3" s="956"/>
      <c r="G3" s="956"/>
    </row>
    <row r="4" spans="1:7">
      <c r="A4" s="943" t="str">
        <f>'Cover Page'!A7</f>
        <v>Twelve Months Ended December 31, 2017</v>
      </c>
      <c r="B4" s="909"/>
      <c r="C4" s="909"/>
      <c r="D4" s="910"/>
      <c r="E4" s="910"/>
      <c r="F4" s="911"/>
      <c r="G4" s="910"/>
    </row>
    <row r="5" spans="1:7" ht="15">
      <c r="A5" s="956"/>
      <c r="B5" s="956"/>
      <c r="C5" s="957"/>
      <c r="D5" s="957"/>
      <c r="E5" s="957"/>
      <c r="F5" s="957"/>
      <c r="G5" s="957"/>
    </row>
    <row r="6" spans="1:7" ht="51">
      <c r="A6" s="912" t="s">
        <v>1375</v>
      </c>
      <c r="B6" s="912" t="s">
        <v>461</v>
      </c>
      <c r="C6" s="916" t="s">
        <v>1542</v>
      </c>
      <c r="D6" s="913" t="s">
        <v>1543</v>
      </c>
      <c r="E6" s="959" t="s">
        <v>1548</v>
      </c>
      <c r="F6" s="959" t="s">
        <v>1544</v>
      </c>
      <c r="G6" s="959" t="s">
        <v>1545</v>
      </c>
    </row>
    <row r="7" spans="1:7">
      <c r="A7" s="917"/>
      <c r="B7" s="918" t="s">
        <v>1456</v>
      </c>
      <c r="C7" s="918" t="s">
        <v>1457</v>
      </c>
      <c r="D7" s="918" t="s">
        <v>1458</v>
      </c>
      <c r="E7" s="918" t="s">
        <v>1459</v>
      </c>
      <c r="F7" s="918" t="s">
        <v>1460</v>
      </c>
      <c r="G7" s="918" t="s">
        <v>1461</v>
      </c>
    </row>
    <row r="8" spans="1:7" ht="15">
      <c r="A8" s="965"/>
      <c r="B8" s="965"/>
      <c r="C8" s="965"/>
      <c r="D8" s="965"/>
      <c r="E8" s="965"/>
      <c r="F8" s="965"/>
      <c r="G8" s="965"/>
    </row>
    <row r="9" spans="1:7">
      <c r="A9" s="919">
        <v>1</v>
      </c>
      <c r="B9" s="920" t="s">
        <v>430</v>
      </c>
      <c r="C9" s="961">
        <f>'WP_O&amp;M Cost'!C9</f>
        <v>0</v>
      </c>
      <c r="D9" s="968">
        <f t="shared" ref="D9:D27" si="0">IF(C9=0,0,+C9/$C$29)</f>
        <v>0</v>
      </c>
      <c r="E9" s="962">
        <f t="shared" ref="E9:E27" si="1">D9*$E$29</f>
        <v>0</v>
      </c>
      <c r="F9" s="962">
        <f>IF(E9=0,0,E9/C9)</f>
        <v>0</v>
      </c>
      <c r="G9" s="969">
        <f>F9/1000</f>
        <v>0</v>
      </c>
    </row>
    <row r="10" spans="1:7">
      <c r="A10" s="919">
        <f>A9+1</f>
        <v>2</v>
      </c>
      <c r="B10" s="920" t="s">
        <v>1721</v>
      </c>
      <c r="C10" s="961">
        <f>'WP_O&amp;M Cost'!C10</f>
        <v>505.8</v>
      </c>
      <c r="D10" s="968">
        <f t="shared" si="0"/>
        <v>7.3053741729458499E-2</v>
      </c>
      <c r="E10" s="962">
        <f t="shared" si="1"/>
        <v>1333836.03714346</v>
      </c>
      <c r="F10" s="962">
        <f t="shared" ref="F10:F27" si="2">IF(E10=0,0,E10/C10)</f>
        <v>2637.0819239688808</v>
      </c>
      <c r="G10" s="969">
        <f t="shared" ref="G10:G27" si="3">F10/1000</f>
        <v>2.6370819239688807</v>
      </c>
    </row>
    <row r="11" spans="1:7">
      <c r="A11" s="919">
        <f t="shared" ref="A11:A29" si="4">A10+1</f>
        <v>3</v>
      </c>
      <c r="B11" s="920" t="s">
        <v>1722</v>
      </c>
      <c r="C11" s="961">
        <f>'WP_O&amp;M Cost'!C11</f>
        <v>625.6</v>
      </c>
      <c r="D11" s="968">
        <f t="shared" si="0"/>
        <v>9.0356703886811468E-2</v>
      </c>
      <c r="E11" s="962">
        <f t="shared" si="1"/>
        <v>1649758.4516349321</v>
      </c>
      <c r="F11" s="962">
        <f>IF(E11=0,0,E11/C11)</f>
        <v>2637.0819239688813</v>
      </c>
      <c r="G11" s="969">
        <f>F11/1000</f>
        <v>2.6370819239688812</v>
      </c>
    </row>
    <row r="12" spans="1:7">
      <c r="A12" s="919">
        <f t="shared" si="4"/>
        <v>4</v>
      </c>
      <c r="B12" s="920" t="s">
        <v>432</v>
      </c>
      <c r="C12" s="961">
        <f>'WP_O&amp;M Cost'!C12</f>
        <v>1635.3</v>
      </c>
      <c r="D12" s="968">
        <f t="shared" si="0"/>
        <v>0.23618976641001083</v>
      </c>
      <c r="E12" s="962">
        <f t="shared" si="1"/>
        <v>4312420.0702663111</v>
      </c>
      <c r="F12" s="962">
        <f t="shared" si="2"/>
        <v>2637.0819239688813</v>
      </c>
      <c r="G12" s="969">
        <f t="shared" si="3"/>
        <v>2.6370819239688812</v>
      </c>
    </row>
    <row r="13" spans="1:7">
      <c r="A13" s="919">
        <f t="shared" si="4"/>
        <v>5</v>
      </c>
      <c r="B13" s="920" t="s">
        <v>433</v>
      </c>
      <c r="C13" s="961">
        <f>'WP_O&amp;M Cost'!C13</f>
        <v>86.9</v>
      </c>
      <c r="D13" s="968">
        <f t="shared" si="0"/>
        <v>1.2551147007295264E-2</v>
      </c>
      <c r="E13" s="962">
        <f t="shared" si="1"/>
        <v>229162.41919289579</v>
      </c>
      <c r="F13" s="962">
        <f t="shared" si="2"/>
        <v>2637.0819239688813</v>
      </c>
      <c r="G13" s="969">
        <f t="shared" si="3"/>
        <v>2.6370819239688812</v>
      </c>
    </row>
    <row r="14" spans="1:7">
      <c r="A14" s="919">
        <f t="shared" si="4"/>
        <v>6</v>
      </c>
      <c r="B14" s="920" t="s">
        <v>441</v>
      </c>
      <c r="C14" s="961">
        <f>'WP_O&amp;M Cost'!C14</f>
        <v>465.39</v>
      </c>
      <c r="D14" s="968">
        <f t="shared" si="0"/>
        <v>6.7217241722959051E-2</v>
      </c>
      <c r="E14" s="962">
        <f t="shared" si="1"/>
        <v>1227271.5565958773</v>
      </c>
      <c r="F14" s="962">
        <f t="shared" si="2"/>
        <v>2637.0819239688803</v>
      </c>
      <c r="G14" s="969">
        <f t="shared" si="3"/>
        <v>2.6370819239688803</v>
      </c>
    </row>
    <row r="15" spans="1:7">
      <c r="A15" s="919">
        <f t="shared" si="4"/>
        <v>7</v>
      </c>
      <c r="B15" s="920" t="s">
        <v>442</v>
      </c>
      <c r="C15" s="961">
        <f>'WP_O&amp;M Cost'!C15</f>
        <v>552.33000000000004</v>
      </c>
      <c r="D15" s="968">
        <f t="shared" si="0"/>
        <v>7.9774166013111533E-2</v>
      </c>
      <c r="E15" s="962">
        <f t="shared" si="1"/>
        <v>1456539.4590657321</v>
      </c>
      <c r="F15" s="962">
        <f t="shared" si="2"/>
        <v>2637.0819239688808</v>
      </c>
      <c r="G15" s="969">
        <f t="shared" si="3"/>
        <v>2.6370819239688807</v>
      </c>
    </row>
    <row r="16" spans="1:7">
      <c r="A16" s="919">
        <f t="shared" si="4"/>
        <v>8</v>
      </c>
      <c r="B16" s="920" t="s">
        <v>635</v>
      </c>
      <c r="C16" s="961">
        <f>'WP_O&amp;M Cost'!C16</f>
        <v>191.68</v>
      </c>
      <c r="D16" s="968">
        <f t="shared" si="0"/>
        <v>2.768473945176474E-2</v>
      </c>
      <c r="E16" s="962">
        <f t="shared" si="1"/>
        <v>505475.8631863551</v>
      </c>
      <c r="F16" s="962">
        <f t="shared" si="2"/>
        <v>2637.0819239688808</v>
      </c>
      <c r="G16" s="969">
        <f t="shared" si="3"/>
        <v>2.6370819239688807</v>
      </c>
    </row>
    <row r="17" spans="1:7">
      <c r="A17" s="919">
        <f t="shared" si="4"/>
        <v>9</v>
      </c>
      <c r="B17" s="920" t="s">
        <v>443</v>
      </c>
      <c r="C17" s="961">
        <f>'WP_O&amp;M Cost'!C17</f>
        <v>75</v>
      </c>
      <c r="D17" s="968">
        <f t="shared" si="0"/>
        <v>1.0832405357274392E-2</v>
      </c>
      <c r="E17" s="962">
        <f t="shared" si="1"/>
        <v>197781.14429766606</v>
      </c>
      <c r="F17" s="962">
        <f t="shared" si="2"/>
        <v>2637.0819239688808</v>
      </c>
      <c r="G17" s="969">
        <f t="shared" si="3"/>
        <v>2.6370819239688807</v>
      </c>
    </row>
    <row r="18" spans="1:7">
      <c r="A18" s="919">
        <f t="shared" si="4"/>
        <v>10</v>
      </c>
      <c r="B18" s="910" t="s">
        <v>444</v>
      </c>
      <c r="C18" s="961">
        <f>'WP_O&amp;M Cost'!C18</f>
        <v>53.28</v>
      </c>
      <c r="D18" s="968">
        <f t="shared" si="0"/>
        <v>7.6953407658077282E-3</v>
      </c>
      <c r="E18" s="962">
        <f t="shared" si="1"/>
        <v>140503.72490906197</v>
      </c>
      <c r="F18" s="962">
        <f t="shared" si="2"/>
        <v>2637.0819239688808</v>
      </c>
      <c r="G18" s="969">
        <f t="shared" si="3"/>
        <v>2.6370819239688807</v>
      </c>
    </row>
    <row r="19" spans="1:7">
      <c r="A19" s="919">
        <f t="shared" si="4"/>
        <v>11</v>
      </c>
      <c r="B19" s="910" t="s">
        <v>445</v>
      </c>
      <c r="C19" s="961">
        <f>'WP_O&amp;M Cost'!C19</f>
        <v>100.8</v>
      </c>
      <c r="D19" s="968">
        <f t="shared" si="0"/>
        <v>1.4558752800176782E-2</v>
      </c>
      <c r="E19" s="962">
        <f t="shared" si="1"/>
        <v>265817.8579360632</v>
      </c>
      <c r="F19" s="962">
        <f t="shared" si="2"/>
        <v>2637.0819239688808</v>
      </c>
      <c r="G19" s="969">
        <f t="shared" si="3"/>
        <v>2.6370819239688807</v>
      </c>
    </row>
    <row r="20" spans="1:7">
      <c r="A20" s="919">
        <f t="shared" si="4"/>
        <v>12</v>
      </c>
      <c r="B20" s="910" t="s">
        <v>446</v>
      </c>
      <c r="C20" s="961">
        <f>'WP_O&amp;M Cost'!C20</f>
        <v>26.64</v>
      </c>
      <c r="D20" s="968">
        <f t="shared" si="0"/>
        <v>3.8476703829038641E-3</v>
      </c>
      <c r="E20" s="962">
        <f t="shared" si="1"/>
        <v>70251.862454530987</v>
      </c>
      <c r="F20" s="962">
        <f t="shared" si="2"/>
        <v>2637.0819239688808</v>
      </c>
      <c r="G20" s="969">
        <f t="shared" si="3"/>
        <v>2.6370819239688807</v>
      </c>
    </row>
    <row r="21" spans="1:7">
      <c r="A21" s="919">
        <f t="shared" si="4"/>
        <v>13</v>
      </c>
      <c r="B21" s="910" t="s">
        <v>447</v>
      </c>
      <c r="C21" s="961">
        <f>'WP_O&amp;M Cost'!C21</f>
        <v>59.3</v>
      </c>
      <c r="D21" s="968">
        <f t="shared" si="0"/>
        <v>8.5648218358182863E-3</v>
      </c>
      <c r="E21" s="962">
        <f t="shared" si="1"/>
        <v>156378.95809135464</v>
      </c>
      <c r="F21" s="962">
        <f t="shared" si="2"/>
        <v>2637.0819239688813</v>
      </c>
      <c r="G21" s="969">
        <f t="shared" si="3"/>
        <v>2.6370819239688812</v>
      </c>
    </row>
    <row r="22" spans="1:7">
      <c r="A22" s="919">
        <f t="shared" si="4"/>
        <v>14</v>
      </c>
      <c r="B22" s="910" t="s">
        <v>636</v>
      </c>
      <c r="C22" s="961">
        <f>'WP_O&amp;M Cost'!C22</f>
        <v>867.85</v>
      </c>
      <c r="D22" s="968">
        <f t="shared" si="0"/>
        <v>0.12534537319080774</v>
      </c>
      <c r="E22" s="962">
        <f t="shared" si="1"/>
        <v>2288591.5477163931</v>
      </c>
      <c r="F22" s="962">
        <f t="shared" si="2"/>
        <v>2637.0819239688808</v>
      </c>
      <c r="G22" s="969">
        <f t="shared" si="3"/>
        <v>2.6370819239688807</v>
      </c>
    </row>
    <row r="23" spans="1:7">
      <c r="A23" s="919">
        <f t="shared" si="4"/>
        <v>15</v>
      </c>
      <c r="B23" s="910" t="s">
        <v>742</v>
      </c>
      <c r="C23" s="961">
        <f>'WP_O&amp;M Cost'!C23</f>
        <v>280.5</v>
      </c>
      <c r="D23" s="968">
        <f t="shared" si="0"/>
        <v>4.0513196036206227E-2</v>
      </c>
      <c r="E23" s="962">
        <f t="shared" si="1"/>
        <v>739701.47967327107</v>
      </c>
      <c r="F23" s="962">
        <f t="shared" si="2"/>
        <v>2637.0819239688808</v>
      </c>
      <c r="G23" s="969">
        <f t="shared" si="3"/>
        <v>2.6370819239688807</v>
      </c>
    </row>
    <row r="24" spans="1:7">
      <c r="A24" s="919">
        <f t="shared" si="4"/>
        <v>16</v>
      </c>
      <c r="B24" s="910" t="s">
        <v>1197</v>
      </c>
      <c r="C24" s="961">
        <f>'WP_O&amp;M Cost'!C24</f>
        <v>397.8</v>
      </c>
      <c r="D24" s="968">
        <f t="shared" si="0"/>
        <v>5.7455078014983375E-2</v>
      </c>
      <c r="E24" s="962">
        <f t="shared" si="1"/>
        <v>1049031.1893548209</v>
      </c>
      <c r="F24" s="962">
        <f t="shared" si="2"/>
        <v>2637.0819239688808</v>
      </c>
      <c r="G24" s="969">
        <f t="shared" si="3"/>
        <v>2.6370819239688807</v>
      </c>
    </row>
    <row r="25" spans="1:7">
      <c r="A25" s="919">
        <f t="shared" si="4"/>
        <v>17</v>
      </c>
      <c r="B25" s="910" t="s">
        <v>743</v>
      </c>
      <c r="C25" s="961">
        <f>'WP_O&amp;M Cost'!C25</f>
        <v>685.1</v>
      </c>
      <c r="D25" s="968">
        <f t="shared" si="0"/>
        <v>9.8950412136915813E-2</v>
      </c>
      <c r="E25" s="962">
        <f t="shared" si="1"/>
        <v>1806664.8261110804</v>
      </c>
      <c r="F25" s="962">
        <f t="shared" si="2"/>
        <v>2637.0819239688808</v>
      </c>
      <c r="G25" s="969">
        <f t="shared" si="3"/>
        <v>2.6370819239688807</v>
      </c>
    </row>
    <row r="26" spans="1:7">
      <c r="A26" s="919">
        <f t="shared" si="4"/>
        <v>18</v>
      </c>
      <c r="B26" s="966" t="s">
        <v>1138</v>
      </c>
      <c r="C26" s="961">
        <v>14.4</v>
      </c>
      <c r="D26" s="968">
        <f t="shared" si="0"/>
        <v>2.0798218285966834E-3</v>
      </c>
      <c r="E26" s="962">
        <f t="shared" si="1"/>
        <v>37973.979705151891</v>
      </c>
      <c r="F26" s="962">
        <f t="shared" si="2"/>
        <v>2637.0819239688813</v>
      </c>
      <c r="G26" s="969">
        <f t="shared" si="3"/>
        <v>2.6370819239688812</v>
      </c>
    </row>
    <row r="27" spans="1:7">
      <c r="A27" s="919">
        <f t="shared" si="4"/>
        <v>19</v>
      </c>
      <c r="B27" s="910" t="s">
        <v>448</v>
      </c>
      <c r="C27" s="961">
        <f>'WP_O&amp;M Cost'!C26</f>
        <v>300</v>
      </c>
      <c r="D27" s="968">
        <f t="shared" si="0"/>
        <v>4.3329621429097569E-2</v>
      </c>
      <c r="E27" s="962">
        <f t="shared" si="1"/>
        <v>791124.57719066425</v>
      </c>
      <c r="F27" s="962">
        <f t="shared" si="2"/>
        <v>2637.0819239688808</v>
      </c>
      <c r="G27" s="969">
        <f t="shared" si="3"/>
        <v>2.6370819239688807</v>
      </c>
    </row>
    <row r="28" spans="1:7">
      <c r="A28" s="919">
        <f t="shared" si="4"/>
        <v>20</v>
      </c>
      <c r="B28" s="910"/>
      <c r="C28" s="921"/>
      <c r="D28" s="962"/>
      <c r="E28" s="962"/>
      <c r="F28" s="962"/>
      <c r="G28" s="962"/>
    </row>
    <row r="29" spans="1:7">
      <c r="A29" s="919">
        <f t="shared" si="4"/>
        <v>21</v>
      </c>
      <c r="B29" s="910" t="s">
        <v>1546</v>
      </c>
      <c r="C29" s="921">
        <f>SUM(C9:C27)</f>
        <v>6923.670000000001</v>
      </c>
      <c r="D29" s="968">
        <f>SUM(D9:D27)</f>
        <v>0.99999999999999989</v>
      </c>
      <c r="E29" s="962">
        <f>'Schedule 2'!H46</f>
        <v>18258285.004525624</v>
      </c>
      <c r="F29" s="962"/>
      <c r="G29" s="962"/>
    </row>
    <row r="30" spans="1:7">
      <c r="A30" s="919"/>
      <c r="B30" s="910"/>
      <c r="C30" s="921"/>
      <c r="D30" s="962"/>
      <c r="E30" s="962"/>
      <c r="F30" s="962"/>
      <c r="G30" s="962"/>
    </row>
    <row r="31" spans="1:7">
      <c r="A31" s="910"/>
      <c r="B31" s="910" t="s">
        <v>870</v>
      </c>
      <c r="C31" s="910"/>
      <c r="D31" s="910"/>
      <c r="E31" s="910"/>
      <c r="F31" s="910"/>
      <c r="G31" s="910"/>
    </row>
    <row r="32" spans="1:7">
      <c r="A32" s="966"/>
      <c r="B32" s="967" t="s">
        <v>1530</v>
      </c>
      <c r="C32" s="966"/>
      <c r="D32" s="966"/>
      <c r="E32" s="966"/>
      <c r="F32" s="966"/>
      <c r="G32" s="966"/>
    </row>
    <row r="33" spans="1:7">
      <c r="A33" s="966"/>
      <c r="B33" s="939" t="s">
        <v>1547</v>
      </c>
      <c r="C33" s="966"/>
      <c r="D33" s="966"/>
      <c r="E33" s="966"/>
      <c r="F33" s="966"/>
      <c r="G33" s="966"/>
    </row>
  </sheetData>
  <printOptions horizontalCentered="1"/>
  <pageMargins left="0.75" right="0.75" top="1" bottom="1" header="0.5" footer="0.5"/>
  <pageSetup scale="76" orientation="portrait" r:id="rId1"/>
  <headerFooter alignWithMargins="0">
    <oddHeader>&amp;RPage &amp;P of &amp;N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535"/>
  <sheetViews>
    <sheetView view="pageBreakPreview" zoomScale="70" zoomScaleNormal="85" zoomScaleSheetLayoutView="70" workbookViewId="0">
      <selection activeCell="Z34" sqref="Z34"/>
    </sheetView>
  </sheetViews>
  <sheetFormatPr defaultRowHeight="12.75"/>
  <cols>
    <col min="1" max="1" width="6.7109375" style="1128" customWidth="1"/>
    <col min="2" max="2" width="11.7109375" style="1066" customWidth="1"/>
    <col min="3" max="3" width="9.7109375" style="1066" customWidth="1"/>
    <col min="4" max="4" width="12.28515625" style="1066" bestFit="1" customWidth="1"/>
    <col min="5" max="5" width="10.7109375" style="1066" customWidth="1"/>
    <col min="6" max="6" width="13.5703125" style="1066" customWidth="1"/>
    <col min="7" max="7" width="2.7109375" style="1066" customWidth="1"/>
    <col min="8" max="9" width="14.7109375" style="1066" customWidth="1"/>
    <col min="10" max="10" width="18.42578125" style="1066" customWidth="1"/>
    <col min="11" max="11" width="2.7109375" style="1066" customWidth="1"/>
    <col min="12" max="14" width="14.7109375" style="1066" customWidth="1"/>
    <col min="15" max="15" width="18.7109375" style="1066" customWidth="1"/>
    <col min="16" max="16" width="20.42578125" style="1066" customWidth="1"/>
    <col min="17" max="17" width="17.7109375" style="1066" bestFit="1" customWidth="1"/>
    <col min="18" max="16384" width="9.140625" style="1066"/>
  </cols>
  <sheetData>
    <row r="1" spans="1:18" s="1059" customFormat="1">
      <c r="A1" s="99" t="str">
        <f>'Cover Page'!A5</f>
        <v>Public Service Company of Colorado</v>
      </c>
      <c r="B1" s="1130"/>
      <c r="C1" s="1130"/>
      <c r="D1" s="1130"/>
      <c r="E1" s="1130"/>
      <c r="F1" s="1130"/>
      <c r="G1" s="1130"/>
      <c r="H1" s="1130"/>
      <c r="I1" s="1130"/>
      <c r="J1" s="1130"/>
      <c r="K1" s="1058"/>
      <c r="Q1" s="898" t="s">
        <v>1576</v>
      </c>
    </row>
    <row r="2" spans="1:18" s="1059" customFormat="1">
      <c r="A2" s="99" t="str">
        <f>'Cover Page'!A6</f>
        <v>Transmission Formula Rate Template</v>
      </c>
      <c r="B2" s="1129"/>
      <c r="C2" s="1129"/>
      <c r="D2" s="1129"/>
      <c r="E2" s="1129"/>
      <c r="F2" s="1129"/>
      <c r="G2" s="1129"/>
      <c r="H2" s="1129"/>
      <c r="I2" s="1129"/>
      <c r="J2" s="1129"/>
      <c r="K2" s="1129"/>
      <c r="Q2" s="898" t="str">
        <f ca="1">MID(CELL("filename",$A$1),FIND("]",CELL("filename",$A$1))+1,LEN(CELL("filename",$A$1))-FIND("]",CELL("filename",$A$1)))</f>
        <v>WP_ADIT Prorate</v>
      </c>
    </row>
    <row r="3" spans="1:18" s="1059" customFormat="1">
      <c r="A3" s="943" t="str">
        <f>'Cover Page'!A6</f>
        <v>Transmission Formula Rate Template</v>
      </c>
      <c r="B3" s="1129"/>
      <c r="C3" s="1129"/>
      <c r="D3" s="1129"/>
      <c r="E3" s="1129"/>
      <c r="F3" s="1129"/>
      <c r="G3" s="1129"/>
      <c r="H3" s="1129"/>
      <c r="I3" s="1129"/>
      <c r="J3" s="1129"/>
      <c r="K3" s="1129"/>
    </row>
    <row r="4" spans="1:18" s="1059" customFormat="1">
      <c r="A4" s="943" t="s">
        <v>1704</v>
      </c>
      <c r="B4" s="1057"/>
      <c r="C4" s="1057"/>
      <c r="D4" s="1057"/>
      <c r="E4" s="1057"/>
      <c r="F4" s="1057"/>
      <c r="G4" s="1057"/>
      <c r="H4" s="1057"/>
      <c r="I4" s="1057"/>
      <c r="J4" s="1057"/>
      <c r="K4" s="1057"/>
    </row>
    <row r="5" spans="1:18" s="1059" customFormat="1">
      <c r="A5" s="943"/>
      <c r="B5" s="1057"/>
      <c r="C5" s="1057"/>
      <c r="D5" s="1057"/>
      <c r="E5" s="1057"/>
      <c r="F5" s="1057"/>
      <c r="G5" s="1057"/>
      <c r="H5" s="1057"/>
      <c r="I5" s="1057"/>
      <c r="J5" s="1057"/>
      <c r="K5" s="1057"/>
    </row>
    <row r="6" spans="1:18" s="1059" customFormat="1">
      <c r="A6" s="1060"/>
      <c r="B6" s="1061" t="s">
        <v>1664</v>
      </c>
      <c r="C6" s="1062">
        <v>2017</v>
      </c>
      <c r="D6" s="1062"/>
      <c r="E6" s="1060"/>
      <c r="F6" s="1060"/>
      <c r="G6" s="1060"/>
      <c r="H6" s="1060"/>
      <c r="I6" s="1060"/>
      <c r="J6" s="1060"/>
      <c r="K6" s="1060"/>
      <c r="L6" s="1063"/>
      <c r="M6" s="1063"/>
      <c r="N6" s="1063"/>
      <c r="O6" s="1063"/>
      <c r="P6" s="1063"/>
      <c r="Q6" s="1063"/>
    </row>
    <row r="7" spans="1:18">
      <c r="A7" s="1064"/>
      <c r="B7" s="1065"/>
      <c r="C7" s="1065"/>
      <c r="D7" s="1065"/>
      <c r="E7" s="1065"/>
      <c r="F7" s="1065"/>
      <c r="G7" s="1065"/>
      <c r="H7" s="1065"/>
      <c r="I7" s="1065"/>
      <c r="J7" s="1065"/>
      <c r="K7" s="1065"/>
      <c r="L7" s="1065"/>
      <c r="M7" s="1065"/>
      <c r="N7" s="1065"/>
      <c r="O7" s="1065"/>
      <c r="P7" s="1065"/>
      <c r="Q7" s="1065"/>
    </row>
    <row r="8" spans="1:18">
      <c r="A8" s="1067"/>
      <c r="B8" s="1068"/>
      <c r="C8" s="1069"/>
      <c r="D8" s="1069"/>
      <c r="E8" s="1069"/>
      <c r="F8" s="1069"/>
      <c r="G8" s="1069"/>
      <c r="H8" s="1069"/>
      <c r="I8" s="1069"/>
      <c r="J8" s="1069"/>
      <c r="K8" s="1065"/>
      <c r="L8" s="1065"/>
      <c r="M8" s="1065"/>
      <c r="N8" s="1065"/>
      <c r="O8" s="1065"/>
      <c r="P8" s="1065"/>
      <c r="Q8" s="1065"/>
    </row>
    <row r="9" spans="1:18" ht="12.75" customHeight="1">
      <c r="A9" s="1064">
        <v>1</v>
      </c>
      <c r="B9" s="1270" t="s">
        <v>1665</v>
      </c>
      <c r="C9" s="1270"/>
      <c r="D9" s="1270"/>
      <c r="E9" s="1270"/>
      <c r="F9" s="1065"/>
      <c r="G9" s="1065"/>
      <c r="H9" s="1069"/>
      <c r="I9" s="1069"/>
      <c r="J9" s="1069"/>
      <c r="K9" s="1065"/>
      <c r="L9" s="1065"/>
      <c r="M9" s="1065"/>
      <c r="N9" s="1065"/>
      <c r="O9" s="1065"/>
      <c r="P9" s="1065"/>
      <c r="Q9" s="1065"/>
      <c r="R9" s="1070"/>
    </row>
    <row r="10" spans="1:18">
      <c r="A10" s="1064">
        <f>+A9+1</f>
        <v>2</v>
      </c>
      <c r="B10" s="1262" t="s">
        <v>1294</v>
      </c>
      <c r="C10" s="1262"/>
      <c r="D10" s="1262"/>
      <c r="E10" s="1262"/>
      <c r="F10" s="1065"/>
      <c r="G10" s="1065"/>
      <c r="H10" s="1069"/>
      <c r="I10" s="1069"/>
      <c r="J10" s="1069"/>
      <c r="K10" s="1065"/>
      <c r="L10" s="1065"/>
      <c r="M10" s="1065"/>
      <c r="N10" s="1065"/>
      <c r="O10" s="1065"/>
      <c r="P10" s="1065"/>
      <c r="Q10" s="1065"/>
      <c r="R10" s="1070"/>
    </row>
    <row r="11" spans="1:18">
      <c r="A11" s="1064">
        <f t="shared" ref="A11:A74" si="0">+A10+1</f>
        <v>3</v>
      </c>
      <c r="B11" s="1263" t="s">
        <v>1666</v>
      </c>
      <c r="C11" s="1264"/>
      <c r="D11" s="1264"/>
      <c r="E11" s="1264"/>
      <c r="F11" s="1265"/>
      <c r="G11" s="1071"/>
      <c r="H11" s="1266" t="s">
        <v>1667</v>
      </c>
      <c r="I11" s="1267"/>
      <c r="J11" s="1268"/>
      <c r="K11" s="1065"/>
      <c r="L11" s="1266" t="s">
        <v>1668</v>
      </c>
      <c r="M11" s="1267"/>
      <c r="N11" s="1267"/>
      <c r="O11" s="1267"/>
      <c r="P11" s="1267"/>
      <c r="Q11" s="1267"/>
    </row>
    <row r="12" spans="1:18">
      <c r="A12" s="1064">
        <f t="shared" si="0"/>
        <v>4</v>
      </c>
      <c r="B12" s="1072" t="s">
        <v>824</v>
      </c>
      <c r="C12" s="1072" t="s">
        <v>825</v>
      </c>
      <c r="D12" s="1072" t="s">
        <v>826</v>
      </c>
      <c r="E12" s="1072" t="s">
        <v>827</v>
      </c>
      <c r="F12" s="1072" t="s">
        <v>828</v>
      </c>
      <c r="G12" s="1071"/>
      <c r="H12" s="1072" t="s">
        <v>829</v>
      </c>
      <c r="I12" s="1072" t="s">
        <v>830</v>
      </c>
      <c r="J12" s="1072" t="s">
        <v>831</v>
      </c>
      <c r="K12" s="1065"/>
      <c r="L12" s="1072" t="s">
        <v>832</v>
      </c>
      <c r="M12" s="1072" t="s">
        <v>833</v>
      </c>
      <c r="N12" s="1072" t="s">
        <v>834</v>
      </c>
      <c r="O12" s="1073" t="s">
        <v>835</v>
      </c>
      <c r="P12" s="1073" t="s">
        <v>837</v>
      </c>
      <c r="Q12" s="1072" t="s">
        <v>836</v>
      </c>
    </row>
    <row r="13" spans="1:18" ht="45">
      <c r="A13" s="1064">
        <f t="shared" si="0"/>
        <v>5</v>
      </c>
      <c r="B13" s="1074" t="s">
        <v>1342</v>
      </c>
      <c r="C13" s="1074" t="s">
        <v>1577</v>
      </c>
      <c r="D13" s="1074" t="s">
        <v>1669</v>
      </c>
      <c r="E13" s="1074" t="s">
        <v>1670</v>
      </c>
      <c r="F13" s="1074" t="s">
        <v>1671</v>
      </c>
      <c r="G13" s="1075"/>
      <c r="H13" s="1074" t="s">
        <v>1672</v>
      </c>
      <c r="I13" s="1074" t="s">
        <v>1673</v>
      </c>
      <c r="J13" s="1074" t="s">
        <v>1674</v>
      </c>
      <c r="K13" s="1065"/>
      <c r="L13" s="1074" t="s">
        <v>1675</v>
      </c>
      <c r="M13" s="1074" t="s">
        <v>1676</v>
      </c>
      <c r="N13" s="1076" t="s">
        <v>1677</v>
      </c>
      <c r="O13" s="1076" t="s">
        <v>1678</v>
      </c>
      <c r="P13" s="1076" t="s">
        <v>1679</v>
      </c>
      <c r="Q13" s="1076" t="s">
        <v>1680</v>
      </c>
    </row>
    <row r="14" spans="1:18">
      <c r="A14" s="1064">
        <f t="shared" si="0"/>
        <v>6</v>
      </c>
      <c r="B14" s="1065"/>
      <c r="C14" s="1075"/>
      <c r="D14" s="1075"/>
      <c r="E14" s="1075"/>
      <c r="F14" s="1075"/>
      <c r="G14" s="1075"/>
      <c r="H14" s="1075"/>
      <c r="I14" s="1075"/>
      <c r="J14" s="1075"/>
      <c r="K14" s="1065"/>
      <c r="L14" s="1065"/>
      <c r="M14" s="1065"/>
      <c r="N14" s="1065"/>
      <c r="O14" s="1077"/>
      <c r="P14" s="1077"/>
      <c r="Q14" s="1065"/>
    </row>
    <row r="15" spans="1:18">
      <c r="A15" s="1064">
        <f t="shared" si="0"/>
        <v>7</v>
      </c>
      <c r="B15" s="1269" t="s">
        <v>1681</v>
      </c>
      <c r="C15" s="1269"/>
      <c r="D15" s="1269"/>
      <c r="E15" s="1269"/>
      <c r="F15" s="1078"/>
      <c r="G15" s="1078"/>
      <c r="H15" s="1079"/>
      <c r="I15" s="1079"/>
      <c r="J15" s="1080">
        <f>SUM('WP_B-3'!C26,'WP_B-3'!C29)</f>
        <v>45075416.65281079</v>
      </c>
      <c r="K15" s="1081"/>
      <c r="L15" s="1079"/>
      <c r="M15" s="1082"/>
      <c r="N15" s="1082"/>
      <c r="O15" s="1082"/>
      <c r="P15" s="1082"/>
      <c r="Q15" s="1083">
        <f>'WP_B-3'!C125+'WP_B-3'!C128</f>
        <v>46532427.030000031</v>
      </c>
    </row>
    <row r="16" spans="1:18">
      <c r="A16" s="1064">
        <f t="shared" si="0"/>
        <v>8</v>
      </c>
      <c r="B16" s="1084" t="s">
        <v>950</v>
      </c>
      <c r="C16" s="1079">
        <v>31</v>
      </c>
      <c r="D16" s="1085">
        <f t="shared" ref="D16:D24" si="1">D17+C17</f>
        <v>335</v>
      </c>
      <c r="E16" s="1085">
        <f>SUM(C16:C27)</f>
        <v>365</v>
      </c>
      <c r="F16" s="1086">
        <f>D16/E16</f>
        <v>0.9178082191780822</v>
      </c>
      <c r="G16" s="1078"/>
      <c r="H16" s="1087">
        <f>(SUM('WP_B-3'!D26,'WP_B-3'!D29)-SUM('WP_B-3'!C26,'WP_B-3'!C29))/12</f>
        <v>-223932.90623332933</v>
      </c>
      <c r="I16" s="1079">
        <f>+H16*F16</f>
        <v>-205527.46188538446</v>
      </c>
      <c r="J16" s="1079">
        <f t="shared" ref="J16:J27" si="2">+I16+J15</f>
        <v>44869889.190925404</v>
      </c>
      <c r="K16" s="1065"/>
      <c r="L16" s="1087">
        <f>(('WP_B-3'!D125+'WP_B-3'!D128)-('WP_B-3'!C125+'WP_B-3'!C128))/12</f>
        <v>-734398.69050698413</v>
      </c>
      <c r="M16" s="1082">
        <f>L16-H16</f>
        <v>-510465.7842736548</v>
      </c>
      <c r="N16" s="1082">
        <f>IF(M16&gt;=0,+M16,0)</f>
        <v>0</v>
      </c>
      <c r="O16" s="1082">
        <f>IF(N16&gt;0,0,IF(L16&lt;0,0,(-(M16)*(D16/E16))))</f>
        <v>0</v>
      </c>
      <c r="P16" s="1082">
        <f>IF(L16&lt;0,L16,0)</f>
        <v>-734398.69050698413</v>
      </c>
      <c r="Q16" s="1082">
        <f>IF(L16&lt;0,Q15+P16,Q15+I16+N16-O16)</f>
        <v>45798028.339493044</v>
      </c>
    </row>
    <row r="17" spans="1:17">
      <c r="A17" s="1064">
        <f t="shared" si="0"/>
        <v>9</v>
      </c>
      <c r="B17" s="1084" t="s">
        <v>899</v>
      </c>
      <c r="C17" s="1087">
        <v>28</v>
      </c>
      <c r="D17" s="1085">
        <f t="shared" si="1"/>
        <v>307</v>
      </c>
      <c r="E17" s="1085">
        <f>E16</f>
        <v>365</v>
      </c>
      <c r="F17" s="1086">
        <f t="shared" ref="F17:F27" si="3">D17/E17</f>
        <v>0.84109589041095889</v>
      </c>
      <c r="G17" s="1078"/>
      <c r="H17" s="1087">
        <f>$H$16</f>
        <v>-223932.90623332933</v>
      </c>
      <c r="I17" s="1079">
        <f t="shared" ref="I17:I27" si="4">+H17*F17</f>
        <v>-188349.04716063591</v>
      </c>
      <c r="J17" s="1079">
        <f t="shared" si="2"/>
        <v>44681540.143764772</v>
      </c>
      <c r="K17" s="1065"/>
      <c r="L17" s="1087">
        <f>$L$16</f>
        <v>-734398.69050698413</v>
      </c>
      <c r="M17" s="1082">
        <f t="shared" ref="M17:M27" si="5">L17-H17</f>
        <v>-510465.7842736548</v>
      </c>
      <c r="N17" s="1082">
        <f t="shared" ref="N17:N27" si="6">IF(M17&gt;=0,+M17,0)</f>
        <v>0</v>
      </c>
      <c r="O17" s="1082">
        <f t="shared" ref="O17:O27" si="7">IF(N17&gt;0,0,IF(L17&lt;0,0,(-(M17)*(D17/E17))))</f>
        <v>0</v>
      </c>
      <c r="P17" s="1082">
        <f t="shared" ref="P17:P27" si="8">IF(L17&lt;0,L17,0)</f>
        <v>-734398.69050698413</v>
      </c>
      <c r="Q17" s="1082">
        <f t="shared" ref="Q17:Q27" si="9">IF(L17&lt;0,Q16+P17,Q16+I17+N17-O17)</f>
        <v>45063629.648986056</v>
      </c>
    </row>
    <row r="18" spans="1:17">
      <c r="A18" s="1064">
        <f t="shared" si="0"/>
        <v>10</v>
      </c>
      <c r="B18" s="1084" t="s">
        <v>900</v>
      </c>
      <c r="C18" s="1079">
        <v>31</v>
      </c>
      <c r="D18" s="1085">
        <f t="shared" si="1"/>
        <v>276</v>
      </c>
      <c r="E18" s="1085">
        <f t="shared" ref="E18:E27" si="10">E17</f>
        <v>365</v>
      </c>
      <c r="F18" s="1086">
        <f t="shared" si="3"/>
        <v>0.75616438356164384</v>
      </c>
      <c r="G18" s="1078"/>
      <c r="H18" s="1087">
        <f t="shared" ref="H18:H27" si="11">$H$16</f>
        <v>-223932.90623332933</v>
      </c>
      <c r="I18" s="1079">
        <f t="shared" si="4"/>
        <v>-169330.08800109287</v>
      </c>
      <c r="J18" s="1079">
        <f t="shared" si="2"/>
        <v>44512210.055763677</v>
      </c>
      <c r="K18" s="1065"/>
      <c r="L18" s="1087">
        <f t="shared" ref="L18:L27" si="12">$L$16</f>
        <v>-734398.69050698413</v>
      </c>
      <c r="M18" s="1082">
        <f t="shared" si="5"/>
        <v>-510465.7842736548</v>
      </c>
      <c r="N18" s="1082">
        <f t="shared" si="6"/>
        <v>0</v>
      </c>
      <c r="O18" s="1082">
        <f t="shared" si="7"/>
        <v>0</v>
      </c>
      <c r="P18" s="1082">
        <f t="shared" si="8"/>
        <v>-734398.69050698413</v>
      </c>
      <c r="Q18" s="1082">
        <f t="shared" si="9"/>
        <v>44329230.958479069</v>
      </c>
    </row>
    <row r="19" spans="1:17">
      <c r="A19" s="1064">
        <f t="shared" si="0"/>
        <v>11</v>
      </c>
      <c r="B19" s="1084" t="s">
        <v>901</v>
      </c>
      <c r="C19" s="1079">
        <v>30</v>
      </c>
      <c r="D19" s="1085">
        <f t="shared" si="1"/>
        <v>246</v>
      </c>
      <c r="E19" s="1085">
        <f t="shared" si="10"/>
        <v>365</v>
      </c>
      <c r="F19" s="1086">
        <f t="shared" si="3"/>
        <v>0.67397260273972603</v>
      </c>
      <c r="G19" s="1078"/>
      <c r="H19" s="1087">
        <f t="shared" si="11"/>
        <v>-223932.90623332933</v>
      </c>
      <c r="I19" s="1079">
        <f t="shared" si="4"/>
        <v>-150924.643653148</v>
      </c>
      <c r="J19" s="1079">
        <f t="shared" si="2"/>
        <v>44361285.41211053</v>
      </c>
      <c r="K19" s="1065"/>
      <c r="L19" s="1087">
        <f t="shared" si="12"/>
        <v>-734398.69050698413</v>
      </c>
      <c r="M19" s="1082">
        <f t="shared" si="5"/>
        <v>-510465.7842736548</v>
      </c>
      <c r="N19" s="1082">
        <f t="shared" si="6"/>
        <v>0</v>
      </c>
      <c r="O19" s="1082">
        <f t="shared" si="7"/>
        <v>0</v>
      </c>
      <c r="P19" s="1082">
        <f t="shared" si="8"/>
        <v>-734398.69050698413</v>
      </c>
      <c r="Q19" s="1082">
        <f t="shared" si="9"/>
        <v>43594832.267972082</v>
      </c>
    </row>
    <row r="20" spans="1:17">
      <c r="A20" s="1064">
        <f t="shared" si="0"/>
        <v>12</v>
      </c>
      <c r="B20" s="1084" t="s">
        <v>902</v>
      </c>
      <c r="C20" s="1079">
        <v>31</v>
      </c>
      <c r="D20" s="1085">
        <f t="shared" si="1"/>
        <v>215</v>
      </c>
      <c r="E20" s="1085">
        <f t="shared" si="10"/>
        <v>365</v>
      </c>
      <c r="F20" s="1086">
        <f t="shared" si="3"/>
        <v>0.58904109589041098</v>
      </c>
      <c r="G20" s="1078"/>
      <c r="H20" s="1087">
        <f t="shared" si="11"/>
        <v>-223932.90623332933</v>
      </c>
      <c r="I20" s="1079">
        <f t="shared" si="4"/>
        <v>-131905.68449360496</v>
      </c>
      <c r="J20" s="1079">
        <f t="shared" si="2"/>
        <v>44229379.727616929</v>
      </c>
      <c r="K20" s="1065"/>
      <c r="L20" s="1087">
        <f t="shared" si="12"/>
        <v>-734398.69050698413</v>
      </c>
      <c r="M20" s="1082">
        <f t="shared" si="5"/>
        <v>-510465.7842736548</v>
      </c>
      <c r="N20" s="1082">
        <f t="shared" si="6"/>
        <v>0</v>
      </c>
      <c r="O20" s="1082">
        <f t="shared" si="7"/>
        <v>0</v>
      </c>
      <c r="P20" s="1082">
        <f t="shared" si="8"/>
        <v>-734398.69050698413</v>
      </c>
      <c r="Q20" s="1082">
        <f t="shared" si="9"/>
        <v>42860433.577465095</v>
      </c>
    </row>
    <row r="21" spans="1:17">
      <c r="A21" s="1064">
        <f t="shared" si="0"/>
        <v>13</v>
      </c>
      <c r="B21" s="1084" t="s">
        <v>903</v>
      </c>
      <c r="C21" s="1079">
        <v>30</v>
      </c>
      <c r="D21" s="1085">
        <f t="shared" si="1"/>
        <v>185</v>
      </c>
      <c r="E21" s="1085">
        <f t="shared" si="10"/>
        <v>365</v>
      </c>
      <c r="F21" s="1086">
        <f t="shared" si="3"/>
        <v>0.50684931506849318</v>
      </c>
      <c r="G21" s="1078"/>
      <c r="H21" s="1087">
        <f t="shared" si="11"/>
        <v>-223932.90623332933</v>
      </c>
      <c r="I21" s="1079">
        <f t="shared" si="4"/>
        <v>-113500.24014566008</v>
      </c>
      <c r="J21" s="1079">
        <f t="shared" si="2"/>
        <v>44115879.487471268</v>
      </c>
      <c r="K21" s="1065"/>
      <c r="L21" s="1087">
        <f t="shared" si="12"/>
        <v>-734398.69050698413</v>
      </c>
      <c r="M21" s="1082">
        <f t="shared" si="5"/>
        <v>-510465.7842736548</v>
      </c>
      <c r="N21" s="1082">
        <f t="shared" si="6"/>
        <v>0</v>
      </c>
      <c r="O21" s="1082">
        <f t="shared" si="7"/>
        <v>0</v>
      </c>
      <c r="P21" s="1082">
        <f t="shared" si="8"/>
        <v>-734398.69050698413</v>
      </c>
      <c r="Q21" s="1082">
        <f t="shared" si="9"/>
        <v>42126034.886958107</v>
      </c>
    </row>
    <row r="22" spans="1:17">
      <c r="A22" s="1064">
        <f t="shared" si="0"/>
        <v>14</v>
      </c>
      <c r="B22" s="1084" t="s">
        <v>904</v>
      </c>
      <c r="C22" s="1079">
        <v>31</v>
      </c>
      <c r="D22" s="1085">
        <f t="shared" si="1"/>
        <v>154</v>
      </c>
      <c r="E22" s="1085">
        <f t="shared" si="10"/>
        <v>365</v>
      </c>
      <c r="F22" s="1086">
        <f t="shared" si="3"/>
        <v>0.42191780821917807</v>
      </c>
      <c r="G22" s="1078"/>
      <c r="H22" s="1087">
        <f t="shared" si="11"/>
        <v>-223932.90623332933</v>
      </c>
      <c r="I22" s="1079">
        <f t="shared" si="4"/>
        <v>-94481.280986117024</v>
      </c>
      <c r="J22" s="1079">
        <f t="shared" si="2"/>
        <v>44021398.206485152</v>
      </c>
      <c r="K22" s="1065"/>
      <c r="L22" s="1087">
        <f t="shared" si="12"/>
        <v>-734398.69050698413</v>
      </c>
      <c r="M22" s="1082">
        <f t="shared" si="5"/>
        <v>-510465.7842736548</v>
      </c>
      <c r="N22" s="1082">
        <f t="shared" si="6"/>
        <v>0</v>
      </c>
      <c r="O22" s="1082">
        <f t="shared" si="7"/>
        <v>0</v>
      </c>
      <c r="P22" s="1082">
        <f t="shared" si="8"/>
        <v>-734398.69050698413</v>
      </c>
      <c r="Q22" s="1082">
        <f t="shared" si="9"/>
        <v>41391636.19645112</v>
      </c>
    </row>
    <row r="23" spans="1:17">
      <c r="A23" s="1064">
        <f t="shared" si="0"/>
        <v>15</v>
      </c>
      <c r="B23" s="1084" t="s">
        <v>905</v>
      </c>
      <c r="C23" s="1079">
        <v>31</v>
      </c>
      <c r="D23" s="1085">
        <f t="shared" si="1"/>
        <v>123</v>
      </c>
      <c r="E23" s="1085">
        <f t="shared" si="10"/>
        <v>365</v>
      </c>
      <c r="F23" s="1086">
        <f t="shared" si="3"/>
        <v>0.33698630136986302</v>
      </c>
      <c r="G23" s="1078"/>
      <c r="H23" s="1087">
        <f t="shared" si="11"/>
        <v>-223932.90623332933</v>
      </c>
      <c r="I23" s="1079">
        <f t="shared" si="4"/>
        <v>-75462.321826574</v>
      </c>
      <c r="J23" s="1079">
        <f t="shared" si="2"/>
        <v>43945935.884658575</v>
      </c>
      <c r="K23" s="1065"/>
      <c r="L23" s="1087">
        <f t="shared" si="12"/>
        <v>-734398.69050698413</v>
      </c>
      <c r="M23" s="1082">
        <f t="shared" si="5"/>
        <v>-510465.7842736548</v>
      </c>
      <c r="N23" s="1082">
        <f t="shared" si="6"/>
        <v>0</v>
      </c>
      <c r="O23" s="1082">
        <f t="shared" si="7"/>
        <v>0</v>
      </c>
      <c r="P23" s="1082">
        <f t="shared" si="8"/>
        <v>-734398.69050698413</v>
      </c>
      <c r="Q23" s="1082">
        <f t="shared" si="9"/>
        <v>40657237.505944133</v>
      </c>
    </row>
    <row r="24" spans="1:17">
      <c r="A24" s="1064">
        <f t="shared" si="0"/>
        <v>16</v>
      </c>
      <c r="B24" s="1084" t="s">
        <v>906</v>
      </c>
      <c r="C24" s="1079">
        <v>30</v>
      </c>
      <c r="D24" s="1085">
        <f t="shared" si="1"/>
        <v>93</v>
      </c>
      <c r="E24" s="1085">
        <f t="shared" si="10"/>
        <v>365</v>
      </c>
      <c r="F24" s="1086">
        <f t="shared" si="3"/>
        <v>0.25479452054794521</v>
      </c>
      <c r="G24" s="1078"/>
      <c r="H24" s="1087">
        <f t="shared" si="11"/>
        <v>-223932.90623332933</v>
      </c>
      <c r="I24" s="1079">
        <f t="shared" si="4"/>
        <v>-57056.877478629118</v>
      </c>
      <c r="J24" s="1079">
        <f t="shared" si="2"/>
        <v>43888879.007179946</v>
      </c>
      <c r="K24" s="1065"/>
      <c r="L24" s="1087">
        <f t="shared" si="12"/>
        <v>-734398.69050698413</v>
      </c>
      <c r="M24" s="1082">
        <f t="shared" si="5"/>
        <v>-510465.7842736548</v>
      </c>
      <c r="N24" s="1082">
        <f t="shared" si="6"/>
        <v>0</v>
      </c>
      <c r="O24" s="1082">
        <f t="shared" si="7"/>
        <v>0</v>
      </c>
      <c r="P24" s="1082">
        <f t="shared" si="8"/>
        <v>-734398.69050698413</v>
      </c>
      <c r="Q24" s="1082">
        <f t="shared" si="9"/>
        <v>39922838.815437146</v>
      </c>
    </row>
    <row r="25" spans="1:17">
      <c r="A25" s="1064">
        <f t="shared" si="0"/>
        <v>17</v>
      </c>
      <c r="B25" s="1084" t="s">
        <v>907</v>
      </c>
      <c r="C25" s="1079">
        <v>31</v>
      </c>
      <c r="D25" s="1085">
        <f>D26+C26</f>
        <v>62</v>
      </c>
      <c r="E25" s="1085">
        <f t="shared" si="10"/>
        <v>365</v>
      </c>
      <c r="F25" s="1086">
        <f t="shared" si="3"/>
        <v>0.16986301369863013</v>
      </c>
      <c r="G25" s="1078"/>
      <c r="H25" s="1087">
        <f t="shared" si="11"/>
        <v>-223932.90623332933</v>
      </c>
      <c r="I25" s="1079">
        <f t="shared" si="4"/>
        <v>-38037.918319086079</v>
      </c>
      <c r="J25" s="1079">
        <f t="shared" si="2"/>
        <v>43850841.088860862</v>
      </c>
      <c r="K25" s="1065"/>
      <c r="L25" s="1087">
        <f t="shared" si="12"/>
        <v>-734398.69050698413</v>
      </c>
      <c r="M25" s="1082">
        <f t="shared" si="5"/>
        <v>-510465.7842736548</v>
      </c>
      <c r="N25" s="1082">
        <f t="shared" si="6"/>
        <v>0</v>
      </c>
      <c r="O25" s="1082">
        <f t="shared" si="7"/>
        <v>0</v>
      </c>
      <c r="P25" s="1082">
        <f t="shared" si="8"/>
        <v>-734398.69050698413</v>
      </c>
      <c r="Q25" s="1082">
        <f t="shared" si="9"/>
        <v>39188440.124930158</v>
      </c>
    </row>
    <row r="26" spans="1:17">
      <c r="A26" s="1064">
        <f t="shared" si="0"/>
        <v>18</v>
      </c>
      <c r="B26" s="1084" t="s">
        <v>908</v>
      </c>
      <c r="C26" s="1079">
        <v>30</v>
      </c>
      <c r="D26" s="1085">
        <f>D27+C27</f>
        <v>32</v>
      </c>
      <c r="E26" s="1085">
        <f t="shared" si="10"/>
        <v>365</v>
      </c>
      <c r="F26" s="1086">
        <f t="shared" si="3"/>
        <v>8.7671232876712329E-2</v>
      </c>
      <c r="G26" s="1078"/>
      <c r="H26" s="1087">
        <f t="shared" si="11"/>
        <v>-223932.90623332933</v>
      </c>
      <c r="I26" s="1079">
        <f t="shared" si="4"/>
        <v>-19632.4739711412</v>
      </c>
      <c r="J26" s="1079">
        <f t="shared" si="2"/>
        <v>43831208.614889719</v>
      </c>
      <c r="K26" s="1065"/>
      <c r="L26" s="1087">
        <f t="shared" si="12"/>
        <v>-734398.69050698413</v>
      </c>
      <c r="M26" s="1082">
        <f t="shared" si="5"/>
        <v>-510465.7842736548</v>
      </c>
      <c r="N26" s="1082">
        <f t="shared" si="6"/>
        <v>0</v>
      </c>
      <c r="O26" s="1082">
        <f t="shared" si="7"/>
        <v>0</v>
      </c>
      <c r="P26" s="1082">
        <f t="shared" si="8"/>
        <v>-734398.69050698413</v>
      </c>
      <c r="Q26" s="1082">
        <f t="shared" si="9"/>
        <v>38454041.434423171</v>
      </c>
    </row>
    <row r="27" spans="1:17">
      <c r="A27" s="1064">
        <f t="shared" si="0"/>
        <v>19</v>
      </c>
      <c r="B27" s="1084" t="s">
        <v>909</v>
      </c>
      <c r="C27" s="1079">
        <v>31</v>
      </c>
      <c r="D27" s="1085">
        <v>1</v>
      </c>
      <c r="E27" s="1085">
        <f t="shared" si="10"/>
        <v>365</v>
      </c>
      <c r="F27" s="1086">
        <f t="shared" si="3"/>
        <v>2.7397260273972603E-3</v>
      </c>
      <c r="G27" s="1078"/>
      <c r="H27" s="1087">
        <f t="shared" si="11"/>
        <v>-223932.90623332933</v>
      </c>
      <c r="I27" s="1079">
        <f t="shared" si="4"/>
        <v>-613.51481159816251</v>
      </c>
      <c r="J27" s="1079">
        <f t="shared" si="2"/>
        <v>43830595.100078121</v>
      </c>
      <c r="K27" s="1065"/>
      <c r="L27" s="1087">
        <f t="shared" si="12"/>
        <v>-734398.69050698413</v>
      </c>
      <c r="M27" s="1082">
        <f t="shared" si="5"/>
        <v>-510465.7842736548</v>
      </c>
      <c r="N27" s="1082">
        <f t="shared" si="6"/>
        <v>0</v>
      </c>
      <c r="O27" s="1082">
        <f t="shared" si="7"/>
        <v>0</v>
      </c>
      <c r="P27" s="1082">
        <f t="shared" si="8"/>
        <v>-734398.69050698413</v>
      </c>
      <c r="Q27" s="1082">
        <f t="shared" si="9"/>
        <v>37719642.743916184</v>
      </c>
    </row>
    <row r="28" spans="1:17">
      <c r="A28" s="1064">
        <f t="shared" si="0"/>
        <v>20</v>
      </c>
      <c r="B28" s="1088"/>
      <c r="C28" s="1088" t="s">
        <v>790</v>
      </c>
      <c r="D28" s="1089">
        <f>+SUM(D16:D27)</f>
        <v>2029</v>
      </c>
      <c r="E28" s="1089">
        <f>+SUM(E16:E27)</f>
        <v>4380</v>
      </c>
      <c r="F28" s="1090"/>
      <c r="G28" s="1078"/>
      <c r="H28" s="1091">
        <f>SUM(H16:H27)</f>
        <v>-2687194.8747999519</v>
      </c>
      <c r="I28" s="1091">
        <f>SUM(I16:I27)</f>
        <v>-1244821.5527326718</v>
      </c>
      <c r="J28" s="1090"/>
      <c r="K28" s="1065"/>
      <c r="L28" s="1092">
        <f>SUM(L16:L27)</f>
        <v>-8812784.2860838119</v>
      </c>
      <c r="M28" s="1092">
        <f>SUM(M16:M27)</f>
        <v>-6125589.4112838581</v>
      </c>
      <c r="N28" s="1092">
        <f>SUM(N16:N27)</f>
        <v>0</v>
      </c>
      <c r="O28" s="1093">
        <f>SUM(O16:O27)</f>
        <v>0</v>
      </c>
      <c r="P28" s="1093">
        <f>SUM(P16:P27)</f>
        <v>-8812784.2860838119</v>
      </c>
      <c r="Q28" s="1092"/>
    </row>
    <row r="29" spans="1:17">
      <c r="A29" s="1064">
        <f t="shared" si="0"/>
        <v>21</v>
      </c>
      <c r="B29" s="1094"/>
      <c r="C29" s="1094"/>
      <c r="D29" s="1095"/>
      <c r="E29" s="1095"/>
      <c r="F29" s="1096"/>
      <c r="G29" s="1078"/>
      <c r="H29" s="1079"/>
      <c r="I29" s="1079"/>
      <c r="J29" s="1097"/>
      <c r="K29" s="1065"/>
      <c r="L29" s="1098"/>
      <c r="M29" s="1098"/>
      <c r="N29" s="1098"/>
      <c r="O29" s="1098"/>
      <c r="P29" s="1098"/>
      <c r="Q29" s="1098"/>
    </row>
    <row r="30" spans="1:17">
      <c r="A30" s="1064">
        <f t="shared" si="0"/>
        <v>22</v>
      </c>
      <c r="B30" s="1065" t="s">
        <v>1682</v>
      </c>
      <c r="C30" s="1094"/>
      <c r="D30" s="1095"/>
      <c r="E30" s="1099">
        <f>1-(D28/E28)</f>
        <v>0.53675799086757991</v>
      </c>
      <c r="F30" s="1096"/>
      <c r="G30" s="1078"/>
      <c r="H30" s="1079"/>
      <c r="I30" s="1079"/>
      <c r="J30" s="1096"/>
      <c r="K30" s="1065"/>
      <c r="L30" s="1098"/>
      <c r="M30" s="1098"/>
      <c r="N30" s="1098"/>
      <c r="O30" s="1098"/>
      <c r="P30" s="1098"/>
      <c r="Q30" s="1098"/>
    </row>
    <row r="31" spans="1:17">
      <c r="A31" s="1064">
        <f t="shared" si="0"/>
        <v>23</v>
      </c>
      <c r="B31" s="1094"/>
      <c r="C31" s="1094"/>
      <c r="D31" s="1095"/>
      <c r="E31" s="1099"/>
      <c r="F31" s="1096"/>
      <c r="G31" s="1078"/>
      <c r="H31" s="1079"/>
      <c r="I31" s="1079"/>
      <c r="J31" s="1096"/>
      <c r="K31" s="1065"/>
      <c r="L31" s="1098"/>
      <c r="M31" s="1098"/>
      <c r="N31" s="1098"/>
      <c r="O31" s="1098"/>
      <c r="P31" s="1098"/>
      <c r="Q31" s="1098"/>
    </row>
    <row r="32" spans="1:17">
      <c r="A32" s="1064">
        <f t="shared" si="0"/>
        <v>24</v>
      </c>
      <c r="B32" s="1100"/>
      <c r="C32" s="1094"/>
      <c r="D32" s="1065"/>
      <c r="E32" s="1094"/>
      <c r="F32" s="1065"/>
      <c r="G32" s="1096"/>
      <c r="H32" s="1101"/>
      <c r="I32" s="1102"/>
      <c r="J32" s="1095"/>
      <c r="K32" s="1065"/>
      <c r="L32" s="1065"/>
      <c r="M32" s="1065"/>
      <c r="N32" s="1065"/>
      <c r="O32" s="1065"/>
      <c r="P32" s="1065"/>
      <c r="Q32" s="1095"/>
    </row>
    <row r="33" spans="1:18" customFormat="1">
      <c r="A33" s="1064">
        <f t="shared" si="0"/>
        <v>25</v>
      </c>
      <c r="B33" s="1103" t="s">
        <v>1683</v>
      </c>
      <c r="C33" s="1103"/>
      <c r="D33" s="1103"/>
      <c r="E33" s="1103"/>
      <c r="F33" s="1104" t="str">
        <f>"(Line "&amp;A15&amp;", Col H)"</f>
        <v>(Line 7, Col H)</v>
      </c>
      <c r="G33" s="1105"/>
      <c r="H33" s="1103"/>
      <c r="I33" s="1105"/>
      <c r="J33" s="1082">
        <f>J15</f>
        <v>45075416.65281079</v>
      </c>
      <c r="K33" s="1103"/>
      <c r="L33" s="1103"/>
      <c r="M33" s="1103"/>
      <c r="N33" s="1104" t="str">
        <f>"(Line "&amp;A15&amp;", Col N)"</f>
        <v>(Line 7, Col N)</v>
      </c>
      <c r="O33" s="1103"/>
      <c r="P33" s="1103"/>
      <c r="Q33" s="1082">
        <f>Q15</f>
        <v>46532427.030000031</v>
      </c>
    </row>
    <row r="34" spans="1:18" customFormat="1">
      <c r="A34" s="1064">
        <f t="shared" si="0"/>
        <v>26</v>
      </c>
      <c r="B34" s="1103" t="s">
        <v>1684</v>
      </c>
      <c r="C34" s="1103"/>
      <c r="D34" s="1103"/>
      <c r="E34" s="1103"/>
      <c r="F34" s="1104" t="str">
        <f>"(Line "&amp;A27&amp;", Col H)"</f>
        <v>(Line 19, Col H)</v>
      </c>
      <c r="G34" s="1105"/>
      <c r="H34" s="1103"/>
      <c r="I34" s="1105"/>
      <c r="J34" s="1079">
        <f>J27</f>
        <v>43830595.100078121</v>
      </c>
      <c r="K34" s="1103"/>
      <c r="L34" s="1106"/>
      <c r="M34" s="1103"/>
      <c r="N34" s="1104" t="str">
        <f>"(Line "&amp;A27&amp;", Col N)"</f>
        <v>(Line 19, Col N)</v>
      </c>
      <c r="O34" s="1103"/>
      <c r="P34" s="1103"/>
      <c r="Q34" s="1079">
        <f>Q27</f>
        <v>37719642.743916184</v>
      </c>
    </row>
    <row r="35" spans="1:18" customFormat="1">
      <c r="A35" s="1064">
        <f t="shared" si="0"/>
        <v>27</v>
      </c>
      <c r="B35" s="1103" t="s">
        <v>1685</v>
      </c>
      <c r="C35" s="1103"/>
      <c r="D35" s="1103"/>
      <c r="E35" s="1103"/>
      <c r="F35" s="1103" t="str">
        <f>"(Average of Line "&amp;A33&amp;" &amp; Line "&amp;A34&amp;")"</f>
        <v>(Average of Line 25 &amp; Line 26)</v>
      </c>
      <c r="G35" s="1105"/>
      <c r="H35" s="1103"/>
      <c r="I35" s="1107"/>
      <c r="J35" s="1108">
        <f>(J33+J34)/2</f>
        <v>44453005.876444459</v>
      </c>
      <c r="K35" s="1103"/>
      <c r="L35" s="1109"/>
      <c r="M35" s="1103"/>
      <c r="N35" s="1103" t="str">
        <f>"(Average of Line "&amp;A33&amp;" &amp; Line "&amp;A34&amp;")"</f>
        <v>(Average of Line 25 &amp; Line 26)</v>
      </c>
      <c r="O35" s="1103"/>
      <c r="P35" s="1103"/>
      <c r="Q35" s="1108">
        <f>(Q33+Q34)/2</f>
        <v>42126034.886958107</v>
      </c>
    </row>
    <row r="36" spans="1:18" customFormat="1" ht="13.5" customHeight="1">
      <c r="A36" s="1064">
        <f t="shared" si="0"/>
        <v>28</v>
      </c>
      <c r="B36" s="1103" t="s">
        <v>1686</v>
      </c>
      <c r="C36" s="1103"/>
      <c r="D36" s="1103"/>
      <c r="E36" s="1103"/>
      <c r="F36" s="1103" t="s">
        <v>1800</v>
      </c>
      <c r="G36" s="1103"/>
      <c r="H36" s="1103"/>
      <c r="I36" s="1103"/>
      <c r="J36" s="1110">
        <f>AVERAGE(J15, (SUM(H16:H27)+J15))</f>
        <v>43731819.215410814</v>
      </c>
      <c r="K36" s="1103"/>
      <c r="L36" s="1103"/>
      <c r="M36" s="1103"/>
      <c r="N36" s="1103" t="s">
        <v>1800</v>
      </c>
      <c r="O36" s="1103"/>
      <c r="P36" s="1103"/>
      <c r="Q36" s="1110">
        <f>AVERAGE(Q15, (SUM(L16:L27)+Q15))</f>
        <v>42126034.886958122</v>
      </c>
    </row>
    <row r="37" spans="1:18" customFormat="1" ht="13.5" customHeight="1">
      <c r="A37" s="1064">
        <f t="shared" si="0"/>
        <v>29</v>
      </c>
      <c r="B37" s="1103" t="s">
        <v>1687</v>
      </c>
      <c r="C37" s="1103"/>
      <c r="D37" s="1103"/>
      <c r="E37" s="1103"/>
      <c r="F37" s="1103"/>
      <c r="G37" s="1103"/>
      <c r="H37" s="1103"/>
      <c r="I37" s="1103"/>
      <c r="J37" s="1106">
        <f>J35-J36</f>
        <v>721186.66103364527</v>
      </c>
      <c r="K37" s="1103"/>
      <c r="L37" s="1103"/>
      <c r="M37" s="1103"/>
      <c r="N37" s="1103"/>
      <c r="O37" s="1103"/>
      <c r="P37" s="1103"/>
      <c r="Q37" s="1106">
        <f>Q35-Q36</f>
        <v>0</v>
      </c>
    </row>
    <row r="38" spans="1:18">
      <c r="A38" s="1064">
        <f t="shared" si="0"/>
        <v>30</v>
      </c>
      <c r="B38" s="1111"/>
      <c r="C38" s="1111"/>
      <c r="D38" s="1111"/>
      <c r="E38" s="1111"/>
      <c r="F38" s="1111"/>
      <c r="G38" s="1111"/>
      <c r="H38" s="1111"/>
      <c r="I38" s="1111"/>
      <c r="J38" s="1111"/>
      <c r="K38" s="1065"/>
      <c r="L38" s="1065"/>
      <c r="M38" s="1065"/>
      <c r="N38" s="1065"/>
      <c r="O38" s="1065"/>
      <c r="P38" s="1065"/>
      <c r="Q38" s="1111"/>
    </row>
    <row r="39" spans="1:18">
      <c r="A39" s="1064">
        <f t="shared" si="0"/>
        <v>31</v>
      </c>
      <c r="B39" s="1111"/>
      <c r="C39" s="1111"/>
      <c r="D39" s="1111"/>
      <c r="E39" s="1111"/>
      <c r="F39" s="1111"/>
      <c r="G39" s="1111"/>
      <c r="H39" s="1111"/>
      <c r="I39" s="1111"/>
      <c r="J39" s="1111"/>
      <c r="K39" s="1065"/>
      <c r="L39" s="1065"/>
      <c r="M39" s="1065"/>
      <c r="N39" s="1065"/>
      <c r="O39" s="1065"/>
      <c r="P39" s="1065"/>
      <c r="Q39" s="1111"/>
    </row>
    <row r="40" spans="1:18">
      <c r="A40" s="1064">
        <f t="shared" si="0"/>
        <v>32</v>
      </c>
      <c r="B40" s="1270" t="s">
        <v>1665</v>
      </c>
      <c r="C40" s="1270"/>
      <c r="D40" s="1270"/>
      <c r="E40" s="1270"/>
      <c r="F40" s="1065"/>
      <c r="G40" s="1065"/>
      <c r="H40" s="1112"/>
      <c r="I40" s="1112"/>
      <c r="J40" s="1112"/>
      <c r="K40" s="1065"/>
      <c r="L40" s="1113"/>
      <c r="M40" s="1114"/>
      <c r="N40" s="1114"/>
      <c r="O40" s="1114"/>
      <c r="P40" s="1114"/>
      <c r="Q40" s="1114"/>
      <c r="R40" s="1070"/>
    </row>
    <row r="41" spans="1:18">
      <c r="A41" s="1064">
        <f t="shared" si="0"/>
        <v>33</v>
      </c>
      <c r="B41" s="1262" t="s">
        <v>1295</v>
      </c>
      <c r="C41" s="1262"/>
      <c r="D41" s="1262"/>
      <c r="E41" s="1262"/>
      <c r="F41" s="1065"/>
      <c r="G41" s="1065"/>
      <c r="H41" s="1112"/>
      <c r="I41" s="1112"/>
      <c r="J41" s="1112"/>
      <c r="K41" s="1065"/>
      <c r="L41" s="1113"/>
      <c r="M41" s="1114"/>
      <c r="N41" s="1114"/>
      <c r="O41" s="1114"/>
      <c r="P41" s="1114"/>
      <c r="Q41" s="1114"/>
      <c r="R41" s="1070"/>
    </row>
    <row r="42" spans="1:18">
      <c r="A42" s="1064">
        <f t="shared" si="0"/>
        <v>34</v>
      </c>
      <c r="B42" s="1263" t="s">
        <v>1666</v>
      </c>
      <c r="C42" s="1264"/>
      <c r="D42" s="1264"/>
      <c r="E42" s="1264"/>
      <c r="F42" s="1265"/>
      <c r="G42" s="1071"/>
      <c r="H42" s="1266" t="s">
        <v>1667</v>
      </c>
      <c r="I42" s="1267"/>
      <c r="J42" s="1268"/>
      <c r="K42" s="1065"/>
      <c r="L42" s="1266" t="s">
        <v>1668</v>
      </c>
      <c r="M42" s="1267"/>
      <c r="N42" s="1267"/>
      <c r="O42" s="1267"/>
      <c r="P42" s="1267"/>
      <c r="Q42" s="1267"/>
    </row>
    <row r="43" spans="1:18">
      <c r="A43" s="1064">
        <f t="shared" si="0"/>
        <v>35</v>
      </c>
      <c r="B43" s="1072" t="s">
        <v>824</v>
      </c>
      <c r="C43" s="1072" t="s">
        <v>825</v>
      </c>
      <c r="D43" s="1072" t="s">
        <v>826</v>
      </c>
      <c r="E43" s="1072" t="s">
        <v>827</v>
      </c>
      <c r="F43" s="1072" t="s">
        <v>828</v>
      </c>
      <c r="G43" s="1071"/>
      <c r="H43" s="1072" t="s">
        <v>829</v>
      </c>
      <c r="I43" s="1072" t="s">
        <v>830</v>
      </c>
      <c r="J43" s="1072" t="s">
        <v>831</v>
      </c>
      <c r="K43" s="1065"/>
      <c r="L43" s="1072" t="s">
        <v>832</v>
      </c>
      <c r="M43" s="1072" t="s">
        <v>833</v>
      </c>
      <c r="N43" s="1072" t="s">
        <v>834</v>
      </c>
      <c r="O43" s="1073" t="s">
        <v>835</v>
      </c>
      <c r="P43" s="1073" t="s">
        <v>837</v>
      </c>
      <c r="Q43" s="1072" t="s">
        <v>836</v>
      </c>
    </row>
    <row r="44" spans="1:18" ht="45">
      <c r="A44" s="1064">
        <f t="shared" si="0"/>
        <v>36</v>
      </c>
      <c r="B44" s="1074" t="s">
        <v>1342</v>
      </c>
      <c r="C44" s="1074" t="s">
        <v>1577</v>
      </c>
      <c r="D44" s="1074" t="s">
        <v>1669</v>
      </c>
      <c r="E44" s="1074" t="s">
        <v>1670</v>
      </c>
      <c r="F44" s="1074" t="s">
        <v>1671</v>
      </c>
      <c r="G44" s="1075"/>
      <c r="H44" s="1074" t="s">
        <v>1672</v>
      </c>
      <c r="I44" s="1074" t="s">
        <v>1673</v>
      </c>
      <c r="J44" s="1074" t="s">
        <v>1674</v>
      </c>
      <c r="K44" s="1065"/>
      <c r="L44" s="1074" t="s">
        <v>1675</v>
      </c>
      <c r="M44" s="1074" t="s">
        <v>1676</v>
      </c>
      <c r="N44" s="1076" t="s">
        <v>1677</v>
      </c>
      <c r="O44" s="1076" t="s">
        <v>1678</v>
      </c>
      <c r="P44" s="1076" t="s">
        <v>1679</v>
      </c>
      <c r="Q44" s="1076" t="s">
        <v>1680</v>
      </c>
    </row>
    <row r="45" spans="1:18">
      <c r="A45" s="1064">
        <f t="shared" si="0"/>
        <v>37</v>
      </c>
      <c r="B45" s="1065"/>
      <c r="C45" s="1075"/>
      <c r="D45" s="1075"/>
      <c r="E45" s="1075"/>
      <c r="F45" s="1075"/>
      <c r="G45" s="1075"/>
      <c r="H45" s="1075"/>
      <c r="I45" s="1075"/>
      <c r="J45" s="1075"/>
      <c r="K45" s="1065"/>
      <c r="L45" s="1065"/>
      <c r="M45" s="1065"/>
      <c r="N45" s="1065"/>
      <c r="O45" s="1077"/>
      <c r="P45" s="1077"/>
      <c r="Q45" s="1065"/>
    </row>
    <row r="46" spans="1:18">
      <c r="A46" s="1064">
        <f t="shared" si="0"/>
        <v>38</v>
      </c>
      <c r="B46" s="1269" t="s">
        <v>1681</v>
      </c>
      <c r="C46" s="1269"/>
      <c r="D46" s="1269"/>
      <c r="E46" s="1269"/>
      <c r="F46" s="1078"/>
      <c r="G46" s="1078"/>
      <c r="H46" s="1079"/>
      <c r="I46" s="1079"/>
      <c r="J46" s="1080">
        <f>'WP_B-3'!C45</f>
        <v>17981718.950316023</v>
      </c>
      <c r="K46" s="1081"/>
      <c r="L46" s="1079"/>
      <c r="M46" s="1082"/>
      <c r="N46" s="1082"/>
      <c r="O46" s="1082"/>
      <c r="P46" s="1082"/>
      <c r="Q46" s="1083">
        <f>'WP_B-3'!C144</f>
        <v>14040113.632430339</v>
      </c>
    </row>
    <row r="47" spans="1:18">
      <c r="A47" s="1064">
        <f t="shared" si="0"/>
        <v>39</v>
      </c>
      <c r="B47" s="1084" t="s">
        <v>950</v>
      </c>
      <c r="C47" s="1079">
        <v>31</v>
      </c>
      <c r="D47" s="1085">
        <f t="shared" ref="D47:D55" si="13">D48+C48</f>
        <v>335</v>
      </c>
      <c r="E47" s="1085">
        <f>SUM(C47:C58)</f>
        <v>365</v>
      </c>
      <c r="F47" s="1086">
        <f>D47/E47</f>
        <v>0.9178082191780822</v>
      </c>
      <c r="G47" s="1078"/>
      <c r="H47" s="1087">
        <f>('WP_B-3'!D45-'WP_B-3'!C45)/12</f>
        <v>-462024.93912946322</v>
      </c>
      <c r="I47" s="1079">
        <f>+H47*F47</f>
        <v>-424050.28659827448</v>
      </c>
      <c r="J47" s="1079">
        <f t="shared" ref="J47:J58" si="14">+I47+J46</f>
        <v>17557668.663717747</v>
      </c>
      <c r="K47" s="1065"/>
      <c r="L47" s="1087">
        <f>('WP_B-3'!D144-'WP_B-3'!C144)/12</f>
        <v>-667806.53526980011</v>
      </c>
      <c r="M47" s="1082">
        <f>L47-H47</f>
        <v>-205781.59614033689</v>
      </c>
      <c r="N47" s="1082">
        <f>IF(M47&gt;=0,+M47,0)</f>
        <v>0</v>
      </c>
      <c r="O47" s="1082">
        <f>IF(N47&gt;0,0,IF(L47&lt;0,0,(-(M47)*(D47/E47))))</f>
        <v>0</v>
      </c>
      <c r="P47" s="1082">
        <f>IF(L47&lt;0,L47,0)</f>
        <v>-667806.53526980011</v>
      </c>
      <c r="Q47" s="1082">
        <f>IF(L47&lt;0,Q46+P47,Q46+I47+N47-O47)</f>
        <v>13372307.097160539</v>
      </c>
    </row>
    <row r="48" spans="1:18">
      <c r="A48" s="1064">
        <f t="shared" si="0"/>
        <v>40</v>
      </c>
      <c r="B48" s="1084" t="s">
        <v>899</v>
      </c>
      <c r="C48" s="1087">
        <v>28</v>
      </c>
      <c r="D48" s="1085">
        <f t="shared" si="13"/>
        <v>307</v>
      </c>
      <c r="E48" s="1085">
        <f>E47</f>
        <v>365</v>
      </c>
      <c r="F48" s="1086">
        <f t="shared" ref="F48:F58" si="15">D48/E48</f>
        <v>0.84109589041095889</v>
      </c>
      <c r="G48" s="1078"/>
      <c r="H48" s="1087">
        <f>$H$47</f>
        <v>-462024.93912946322</v>
      </c>
      <c r="I48" s="1079">
        <f t="shared" ref="I48:I58" si="16">+H48*F48</f>
        <v>-388607.27756916493</v>
      </c>
      <c r="J48" s="1079">
        <f t="shared" si="14"/>
        <v>17169061.386148583</v>
      </c>
      <c r="K48" s="1065"/>
      <c r="L48" s="1087">
        <f>$L$47</f>
        <v>-667806.53526980011</v>
      </c>
      <c r="M48" s="1082">
        <f t="shared" ref="M48:M58" si="17">L48-H48</f>
        <v>-205781.59614033689</v>
      </c>
      <c r="N48" s="1082">
        <f t="shared" ref="N48:N58" si="18">IF(M48&gt;=0,+M48,0)</f>
        <v>0</v>
      </c>
      <c r="O48" s="1082">
        <f t="shared" ref="O48:O58" si="19">IF(N48&gt;0,0,IF(L48&lt;0,0,(-(M48)*(D48/E48))))</f>
        <v>0</v>
      </c>
      <c r="P48" s="1082">
        <f t="shared" ref="P48:P58" si="20">IF(L48&lt;0,L48,0)</f>
        <v>-667806.53526980011</v>
      </c>
      <c r="Q48" s="1082">
        <f t="shared" ref="Q48:Q58" si="21">IF(L48&lt;0,Q47+P48,Q47+I48+N48-O48)</f>
        <v>12704500.561890738</v>
      </c>
    </row>
    <row r="49" spans="1:17">
      <c r="A49" s="1064">
        <f t="shared" si="0"/>
        <v>41</v>
      </c>
      <c r="B49" s="1084" t="s">
        <v>900</v>
      </c>
      <c r="C49" s="1079">
        <v>31</v>
      </c>
      <c r="D49" s="1085">
        <f t="shared" si="13"/>
        <v>276</v>
      </c>
      <c r="E49" s="1085">
        <f t="shared" ref="E49:E58" si="22">E48</f>
        <v>365</v>
      </c>
      <c r="F49" s="1086">
        <f t="shared" si="15"/>
        <v>0.75616438356164384</v>
      </c>
      <c r="G49" s="1078"/>
      <c r="H49" s="1087">
        <f t="shared" ref="H49:H58" si="23">$H$47</f>
        <v>-462024.93912946322</v>
      </c>
      <c r="I49" s="1079">
        <f t="shared" si="16"/>
        <v>-349366.8032869366</v>
      </c>
      <c r="J49" s="1079">
        <f t="shared" si="14"/>
        <v>16819694.582861647</v>
      </c>
      <c r="K49" s="1065"/>
      <c r="L49" s="1087">
        <f t="shared" ref="L49:L58" si="24">$L$47</f>
        <v>-667806.53526980011</v>
      </c>
      <c r="M49" s="1082">
        <f t="shared" si="17"/>
        <v>-205781.59614033689</v>
      </c>
      <c r="N49" s="1082">
        <f t="shared" si="18"/>
        <v>0</v>
      </c>
      <c r="O49" s="1082">
        <f t="shared" si="19"/>
        <v>0</v>
      </c>
      <c r="P49" s="1082">
        <f t="shared" si="20"/>
        <v>-667806.53526980011</v>
      </c>
      <c r="Q49" s="1082">
        <f t="shared" si="21"/>
        <v>12036694.026620938</v>
      </c>
    </row>
    <row r="50" spans="1:17">
      <c r="A50" s="1064">
        <f t="shared" si="0"/>
        <v>42</v>
      </c>
      <c r="B50" s="1084" t="s">
        <v>901</v>
      </c>
      <c r="C50" s="1079">
        <v>30</v>
      </c>
      <c r="D50" s="1085">
        <f t="shared" si="13"/>
        <v>246</v>
      </c>
      <c r="E50" s="1085">
        <f t="shared" si="22"/>
        <v>365</v>
      </c>
      <c r="F50" s="1086">
        <f t="shared" si="15"/>
        <v>0.67397260273972603</v>
      </c>
      <c r="G50" s="1078"/>
      <c r="H50" s="1087">
        <f t="shared" si="23"/>
        <v>-462024.93912946322</v>
      </c>
      <c r="I50" s="1079">
        <f t="shared" si="16"/>
        <v>-311392.1507557478</v>
      </c>
      <c r="J50" s="1079">
        <f t="shared" si="14"/>
        <v>16508302.432105899</v>
      </c>
      <c r="K50" s="1065"/>
      <c r="L50" s="1087">
        <f t="shared" si="24"/>
        <v>-667806.53526980011</v>
      </c>
      <c r="M50" s="1082">
        <f t="shared" si="17"/>
        <v>-205781.59614033689</v>
      </c>
      <c r="N50" s="1082">
        <f t="shared" si="18"/>
        <v>0</v>
      </c>
      <c r="O50" s="1082">
        <f t="shared" si="19"/>
        <v>0</v>
      </c>
      <c r="P50" s="1082">
        <f t="shared" si="20"/>
        <v>-667806.53526980011</v>
      </c>
      <c r="Q50" s="1082">
        <f t="shared" si="21"/>
        <v>11368887.491351137</v>
      </c>
    </row>
    <row r="51" spans="1:17">
      <c r="A51" s="1064">
        <f t="shared" si="0"/>
        <v>43</v>
      </c>
      <c r="B51" s="1084" t="s">
        <v>902</v>
      </c>
      <c r="C51" s="1079">
        <v>31</v>
      </c>
      <c r="D51" s="1085">
        <f t="shared" si="13"/>
        <v>215</v>
      </c>
      <c r="E51" s="1085">
        <f t="shared" si="22"/>
        <v>365</v>
      </c>
      <c r="F51" s="1086">
        <f t="shared" si="15"/>
        <v>0.58904109589041098</v>
      </c>
      <c r="G51" s="1078"/>
      <c r="H51" s="1087">
        <f t="shared" si="23"/>
        <v>-462024.93912946322</v>
      </c>
      <c r="I51" s="1079">
        <f t="shared" si="16"/>
        <v>-272151.67647351942</v>
      </c>
      <c r="J51" s="1079">
        <f t="shared" si="14"/>
        <v>16236150.75563238</v>
      </c>
      <c r="K51" s="1065"/>
      <c r="L51" s="1087">
        <f t="shared" si="24"/>
        <v>-667806.53526980011</v>
      </c>
      <c r="M51" s="1082">
        <f t="shared" si="17"/>
        <v>-205781.59614033689</v>
      </c>
      <c r="N51" s="1082">
        <f t="shared" si="18"/>
        <v>0</v>
      </c>
      <c r="O51" s="1082">
        <f t="shared" si="19"/>
        <v>0</v>
      </c>
      <c r="P51" s="1082">
        <f t="shared" si="20"/>
        <v>-667806.53526980011</v>
      </c>
      <c r="Q51" s="1082">
        <f t="shared" si="21"/>
        <v>10701080.956081336</v>
      </c>
    </row>
    <row r="52" spans="1:17">
      <c r="A52" s="1064">
        <f t="shared" si="0"/>
        <v>44</v>
      </c>
      <c r="B52" s="1084" t="s">
        <v>903</v>
      </c>
      <c r="C52" s="1079">
        <v>30</v>
      </c>
      <c r="D52" s="1085">
        <f t="shared" si="13"/>
        <v>185</v>
      </c>
      <c r="E52" s="1085">
        <f t="shared" si="22"/>
        <v>365</v>
      </c>
      <c r="F52" s="1086">
        <f t="shared" si="15"/>
        <v>0.50684931506849318</v>
      </c>
      <c r="G52" s="1078"/>
      <c r="H52" s="1087">
        <f t="shared" si="23"/>
        <v>-462024.93912946322</v>
      </c>
      <c r="I52" s="1079">
        <f t="shared" si="16"/>
        <v>-234177.02394233068</v>
      </c>
      <c r="J52" s="1079">
        <f t="shared" si="14"/>
        <v>16001973.731690049</v>
      </c>
      <c r="K52" s="1065"/>
      <c r="L52" s="1087">
        <f t="shared" si="24"/>
        <v>-667806.53526980011</v>
      </c>
      <c r="M52" s="1082">
        <f t="shared" si="17"/>
        <v>-205781.59614033689</v>
      </c>
      <c r="N52" s="1082">
        <f t="shared" si="18"/>
        <v>0</v>
      </c>
      <c r="O52" s="1082">
        <f t="shared" si="19"/>
        <v>0</v>
      </c>
      <c r="P52" s="1082">
        <f t="shared" si="20"/>
        <v>-667806.53526980011</v>
      </c>
      <c r="Q52" s="1082">
        <f t="shared" si="21"/>
        <v>10033274.420811536</v>
      </c>
    </row>
    <row r="53" spans="1:17">
      <c r="A53" s="1064">
        <f t="shared" si="0"/>
        <v>45</v>
      </c>
      <c r="B53" s="1084" t="s">
        <v>904</v>
      </c>
      <c r="C53" s="1079">
        <v>31</v>
      </c>
      <c r="D53" s="1085">
        <f t="shared" si="13"/>
        <v>154</v>
      </c>
      <c r="E53" s="1085">
        <f t="shared" si="22"/>
        <v>365</v>
      </c>
      <c r="F53" s="1086">
        <f t="shared" si="15"/>
        <v>0.42191780821917807</v>
      </c>
      <c r="G53" s="1078"/>
      <c r="H53" s="1087">
        <f t="shared" si="23"/>
        <v>-462024.93912946322</v>
      </c>
      <c r="I53" s="1079">
        <f t="shared" si="16"/>
        <v>-194936.54966010229</v>
      </c>
      <c r="J53" s="1079">
        <f t="shared" si="14"/>
        <v>15807037.182029948</v>
      </c>
      <c r="K53" s="1065"/>
      <c r="L53" s="1087">
        <f t="shared" si="24"/>
        <v>-667806.53526980011</v>
      </c>
      <c r="M53" s="1082">
        <f t="shared" si="17"/>
        <v>-205781.59614033689</v>
      </c>
      <c r="N53" s="1082">
        <f t="shared" si="18"/>
        <v>0</v>
      </c>
      <c r="O53" s="1082">
        <f t="shared" si="19"/>
        <v>0</v>
      </c>
      <c r="P53" s="1082">
        <f t="shared" si="20"/>
        <v>-667806.53526980011</v>
      </c>
      <c r="Q53" s="1082">
        <f t="shared" si="21"/>
        <v>9365467.8855417352</v>
      </c>
    </row>
    <row r="54" spans="1:17">
      <c r="A54" s="1064">
        <f t="shared" si="0"/>
        <v>46</v>
      </c>
      <c r="B54" s="1084" t="s">
        <v>905</v>
      </c>
      <c r="C54" s="1079">
        <v>31</v>
      </c>
      <c r="D54" s="1085">
        <f t="shared" si="13"/>
        <v>123</v>
      </c>
      <c r="E54" s="1085">
        <f t="shared" si="22"/>
        <v>365</v>
      </c>
      <c r="F54" s="1086">
        <f t="shared" si="15"/>
        <v>0.33698630136986302</v>
      </c>
      <c r="G54" s="1078"/>
      <c r="H54" s="1087">
        <f t="shared" si="23"/>
        <v>-462024.93912946322</v>
      </c>
      <c r="I54" s="1079">
        <f t="shared" si="16"/>
        <v>-155696.0753778739</v>
      </c>
      <c r="J54" s="1079">
        <f t="shared" si="14"/>
        <v>15651341.106652074</v>
      </c>
      <c r="K54" s="1065"/>
      <c r="L54" s="1087">
        <f t="shared" si="24"/>
        <v>-667806.53526980011</v>
      </c>
      <c r="M54" s="1082">
        <f t="shared" si="17"/>
        <v>-205781.59614033689</v>
      </c>
      <c r="N54" s="1082">
        <f t="shared" si="18"/>
        <v>0</v>
      </c>
      <c r="O54" s="1082">
        <f t="shared" si="19"/>
        <v>0</v>
      </c>
      <c r="P54" s="1082">
        <f t="shared" si="20"/>
        <v>-667806.53526980011</v>
      </c>
      <c r="Q54" s="1082">
        <f t="shared" si="21"/>
        <v>8697661.3502719346</v>
      </c>
    </row>
    <row r="55" spans="1:17">
      <c r="A55" s="1064">
        <f t="shared" si="0"/>
        <v>47</v>
      </c>
      <c r="B55" s="1084" t="s">
        <v>906</v>
      </c>
      <c r="C55" s="1079">
        <v>30</v>
      </c>
      <c r="D55" s="1085">
        <f t="shared" si="13"/>
        <v>93</v>
      </c>
      <c r="E55" s="1085">
        <f t="shared" si="22"/>
        <v>365</v>
      </c>
      <c r="F55" s="1086">
        <f t="shared" si="15"/>
        <v>0.25479452054794521</v>
      </c>
      <c r="G55" s="1078"/>
      <c r="H55" s="1087">
        <f t="shared" si="23"/>
        <v>-462024.93912946322</v>
      </c>
      <c r="I55" s="1079">
        <f t="shared" si="16"/>
        <v>-117721.42284668515</v>
      </c>
      <c r="J55" s="1079">
        <f t="shared" si="14"/>
        <v>15533619.683805389</v>
      </c>
      <c r="K55" s="1065"/>
      <c r="L55" s="1087">
        <f t="shared" si="24"/>
        <v>-667806.53526980011</v>
      </c>
      <c r="M55" s="1082">
        <f t="shared" si="17"/>
        <v>-205781.59614033689</v>
      </c>
      <c r="N55" s="1082">
        <f t="shared" si="18"/>
        <v>0</v>
      </c>
      <c r="O55" s="1082">
        <f t="shared" si="19"/>
        <v>0</v>
      </c>
      <c r="P55" s="1082">
        <f t="shared" si="20"/>
        <v>-667806.53526980011</v>
      </c>
      <c r="Q55" s="1082">
        <f t="shared" si="21"/>
        <v>8029854.8150021341</v>
      </c>
    </row>
    <row r="56" spans="1:17">
      <c r="A56" s="1064">
        <f t="shared" si="0"/>
        <v>48</v>
      </c>
      <c r="B56" s="1084" t="s">
        <v>907</v>
      </c>
      <c r="C56" s="1079">
        <v>31</v>
      </c>
      <c r="D56" s="1085">
        <f>D57+C57</f>
        <v>62</v>
      </c>
      <c r="E56" s="1085">
        <f t="shared" si="22"/>
        <v>365</v>
      </c>
      <c r="F56" s="1086">
        <f t="shared" si="15"/>
        <v>0.16986301369863013</v>
      </c>
      <c r="G56" s="1078"/>
      <c r="H56" s="1087">
        <f t="shared" si="23"/>
        <v>-462024.93912946322</v>
      </c>
      <c r="I56" s="1079">
        <f t="shared" si="16"/>
        <v>-78480.948564456761</v>
      </c>
      <c r="J56" s="1079">
        <f t="shared" si="14"/>
        <v>15455138.735240933</v>
      </c>
      <c r="K56" s="1065"/>
      <c r="L56" s="1087">
        <f t="shared" si="24"/>
        <v>-667806.53526980011</v>
      </c>
      <c r="M56" s="1082">
        <f t="shared" si="17"/>
        <v>-205781.59614033689</v>
      </c>
      <c r="N56" s="1082">
        <f t="shared" si="18"/>
        <v>0</v>
      </c>
      <c r="O56" s="1082">
        <f t="shared" si="19"/>
        <v>0</v>
      </c>
      <c r="P56" s="1082">
        <f t="shared" si="20"/>
        <v>-667806.53526980011</v>
      </c>
      <c r="Q56" s="1082">
        <f t="shared" si="21"/>
        <v>7362048.2797323335</v>
      </c>
    </row>
    <row r="57" spans="1:17">
      <c r="A57" s="1064">
        <f t="shared" si="0"/>
        <v>49</v>
      </c>
      <c r="B57" s="1084" t="s">
        <v>908</v>
      </c>
      <c r="C57" s="1079">
        <v>30</v>
      </c>
      <c r="D57" s="1085">
        <f>D58+C58</f>
        <v>32</v>
      </c>
      <c r="E57" s="1085">
        <f t="shared" si="22"/>
        <v>365</v>
      </c>
      <c r="F57" s="1086">
        <f t="shared" si="15"/>
        <v>8.7671232876712329E-2</v>
      </c>
      <c r="G57" s="1078"/>
      <c r="H57" s="1087">
        <f t="shared" si="23"/>
        <v>-462024.93912946322</v>
      </c>
      <c r="I57" s="1079">
        <f t="shared" si="16"/>
        <v>-40506.296033268009</v>
      </c>
      <c r="J57" s="1079">
        <f t="shared" si="14"/>
        <v>15414632.439207664</v>
      </c>
      <c r="K57" s="1065"/>
      <c r="L57" s="1087">
        <f t="shared" si="24"/>
        <v>-667806.53526980011</v>
      </c>
      <c r="M57" s="1082">
        <f t="shared" si="17"/>
        <v>-205781.59614033689</v>
      </c>
      <c r="N57" s="1082">
        <f t="shared" si="18"/>
        <v>0</v>
      </c>
      <c r="O57" s="1082">
        <f t="shared" si="19"/>
        <v>0</v>
      </c>
      <c r="P57" s="1082">
        <f t="shared" si="20"/>
        <v>-667806.53526980011</v>
      </c>
      <c r="Q57" s="1082">
        <f t="shared" si="21"/>
        <v>6694241.7444625329</v>
      </c>
    </row>
    <row r="58" spans="1:17">
      <c r="A58" s="1064">
        <f t="shared" si="0"/>
        <v>50</v>
      </c>
      <c r="B58" s="1084" t="s">
        <v>909</v>
      </c>
      <c r="C58" s="1079">
        <v>31</v>
      </c>
      <c r="D58" s="1085">
        <v>1</v>
      </c>
      <c r="E58" s="1085">
        <f t="shared" si="22"/>
        <v>365</v>
      </c>
      <c r="F58" s="1086">
        <f t="shared" si="15"/>
        <v>2.7397260273972603E-3</v>
      </c>
      <c r="G58" s="1078"/>
      <c r="H58" s="1087">
        <f t="shared" si="23"/>
        <v>-462024.93912946322</v>
      </c>
      <c r="I58" s="1079">
        <f t="shared" si="16"/>
        <v>-1265.8217510396253</v>
      </c>
      <c r="J58" s="1079">
        <f t="shared" si="14"/>
        <v>15413366.617456624</v>
      </c>
      <c r="K58" s="1065"/>
      <c r="L58" s="1087">
        <f t="shared" si="24"/>
        <v>-667806.53526980011</v>
      </c>
      <c r="M58" s="1082">
        <f t="shared" si="17"/>
        <v>-205781.59614033689</v>
      </c>
      <c r="N58" s="1082">
        <f t="shared" si="18"/>
        <v>0</v>
      </c>
      <c r="O58" s="1082">
        <f t="shared" si="19"/>
        <v>0</v>
      </c>
      <c r="P58" s="1082">
        <f t="shared" si="20"/>
        <v>-667806.53526980011</v>
      </c>
      <c r="Q58" s="1082">
        <f t="shared" si="21"/>
        <v>6026435.2091927323</v>
      </c>
    </row>
    <row r="59" spans="1:17">
      <c r="A59" s="1064">
        <f t="shared" si="0"/>
        <v>51</v>
      </c>
      <c r="B59" s="1088"/>
      <c r="C59" s="1088" t="s">
        <v>790</v>
      </c>
      <c r="D59" s="1089">
        <f>+SUM(D47:D58)</f>
        <v>2029</v>
      </c>
      <c r="E59" s="1089">
        <f>+SUM(E47:E58)</f>
        <v>4380</v>
      </c>
      <c r="F59" s="1090"/>
      <c r="G59" s="1078"/>
      <c r="H59" s="1091">
        <f>SUM(H47:H58)</f>
        <v>-5544299.2695535598</v>
      </c>
      <c r="I59" s="1091">
        <f>SUM(I47:I58)</f>
        <v>-2568352.3328593993</v>
      </c>
      <c r="J59" s="1090"/>
      <c r="K59" s="1065"/>
      <c r="L59" s="1092">
        <f>SUM(L47:L58)</f>
        <v>-8013678.4232376032</v>
      </c>
      <c r="M59" s="1092">
        <f>SUM(M47:M58)</f>
        <v>-2469379.1536840429</v>
      </c>
      <c r="N59" s="1092">
        <f>SUM(N47:N58)</f>
        <v>0</v>
      </c>
      <c r="O59" s="1093">
        <f>SUM(O47:O58)</f>
        <v>0</v>
      </c>
      <c r="P59" s="1093">
        <f>SUM(P47:P58)</f>
        <v>-8013678.4232376032</v>
      </c>
      <c r="Q59" s="1092"/>
    </row>
    <row r="60" spans="1:17">
      <c r="A60" s="1064">
        <f t="shared" si="0"/>
        <v>52</v>
      </c>
      <c r="B60" s="1094"/>
      <c r="C60" s="1094"/>
      <c r="D60" s="1095"/>
      <c r="E60" s="1095"/>
      <c r="F60" s="1096"/>
      <c r="G60" s="1078"/>
      <c r="H60" s="1079"/>
      <c r="I60" s="1079"/>
      <c r="J60" s="1097"/>
      <c r="K60" s="1065"/>
      <c r="L60" s="1098"/>
      <c r="M60" s="1098"/>
      <c r="N60" s="1098"/>
      <c r="O60" s="1098"/>
      <c r="P60" s="1098"/>
      <c r="Q60" s="1098"/>
    </row>
    <row r="61" spans="1:17">
      <c r="A61" s="1064">
        <f t="shared" si="0"/>
        <v>53</v>
      </c>
      <c r="B61" s="1065" t="s">
        <v>1682</v>
      </c>
      <c r="C61" s="1094"/>
      <c r="D61" s="1095"/>
      <c r="E61" s="1099">
        <f>1-(D59/E59)</f>
        <v>0.53675799086757991</v>
      </c>
      <c r="F61" s="1096"/>
      <c r="G61" s="1078"/>
      <c r="H61" s="1079"/>
      <c r="I61" s="1079"/>
      <c r="J61" s="1096"/>
      <c r="K61" s="1065"/>
      <c r="L61" s="1098"/>
      <c r="M61" s="1098"/>
      <c r="N61" s="1098"/>
      <c r="O61" s="1098"/>
      <c r="P61" s="1098"/>
      <c r="Q61" s="1098"/>
    </row>
    <row r="62" spans="1:17">
      <c r="A62" s="1064">
        <f t="shared" si="0"/>
        <v>54</v>
      </c>
      <c r="B62" s="1094"/>
      <c r="C62" s="1094"/>
      <c r="D62" s="1095"/>
      <c r="E62" s="1099"/>
      <c r="F62" s="1096"/>
      <c r="G62" s="1078"/>
      <c r="H62" s="1079"/>
      <c r="I62" s="1079"/>
      <c r="J62" s="1096"/>
      <c r="K62" s="1065"/>
      <c r="L62" s="1098"/>
      <c r="M62" s="1098"/>
      <c r="N62" s="1098"/>
      <c r="O62" s="1098"/>
      <c r="P62" s="1098"/>
      <c r="Q62" s="1098"/>
    </row>
    <row r="63" spans="1:17">
      <c r="A63" s="1064">
        <f t="shared" si="0"/>
        <v>55</v>
      </c>
      <c r="B63" s="1100"/>
      <c r="C63" s="1094"/>
      <c r="D63" s="1065"/>
      <c r="E63" s="1094"/>
      <c r="F63" s="1065"/>
      <c r="G63" s="1096"/>
      <c r="H63" s="1101"/>
      <c r="I63" s="1102"/>
      <c r="J63" s="1095"/>
      <c r="K63" s="1065"/>
      <c r="L63" s="1065"/>
      <c r="M63" s="1065"/>
      <c r="N63" s="1065"/>
      <c r="O63" s="1065"/>
      <c r="P63" s="1065"/>
      <c r="Q63" s="1095"/>
    </row>
    <row r="64" spans="1:17" customFormat="1">
      <c r="A64" s="1064">
        <f t="shared" si="0"/>
        <v>56</v>
      </c>
      <c r="B64" s="1103" t="s">
        <v>1683</v>
      </c>
      <c r="C64" s="1103"/>
      <c r="D64" s="1103"/>
      <c r="E64" s="1103"/>
      <c r="F64" s="1104" t="str">
        <f>"(Line "&amp;A46&amp;", Col H)"</f>
        <v>(Line 38, Col H)</v>
      </c>
      <c r="G64" s="1105"/>
      <c r="H64" s="1103"/>
      <c r="I64" s="1105"/>
      <c r="J64" s="1082">
        <f>J46</f>
        <v>17981718.950316023</v>
      </c>
      <c r="K64" s="1103"/>
      <c r="L64" s="1103"/>
      <c r="M64" s="1103"/>
      <c r="N64" s="1104" t="str">
        <f>"(Line "&amp;A46&amp;", Col N)"</f>
        <v>(Line 38, Col N)</v>
      </c>
      <c r="O64" s="1103"/>
      <c r="P64" s="1103"/>
      <c r="Q64" s="1082">
        <f>Q46</f>
        <v>14040113.632430339</v>
      </c>
    </row>
    <row r="65" spans="1:18" customFormat="1">
      <c r="A65" s="1064">
        <f t="shared" si="0"/>
        <v>57</v>
      </c>
      <c r="B65" s="1103" t="s">
        <v>1684</v>
      </c>
      <c r="C65" s="1103"/>
      <c r="D65" s="1103"/>
      <c r="E65" s="1103"/>
      <c r="F65" s="1104" t="str">
        <f>"(Line "&amp;A58&amp;", Col H)"</f>
        <v>(Line 50, Col H)</v>
      </c>
      <c r="G65" s="1105"/>
      <c r="H65" s="1103"/>
      <c r="I65" s="1105"/>
      <c r="J65" s="1079">
        <f>J58</f>
        <v>15413366.617456624</v>
      </c>
      <c r="K65" s="1103"/>
      <c r="L65" s="1106"/>
      <c r="M65" s="1103"/>
      <c r="N65" s="1104" t="str">
        <f>"(Line "&amp;A58&amp;", Col N)"</f>
        <v>(Line 50, Col N)</v>
      </c>
      <c r="O65" s="1103"/>
      <c r="P65" s="1103"/>
      <c r="Q65" s="1079">
        <f>Q58</f>
        <v>6026435.2091927323</v>
      </c>
    </row>
    <row r="66" spans="1:18" customFormat="1">
      <c r="A66" s="1064">
        <f t="shared" si="0"/>
        <v>58</v>
      </c>
      <c r="B66" s="1103" t="s">
        <v>1685</v>
      </c>
      <c r="C66" s="1103"/>
      <c r="D66" s="1103"/>
      <c r="E66" s="1103"/>
      <c r="F66" s="1103" t="str">
        <f>"(Average of Line "&amp;A64&amp;" &amp; Line "&amp;A65&amp;")"</f>
        <v>(Average of Line 56 &amp; Line 57)</v>
      </c>
      <c r="G66" s="1105"/>
      <c r="H66" s="1103"/>
      <c r="I66" s="1107"/>
      <c r="J66" s="1108">
        <f>(J64+J65)/2</f>
        <v>16697542.783886325</v>
      </c>
      <c r="K66" s="1103"/>
      <c r="L66" s="1109"/>
      <c r="M66" s="1103"/>
      <c r="N66" s="1103" t="str">
        <f>"(Average of Line "&amp;A64&amp;" &amp; Line "&amp;A65&amp;")"</f>
        <v>(Average of Line 56 &amp; Line 57)</v>
      </c>
      <c r="O66" s="1103"/>
      <c r="P66" s="1103"/>
      <c r="Q66" s="1108">
        <f>(Q64+Q65)/2</f>
        <v>10033274.420811536</v>
      </c>
    </row>
    <row r="67" spans="1:18" customFormat="1" ht="13.5" customHeight="1">
      <c r="A67" s="1064">
        <f t="shared" si="0"/>
        <v>59</v>
      </c>
      <c r="B67" s="1103" t="s">
        <v>1686</v>
      </c>
      <c r="C67" s="1103"/>
      <c r="D67" s="1103"/>
      <c r="E67" s="1103"/>
      <c r="F67" s="1103" t="s">
        <v>1801</v>
      </c>
      <c r="G67" s="1103"/>
      <c r="H67" s="1103"/>
      <c r="I67" s="1103"/>
      <c r="J67" s="1110">
        <f>AVERAGE(J46, (SUM(H47:H58)+J46))</f>
        <v>15209569.315539243</v>
      </c>
      <c r="K67" s="1103"/>
      <c r="L67" s="1103"/>
      <c r="M67" s="1103"/>
      <c r="N67" s="1103" t="s">
        <v>1801</v>
      </c>
      <c r="O67" s="1103"/>
      <c r="P67" s="1103"/>
      <c r="Q67" s="1110">
        <f>AVERAGE(Q46, (SUM(L47:L58)+Q46))</f>
        <v>10033274.420811538</v>
      </c>
    </row>
    <row r="68" spans="1:18" customFormat="1" ht="13.5" customHeight="1">
      <c r="A68" s="1064">
        <f t="shared" si="0"/>
        <v>60</v>
      </c>
      <c r="B68" s="1103" t="s">
        <v>1687</v>
      </c>
      <c r="C68" s="1103"/>
      <c r="D68" s="1103"/>
      <c r="E68" s="1103"/>
      <c r="F68" s="1103"/>
      <c r="G68" s="1103"/>
      <c r="H68" s="1103"/>
      <c r="I68" s="1103"/>
      <c r="J68" s="1106">
        <f>J66-J67</f>
        <v>1487973.4683470819</v>
      </c>
      <c r="K68" s="1103"/>
      <c r="L68" s="1103"/>
      <c r="M68" s="1103"/>
      <c r="N68" s="1103"/>
      <c r="O68" s="1103"/>
      <c r="P68" s="1103"/>
      <c r="Q68" s="1106">
        <f>Q66-Q67</f>
        <v>0</v>
      </c>
    </row>
    <row r="69" spans="1:18">
      <c r="A69" s="1064">
        <f t="shared" si="0"/>
        <v>61</v>
      </c>
      <c r="B69" s="1111"/>
      <c r="C69" s="1111"/>
      <c r="D69" s="1111"/>
      <c r="E69" s="1111"/>
      <c r="F69" s="1111"/>
      <c r="G69" s="1111"/>
      <c r="H69" s="1111"/>
      <c r="I69" s="1111"/>
      <c r="J69" s="1111"/>
      <c r="K69" s="1065"/>
      <c r="L69" s="1065"/>
      <c r="M69" s="1065"/>
      <c r="N69" s="1065"/>
      <c r="O69" s="1065"/>
      <c r="P69" s="1065"/>
      <c r="Q69" s="1111"/>
    </row>
    <row r="70" spans="1:18">
      <c r="A70" s="1064">
        <f t="shared" si="0"/>
        <v>62</v>
      </c>
      <c r="B70" s="1111"/>
      <c r="C70" s="1111"/>
      <c r="D70" s="1111"/>
      <c r="E70" s="1111"/>
      <c r="F70" s="1111"/>
      <c r="G70" s="1111"/>
      <c r="H70" s="1111"/>
      <c r="I70" s="1111"/>
      <c r="J70" s="1111"/>
      <c r="K70" s="1065"/>
      <c r="L70" s="1065"/>
      <c r="M70" s="1065"/>
      <c r="N70" s="1065"/>
      <c r="O70" s="1065"/>
      <c r="P70" s="1065"/>
      <c r="Q70" s="1111"/>
    </row>
    <row r="71" spans="1:18">
      <c r="A71" s="1064">
        <f t="shared" si="0"/>
        <v>63</v>
      </c>
      <c r="B71" s="1270" t="s">
        <v>1665</v>
      </c>
      <c r="C71" s="1270"/>
      <c r="D71" s="1270"/>
      <c r="E71" s="1270"/>
      <c r="F71" s="1065"/>
      <c r="G71" s="1065"/>
      <c r="H71" s="1112"/>
      <c r="I71" s="1112"/>
      <c r="J71" s="1112"/>
      <c r="K71" s="1065"/>
      <c r="L71" s="1113"/>
      <c r="M71" s="1114"/>
      <c r="N71" s="1114"/>
      <c r="O71" s="1114"/>
      <c r="P71" s="1114"/>
      <c r="Q71" s="1114"/>
      <c r="R71" s="1070"/>
    </row>
    <row r="72" spans="1:18">
      <c r="A72" s="1064">
        <f t="shared" si="0"/>
        <v>64</v>
      </c>
      <c r="B72" s="1262" t="s">
        <v>1006</v>
      </c>
      <c r="C72" s="1262"/>
      <c r="D72" s="1262"/>
      <c r="E72" s="1262"/>
      <c r="F72" s="1065"/>
      <c r="G72" s="1065"/>
      <c r="H72" s="1112"/>
      <c r="I72" s="1112"/>
      <c r="J72" s="1112"/>
      <c r="K72" s="1065"/>
      <c r="L72" s="1113"/>
      <c r="M72" s="1114"/>
      <c r="N72" s="1114"/>
      <c r="O72" s="1114"/>
      <c r="P72" s="1114"/>
      <c r="Q72" s="1114"/>
      <c r="R72" s="1070"/>
    </row>
    <row r="73" spans="1:18">
      <c r="A73" s="1064">
        <f t="shared" si="0"/>
        <v>65</v>
      </c>
      <c r="B73" s="1263" t="s">
        <v>1666</v>
      </c>
      <c r="C73" s="1264"/>
      <c r="D73" s="1264"/>
      <c r="E73" s="1264"/>
      <c r="F73" s="1265"/>
      <c r="G73" s="1071"/>
      <c r="H73" s="1266" t="s">
        <v>1667</v>
      </c>
      <c r="I73" s="1267"/>
      <c r="J73" s="1268"/>
      <c r="K73" s="1065"/>
      <c r="L73" s="1266" t="s">
        <v>1668</v>
      </c>
      <c r="M73" s="1267"/>
      <c r="N73" s="1267"/>
      <c r="O73" s="1267"/>
      <c r="P73" s="1267"/>
      <c r="Q73" s="1267"/>
    </row>
    <row r="74" spans="1:18">
      <c r="A74" s="1064">
        <f t="shared" si="0"/>
        <v>66</v>
      </c>
      <c r="B74" s="1072" t="s">
        <v>824</v>
      </c>
      <c r="C74" s="1072" t="s">
        <v>825</v>
      </c>
      <c r="D74" s="1072" t="s">
        <v>826</v>
      </c>
      <c r="E74" s="1072" t="s">
        <v>827</v>
      </c>
      <c r="F74" s="1072" t="s">
        <v>828</v>
      </c>
      <c r="G74" s="1071"/>
      <c r="H74" s="1072" t="s">
        <v>829</v>
      </c>
      <c r="I74" s="1072" t="s">
        <v>830</v>
      </c>
      <c r="J74" s="1072" t="s">
        <v>831</v>
      </c>
      <c r="K74" s="1065"/>
      <c r="L74" s="1072" t="s">
        <v>832</v>
      </c>
      <c r="M74" s="1072" t="s">
        <v>833</v>
      </c>
      <c r="N74" s="1072" t="s">
        <v>834</v>
      </c>
      <c r="O74" s="1073" t="s">
        <v>835</v>
      </c>
      <c r="P74" s="1073" t="s">
        <v>837</v>
      </c>
      <c r="Q74" s="1072" t="s">
        <v>836</v>
      </c>
    </row>
    <row r="75" spans="1:18" ht="45">
      <c r="A75" s="1064">
        <f t="shared" ref="A75:A138" si="25">+A74+1</f>
        <v>67</v>
      </c>
      <c r="B75" s="1074" t="s">
        <v>1342</v>
      </c>
      <c r="C75" s="1074" t="s">
        <v>1577</v>
      </c>
      <c r="D75" s="1074" t="s">
        <v>1669</v>
      </c>
      <c r="E75" s="1074" t="s">
        <v>1670</v>
      </c>
      <c r="F75" s="1074" t="s">
        <v>1671</v>
      </c>
      <c r="G75" s="1075"/>
      <c r="H75" s="1074" t="s">
        <v>1672</v>
      </c>
      <c r="I75" s="1074" t="s">
        <v>1673</v>
      </c>
      <c r="J75" s="1074" t="s">
        <v>1674</v>
      </c>
      <c r="K75" s="1065"/>
      <c r="L75" s="1074" t="s">
        <v>1675</v>
      </c>
      <c r="M75" s="1074" t="s">
        <v>1676</v>
      </c>
      <c r="N75" s="1076" t="s">
        <v>1677</v>
      </c>
      <c r="O75" s="1076" t="s">
        <v>1678</v>
      </c>
      <c r="P75" s="1076" t="s">
        <v>1679</v>
      </c>
      <c r="Q75" s="1076" t="s">
        <v>1680</v>
      </c>
    </row>
    <row r="76" spans="1:18">
      <c r="A76" s="1064">
        <f t="shared" si="25"/>
        <v>68</v>
      </c>
      <c r="B76" s="1065"/>
      <c r="C76" s="1075"/>
      <c r="D76" s="1075"/>
      <c r="E76" s="1075"/>
      <c r="F76" s="1075"/>
      <c r="G76" s="1075"/>
      <c r="H76" s="1075"/>
      <c r="I76" s="1075"/>
      <c r="J76" s="1075"/>
      <c r="K76" s="1065"/>
      <c r="L76" s="1065"/>
      <c r="M76" s="1065"/>
      <c r="N76" s="1065"/>
      <c r="O76" s="1077"/>
      <c r="P76" s="1077"/>
      <c r="Q76" s="1065"/>
    </row>
    <row r="77" spans="1:18">
      <c r="A77" s="1064">
        <f t="shared" si="25"/>
        <v>69</v>
      </c>
      <c r="B77" s="1269" t="s">
        <v>1681</v>
      </c>
      <c r="C77" s="1269"/>
      <c r="D77" s="1269"/>
      <c r="E77" s="1269"/>
      <c r="F77" s="1078"/>
      <c r="G77" s="1078"/>
      <c r="H77" s="1079"/>
      <c r="I77" s="1079"/>
      <c r="J77" s="1080">
        <f>'WP_B-3'!C57</f>
        <v>28053361.879999995</v>
      </c>
      <c r="K77" s="1081"/>
      <c r="L77" s="1079"/>
      <c r="M77" s="1082"/>
      <c r="N77" s="1082"/>
      <c r="O77" s="1082"/>
      <c r="P77" s="1082"/>
      <c r="Q77" s="1083">
        <f>SUM('WP_B-3'!C149:C154)</f>
        <v>29235802.7598105</v>
      </c>
    </row>
    <row r="78" spans="1:18">
      <c r="A78" s="1064">
        <f t="shared" si="25"/>
        <v>70</v>
      </c>
      <c r="B78" s="1084" t="s">
        <v>950</v>
      </c>
      <c r="C78" s="1079">
        <v>31</v>
      </c>
      <c r="D78" s="1085">
        <f t="shared" ref="D78:D86" si="26">D79+C79</f>
        <v>335</v>
      </c>
      <c r="E78" s="1085">
        <f>SUM(C78:C89)</f>
        <v>365</v>
      </c>
      <c r="F78" s="1086">
        <f>D78/E78</f>
        <v>0.9178082191780822</v>
      </c>
      <c r="G78" s="1078"/>
      <c r="H78" s="1087">
        <f>('WP_B-3'!D57-'WP_B-3'!C57)/12</f>
        <v>175828.26833333354</v>
      </c>
      <c r="I78" s="1079">
        <f>+H78*F78</f>
        <v>161376.62984018284</v>
      </c>
      <c r="J78" s="1079">
        <f t="shared" ref="J78:J89" si="27">+I78+J77</f>
        <v>28214738.509840179</v>
      </c>
      <c r="K78" s="1065"/>
      <c r="L78" s="1087">
        <f>(SUM('WP_B-3'!D149:D154)-SUM('WP_B-3'!C149:C154))/12</f>
        <v>419907.37782462192</v>
      </c>
      <c r="M78" s="1082">
        <f>L78-H78</f>
        <v>244079.10949128837</v>
      </c>
      <c r="N78" s="1082">
        <f>IF(M78&gt;=0,+M78,0)</f>
        <v>244079.10949128837</v>
      </c>
      <c r="O78" s="1082">
        <f>IF(N78&gt;0,0,IF(L78&lt;0,0,(-(M78)*(D78/E78))))</f>
        <v>0</v>
      </c>
      <c r="P78" s="1082">
        <f>IF(L78&lt;0,L78,0)</f>
        <v>0</v>
      </c>
      <c r="Q78" s="1082">
        <f>IF(L78&lt;0,Q77+P78,Q77+I78+N78-O78)</f>
        <v>29641258.499141973</v>
      </c>
    </row>
    <row r="79" spans="1:18">
      <c r="A79" s="1064">
        <f t="shared" si="25"/>
        <v>71</v>
      </c>
      <c r="B79" s="1084" t="s">
        <v>899</v>
      </c>
      <c r="C79" s="1087">
        <v>28</v>
      </c>
      <c r="D79" s="1085">
        <f t="shared" si="26"/>
        <v>307</v>
      </c>
      <c r="E79" s="1085">
        <f>E78</f>
        <v>365</v>
      </c>
      <c r="F79" s="1086">
        <f t="shared" ref="F79:F89" si="28">D79/E79</f>
        <v>0.84109589041095889</v>
      </c>
      <c r="G79" s="1078"/>
      <c r="H79" s="1087">
        <f>$H$78</f>
        <v>175828.26833333354</v>
      </c>
      <c r="I79" s="1079">
        <f t="shared" ref="I79:I89" si="29">+H79*F79</f>
        <v>147888.43391324219</v>
      </c>
      <c r="J79" s="1079">
        <f t="shared" si="27"/>
        <v>28362626.943753421</v>
      </c>
      <c r="K79" s="1065"/>
      <c r="L79" s="1087">
        <f t="shared" ref="L79:L89" si="30">$L$78</f>
        <v>419907.37782462192</v>
      </c>
      <c r="M79" s="1082">
        <f>L79-H79</f>
        <v>244079.10949128837</v>
      </c>
      <c r="N79" s="1082">
        <f t="shared" ref="N79:N89" si="31">IF(M79&gt;=0,+M79,0)</f>
        <v>244079.10949128837</v>
      </c>
      <c r="O79" s="1082">
        <f>IF(N79&gt;0,0,IF(L79&lt;0,0,(-(M79)*(D79/E79))))</f>
        <v>0</v>
      </c>
      <c r="P79" s="1082">
        <f>IF(L79&lt;0,L79,0)</f>
        <v>0</v>
      </c>
      <c r="Q79" s="1082">
        <f>IF(L79&lt;0,Q78+P79,Q78+I79+N79-O79)</f>
        <v>30033226.042546503</v>
      </c>
    </row>
    <row r="80" spans="1:18">
      <c r="A80" s="1064">
        <f t="shared" si="25"/>
        <v>72</v>
      </c>
      <c r="B80" s="1084" t="s">
        <v>900</v>
      </c>
      <c r="C80" s="1079">
        <v>31</v>
      </c>
      <c r="D80" s="1085">
        <f t="shared" si="26"/>
        <v>276</v>
      </c>
      <c r="E80" s="1085">
        <f t="shared" ref="E80:E89" si="32">E79</f>
        <v>365</v>
      </c>
      <c r="F80" s="1086">
        <f t="shared" si="28"/>
        <v>0.75616438356164384</v>
      </c>
      <c r="G80" s="1078"/>
      <c r="H80" s="1087">
        <f t="shared" ref="H80:H89" si="33">$H$78</f>
        <v>175828.26833333354</v>
      </c>
      <c r="I80" s="1079">
        <f t="shared" si="29"/>
        <v>132955.07413698646</v>
      </c>
      <c r="J80" s="1079">
        <f t="shared" si="27"/>
        <v>28495582.017890409</v>
      </c>
      <c r="K80" s="1065"/>
      <c r="L80" s="1087">
        <f t="shared" si="30"/>
        <v>419907.37782462192</v>
      </c>
      <c r="M80" s="1082">
        <f t="shared" ref="M80:M89" si="34">L80-H80</f>
        <v>244079.10949128837</v>
      </c>
      <c r="N80" s="1082">
        <f t="shared" si="31"/>
        <v>244079.10949128837</v>
      </c>
      <c r="O80" s="1082">
        <f t="shared" ref="O80:O89" si="35">IF(N80&gt;0,0,IF(L80&lt;0,0,(-(M80)*(D80/E80))))</f>
        <v>0</v>
      </c>
      <c r="P80" s="1082">
        <f t="shared" ref="P80:P89" si="36">IF(L80&lt;0,L80,0)</f>
        <v>0</v>
      </c>
      <c r="Q80" s="1082">
        <f t="shared" ref="Q80:Q89" si="37">IF(L80&lt;0,Q79+P80,Q79+I80+N80-O80)</f>
        <v>30410260.226174779</v>
      </c>
    </row>
    <row r="81" spans="1:17">
      <c r="A81" s="1064">
        <f t="shared" si="25"/>
        <v>73</v>
      </c>
      <c r="B81" s="1084" t="s">
        <v>901</v>
      </c>
      <c r="C81" s="1079">
        <v>30</v>
      </c>
      <c r="D81" s="1085">
        <f t="shared" si="26"/>
        <v>246</v>
      </c>
      <c r="E81" s="1085">
        <f t="shared" si="32"/>
        <v>365</v>
      </c>
      <c r="F81" s="1086">
        <f t="shared" si="28"/>
        <v>0.67397260273972603</v>
      </c>
      <c r="G81" s="1078"/>
      <c r="H81" s="1087">
        <f t="shared" si="33"/>
        <v>175828.26833333354</v>
      </c>
      <c r="I81" s="1079">
        <f t="shared" si="29"/>
        <v>118503.43564383576</v>
      </c>
      <c r="J81" s="1079">
        <f t="shared" si="27"/>
        <v>28614085.453534245</v>
      </c>
      <c r="K81" s="1065"/>
      <c r="L81" s="1087">
        <f t="shared" si="30"/>
        <v>419907.37782462192</v>
      </c>
      <c r="M81" s="1082">
        <f t="shared" si="34"/>
        <v>244079.10949128837</v>
      </c>
      <c r="N81" s="1082">
        <f t="shared" si="31"/>
        <v>244079.10949128837</v>
      </c>
      <c r="O81" s="1082">
        <f t="shared" si="35"/>
        <v>0</v>
      </c>
      <c r="P81" s="1082">
        <f t="shared" si="36"/>
        <v>0</v>
      </c>
      <c r="Q81" s="1082">
        <f t="shared" si="37"/>
        <v>30772842.771309905</v>
      </c>
    </row>
    <row r="82" spans="1:17">
      <c r="A82" s="1064">
        <f t="shared" si="25"/>
        <v>74</v>
      </c>
      <c r="B82" s="1084" t="s">
        <v>902</v>
      </c>
      <c r="C82" s="1079">
        <v>31</v>
      </c>
      <c r="D82" s="1085">
        <f t="shared" si="26"/>
        <v>215</v>
      </c>
      <c r="E82" s="1085">
        <f t="shared" si="32"/>
        <v>365</v>
      </c>
      <c r="F82" s="1086">
        <f t="shared" si="28"/>
        <v>0.58904109589041098</v>
      </c>
      <c r="G82" s="1078"/>
      <c r="H82" s="1087">
        <f t="shared" si="33"/>
        <v>175828.26833333354</v>
      </c>
      <c r="I82" s="1079">
        <f t="shared" si="29"/>
        <v>103570.07586758003</v>
      </c>
      <c r="J82" s="1079">
        <f t="shared" si="27"/>
        <v>28717655.529401824</v>
      </c>
      <c r="K82" s="1065"/>
      <c r="L82" s="1087">
        <f t="shared" si="30"/>
        <v>419907.37782462192</v>
      </c>
      <c r="M82" s="1082">
        <f t="shared" si="34"/>
        <v>244079.10949128837</v>
      </c>
      <c r="N82" s="1082">
        <f t="shared" si="31"/>
        <v>244079.10949128837</v>
      </c>
      <c r="O82" s="1082">
        <f t="shared" si="35"/>
        <v>0</v>
      </c>
      <c r="P82" s="1082">
        <f t="shared" si="36"/>
        <v>0</v>
      </c>
      <c r="Q82" s="1082">
        <f t="shared" si="37"/>
        <v>31120491.956668772</v>
      </c>
    </row>
    <row r="83" spans="1:17">
      <c r="A83" s="1064">
        <f t="shared" si="25"/>
        <v>75</v>
      </c>
      <c r="B83" s="1084" t="s">
        <v>903</v>
      </c>
      <c r="C83" s="1079">
        <v>30</v>
      </c>
      <c r="D83" s="1085">
        <f t="shared" si="26"/>
        <v>185</v>
      </c>
      <c r="E83" s="1085">
        <f t="shared" si="32"/>
        <v>365</v>
      </c>
      <c r="F83" s="1086">
        <f t="shared" si="28"/>
        <v>0.50684931506849318</v>
      </c>
      <c r="G83" s="1078"/>
      <c r="H83" s="1087">
        <f t="shared" si="33"/>
        <v>175828.26833333354</v>
      </c>
      <c r="I83" s="1079">
        <f t="shared" si="29"/>
        <v>89118.437374429341</v>
      </c>
      <c r="J83" s="1079">
        <f t="shared" si="27"/>
        <v>28806773.966776252</v>
      </c>
      <c r="K83" s="1065"/>
      <c r="L83" s="1087">
        <f t="shared" si="30"/>
        <v>419907.37782462192</v>
      </c>
      <c r="M83" s="1082">
        <f t="shared" si="34"/>
        <v>244079.10949128837</v>
      </c>
      <c r="N83" s="1082">
        <f t="shared" si="31"/>
        <v>244079.10949128837</v>
      </c>
      <c r="O83" s="1082">
        <f t="shared" si="35"/>
        <v>0</v>
      </c>
      <c r="P83" s="1082">
        <f t="shared" si="36"/>
        <v>0</v>
      </c>
      <c r="Q83" s="1082">
        <f t="shared" si="37"/>
        <v>31453689.503534488</v>
      </c>
    </row>
    <row r="84" spans="1:17">
      <c r="A84" s="1064">
        <f t="shared" si="25"/>
        <v>76</v>
      </c>
      <c r="B84" s="1084" t="s">
        <v>904</v>
      </c>
      <c r="C84" s="1079">
        <v>31</v>
      </c>
      <c r="D84" s="1085">
        <f t="shared" si="26"/>
        <v>154</v>
      </c>
      <c r="E84" s="1085">
        <f t="shared" si="32"/>
        <v>365</v>
      </c>
      <c r="F84" s="1086">
        <f t="shared" si="28"/>
        <v>0.42191780821917807</v>
      </c>
      <c r="G84" s="1078"/>
      <c r="H84" s="1087">
        <f t="shared" si="33"/>
        <v>175828.26833333354</v>
      </c>
      <c r="I84" s="1079">
        <f t="shared" si="29"/>
        <v>74185.077598173608</v>
      </c>
      <c r="J84" s="1079">
        <f t="shared" si="27"/>
        <v>28880959.044374425</v>
      </c>
      <c r="K84" s="1065"/>
      <c r="L84" s="1087">
        <f t="shared" si="30"/>
        <v>419907.37782462192</v>
      </c>
      <c r="M84" s="1082">
        <f t="shared" si="34"/>
        <v>244079.10949128837</v>
      </c>
      <c r="N84" s="1082">
        <f t="shared" si="31"/>
        <v>244079.10949128837</v>
      </c>
      <c r="O84" s="1082">
        <f t="shared" si="35"/>
        <v>0</v>
      </c>
      <c r="P84" s="1082">
        <f t="shared" si="36"/>
        <v>0</v>
      </c>
      <c r="Q84" s="1082">
        <f t="shared" si="37"/>
        <v>31771953.69062395</v>
      </c>
    </row>
    <row r="85" spans="1:17">
      <c r="A85" s="1064">
        <f t="shared" si="25"/>
        <v>77</v>
      </c>
      <c r="B85" s="1084" t="s">
        <v>905</v>
      </c>
      <c r="C85" s="1079">
        <v>31</v>
      </c>
      <c r="D85" s="1085">
        <f t="shared" si="26"/>
        <v>123</v>
      </c>
      <c r="E85" s="1085">
        <f t="shared" si="32"/>
        <v>365</v>
      </c>
      <c r="F85" s="1086">
        <f t="shared" si="28"/>
        <v>0.33698630136986302</v>
      </c>
      <c r="G85" s="1078"/>
      <c r="H85" s="1087">
        <f t="shared" si="33"/>
        <v>175828.26833333354</v>
      </c>
      <c r="I85" s="1079">
        <f t="shared" si="29"/>
        <v>59251.717821917882</v>
      </c>
      <c r="J85" s="1079">
        <f t="shared" si="27"/>
        <v>28940210.762196343</v>
      </c>
      <c r="K85" s="1065"/>
      <c r="L85" s="1087">
        <f t="shared" si="30"/>
        <v>419907.37782462192</v>
      </c>
      <c r="M85" s="1082">
        <f t="shared" si="34"/>
        <v>244079.10949128837</v>
      </c>
      <c r="N85" s="1082">
        <f t="shared" si="31"/>
        <v>244079.10949128837</v>
      </c>
      <c r="O85" s="1082">
        <f t="shared" si="35"/>
        <v>0</v>
      </c>
      <c r="P85" s="1082">
        <f t="shared" si="36"/>
        <v>0</v>
      </c>
      <c r="Q85" s="1082">
        <f t="shared" si="37"/>
        <v>32075284.517937157</v>
      </c>
    </row>
    <row r="86" spans="1:17">
      <c r="A86" s="1064">
        <f t="shared" si="25"/>
        <v>78</v>
      </c>
      <c r="B86" s="1084" t="s">
        <v>906</v>
      </c>
      <c r="C86" s="1079">
        <v>30</v>
      </c>
      <c r="D86" s="1085">
        <f t="shared" si="26"/>
        <v>93</v>
      </c>
      <c r="E86" s="1085">
        <f t="shared" si="32"/>
        <v>365</v>
      </c>
      <c r="F86" s="1086">
        <f t="shared" si="28"/>
        <v>0.25479452054794521</v>
      </c>
      <c r="G86" s="1078"/>
      <c r="H86" s="1087">
        <f t="shared" si="33"/>
        <v>175828.26833333354</v>
      </c>
      <c r="I86" s="1079">
        <f t="shared" si="29"/>
        <v>44800.079328767177</v>
      </c>
      <c r="J86" s="1079">
        <f t="shared" si="27"/>
        <v>28985010.841525111</v>
      </c>
      <c r="K86" s="1065"/>
      <c r="L86" s="1087">
        <f t="shared" si="30"/>
        <v>419907.37782462192</v>
      </c>
      <c r="M86" s="1082">
        <f t="shared" si="34"/>
        <v>244079.10949128837</v>
      </c>
      <c r="N86" s="1082">
        <f t="shared" si="31"/>
        <v>244079.10949128837</v>
      </c>
      <c r="O86" s="1082">
        <f t="shared" si="35"/>
        <v>0</v>
      </c>
      <c r="P86" s="1082">
        <f t="shared" si="36"/>
        <v>0</v>
      </c>
      <c r="Q86" s="1082">
        <f t="shared" si="37"/>
        <v>32364163.706757214</v>
      </c>
    </row>
    <row r="87" spans="1:17">
      <c r="A87" s="1064">
        <f t="shared" si="25"/>
        <v>79</v>
      </c>
      <c r="B87" s="1084" t="s">
        <v>907</v>
      </c>
      <c r="C87" s="1079">
        <v>31</v>
      </c>
      <c r="D87" s="1085">
        <f>D88+C88</f>
        <v>62</v>
      </c>
      <c r="E87" s="1085">
        <f t="shared" si="32"/>
        <v>365</v>
      </c>
      <c r="F87" s="1086">
        <f t="shared" si="28"/>
        <v>0.16986301369863013</v>
      </c>
      <c r="G87" s="1078"/>
      <c r="H87" s="1087">
        <f t="shared" si="33"/>
        <v>175828.26833333354</v>
      </c>
      <c r="I87" s="1079">
        <f t="shared" si="29"/>
        <v>29866.719552511451</v>
      </c>
      <c r="J87" s="1079">
        <f t="shared" si="27"/>
        <v>29014877.561077625</v>
      </c>
      <c r="K87" s="1065"/>
      <c r="L87" s="1087">
        <f t="shared" si="30"/>
        <v>419907.37782462192</v>
      </c>
      <c r="M87" s="1082">
        <f t="shared" si="34"/>
        <v>244079.10949128837</v>
      </c>
      <c r="N87" s="1082">
        <f t="shared" si="31"/>
        <v>244079.10949128837</v>
      </c>
      <c r="O87" s="1082">
        <f t="shared" si="35"/>
        <v>0</v>
      </c>
      <c r="P87" s="1082">
        <f t="shared" si="36"/>
        <v>0</v>
      </c>
      <c r="Q87" s="1082">
        <f t="shared" si="37"/>
        <v>32638109.535801016</v>
      </c>
    </row>
    <row r="88" spans="1:17">
      <c r="A88" s="1064">
        <f t="shared" si="25"/>
        <v>80</v>
      </c>
      <c r="B88" s="1084" t="s">
        <v>908</v>
      </c>
      <c r="C88" s="1079">
        <v>30</v>
      </c>
      <c r="D88" s="1085">
        <f>D89+C89</f>
        <v>32</v>
      </c>
      <c r="E88" s="1085">
        <f t="shared" si="32"/>
        <v>365</v>
      </c>
      <c r="F88" s="1086">
        <f t="shared" si="28"/>
        <v>8.7671232876712329E-2</v>
      </c>
      <c r="G88" s="1078"/>
      <c r="H88" s="1087">
        <f t="shared" si="33"/>
        <v>175828.26833333354</v>
      </c>
      <c r="I88" s="1079">
        <f t="shared" si="29"/>
        <v>15415.081059360749</v>
      </c>
      <c r="J88" s="1079">
        <f t="shared" si="27"/>
        <v>29030292.642136984</v>
      </c>
      <c r="K88" s="1065"/>
      <c r="L88" s="1087">
        <f t="shared" si="30"/>
        <v>419907.37782462192</v>
      </c>
      <c r="M88" s="1082">
        <f t="shared" si="34"/>
        <v>244079.10949128837</v>
      </c>
      <c r="N88" s="1082">
        <f t="shared" si="31"/>
        <v>244079.10949128837</v>
      </c>
      <c r="O88" s="1082">
        <f t="shared" si="35"/>
        <v>0</v>
      </c>
      <c r="P88" s="1082">
        <f t="shared" si="36"/>
        <v>0</v>
      </c>
      <c r="Q88" s="1082">
        <f t="shared" si="37"/>
        <v>32897603.726351663</v>
      </c>
    </row>
    <row r="89" spans="1:17">
      <c r="A89" s="1064">
        <f t="shared" si="25"/>
        <v>81</v>
      </c>
      <c r="B89" s="1084" t="s">
        <v>909</v>
      </c>
      <c r="C89" s="1079">
        <v>31</v>
      </c>
      <c r="D89" s="1085">
        <v>1</v>
      </c>
      <c r="E89" s="1085">
        <f t="shared" si="32"/>
        <v>365</v>
      </c>
      <c r="F89" s="1086">
        <f t="shared" si="28"/>
        <v>2.7397260273972603E-3</v>
      </c>
      <c r="G89" s="1078"/>
      <c r="H89" s="1087">
        <f t="shared" si="33"/>
        <v>175828.26833333354</v>
      </c>
      <c r="I89" s="1079">
        <f t="shared" si="29"/>
        <v>481.72128310502342</v>
      </c>
      <c r="J89" s="1079">
        <f t="shared" si="27"/>
        <v>29030774.363420088</v>
      </c>
      <c r="K89" s="1065"/>
      <c r="L89" s="1087">
        <f t="shared" si="30"/>
        <v>419907.37782462192</v>
      </c>
      <c r="M89" s="1082">
        <f t="shared" si="34"/>
        <v>244079.10949128837</v>
      </c>
      <c r="N89" s="1082">
        <f t="shared" si="31"/>
        <v>244079.10949128837</v>
      </c>
      <c r="O89" s="1082">
        <f t="shared" si="35"/>
        <v>0</v>
      </c>
      <c r="P89" s="1082">
        <f t="shared" si="36"/>
        <v>0</v>
      </c>
      <c r="Q89" s="1082">
        <f t="shared" si="37"/>
        <v>33142164.557126056</v>
      </c>
    </row>
    <row r="90" spans="1:17">
      <c r="A90" s="1064">
        <f t="shared" si="25"/>
        <v>82</v>
      </c>
      <c r="B90" s="1088"/>
      <c r="C90" s="1088" t="s">
        <v>790</v>
      </c>
      <c r="D90" s="1089">
        <f>+SUM(D78:D89)</f>
        <v>2029</v>
      </c>
      <c r="E90" s="1089">
        <f>+SUM(E78:E89)</f>
        <v>4380</v>
      </c>
      <c r="F90" s="1090"/>
      <c r="G90" s="1078"/>
      <c r="H90" s="1091">
        <f>SUM(H78:H89)</f>
        <v>2109939.2200000025</v>
      </c>
      <c r="I90" s="1091">
        <f>SUM(I78:I89)</f>
        <v>977412.48342009238</v>
      </c>
      <c r="J90" s="1090"/>
      <c r="K90" s="1065"/>
      <c r="L90" s="1092">
        <f>SUM(L78:L89)</f>
        <v>5038888.5338954628</v>
      </c>
      <c r="M90" s="1092">
        <f>SUM(M78:M89)</f>
        <v>2928949.3138954602</v>
      </c>
      <c r="N90" s="1092">
        <f>SUM(N78:N89)</f>
        <v>2928949.3138954602</v>
      </c>
      <c r="O90" s="1093">
        <f>SUM(O78:O89)</f>
        <v>0</v>
      </c>
      <c r="P90" s="1093">
        <f>SUM(P78:P89)</f>
        <v>0</v>
      </c>
      <c r="Q90" s="1092"/>
    </row>
    <row r="91" spans="1:17">
      <c r="A91" s="1064">
        <f t="shared" si="25"/>
        <v>83</v>
      </c>
      <c r="B91" s="1094"/>
      <c r="C91" s="1094"/>
      <c r="D91" s="1095"/>
      <c r="E91" s="1095"/>
      <c r="F91" s="1096"/>
      <c r="G91" s="1078"/>
      <c r="H91" s="1079"/>
      <c r="I91" s="1079"/>
      <c r="J91" s="1097"/>
      <c r="K91" s="1065"/>
      <c r="L91" s="1098"/>
      <c r="M91" s="1098"/>
      <c r="N91" s="1098"/>
      <c r="O91" s="1098"/>
      <c r="P91" s="1098"/>
      <c r="Q91" s="1098"/>
    </row>
    <row r="92" spans="1:17">
      <c r="A92" s="1064">
        <f t="shared" si="25"/>
        <v>84</v>
      </c>
      <c r="B92" s="1065" t="s">
        <v>1682</v>
      </c>
      <c r="C92" s="1094"/>
      <c r="D92" s="1095"/>
      <c r="E92" s="1099">
        <f>1-(D90/E90)</f>
        <v>0.53675799086757991</v>
      </c>
      <c r="F92" s="1096"/>
      <c r="G92" s="1078"/>
      <c r="H92" s="1079"/>
      <c r="I92" s="1079"/>
      <c r="J92" s="1096"/>
      <c r="K92" s="1065"/>
      <c r="L92" s="1098"/>
      <c r="M92" s="1098"/>
      <c r="N92" s="1098"/>
      <c r="O92" s="1098"/>
      <c r="P92" s="1098"/>
      <c r="Q92" s="1098"/>
    </row>
    <row r="93" spans="1:17">
      <c r="A93" s="1064">
        <f t="shared" si="25"/>
        <v>85</v>
      </c>
      <c r="B93" s="1094"/>
      <c r="C93" s="1094"/>
      <c r="D93" s="1095"/>
      <c r="E93" s="1099"/>
      <c r="F93" s="1096"/>
      <c r="G93" s="1078"/>
      <c r="H93" s="1079"/>
      <c r="I93" s="1079"/>
      <c r="J93" s="1096"/>
      <c r="K93" s="1065"/>
      <c r="L93" s="1098"/>
      <c r="M93" s="1098"/>
      <c r="N93" s="1098"/>
      <c r="O93" s="1098"/>
      <c r="P93" s="1098"/>
      <c r="Q93" s="1098"/>
    </row>
    <row r="94" spans="1:17">
      <c r="A94" s="1064">
        <f t="shared" si="25"/>
        <v>86</v>
      </c>
      <c r="B94" s="1100"/>
      <c r="C94" s="1094"/>
      <c r="D94" s="1065"/>
      <c r="E94" s="1094"/>
      <c r="F94" s="1065"/>
      <c r="G94" s="1096"/>
      <c r="H94" s="1101"/>
      <c r="I94" s="1102"/>
      <c r="J94" s="1095"/>
      <c r="K94" s="1065"/>
      <c r="L94" s="1065"/>
      <c r="M94" s="1065"/>
      <c r="N94" s="1065"/>
      <c r="O94" s="1065"/>
      <c r="P94" s="1065"/>
      <c r="Q94" s="1095"/>
    </row>
    <row r="95" spans="1:17" customFormat="1">
      <c r="A95" s="1064">
        <f t="shared" si="25"/>
        <v>87</v>
      </c>
      <c r="B95" s="1103" t="s">
        <v>1683</v>
      </c>
      <c r="C95" s="1103"/>
      <c r="D95" s="1103"/>
      <c r="E95" s="1103"/>
      <c r="F95" s="1104" t="str">
        <f>"(Line "&amp;A77&amp;", Col H)"</f>
        <v>(Line 69, Col H)</v>
      </c>
      <c r="G95" s="1105"/>
      <c r="H95" s="1103"/>
      <c r="I95" s="1105"/>
      <c r="J95" s="1082">
        <f>J77</f>
        <v>28053361.879999995</v>
      </c>
      <c r="K95" s="1103"/>
      <c r="L95" s="1103"/>
      <c r="M95" s="1103"/>
      <c r="N95" s="1104" t="str">
        <f>"(Line "&amp;A77&amp;", Col N)"</f>
        <v>(Line 69, Col N)</v>
      </c>
      <c r="O95" s="1103"/>
      <c r="P95" s="1103"/>
      <c r="Q95" s="1082">
        <f>Q77</f>
        <v>29235802.7598105</v>
      </c>
    </row>
    <row r="96" spans="1:17" customFormat="1">
      <c r="A96" s="1064">
        <f t="shared" si="25"/>
        <v>88</v>
      </c>
      <c r="B96" s="1103" t="s">
        <v>1684</v>
      </c>
      <c r="C96" s="1103"/>
      <c r="D96" s="1103"/>
      <c r="E96" s="1103"/>
      <c r="F96" s="1104" t="str">
        <f>"(Line "&amp;A89&amp;", Col H)"</f>
        <v>(Line 81, Col H)</v>
      </c>
      <c r="G96" s="1105"/>
      <c r="H96" s="1103"/>
      <c r="I96" s="1105"/>
      <c r="J96" s="1079">
        <f>J89</f>
        <v>29030774.363420088</v>
      </c>
      <c r="K96" s="1103"/>
      <c r="L96" s="1106"/>
      <c r="M96" s="1103"/>
      <c r="N96" s="1104" t="str">
        <f>"(Line "&amp;A89&amp;", Col N)"</f>
        <v>(Line 81, Col N)</v>
      </c>
      <c r="O96" s="1103"/>
      <c r="P96" s="1103"/>
      <c r="Q96" s="1079">
        <f>Q89</f>
        <v>33142164.557126056</v>
      </c>
    </row>
    <row r="97" spans="1:18" customFormat="1">
      <c r="A97" s="1064">
        <f t="shared" si="25"/>
        <v>89</v>
      </c>
      <c r="B97" s="1103" t="s">
        <v>1685</v>
      </c>
      <c r="C97" s="1103"/>
      <c r="D97" s="1103"/>
      <c r="E97" s="1103"/>
      <c r="F97" s="1103" t="str">
        <f>"(Average of Line "&amp;A95&amp;" &amp; Line "&amp;A96&amp;")"</f>
        <v>(Average of Line 87 &amp; Line 88)</v>
      </c>
      <c r="G97" s="1105"/>
      <c r="H97" s="1103"/>
      <c r="I97" s="1107"/>
      <c r="J97" s="1108">
        <f>(J95+J96)/2</f>
        <v>28542068.12171004</v>
      </c>
      <c r="K97" s="1103"/>
      <c r="L97" s="1109"/>
      <c r="M97" s="1103"/>
      <c r="N97" s="1103" t="str">
        <f>"(Average of Line "&amp;A95&amp;" &amp; Line "&amp;A96&amp;")"</f>
        <v>(Average of Line 87 &amp; Line 88)</v>
      </c>
      <c r="O97" s="1103"/>
      <c r="P97" s="1103"/>
      <c r="Q97" s="1108">
        <f>(Q95+Q96)/2</f>
        <v>31188983.658468276</v>
      </c>
    </row>
    <row r="98" spans="1:18" customFormat="1" ht="13.5" customHeight="1">
      <c r="A98" s="1064">
        <f t="shared" si="25"/>
        <v>90</v>
      </c>
      <c r="B98" s="1103" t="s">
        <v>1686</v>
      </c>
      <c r="C98" s="1103"/>
      <c r="D98" s="1103"/>
      <c r="E98" s="1103"/>
      <c r="F98" s="1103" t="s">
        <v>1802</v>
      </c>
      <c r="G98" s="1103"/>
      <c r="H98" s="1103"/>
      <c r="I98" s="1103"/>
      <c r="J98" s="1110">
        <f>AVERAGE(J77, (SUM(H78:H89)+J77))</f>
        <v>29108331.489999995</v>
      </c>
      <c r="K98" s="1103"/>
      <c r="L98" s="1103"/>
      <c r="M98" s="1103"/>
      <c r="N98" s="1103" t="s">
        <v>1802</v>
      </c>
      <c r="O98" s="1103"/>
      <c r="P98" s="1103"/>
      <c r="Q98" s="1110">
        <f>AVERAGE(Q77, (SUM(L78:L89)+Q77))</f>
        <v>31755247.026758231</v>
      </c>
    </row>
    <row r="99" spans="1:18" customFormat="1" ht="13.5" customHeight="1">
      <c r="A99" s="1064">
        <f t="shared" si="25"/>
        <v>91</v>
      </c>
      <c r="B99" s="1103" t="s">
        <v>1687</v>
      </c>
      <c r="C99" s="1103"/>
      <c r="D99" s="1103"/>
      <c r="E99" s="1103"/>
      <c r="F99" s="1103"/>
      <c r="G99" s="1103"/>
      <c r="H99" s="1103"/>
      <c r="I99" s="1103"/>
      <c r="J99" s="1106">
        <f>J97-J98</f>
        <v>-566263.36828995496</v>
      </c>
      <c r="K99" s="1103"/>
      <c r="L99" s="1103"/>
      <c r="M99" s="1103"/>
      <c r="N99" s="1103"/>
      <c r="O99" s="1103"/>
      <c r="P99" s="1103"/>
      <c r="Q99" s="1106">
        <f>Q97-Q98</f>
        <v>-566263.36828995496</v>
      </c>
    </row>
    <row r="100" spans="1:18">
      <c r="A100" s="1064">
        <f t="shared" si="25"/>
        <v>92</v>
      </c>
      <c r="B100" s="1111"/>
      <c r="C100" s="1111"/>
      <c r="D100" s="1111"/>
      <c r="E100" s="1111"/>
      <c r="F100" s="1111"/>
      <c r="G100" s="1111"/>
      <c r="H100" s="1111"/>
      <c r="I100" s="1111"/>
      <c r="J100" s="1111"/>
      <c r="K100" s="1065"/>
      <c r="L100" s="1065"/>
      <c r="M100" s="1065"/>
      <c r="N100" s="1065"/>
      <c r="O100" s="1065"/>
      <c r="P100" s="1065"/>
      <c r="Q100" s="1111"/>
    </row>
    <row r="101" spans="1:18">
      <c r="A101" s="1064">
        <f t="shared" si="25"/>
        <v>93</v>
      </c>
      <c r="B101" s="1111"/>
      <c r="C101" s="1111"/>
      <c r="D101" s="1111"/>
      <c r="E101" s="1111"/>
      <c r="F101" s="1111"/>
      <c r="G101" s="1111"/>
      <c r="H101" s="1111"/>
      <c r="I101" s="1111"/>
      <c r="J101" s="1111"/>
      <c r="K101" s="1065"/>
      <c r="L101" s="1065"/>
      <c r="M101" s="1065"/>
      <c r="N101" s="1065"/>
      <c r="O101" s="1065"/>
      <c r="P101" s="1065"/>
      <c r="Q101" s="1111"/>
    </row>
    <row r="102" spans="1:18" s="1070" customFormat="1">
      <c r="A102" s="1115">
        <f t="shared" si="25"/>
        <v>94</v>
      </c>
      <c r="B102" s="1077"/>
      <c r="C102" s="1077"/>
      <c r="D102" s="1077"/>
      <c r="E102" s="1077"/>
      <c r="F102" s="1077"/>
      <c r="G102" s="1077"/>
      <c r="H102" s="1077"/>
      <c r="I102" s="1077"/>
      <c r="J102" s="1077"/>
      <c r="K102" s="1077"/>
      <c r="L102" s="1077"/>
      <c r="M102" s="1077"/>
      <c r="N102" s="1077"/>
      <c r="O102" s="1077"/>
      <c r="P102" s="1077"/>
      <c r="Q102" s="1116"/>
    </row>
    <row r="103" spans="1:18">
      <c r="A103" s="1064">
        <f t="shared" si="25"/>
        <v>95</v>
      </c>
      <c r="B103" s="1271" t="s">
        <v>1688</v>
      </c>
      <c r="C103" s="1271"/>
      <c r="D103" s="1271"/>
      <c r="E103" s="1271"/>
      <c r="F103" s="1271"/>
      <c r="G103" s="1065"/>
      <c r="H103" s="1112"/>
      <c r="I103" s="1112"/>
      <c r="J103" s="1112"/>
      <c r="K103" s="1065"/>
      <c r="L103" s="1113"/>
      <c r="M103" s="1114"/>
      <c r="N103" s="1114"/>
      <c r="O103" s="1114"/>
      <c r="P103" s="1114"/>
      <c r="Q103" s="1114"/>
      <c r="R103" s="1070"/>
    </row>
    <row r="104" spans="1:18">
      <c r="A104" s="1064">
        <f t="shared" si="25"/>
        <v>96</v>
      </c>
      <c r="B104" s="1263" t="s">
        <v>1666</v>
      </c>
      <c r="C104" s="1264"/>
      <c r="D104" s="1264"/>
      <c r="E104" s="1264"/>
      <c r="F104" s="1265"/>
      <c r="G104" s="1071"/>
      <c r="H104" s="1266" t="s">
        <v>1667</v>
      </c>
      <c r="I104" s="1267"/>
      <c r="J104" s="1268"/>
      <c r="K104" s="1065"/>
      <c r="L104" s="1266" t="s">
        <v>1668</v>
      </c>
      <c r="M104" s="1267"/>
      <c r="N104" s="1267"/>
      <c r="O104" s="1267"/>
      <c r="P104" s="1267"/>
      <c r="Q104" s="1267"/>
    </row>
    <row r="105" spans="1:18">
      <c r="A105" s="1064">
        <f t="shared" si="25"/>
        <v>97</v>
      </c>
      <c r="B105" s="1072" t="s">
        <v>824</v>
      </c>
      <c r="C105" s="1072" t="s">
        <v>825</v>
      </c>
      <c r="D105" s="1072" t="s">
        <v>826</v>
      </c>
      <c r="E105" s="1072" t="s">
        <v>827</v>
      </c>
      <c r="F105" s="1072" t="s">
        <v>828</v>
      </c>
      <c r="G105" s="1071"/>
      <c r="H105" s="1072" t="s">
        <v>829</v>
      </c>
      <c r="I105" s="1072" t="s">
        <v>830</v>
      </c>
      <c r="J105" s="1072" t="s">
        <v>831</v>
      </c>
      <c r="K105" s="1065"/>
      <c r="L105" s="1072" t="s">
        <v>832</v>
      </c>
      <c r="M105" s="1072" t="s">
        <v>833</v>
      </c>
      <c r="N105" s="1072" t="s">
        <v>834</v>
      </c>
      <c r="O105" s="1072" t="s">
        <v>835</v>
      </c>
      <c r="P105" s="1072" t="s">
        <v>837</v>
      </c>
      <c r="Q105" s="1072" t="s">
        <v>836</v>
      </c>
    </row>
    <row r="106" spans="1:18" ht="45">
      <c r="A106" s="1064">
        <f t="shared" si="25"/>
        <v>98</v>
      </c>
      <c r="B106" s="1074" t="s">
        <v>1342</v>
      </c>
      <c r="C106" s="1074" t="s">
        <v>1577</v>
      </c>
      <c r="D106" s="1074" t="s">
        <v>1669</v>
      </c>
      <c r="E106" s="1074" t="s">
        <v>1670</v>
      </c>
      <c r="F106" s="1074" t="s">
        <v>1671</v>
      </c>
      <c r="G106" s="1075"/>
      <c r="H106" s="1074" t="s">
        <v>1672</v>
      </c>
      <c r="I106" s="1074" t="s">
        <v>1673</v>
      </c>
      <c r="J106" s="1074" t="s">
        <v>1674</v>
      </c>
      <c r="K106" s="1065"/>
      <c r="L106" s="1074" t="s">
        <v>1675</v>
      </c>
      <c r="M106" s="1074" t="s">
        <v>1676</v>
      </c>
      <c r="N106" s="1074" t="s">
        <v>1677</v>
      </c>
      <c r="O106" s="1074" t="s">
        <v>1678</v>
      </c>
      <c r="P106" s="1074" t="s">
        <v>1679</v>
      </c>
      <c r="Q106" s="1074" t="s">
        <v>1680</v>
      </c>
    </row>
    <row r="107" spans="1:18">
      <c r="A107" s="1064">
        <f t="shared" si="25"/>
        <v>99</v>
      </c>
      <c r="B107" s="1065"/>
      <c r="C107" s="1075"/>
      <c r="D107" s="1075"/>
      <c r="E107" s="1075"/>
      <c r="F107" s="1075"/>
      <c r="G107" s="1075"/>
      <c r="H107" s="1075"/>
      <c r="I107" s="1075"/>
      <c r="J107" s="1075"/>
      <c r="K107" s="1065"/>
      <c r="L107" s="1065"/>
      <c r="M107" s="1065"/>
      <c r="N107" s="1065"/>
      <c r="O107" s="1065"/>
      <c r="P107" s="1065"/>
      <c r="Q107" s="1065"/>
    </row>
    <row r="108" spans="1:18">
      <c r="A108" s="1064">
        <f t="shared" si="25"/>
        <v>100</v>
      </c>
      <c r="B108" s="1269" t="s">
        <v>1681</v>
      </c>
      <c r="C108" s="1269"/>
      <c r="D108" s="1269"/>
      <c r="E108" s="1269"/>
      <c r="F108" s="1078"/>
      <c r="G108" s="1078"/>
      <c r="H108" s="1079"/>
      <c r="I108" s="1079"/>
      <c r="J108" s="1080">
        <f>'WP_B-2'!C13</f>
        <v>-126912392.34999999</v>
      </c>
      <c r="K108" s="1081"/>
      <c r="L108" s="1079"/>
      <c r="M108" s="1082"/>
      <c r="N108" s="1082"/>
      <c r="O108" s="1082"/>
      <c r="P108" s="1082"/>
      <c r="Q108" s="1080">
        <f>'WP_B-2'!C118</f>
        <v>-129906427.61</v>
      </c>
    </row>
    <row r="109" spans="1:18">
      <c r="A109" s="1064">
        <f t="shared" si="25"/>
        <v>101</v>
      </c>
      <c r="B109" s="1084" t="s">
        <v>950</v>
      </c>
      <c r="C109" s="1079">
        <v>31</v>
      </c>
      <c r="D109" s="1085">
        <f t="shared" ref="D109:D117" si="38">D110+C110</f>
        <v>335</v>
      </c>
      <c r="E109" s="1085">
        <f>SUM(C109:C120)</f>
        <v>365</v>
      </c>
      <c r="F109" s="1086">
        <f>D109/E109</f>
        <v>0.9178082191780822</v>
      </c>
      <c r="G109" s="1078"/>
      <c r="H109" s="1087">
        <f>('WP_B-2'!D13-'WP_B-2'!C13)/12</f>
        <v>-277232.77416666719</v>
      </c>
      <c r="I109" s="1079">
        <f>+H109*F109</f>
        <v>-254446.51875570824</v>
      </c>
      <c r="J109" s="1079">
        <f t="shared" ref="J109:J120" si="39">+I109+J108</f>
        <v>-127166838.8687557</v>
      </c>
      <c r="K109" s="1065"/>
      <c r="L109" s="1087">
        <f>('WP_B-2'!D116-'WP_B-2'!C116)/12</f>
        <v>-798421.04750000068</v>
      </c>
      <c r="M109" s="1082">
        <f>L109-H109</f>
        <v>-521188.27333333349</v>
      </c>
      <c r="N109" s="1082">
        <f>IF(M109&lt;=0,+M109,0)</f>
        <v>-521188.27333333349</v>
      </c>
      <c r="O109" s="1082">
        <f>IF(N109&lt;0,0,IF(L109&gt;0,0,(-(M109)*(D109/E109))))</f>
        <v>0</v>
      </c>
      <c r="P109" s="1082">
        <f t="shared" ref="P109:P120" si="40">IF(L109&gt;0,L109,0)</f>
        <v>0</v>
      </c>
      <c r="Q109" s="1082">
        <f>IF(L109&gt;0,Q108+P109,Q108+I109+N109-O109)</f>
        <v>-130682062.40208904</v>
      </c>
    </row>
    <row r="110" spans="1:18">
      <c r="A110" s="1064">
        <f t="shared" si="25"/>
        <v>102</v>
      </c>
      <c r="B110" s="1084" t="s">
        <v>899</v>
      </c>
      <c r="C110" s="1087">
        <v>28</v>
      </c>
      <c r="D110" s="1085">
        <f t="shared" si="38"/>
        <v>307</v>
      </c>
      <c r="E110" s="1085">
        <f>E109</f>
        <v>365</v>
      </c>
      <c r="F110" s="1086">
        <f t="shared" ref="F110:F120" si="41">D110/E110</f>
        <v>0.84109589041095889</v>
      </c>
      <c r="G110" s="1078"/>
      <c r="H110" s="1087">
        <f>$H$109</f>
        <v>-277232.77416666719</v>
      </c>
      <c r="I110" s="1079">
        <f t="shared" ref="I110:I120" si="42">+H110*F110</f>
        <v>-233179.34703881323</v>
      </c>
      <c r="J110" s="1079">
        <f t="shared" si="39"/>
        <v>-127400018.21579452</v>
      </c>
      <c r="K110" s="1065"/>
      <c r="L110" s="1087">
        <f>$L$109</f>
        <v>-798421.04750000068</v>
      </c>
      <c r="M110" s="1082">
        <f t="shared" ref="M110:M120" si="43">L110-H110</f>
        <v>-521188.27333333349</v>
      </c>
      <c r="N110" s="1082">
        <f t="shared" ref="N110:N120" si="44">IF(M110&lt;=0,+M110,0)</f>
        <v>-521188.27333333349</v>
      </c>
      <c r="O110" s="1082">
        <f t="shared" ref="O110:O120" si="45">IF(N110&lt;0,0,IF(L110&gt;0,0,(-(M110)*(D110/E110))))</f>
        <v>0</v>
      </c>
      <c r="P110" s="1082">
        <f t="shared" si="40"/>
        <v>0</v>
      </c>
      <c r="Q110" s="1082">
        <f t="shared" ref="Q110:Q120" si="46">IF(L110&gt;0,Q109+P110,Q109+I110+N110-O110)</f>
        <v>-131436430.02246121</v>
      </c>
    </row>
    <row r="111" spans="1:18">
      <c r="A111" s="1064">
        <f t="shared" si="25"/>
        <v>103</v>
      </c>
      <c r="B111" s="1084" t="s">
        <v>900</v>
      </c>
      <c r="C111" s="1079">
        <v>31</v>
      </c>
      <c r="D111" s="1085">
        <f t="shared" si="38"/>
        <v>276</v>
      </c>
      <c r="E111" s="1085">
        <f t="shared" ref="E111:E120" si="47">E110</f>
        <v>365</v>
      </c>
      <c r="F111" s="1086">
        <f t="shared" si="41"/>
        <v>0.75616438356164384</v>
      </c>
      <c r="G111" s="1078"/>
      <c r="H111" s="1087">
        <f t="shared" ref="H111:H120" si="48">$H$109</f>
        <v>-277232.77416666719</v>
      </c>
      <c r="I111" s="1079">
        <f t="shared" si="42"/>
        <v>-209633.54978082233</v>
      </c>
      <c r="J111" s="1079">
        <f t="shared" si="39"/>
        <v>-127609651.76557533</v>
      </c>
      <c r="K111" s="1065"/>
      <c r="L111" s="1087">
        <f t="shared" ref="L111:L120" si="49">$L$109</f>
        <v>-798421.04750000068</v>
      </c>
      <c r="M111" s="1082">
        <f t="shared" si="43"/>
        <v>-521188.27333333349</v>
      </c>
      <c r="N111" s="1082">
        <f t="shared" si="44"/>
        <v>-521188.27333333349</v>
      </c>
      <c r="O111" s="1082">
        <f t="shared" si="45"/>
        <v>0</v>
      </c>
      <c r="P111" s="1082">
        <f t="shared" si="40"/>
        <v>0</v>
      </c>
      <c r="Q111" s="1082">
        <f t="shared" si="46"/>
        <v>-132167251.84557536</v>
      </c>
    </row>
    <row r="112" spans="1:18">
      <c r="A112" s="1064">
        <f t="shared" si="25"/>
        <v>104</v>
      </c>
      <c r="B112" s="1084" t="s">
        <v>901</v>
      </c>
      <c r="C112" s="1079">
        <v>30</v>
      </c>
      <c r="D112" s="1085">
        <f t="shared" si="38"/>
        <v>246</v>
      </c>
      <c r="E112" s="1085">
        <f t="shared" si="47"/>
        <v>365</v>
      </c>
      <c r="F112" s="1086">
        <f t="shared" si="41"/>
        <v>0.67397260273972603</v>
      </c>
      <c r="G112" s="1078"/>
      <c r="H112" s="1087">
        <f t="shared" si="48"/>
        <v>-277232.77416666719</v>
      </c>
      <c r="I112" s="1079">
        <f t="shared" si="42"/>
        <v>-186847.29436986338</v>
      </c>
      <c r="J112" s="1079">
        <f t="shared" si="39"/>
        <v>-127796499.0599452</v>
      </c>
      <c r="K112" s="1065"/>
      <c r="L112" s="1087">
        <f t="shared" si="49"/>
        <v>-798421.04750000068</v>
      </c>
      <c r="M112" s="1082">
        <f t="shared" si="43"/>
        <v>-521188.27333333349</v>
      </c>
      <c r="N112" s="1082">
        <f t="shared" si="44"/>
        <v>-521188.27333333349</v>
      </c>
      <c r="O112" s="1082">
        <f t="shared" si="45"/>
        <v>0</v>
      </c>
      <c r="P112" s="1082">
        <f t="shared" si="40"/>
        <v>0</v>
      </c>
      <c r="Q112" s="1082">
        <f t="shared" si="46"/>
        <v>-132875287.41327856</v>
      </c>
    </row>
    <row r="113" spans="1:17">
      <c r="A113" s="1064">
        <f t="shared" si="25"/>
        <v>105</v>
      </c>
      <c r="B113" s="1084" t="s">
        <v>902</v>
      </c>
      <c r="C113" s="1079">
        <v>31</v>
      </c>
      <c r="D113" s="1085">
        <f t="shared" si="38"/>
        <v>215</v>
      </c>
      <c r="E113" s="1085">
        <f t="shared" si="47"/>
        <v>365</v>
      </c>
      <c r="F113" s="1086">
        <f t="shared" si="41"/>
        <v>0.58904109589041098</v>
      </c>
      <c r="G113" s="1078"/>
      <c r="H113" s="1087">
        <f t="shared" si="48"/>
        <v>-277232.77416666719</v>
      </c>
      <c r="I113" s="1079">
        <f t="shared" si="42"/>
        <v>-163301.49711187245</v>
      </c>
      <c r="J113" s="1079">
        <f t="shared" si="39"/>
        <v>-127959800.55705707</v>
      </c>
      <c r="K113" s="1065"/>
      <c r="L113" s="1087">
        <f t="shared" si="49"/>
        <v>-798421.04750000068</v>
      </c>
      <c r="M113" s="1082">
        <f t="shared" si="43"/>
        <v>-521188.27333333349</v>
      </c>
      <c r="N113" s="1082">
        <f t="shared" si="44"/>
        <v>-521188.27333333349</v>
      </c>
      <c r="O113" s="1082">
        <f t="shared" si="45"/>
        <v>0</v>
      </c>
      <c r="P113" s="1082">
        <f t="shared" si="40"/>
        <v>0</v>
      </c>
      <c r="Q113" s="1082">
        <f t="shared" si="46"/>
        <v>-133559777.18372378</v>
      </c>
    </row>
    <row r="114" spans="1:17">
      <c r="A114" s="1064">
        <f t="shared" si="25"/>
        <v>106</v>
      </c>
      <c r="B114" s="1084" t="s">
        <v>903</v>
      </c>
      <c r="C114" s="1079">
        <v>30</v>
      </c>
      <c r="D114" s="1085">
        <f t="shared" si="38"/>
        <v>185</v>
      </c>
      <c r="E114" s="1085">
        <f t="shared" si="47"/>
        <v>365</v>
      </c>
      <c r="F114" s="1086">
        <f t="shared" si="41"/>
        <v>0.50684931506849318</v>
      </c>
      <c r="G114" s="1078"/>
      <c r="H114" s="1087">
        <f t="shared" si="48"/>
        <v>-277232.77416666719</v>
      </c>
      <c r="I114" s="1079">
        <f t="shared" si="42"/>
        <v>-140515.24170091352</v>
      </c>
      <c r="J114" s="1079">
        <f t="shared" si="39"/>
        <v>-128100315.79875799</v>
      </c>
      <c r="K114" s="1065"/>
      <c r="L114" s="1087">
        <f t="shared" si="49"/>
        <v>-798421.04750000068</v>
      </c>
      <c r="M114" s="1082">
        <f t="shared" si="43"/>
        <v>-521188.27333333349</v>
      </c>
      <c r="N114" s="1082">
        <f t="shared" si="44"/>
        <v>-521188.27333333349</v>
      </c>
      <c r="O114" s="1082">
        <f t="shared" si="45"/>
        <v>0</v>
      </c>
      <c r="P114" s="1082">
        <f t="shared" si="40"/>
        <v>0</v>
      </c>
      <c r="Q114" s="1082">
        <f t="shared" si="46"/>
        <v>-134221480.69875804</v>
      </c>
    </row>
    <row r="115" spans="1:17">
      <c r="A115" s="1064">
        <f t="shared" si="25"/>
        <v>107</v>
      </c>
      <c r="B115" s="1084" t="s">
        <v>904</v>
      </c>
      <c r="C115" s="1079">
        <v>31</v>
      </c>
      <c r="D115" s="1085">
        <f t="shared" si="38"/>
        <v>154</v>
      </c>
      <c r="E115" s="1085">
        <f t="shared" si="47"/>
        <v>365</v>
      </c>
      <c r="F115" s="1086">
        <f t="shared" si="41"/>
        <v>0.42191780821917807</v>
      </c>
      <c r="G115" s="1078"/>
      <c r="H115" s="1087">
        <f t="shared" si="48"/>
        <v>-277232.77416666719</v>
      </c>
      <c r="I115" s="1079">
        <f t="shared" si="42"/>
        <v>-116969.4444429226</v>
      </c>
      <c r="J115" s="1079">
        <f t="shared" si="39"/>
        <v>-128217285.24320091</v>
      </c>
      <c r="K115" s="1065"/>
      <c r="L115" s="1087">
        <f t="shared" si="49"/>
        <v>-798421.04750000068</v>
      </c>
      <c r="M115" s="1082">
        <f t="shared" si="43"/>
        <v>-521188.27333333349</v>
      </c>
      <c r="N115" s="1082">
        <f t="shared" si="44"/>
        <v>-521188.27333333349</v>
      </c>
      <c r="O115" s="1082">
        <f t="shared" si="45"/>
        <v>0</v>
      </c>
      <c r="P115" s="1082">
        <f t="shared" si="40"/>
        <v>0</v>
      </c>
      <c r="Q115" s="1082">
        <f t="shared" si="46"/>
        <v>-134859638.4165343</v>
      </c>
    </row>
    <row r="116" spans="1:17">
      <c r="A116" s="1064">
        <f t="shared" si="25"/>
        <v>108</v>
      </c>
      <c r="B116" s="1084" t="s">
        <v>905</v>
      </c>
      <c r="C116" s="1079">
        <v>31</v>
      </c>
      <c r="D116" s="1085">
        <f t="shared" si="38"/>
        <v>123</v>
      </c>
      <c r="E116" s="1085">
        <f t="shared" si="47"/>
        <v>365</v>
      </c>
      <c r="F116" s="1086">
        <f t="shared" si="41"/>
        <v>0.33698630136986302</v>
      </c>
      <c r="G116" s="1078"/>
      <c r="H116" s="1087">
        <f t="shared" si="48"/>
        <v>-277232.77416666719</v>
      </c>
      <c r="I116" s="1079">
        <f t="shared" si="42"/>
        <v>-93423.647184931688</v>
      </c>
      <c r="J116" s="1079">
        <f t="shared" si="39"/>
        <v>-128310708.89038585</v>
      </c>
      <c r="K116" s="1065"/>
      <c r="L116" s="1087">
        <f t="shared" si="49"/>
        <v>-798421.04750000068</v>
      </c>
      <c r="M116" s="1082">
        <f t="shared" si="43"/>
        <v>-521188.27333333349</v>
      </c>
      <c r="N116" s="1082">
        <f t="shared" si="44"/>
        <v>-521188.27333333349</v>
      </c>
      <c r="O116" s="1082">
        <f t="shared" si="45"/>
        <v>0</v>
      </c>
      <c r="P116" s="1082">
        <f t="shared" si="40"/>
        <v>0</v>
      </c>
      <c r="Q116" s="1082">
        <f t="shared" si="46"/>
        <v>-135474250.33705258</v>
      </c>
    </row>
    <row r="117" spans="1:17">
      <c r="A117" s="1064">
        <f t="shared" si="25"/>
        <v>109</v>
      </c>
      <c r="B117" s="1084" t="s">
        <v>906</v>
      </c>
      <c r="C117" s="1079">
        <v>30</v>
      </c>
      <c r="D117" s="1085">
        <f t="shared" si="38"/>
        <v>93</v>
      </c>
      <c r="E117" s="1085">
        <f t="shared" si="47"/>
        <v>365</v>
      </c>
      <c r="F117" s="1086">
        <f t="shared" si="41"/>
        <v>0.25479452054794521</v>
      </c>
      <c r="G117" s="1078"/>
      <c r="H117" s="1087">
        <f t="shared" si="48"/>
        <v>-277232.77416666719</v>
      </c>
      <c r="I117" s="1079">
        <f t="shared" si="42"/>
        <v>-70637.391773972733</v>
      </c>
      <c r="J117" s="1079">
        <f t="shared" si="39"/>
        <v>-128381346.28215982</v>
      </c>
      <c r="K117" s="1065"/>
      <c r="L117" s="1087">
        <f t="shared" si="49"/>
        <v>-798421.04750000068</v>
      </c>
      <c r="M117" s="1082">
        <f t="shared" si="43"/>
        <v>-521188.27333333349</v>
      </c>
      <c r="N117" s="1082">
        <f t="shared" si="44"/>
        <v>-521188.27333333349</v>
      </c>
      <c r="O117" s="1082">
        <f t="shared" si="45"/>
        <v>0</v>
      </c>
      <c r="P117" s="1082">
        <f t="shared" si="40"/>
        <v>0</v>
      </c>
      <c r="Q117" s="1082">
        <f t="shared" si="46"/>
        <v>-136066076.00215989</v>
      </c>
    </row>
    <row r="118" spans="1:17">
      <c r="A118" s="1064">
        <f t="shared" si="25"/>
        <v>110</v>
      </c>
      <c r="B118" s="1084" t="s">
        <v>907</v>
      </c>
      <c r="C118" s="1079">
        <v>31</v>
      </c>
      <c r="D118" s="1085">
        <f>D119+C119</f>
        <v>62</v>
      </c>
      <c r="E118" s="1085">
        <f t="shared" si="47"/>
        <v>365</v>
      </c>
      <c r="F118" s="1086">
        <f t="shared" si="41"/>
        <v>0.16986301369863013</v>
      </c>
      <c r="G118" s="1078"/>
      <c r="H118" s="1087">
        <f t="shared" si="48"/>
        <v>-277232.77416666719</v>
      </c>
      <c r="I118" s="1079">
        <f t="shared" si="42"/>
        <v>-47091.594515981822</v>
      </c>
      <c r="J118" s="1079">
        <f t="shared" si="39"/>
        <v>-128428437.8766758</v>
      </c>
      <c r="K118" s="1065"/>
      <c r="L118" s="1087">
        <f t="shared" si="49"/>
        <v>-798421.04750000068</v>
      </c>
      <c r="M118" s="1082">
        <f t="shared" si="43"/>
        <v>-521188.27333333349</v>
      </c>
      <c r="N118" s="1082">
        <f t="shared" si="44"/>
        <v>-521188.27333333349</v>
      </c>
      <c r="O118" s="1082">
        <f t="shared" si="45"/>
        <v>0</v>
      </c>
      <c r="P118" s="1082">
        <f t="shared" si="40"/>
        <v>0</v>
      </c>
      <c r="Q118" s="1082">
        <f t="shared" si="46"/>
        <v>-136634355.87000921</v>
      </c>
    </row>
    <row r="119" spans="1:17">
      <c r="A119" s="1064">
        <f t="shared" si="25"/>
        <v>111</v>
      </c>
      <c r="B119" s="1084" t="s">
        <v>908</v>
      </c>
      <c r="C119" s="1079">
        <v>30</v>
      </c>
      <c r="D119" s="1085">
        <f>D120+C120</f>
        <v>32</v>
      </c>
      <c r="E119" s="1085">
        <f t="shared" si="47"/>
        <v>365</v>
      </c>
      <c r="F119" s="1086">
        <f t="shared" si="41"/>
        <v>8.7671232876712329E-2</v>
      </c>
      <c r="G119" s="1078"/>
      <c r="H119" s="1087">
        <f t="shared" si="48"/>
        <v>-277232.77416666719</v>
      </c>
      <c r="I119" s="1079">
        <f t="shared" si="42"/>
        <v>-24305.339105022878</v>
      </c>
      <c r="J119" s="1079">
        <f t="shared" si="39"/>
        <v>-128452743.21578082</v>
      </c>
      <c r="K119" s="1065"/>
      <c r="L119" s="1087">
        <f t="shared" si="49"/>
        <v>-798421.04750000068</v>
      </c>
      <c r="M119" s="1082">
        <f t="shared" si="43"/>
        <v>-521188.27333333349</v>
      </c>
      <c r="N119" s="1082">
        <f t="shared" si="44"/>
        <v>-521188.27333333349</v>
      </c>
      <c r="O119" s="1082">
        <f t="shared" si="45"/>
        <v>0</v>
      </c>
      <c r="P119" s="1082">
        <f t="shared" si="40"/>
        <v>0</v>
      </c>
      <c r="Q119" s="1082">
        <f t="shared" si="46"/>
        <v>-137179849.48244756</v>
      </c>
    </row>
    <row r="120" spans="1:17">
      <c r="A120" s="1064">
        <f t="shared" si="25"/>
        <v>112</v>
      </c>
      <c r="B120" s="1084" t="s">
        <v>909</v>
      </c>
      <c r="C120" s="1079">
        <v>31</v>
      </c>
      <c r="D120" s="1085">
        <v>1</v>
      </c>
      <c r="E120" s="1085">
        <f t="shared" si="47"/>
        <v>365</v>
      </c>
      <c r="F120" s="1086">
        <f t="shared" si="41"/>
        <v>2.7397260273972603E-3</v>
      </c>
      <c r="G120" s="1078"/>
      <c r="H120" s="1087">
        <f t="shared" si="48"/>
        <v>-277232.77416666719</v>
      </c>
      <c r="I120" s="1079">
        <f t="shared" si="42"/>
        <v>-759.54184703196495</v>
      </c>
      <c r="J120" s="1079">
        <f t="shared" si="39"/>
        <v>-128453502.75762786</v>
      </c>
      <c r="K120" s="1065"/>
      <c r="L120" s="1087">
        <f t="shared" si="49"/>
        <v>-798421.04750000068</v>
      </c>
      <c r="M120" s="1082">
        <f t="shared" si="43"/>
        <v>-521188.27333333349</v>
      </c>
      <c r="N120" s="1082">
        <f t="shared" si="44"/>
        <v>-521188.27333333349</v>
      </c>
      <c r="O120" s="1082">
        <f t="shared" si="45"/>
        <v>0</v>
      </c>
      <c r="P120" s="1082">
        <f t="shared" si="40"/>
        <v>0</v>
      </c>
      <c r="Q120" s="1082">
        <f t="shared" si="46"/>
        <v>-137701797.29762793</v>
      </c>
    </row>
    <row r="121" spans="1:17">
      <c r="A121" s="1064">
        <f t="shared" si="25"/>
        <v>113</v>
      </c>
      <c r="B121" s="1088"/>
      <c r="C121" s="1088" t="s">
        <v>790</v>
      </c>
      <c r="D121" s="1089">
        <f>+SUM(D109:D120)</f>
        <v>2029</v>
      </c>
      <c r="E121" s="1089">
        <f>+SUM(E109:E120)</f>
        <v>4380</v>
      </c>
      <c r="F121" s="1090"/>
      <c r="G121" s="1078"/>
      <c r="H121" s="1091">
        <f>SUM(H109:H120)</f>
        <v>-3326793.290000007</v>
      </c>
      <c r="I121" s="1091">
        <f>SUM(I109:I120)</f>
        <v>-1541110.4076278568</v>
      </c>
      <c r="J121" s="1090"/>
      <c r="K121" s="1065"/>
      <c r="L121" s="1092">
        <f>SUM(L109:L120)</f>
        <v>-9581052.5700000077</v>
      </c>
      <c r="M121" s="1092">
        <f>SUM(M109:M120)</f>
        <v>-6254259.2800000021</v>
      </c>
      <c r="N121" s="1092">
        <f>SUM(N109:N120)</f>
        <v>-6254259.2800000021</v>
      </c>
      <c r="O121" s="1092">
        <f>SUM(O109:O120)</f>
        <v>0</v>
      </c>
      <c r="P121" s="1092">
        <f>SUM(P109:P120)</f>
        <v>0</v>
      </c>
      <c r="Q121" s="1092"/>
    </row>
    <row r="122" spans="1:17">
      <c r="A122" s="1064">
        <f t="shared" si="25"/>
        <v>114</v>
      </c>
      <c r="B122" s="1094"/>
      <c r="C122" s="1094"/>
      <c r="D122" s="1095"/>
      <c r="E122" s="1095"/>
      <c r="F122" s="1096"/>
      <c r="G122" s="1078"/>
      <c r="H122" s="1079"/>
      <c r="I122" s="1079"/>
      <c r="J122" s="1096"/>
      <c r="K122" s="1065"/>
      <c r="L122" s="1098"/>
      <c r="M122" s="1098"/>
      <c r="N122" s="1098"/>
      <c r="O122" s="1098"/>
      <c r="P122" s="1098"/>
      <c r="Q122" s="1098"/>
    </row>
    <row r="123" spans="1:17">
      <c r="A123" s="1064">
        <f t="shared" si="25"/>
        <v>115</v>
      </c>
      <c r="B123" s="1065" t="s">
        <v>1682</v>
      </c>
      <c r="C123" s="1094"/>
      <c r="D123" s="1095"/>
      <c r="E123" s="1099">
        <f>1-(D121/E121)</f>
        <v>0.53675799086757991</v>
      </c>
      <c r="F123" s="1096"/>
      <c r="G123" s="1078"/>
      <c r="H123" s="1079"/>
      <c r="I123" s="1079"/>
      <c r="J123" s="1096"/>
      <c r="K123" s="1065"/>
      <c r="L123" s="1098"/>
      <c r="M123" s="1098"/>
      <c r="N123" s="1098"/>
      <c r="O123" s="1098"/>
      <c r="P123" s="1098"/>
      <c r="Q123" s="1098"/>
    </row>
    <row r="124" spans="1:17">
      <c r="A124" s="1064">
        <f t="shared" si="25"/>
        <v>116</v>
      </c>
      <c r="B124" s="1094"/>
      <c r="C124" s="1094"/>
      <c r="D124" s="1094"/>
      <c r="E124" s="1094"/>
      <c r="F124" s="1096"/>
      <c r="G124" s="1096"/>
      <c r="H124" s="1101"/>
      <c r="I124" s="1102"/>
      <c r="J124" s="1096"/>
      <c r="K124" s="1065"/>
      <c r="L124" s="1065"/>
      <c r="M124" s="1065"/>
      <c r="N124" s="1065"/>
      <c r="O124" s="1065"/>
      <c r="P124" s="1065"/>
      <c r="Q124" s="1065"/>
    </row>
    <row r="125" spans="1:17">
      <c r="A125" s="1064">
        <f t="shared" si="25"/>
        <v>117</v>
      </c>
      <c r="B125" s="1100"/>
      <c r="C125" s="1094"/>
      <c r="D125" s="1065"/>
      <c r="E125" s="1094"/>
      <c r="F125" s="1065"/>
      <c r="G125" s="1096"/>
      <c r="H125" s="1101"/>
      <c r="I125" s="1102"/>
      <c r="J125" s="1095"/>
      <c r="K125" s="1065"/>
      <c r="L125" s="1065"/>
      <c r="M125" s="1065"/>
      <c r="N125" s="1065"/>
      <c r="O125" s="1065"/>
      <c r="P125" s="1065"/>
      <c r="Q125" s="1095"/>
    </row>
    <row r="126" spans="1:17" customFormat="1">
      <c r="A126" s="1064">
        <f t="shared" si="25"/>
        <v>118</v>
      </c>
      <c r="B126" s="1103" t="s">
        <v>1683</v>
      </c>
      <c r="C126" s="1103"/>
      <c r="D126" s="1103"/>
      <c r="E126" s="1103"/>
      <c r="F126" s="1104" t="str">
        <f>"(Line "&amp;A108&amp;", Col H)"</f>
        <v>(Line 100, Col H)</v>
      </c>
      <c r="G126" s="1105"/>
      <c r="H126" s="1103"/>
      <c r="I126" s="1105"/>
      <c r="J126" s="1082">
        <f>J108</f>
        <v>-126912392.34999999</v>
      </c>
      <c r="K126" s="1103"/>
      <c r="L126" s="1103"/>
      <c r="M126" s="1103"/>
      <c r="N126" s="1104" t="str">
        <f>"(Line "&amp;A108&amp;", Col N)"</f>
        <v>(Line 100, Col N)</v>
      </c>
      <c r="O126" s="1103"/>
      <c r="P126" s="1103"/>
      <c r="Q126" s="1082">
        <f>Q108</f>
        <v>-129906427.61</v>
      </c>
    </row>
    <row r="127" spans="1:17" customFormat="1">
      <c r="A127" s="1064">
        <f t="shared" si="25"/>
        <v>119</v>
      </c>
      <c r="B127" s="1103" t="s">
        <v>1684</v>
      </c>
      <c r="C127" s="1103"/>
      <c r="D127" s="1103"/>
      <c r="E127" s="1103"/>
      <c r="F127" s="1104" t="str">
        <f>"(Line "&amp;A120&amp;", Col H)"</f>
        <v>(Line 112, Col H)</v>
      </c>
      <c r="G127" s="1105"/>
      <c r="H127" s="1103"/>
      <c r="I127" s="1105"/>
      <c r="J127" s="1079">
        <f>J120</f>
        <v>-128453502.75762786</v>
      </c>
      <c r="K127" s="1103"/>
      <c r="L127" s="1106"/>
      <c r="M127" s="1103"/>
      <c r="N127" s="1104" t="str">
        <f>"(Line "&amp;A120&amp;", Col N)"</f>
        <v>(Line 112, Col N)</v>
      </c>
      <c r="O127" s="1103"/>
      <c r="P127" s="1103"/>
      <c r="Q127" s="1079">
        <f>Q120</f>
        <v>-137701797.29762793</v>
      </c>
    </row>
    <row r="128" spans="1:17" customFormat="1">
      <c r="A128" s="1064">
        <f t="shared" si="25"/>
        <v>120</v>
      </c>
      <c r="B128" s="1103" t="s">
        <v>1685</v>
      </c>
      <c r="C128" s="1103"/>
      <c r="D128" s="1103"/>
      <c r="E128" s="1103"/>
      <c r="F128" s="1103" t="str">
        <f>"(Average of Line "&amp;A126&amp;" &amp; Line "&amp;A127&amp;")"</f>
        <v>(Average of Line 118 &amp; Line 119)</v>
      </c>
      <c r="G128" s="1105"/>
      <c r="H128" s="1103"/>
      <c r="I128" s="1107"/>
      <c r="J128" s="1108">
        <f>(J126+J127)/2</f>
        <v>-127682947.55381393</v>
      </c>
      <c r="K128" s="1103"/>
      <c r="L128" s="1109"/>
      <c r="M128" s="1103"/>
      <c r="N128" s="1103" t="str">
        <f>"(Average of Line "&amp;A126&amp;" &amp; Line "&amp;A127&amp;")"</f>
        <v>(Average of Line 118 &amp; Line 119)</v>
      </c>
      <c r="O128" s="1103"/>
      <c r="P128" s="1103"/>
      <c r="Q128" s="1108">
        <f>(Q126+Q127)/2</f>
        <v>-133804112.45381397</v>
      </c>
    </row>
    <row r="129" spans="1:18" customFormat="1" ht="13.5" customHeight="1">
      <c r="A129" s="1064">
        <f t="shared" si="25"/>
        <v>121</v>
      </c>
      <c r="B129" s="1103" t="s">
        <v>1686</v>
      </c>
      <c r="C129" s="1103"/>
      <c r="D129" s="1103"/>
      <c r="E129" s="1103"/>
      <c r="F129" s="1103" t="s">
        <v>1803</v>
      </c>
      <c r="G129" s="1103"/>
      <c r="H129" s="1103"/>
      <c r="I129" s="1103"/>
      <c r="J129" s="1110">
        <f>AVERAGE(J108, (SUM(H109:H120)+J108))</f>
        <v>-128575788.995</v>
      </c>
      <c r="K129" s="1103"/>
      <c r="L129" s="1103"/>
      <c r="M129" s="1103"/>
      <c r="N129" s="1103" t="s">
        <v>1803</v>
      </c>
      <c r="O129" s="1103"/>
      <c r="P129" s="1103"/>
      <c r="Q129" s="1110">
        <f>AVERAGE(Q108, (SUM(L109:L120)+Q108))</f>
        <v>-134696953.89500001</v>
      </c>
    </row>
    <row r="130" spans="1:18" customFormat="1" ht="13.5" customHeight="1">
      <c r="A130" s="1064">
        <f t="shared" si="25"/>
        <v>122</v>
      </c>
      <c r="B130" s="1103" t="s">
        <v>1687</v>
      </c>
      <c r="C130" s="1103"/>
      <c r="D130" s="1103"/>
      <c r="E130" s="1103"/>
      <c r="F130" s="1103"/>
      <c r="G130" s="1103"/>
      <c r="H130" s="1103"/>
      <c r="I130" s="1103"/>
      <c r="J130" s="1106">
        <f>J128-J129</f>
        <v>892841.44118607044</v>
      </c>
      <c r="K130" s="1103"/>
      <c r="L130" s="1103"/>
      <c r="M130" s="1103"/>
      <c r="N130" s="1103"/>
      <c r="O130" s="1103"/>
      <c r="P130" s="1103"/>
      <c r="Q130" s="1106">
        <f>Q128-Q129</f>
        <v>892841.44118604064</v>
      </c>
    </row>
    <row r="131" spans="1:18">
      <c r="A131" s="1064">
        <f t="shared" si="25"/>
        <v>123</v>
      </c>
      <c r="B131" s="1111"/>
      <c r="C131" s="1111"/>
      <c r="D131" s="1111"/>
      <c r="E131" s="1111"/>
      <c r="F131" s="1111"/>
      <c r="G131" s="1111"/>
      <c r="H131" s="1111"/>
      <c r="I131" s="1111"/>
      <c r="J131" s="1111"/>
      <c r="K131" s="1065"/>
      <c r="L131" s="1065"/>
      <c r="M131" s="1065"/>
      <c r="N131" s="1065"/>
      <c r="O131" s="1065"/>
      <c r="P131" s="1065"/>
      <c r="Q131" s="1111"/>
    </row>
    <row r="132" spans="1:18">
      <c r="A132" s="1064">
        <f t="shared" si="25"/>
        <v>124</v>
      </c>
      <c r="B132" s="1111"/>
      <c r="C132" s="1111"/>
      <c r="D132" s="1111"/>
      <c r="E132" s="1111"/>
      <c r="F132" s="1111"/>
      <c r="G132" s="1111"/>
      <c r="H132" s="1111"/>
      <c r="I132" s="1111"/>
      <c r="J132" s="1111"/>
      <c r="K132" s="1065"/>
      <c r="L132" s="1065"/>
      <c r="M132" s="1065"/>
      <c r="N132" s="1065"/>
      <c r="O132" s="1065"/>
      <c r="P132" s="1065"/>
      <c r="Q132" s="1111"/>
    </row>
    <row r="133" spans="1:18">
      <c r="A133" s="1064">
        <f t="shared" si="25"/>
        <v>125</v>
      </c>
      <c r="B133" s="1270" t="s">
        <v>1689</v>
      </c>
      <c r="C133" s="1270"/>
      <c r="D133" s="1270"/>
      <c r="E133" s="1270"/>
      <c r="F133" s="1065"/>
      <c r="G133" s="1065"/>
      <c r="H133" s="1112"/>
      <c r="I133" s="1112"/>
      <c r="J133" s="1112"/>
      <c r="K133" s="1065"/>
      <c r="L133" s="1113"/>
      <c r="M133" s="1114"/>
      <c r="N133" s="1114"/>
      <c r="O133" s="1114"/>
      <c r="P133" s="1114"/>
      <c r="Q133" s="1114"/>
      <c r="R133" s="1070"/>
    </row>
    <row r="134" spans="1:18">
      <c r="A134" s="1064">
        <f t="shared" si="25"/>
        <v>126</v>
      </c>
      <c r="B134" s="1262" t="s">
        <v>1294</v>
      </c>
      <c r="C134" s="1262"/>
      <c r="D134" s="1262"/>
      <c r="E134" s="1262"/>
      <c r="F134" s="1065"/>
      <c r="G134" s="1065"/>
      <c r="H134" s="1112"/>
      <c r="I134" s="1112"/>
      <c r="J134" s="1112"/>
      <c r="K134" s="1065"/>
      <c r="L134" s="1113"/>
      <c r="M134" s="1114"/>
      <c r="N134" s="1114"/>
      <c r="O134" s="1114"/>
      <c r="P134" s="1114"/>
      <c r="Q134" s="1114"/>
      <c r="R134" s="1070"/>
    </row>
    <row r="135" spans="1:18">
      <c r="A135" s="1064">
        <f t="shared" si="25"/>
        <v>127</v>
      </c>
      <c r="B135" s="1263" t="s">
        <v>1666</v>
      </c>
      <c r="C135" s="1264"/>
      <c r="D135" s="1264"/>
      <c r="E135" s="1264"/>
      <c r="F135" s="1265"/>
      <c r="G135" s="1071"/>
      <c r="H135" s="1266" t="s">
        <v>1667</v>
      </c>
      <c r="I135" s="1267"/>
      <c r="J135" s="1268"/>
      <c r="K135" s="1065"/>
      <c r="L135" s="1266" t="s">
        <v>1668</v>
      </c>
      <c r="M135" s="1267"/>
      <c r="N135" s="1267"/>
      <c r="O135" s="1267"/>
      <c r="P135" s="1267"/>
      <c r="Q135" s="1267"/>
    </row>
    <row r="136" spans="1:18">
      <c r="A136" s="1064">
        <f t="shared" si="25"/>
        <v>128</v>
      </c>
      <c r="B136" s="1072" t="s">
        <v>824</v>
      </c>
      <c r="C136" s="1072" t="s">
        <v>825</v>
      </c>
      <c r="D136" s="1072" t="s">
        <v>826</v>
      </c>
      <c r="E136" s="1072" t="s">
        <v>827</v>
      </c>
      <c r="F136" s="1072" t="s">
        <v>828</v>
      </c>
      <c r="G136" s="1071"/>
      <c r="H136" s="1072" t="s">
        <v>829</v>
      </c>
      <c r="I136" s="1072" t="s">
        <v>830</v>
      </c>
      <c r="J136" s="1072" t="s">
        <v>831</v>
      </c>
      <c r="K136" s="1065"/>
      <c r="L136" s="1072" t="s">
        <v>832</v>
      </c>
      <c r="M136" s="1072" t="s">
        <v>833</v>
      </c>
      <c r="N136" s="1072" t="s">
        <v>834</v>
      </c>
      <c r="O136" s="1072" t="s">
        <v>835</v>
      </c>
      <c r="P136" s="1072" t="s">
        <v>837</v>
      </c>
      <c r="Q136" s="1072" t="s">
        <v>836</v>
      </c>
    </row>
    <row r="137" spans="1:18" ht="45">
      <c r="A137" s="1064">
        <f t="shared" si="25"/>
        <v>129</v>
      </c>
      <c r="B137" s="1074" t="s">
        <v>1342</v>
      </c>
      <c r="C137" s="1074" t="s">
        <v>1577</v>
      </c>
      <c r="D137" s="1074" t="s">
        <v>1669</v>
      </c>
      <c r="E137" s="1074" t="s">
        <v>1670</v>
      </c>
      <c r="F137" s="1074" t="s">
        <v>1671</v>
      </c>
      <c r="G137" s="1075"/>
      <c r="H137" s="1074" t="s">
        <v>1672</v>
      </c>
      <c r="I137" s="1074" t="s">
        <v>1673</v>
      </c>
      <c r="J137" s="1074" t="s">
        <v>1674</v>
      </c>
      <c r="K137" s="1065"/>
      <c r="L137" s="1074" t="s">
        <v>1675</v>
      </c>
      <c r="M137" s="1074" t="s">
        <v>1676</v>
      </c>
      <c r="N137" s="1074" t="s">
        <v>1677</v>
      </c>
      <c r="O137" s="1074" t="s">
        <v>1678</v>
      </c>
      <c r="P137" s="1074" t="s">
        <v>1679</v>
      </c>
      <c r="Q137" s="1074" t="s">
        <v>1680</v>
      </c>
    </row>
    <row r="138" spans="1:18">
      <c r="A138" s="1064">
        <f t="shared" si="25"/>
        <v>130</v>
      </c>
      <c r="B138" s="1065"/>
      <c r="C138" s="1075"/>
      <c r="D138" s="1075"/>
      <c r="E138" s="1075"/>
      <c r="F138" s="1075"/>
      <c r="G138" s="1075"/>
      <c r="H138" s="1075"/>
      <c r="I138" s="1075"/>
      <c r="J138" s="1075"/>
      <c r="K138" s="1065"/>
      <c r="L138" s="1065"/>
      <c r="M138" s="1065"/>
      <c r="N138" s="1065"/>
      <c r="O138" s="1065"/>
      <c r="P138" s="1065"/>
      <c r="Q138" s="1065"/>
    </row>
    <row r="139" spans="1:18">
      <c r="A139" s="1064">
        <f t="shared" ref="A139:A202" si="50">+A138+1</f>
        <v>131</v>
      </c>
      <c r="B139" s="1269" t="s">
        <v>1681</v>
      </c>
      <c r="C139" s="1269"/>
      <c r="D139" s="1269"/>
      <c r="E139" s="1269"/>
      <c r="F139" s="1078"/>
      <c r="G139" s="1078"/>
      <c r="H139" s="1079"/>
      <c r="I139" s="1079"/>
      <c r="J139" s="1080">
        <f>'WP_B-2'!D19</f>
        <v>-487449658.66661829</v>
      </c>
      <c r="K139" s="1081"/>
      <c r="L139" s="1079"/>
      <c r="M139" s="1082"/>
      <c r="N139" s="1082"/>
      <c r="O139" s="1082"/>
      <c r="P139" s="1082"/>
      <c r="Q139" s="1080">
        <f>'WP_B-2'!C124</f>
        <v>-445308432</v>
      </c>
    </row>
    <row r="140" spans="1:18">
      <c r="A140" s="1064">
        <f t="shared" si="50"/>
        <v>132</v>
      </c>
      <c r="B140" s="1084" t="s">
        <v>950</v>
      </c>
      <c r="C140" s="1079">
        <v>31</v>
      </c>
      <c r="D140" s="1085">
        <f t="shared" ref="D140:D148" si="51">D141+C141</f>
        <v>335</v>
      </c>
      <c r="E140" s="1085">
        <f>SUM(C140:C151)</f>
        <v>365</v>
      </c>
      <c r="F140" s="1086">
        <f>D140/E140</f>
        <v>0.9178082191780822</v>
      </c>
      <c r="G140" s="1078"/>
      <c r="H140" s="1087">
        <f>('WP_B-2'!D19-'WP_B-2'!C19)/12</f>
        <v>-2743970.5933333389</v>
      </c>
      <c r="I140" s="1079">
        <f>+H140*F140</f>
        <v>-2518438.7637442974</v>
      </c>
      <c r="J140" s="1079">
        <f t="shared" ref="J140:J151" si="52">+I140+J139</f>
        <v>-489968097.43036258</v>
      </c>
      <c r="K140" s="1065"/>
      <c r="L140" s="1087">
        <f>('WP_B-2'!D124-'WP_B-2'!C124)/12</f>
        <v>-1697887.8333333333</v>
      </c>
      <c r="M140" s="1082">
        <f>L140-H140</f>
        <v>1046082.7600000056</v>
      </c>
      <c r="N140" s="1082">
        <f>IF(M140&lt;=0,+M140,0)</f>
        <v>0</v>
      </c>
      <c r="O140" s="1082">
        <f>IF(N140&lt;0,0,IF(L140&gt;0,0,(-(M140)*(D140/E140))))</f>
        <v>-960103.35506849829</v>
      </c>
      <c r="P140" s="1082">
        <f t="shared" ref="P140:P151" si="53">IF(L140&gt;0,L140,0)</f>
        <v>0</v>
      </c>
      <c r="Q140" s="1082">
        <f>IF(L140&gt;0,Q139+P140,Q139+I140+N140-O140)</f>
        <v>-446866767.40867579</v>
      </c>
    </row>
    <row r="141" spans="1:18">
      <c r="A141" s="1064">
        <f t="shared" si="50"/>
        <v>133</v>
      </c>
      <c r="B141" s="1084" t="s">
        <v>899</v>
      </c>
      <c r="C141" s="1087">
        <v>28</v>
      </c>
      <c r="D141" s="1085">
        <f t="shared" si="51"/>
        <v>307</v>
      </c>
      <c r="E141" s="1085">
        <f>E140</f>
        <v>365</v>
      </c>
      <c r="F141" s="1086">
        <f t="shared" ref="F141:F151" si="54">D141/E141</f>
        <v>0.84109589041095889</v>
      </c>
      <c r="G141" s="1078"/>
      <c r="H141" s="1087">
        <f>$H$140</f>
        <v>-2743970.5933333389</v>
      </c>
      <c r="I141" s="1079">
        <f t="shared" ref="I141:I151" si="55">+H141*F141</f>
        <v>-2307942.3894611918</v>
      </c>
      <c r="J141" s="1079">
        <f t="shared" si="52"/>
        <v>-492276039.8198238</v>
      </c>
      <c r="K141" s="1065"/>
      <c r="L141" s="1087">
        <f>$L$140</f>
        <v>-1697887.8333333333</v>
      </c>
      <c r="M141" s="1082">
        <f t="shared" ref="M141:M151" si="56">L141-H141</f>
        <v>1046082.7600000056</v>
      </c>
      <c r="N141" s="1082">
        <f t="shared" ref="N141:N151" si="57">IF(M141&lt;=0,+M141,0)</f>
        <v>0</v>
      </c>
      <c r="O141" s="1082">
        <f t="shared" ref="O141:O151" si="58">IF(N141&lt;0,0,IF(L141&gt;0,0,(-(M141)*(D141/E141))))</f>
        <v>-879855.91046575806</v>
      </c>
      <c r="P141" s="1082">
        <f t="shared" si="53"/>
        <v>0</v>
      </c>
      <c r="Q141" s="1082">
        <f t="shared" ref="Q141:Q151" si="59">IF(L141&gt;0,Q140+P141,Q140+I141+N141-O141)</f>
        <v>-448294853.88767123</v>
      </c>
    </row>
    <row r="142" spans="1:18">
      <c r="A142" s="1064">
        <f t="shared" si="50"/>
        <v>134</v>
      </c>
      <c r="B142" s="1084" t="s">
        <v>900</v>
      </c>
      <c r="C142" s="1079">
        <v>31</v>
      </c>
      <c r="D142" s="1085">
        <f t="shared" si="51"/>
        <v>276</v>
      </c>
      <c r="E142" s="1085">
        <f t="shared" ref="E142:E151" si="60">E141</f>
        <v>365</v>
      </c>
      <c r="F142" s="1086">
        <f t="shared" si="54"/>
        <v>0.75616438356164384</v>
      </c>
      <c r="G142" s="1078"/>
      <c r="H142" s="1087">
        <f t="shared" ref="H142:H151" si="61">$H$140</f>
        <v>-2743970.5933333389</v>
      </c>
      <c r="I142" s="1079">
        <f t="shared" si="55"/>
        <v>-2074892.8322191823</v>
      </c>
      <c r="J142" s="1079">
        <f t="shared" si="52"/>
        <v>-494350932.65204298</v>
      </c>
      <c r="K142" s="1065"/>
      <c r="L142" s="1087">
        <f t="shared" ref="L142:L151" si="62">$L$140</f>
        <v>-1697887.8333333333</v>
      </c>
      <c r="M142" s="1082">
        <f t="shared" si="56"/>
        <v>1046082.7600000056</v>
      </c>
      <c r="N142" s="1082">
        <f t="shared" si="57"/>
        <v>0</v>
      </c>
      <c r="O142" s="1082">
        <f t="shared" si="58"/>
        <v>-791010.52536986722</v>
      </c>
      <c r="P142" s="1082">
        <f t="shared" si="53"/>
        <v>0</v>
      </c>
      <c r="Q142" s="1082">
        <f t="shared" si="59"/>
        <v>-449578736.19452053</v>
      </c>
    </row>
    <row r="143" spans="1:18">
      <c r="A143" s="1064">
        <f t="shared" si="50"/>
        <v>135</v>
      </c>
      <c r="B143" s="1084" t="s">
        <v>901</v>
      </c>
      <c r="C143" s="1079">
        <v>30</v>
      </c>
      <c r="D143" s="1085">
        <f t="shared" si="51"/>
        <v>246</v>
      </c>
      <c r="E143" s="1085">
        <f t="shared" si="60"/>
        <v>365</v>
      </c>
      <c r="F143" s="1086">
        <f t="shared" si="54"/>
        <v>0.67397260273972603</v>
      </c>
      <c r="G143" s="1078"/>
      <c r="H143" s="1087">
        <f t="shared" si="61"/>
        <v>-2743970.5933333389</v>
      </c>
      <c r="I143" s="1079">
        <f t="shared" si="55"/>
        <v>-1849361.0026301406</v>
      </c>
      <c r="J143" s="1079">
        <f t="shared" si="52"/>
        <v>-496200293.6546731</v>
      </c>
      <c r="K143" s="1065"/>
      <c r="L143" s="1087">
        <f t="shared" si="62"/>
        <v>-1697887.8333333333</v>
      </c>
      <c r="M143" s="1082">
        <f t="shared" si="56"/>
        <v>1046082.7600000056</v>
      </c>
      <c r="N143" s="1082">
        <f t="shared" si="57"/>
        <v>0</v>
      </c>
      <c r="O143" s="1082">
        <f t="shared" si="58"/>
        <v>-705031.12043835991</v>
      </c>
      <c r="P143" s="1082">
        <f t="shared" si="53"/>
        <v>0</v>
      </c>
      <c r="Q143" s="1082">
        <f t="shared" si="59"/>
        <v>-450723066.07671231</v>
      </c>
    </row>
    <row r="144" spans="1:18">
      <c r="A144" s="1064">
        <f t="shared" si="50"/>
        <v>136</v>
      </c>
      <c r="B144" s="1084" t="s">
        <v>902</v>
      </c>
      <c r="C144" s="1079">
        <v>31</v>
      </c>
      <c r="D144" s="1085">
        <f t="shared" si="51"/>
        <v>215</v>
      </c>
      <c r="E144" s="1085">
        <f t="shared" si="60"/>
        <v>365</v>
      </c>
      <c r="F144" s="1086">
        <f t="shared" si="54"/>
        <v>0.58904109589041098</v>
      </c>
      <c r="G144" s="1078"/>
      <c r="H144" s="1087">
        <f t="shared" si="61"/>
        <v>-2743970.5933333389</v>
      </c>
      <c r="I144" s="1079">
        <f t="shared" si="55"/>
        <v>-1616311.4453881311</v>
      </c>
      <c r="J144" s="1079">
        <f t="shared" si="52"/>
        <v>-497816605.10006124</v>
      </c>
      <c r="K144" s="1065"/>
      <c r="L144" s="1087">
        <f t="shared" si="62"/>
        <v>-1697887.8333333333</v>
      </c>
      <c r="M144" s="1082">
        <f t="shared" si="56"/>
        <v>1046082.7600000056</v>
      </c>
      <c r="N144" s="1082">
        <f t="shared" si="57"/>
        <v>0</v>
      </c>
      <c r="O144" s="1082">
        <f t="shared" si="58"/>
        <v>-616185.73534246907</v>
      </c>
      <c r="P144" s="1082">
        <f t="shared" si="53"/>
        <v>0</v>
      </c>
      <c r="Q144" s="1082">
        <f t="shared" si="59"/>
        <v>-451723191.78675801</v>
      </c>
    </row>
    <row r="145" spans="1:17">
      <c r="A145" s="1064">
        <f t="shared" si="50"/>
        <v>137</v>
      </c>
      <c r="B145" s="1084" t="s">
        <v>903</v>
      </c>
      <c r="C145" s="1079">
        <v>30</v>
      </c>
      <c r="D145" s="1085">
        <f t="shared" si="51"/>
        <v>185</v>
      </c>
      <c r="E145" s="1085">
        <f t="shared" si="60"/>
        <v>365</v>
      </c>
      <c r="F145" s="1086">
        <f t="shared" si="54"/>
        <v>0.50684931506849318</v>
      </c>
      <c r="G145" s="1078"/>
      <c r="H145" s="1087">
        <f t="shared" si="61"/>
        <v>-2743970.5933333389</v>
      </c>
      <c r="I145" s="1079">
        <f t="shared" si="55"/>
        <v>-1390779.6157990897</v>
      </c>
      <c r="J145" s="1079">
        <f t="shared" si="52"/>
        <v>-499207384.71586031</v>
      </c>
      <c r="K145" s="1065"/>
      <c r="L145" s="1087">
        <f t="shared" si="62"/>
        <v>-1697887.8333333333</v>
      </c>
      <c r="M145" s="1082">
        <f t="shared" si="56"/>
        <v>1046082.7600000056</v>
      </c>
      <c r="N145" s="1082">
        <f t="shared" si="57"/>
        <v>0</v>
      </c>
      <c r="O145" s="1082">
        <f t="shared" si="58"/>
        <v>-530206.33041096176</v>
      </c>
      <c r="P145" s="1082">
        <f t="shared" si="53"/>
        <v>0</v>
      </c>
      <c r="Q145" s="1082">
        <f t="shared" si="59"/>
        <v>-452583765.07214612</v>
      </c>
    </row>
    <row r="146" spans="1:17">
      <c r="A146" s="1064">
        <f t="shared" si="50"/>
        <v>138</v>
      </c>
      <c r="B146" s="1084" t="s">
        <v>904</v>
      </c>
      <c r="C146" s="1079">
        <v>31</v>
      </c>
      <c r="D146" s="1085">
        <f t="shared" si="51"/>
        <v>154</v>
      </c>
      <c r="E146" s="1085">
        <f t="shared" si="60"/>
        <v>365</v>
      </c>
      <c r="F146" s="1086">
        <f t="shared" si="54"/>
        <v>0.42191780821917807</v>
      </c>
      <c r="G146" s="1078"/>
      <c r="H146" s="1087">
        <f t="shared" si="61"/>
        <v>-2743970.5933333389</v>
      </c>
      <c r="I146" s="1079">
        <f t="shared" si="55"/>
        <v>-1157730.0585570799</v>
      </c>
      <c r="J146" s="1079">
        <f t="shared" si="52"/>
        <v>-500365114.7744174</v>
      </c>
      <c r="K146" s="1065"/>
      <c r="L146" s="1087">
        <f t="shared" si="62"/>
        <v>-1697887.8333333333</v>
      </c>
      <c r="M146" s="1082">
        <f t="shared" si="56"/>
        <v>1046082.7600000056</v>
      </c>
      <c r="N146" s="1082">
        <f t="shared" si="57"/>
        <v>0</v>
      </c>
      <c r="O146" s="1082">
        <f t="shared" si="58"/>
        <v>-441360.94531507086</v>
      </c>
      <c r="P146" s="1082">
        <f t="shared" si="53"/>
        <v>0</v>
      </c>
      <c r="Q146" s="1082">
        <f t="shared" si="59"/>
        <v>-453300134.18538815</v>
      </c>
    </row>
    <row r="147" spans="1:17">
      <c r="A147" s="1064">
        <f t="shared" si="50"/>
        <v>139</v>
      </c>
      <c r="B147" s="1084" t="s">
        <v>905</v>
      </c>
      <c r="C147" s="1079">
        <v>31</v>
      </c>
      <c r="D147" s="1085">
        <f t="shared" si="51"/>
        <v>123</v>
      </c>
      <c r="E147" s="1085">
        <f t="shared" si="60"/>
        <v>365</v>
      </c>
      <c r="F147" s="1086">
        <f t="shared" si="54"/>
        <v>0.33698630136986302</v>
      </c>
      <c r="G147" s="1078"/>
      <c r="H147" s="1087">
        <f t="shared" si="61"/>
        <v>-2743970.5933333389</v>
      </c>
      <c r="I147" s="1079">
        <f t="shared" si="55"/>
        <v>-924680.50131507032</v>
      </c>
      <c r="J147" s="1079">
        <f t="shared" si="52"/>
        <v>-501289795.27573246</v>
      </c>
      <c r="K147" s="1065"/>
      <c r="L147" s="1087">
        <f t="shared" si="62"/>
        <v>-1697887.8333333333</v>
      </c>
      <c r="M147" s="1082">
        <f t="shared" si="56"/>
        <v>1046082.7600000056</v>
      </c>
      <c r="N147" s="1082">
        <f t="shared" si="57"/>
        <v>0</v>
      </c>
      <c r="O147" s="1082">
        <f t="shared" si="58"/>
        <v>-352515.56021917996</v>
      </c>
      <c r="P147" s="1082">
        <f t="shared" si="53"/>
        <v>0</v>
      </c>
      <c r="Q147" s="1082">
        <f t="shared" si="59"/>
        <v>-453872299.12648404</v>
      </c>
    </row>
    <row r="148" spans="1:17">
      <c r="A148" s="1064">
        <f t="shared" si="50"/>
        <v>140</v>
      </c>
      <c r="B148" s="1084" t="s">
        <v>906</v>
      </c>
      <c r="C148" s="1079">
        <v>30</v>
      </c>
      <c r="D148" s="1085">
        <f t="shared" si="51"/>
        <v>93</v>
      </c>
      <c r="E148" s="1085">
        <f t="shared" si="60"/>
        <v>365</v>
      </c>
      <c r="F148" s="1086">
        <f t="shared" si="54"/>
        <v>0.25479452054794521</v>
      </c>
      <c r="G148" s="1078"/>
      <c r="H148" s="1087">
        <f t="shared" si="61"/>
        <v>-2743970.5933333389</v>
      </c>
      <c r="I148" s="1079">
        <f t="shared" si="55"/>
        <v>-699148.67172602878</v>
      </c>
      <c r="J148" s="1079">
        <f t="shared" si="52"/>
        <v>-501988943.94745851</v>
      </c>
      <c r="K148" s="1065"/>
      <c r="L148" s="1087">
        <f t="shared" si="62"/>
        <v>-1697887.8333333333</v>
      </c>
      <c r="M148" s="1082">
        <f t="shared" si="56"/>
        <v>1046082.7600000056</v>
      </c>
      <c r="N148" s="1082">
        <f t="shared" si="57"/>
        <v>0</v>
      </c>
      <c r="O148" s="1082">
        <f t="shared" si="58"/>
        <v>-266536.15528767265</v>
      </c>
      <c r="P148" s="1082">
        <f t="shared" si="53"/>
        <v>0</v>
      </c>
      <c r="Q148" s="1082">
        <f t="shared" si="59"/>
        <v>-454304911.6429224</v>
      </c>
    </row>
    <row r="149" spans="1:17">
      <c r="A149" s="1064">
        <f t="shared" si="50"/>
        <v>141</v>
      </c>
      <c r="B149" s="1084" t="s">
        <v>907</v>
      </c>
      <c r="C149" s="1079">
        <v>31</v>
      </c>
      <c r="D149" s="1085">
        <f>D150+C150</f>
        <v>62</v>
      </c>
      <c r="E149" s="1085">
        <f t="shared" si="60"/>
        <v>365</v>
      </c>
      <c r="F149" s="1086">
        <f t="shared" si="54"/>
        <v>0.16986301369863013</v>
      </c>
      <c r="G149" s="1078"/>
      <c r="H149" s="1087">
        <f t="shared" si="61"/>
        <v>-2743970.5933333389</v>
      </c>
      <c r="I149" s="1079">
        <f t="shared" si="55"/>
        <v>-466099.11448401917</v>
      </c>
      <c r="J149" s="1079">
        <f t="shared" si="52"/>
        <v>-502455043.06194252</v>
      </c>
      <c r="K149" s="1065"/>
      <c r="L149" s="1087">
        <f t="shared" si="62"/>
        <v>-1697887.8333333333</v>
      </c>
      <c r="M149" s="1082">
        <f t="shared" si="56"/>
        <v>1046082.7600000056</v>
      </c>
      <c r="N149" s="1082">
        <f t="shared" si="57"/>
        <v>0</v>
      </c>
      <c r="O149" s="1082">
        <f t="shared" si="58"/>
        <v>-177690.77019178178</v>
      </c>
      <c r="P149" s="1082">
        <f t="shared" si="53"/>
        <v>0</v>
      </c>
      <c r="Q149" s="1082">
        <f t="shared" si="59"/>
        <v>-454593319.98721462</v>
      </c>
    </row>
    <row r="150" spans="1:17">
      <c r="A150" s="1064">
        <f t="shared" si="50"/>
        <v>142</v>
      </c>
      <c r="B150" s="1084" t="s">
        <v>908</v>
      </c>
      <c r="C150" s="1079">
        <v>30</v>
      </c>
      <c r="D150" s="1085">
        <f>D151+C151</f>
        <v>32</v>
      </c>
      <c r="E150" s="1085">
        <f t="shared" si="60"/>
        <v>365</v>
      </c>
      <c r="F150" s="1086">
        <f t="shared" si="54"/>
        <v>8.7671232876712329E-2</v>
      </c>
      <c r="G150" s="1078"/>
      <c r="H150" s="1087">
        <f t="shared" si="61"/>
        <v>-2743970.5933333389</v>
      </c>
      <c r="I150" s="1079">
        <f t="shared" si="55"/>
        <v>-240567.28489497767</v>
      </c>
      <c r="J150" s="1079">
        <f t="shared" si="52"/>
        <v>-502695610.34683752</v>
      </c>
      <c r="K150" s="1065"/>
      <c r="L150" s="1087">
        <f t="shared" si="62"/>
        <v>-1697887.8333333333</v>
      </c>
      <c r="M150" s="1082">
        <f t="shared" si="56"/>
        <v>1046082.7600000056</v>
      </c>
      <c r="N150" s="1082">
        <f t="shared" si="57"/>
        <v>0</v>
      </c>
      <c r="O150" s="1082">
        <f t="shared" si="58"/>
        <v>-91711.36526027447</v>
      </c>
      <c r="P150" s="1082">
        <f t="shared" si="53"/>
        <v>0</v>
      </c>
      <c r="Q150" s="1082">
        <f t="shared" si="59"/>
        <v>-454742175.90684932</v>
      </c>
    </row>
    <row r="151" spans="1:17">
      <c r="A151" s="1064">
        <f t="shared" si="50"/>
        <v>143</v>
      </c>
      <c r="B151" s="1084" t="s">
        <v>909</v>
      </c>
      <c r="C151" s="1079">
        <v>31</v>
      </c>
      <c r="D151" s="1085">
        <v>1</v>
      </c>
      <c r="E151" s="1085">
        <f t="shared" si="60"/>
        <v>365</v>
      </c>
      <c r="F151" s="1086">
        <f t="shared" si="54"/>
        <v>2.7397260273972603E-3</v>
      </c>
      <c r="G151" s="1078"/>
      <c r="H151" s="1087">
        <f t="shared" si="61"/>
        <v>-2743970.5933333389</v>
      </c>
      <c r="I151" s="1079">
        <f t="shared" si="55"/>
        <v>-7517.7276529680521</v>
      </c>
      <c r="J151" s="1079">
        <f t="shared" si="52"/>
        <v>-502703128.07449049</v>
      </c>
      <c r="K151" s="1065"/>
      <c r="L151" s="1087">
        <f t="shared" si="62"/>
        <v>-1697887.8333333333</v>
      </c>
      <c r="M151" s="1082">
        <f t="shared" si="56"/>
        <v>1046082.7600000056</v>
      </c>
      <c r="N151" s="1082">
        <f t="shared" si="57"/>
        <v>0</v>
      </c>
      <c r="O151" s="1082">
        <f t="shared" si="58"/>
        <v>-2865.9801643835772</v>
      </c>
      <c r="P151" s="1082">
        <f t="shared" si="53"/>
        <v>0</v>
      </c>
      <c r="Q151" s="1082">
        <f t="shared" si="59"/>
        <v>-454746827.65433788</v>
      </c>
    </row>
    <row r="152" spans="1:17">
      <c r="A152" s="1064">
        <f t="shared" si="50"/>
        <v>144</v>
      </c>
      <c r="B152" s="1088"/>
      <c r="C152" s="1088" t="s">
        <v>790</v>
      </c>
      <c r="D152" s="1089">
        <f>+SUM(D140:D151)</f>
        <v>2029</v>
      </c>
      <c r="E152" s="1089">
        <f>+SUM(E140:E151)</f>
        <v>4380</v>
      </c>
      <c r="F152" s="1090"/>
      <c r="G152" s="1078"/>
      <c r="H152" s="1091">
        <f>SUM(H140:H151)</f>
        <v>-32927647.120000061</v>
      </c>
      <c r="I152" s="1091">
        <f>SUM(I140:I151)</f>
        <v>-15253469.407872178</v>
      </c>
      <c r="J152" s="1090"/>
      <c r="K152" s="1065"/>
      <c r="L152" s="1092">
        <f>SUM(L140:L151)</f>
        <v>-20374654</v>
      </c>
      <c r="M152" s="1092">
        <f>SUM(M140:M151)</f>
        <v>12552993.120000066</v>
      </c>
      <c r="N152" s="1092">
        <f>SUM(N140:N151)</f>
        <v>0</v>
      </c>
      <c r="O152" s="1092">
        <f>SUM(O140:O151)</f>
        <v>-5815073.753534277</v>
      </c>
      <c r="P152" s="1092">
        <f>SUM(P140:P151)</f>
        <v>0</v>
      </c>
      <c r="Q152" s="1092"/>
    </row>
    <row r="153" spans="1:17">
      <c r="A153" s="1064">
        <f t="shared" si="50"/>
        <v>145</v>
      </c>
      <c r="B153" s="1094"/>
      <c r="C153" s="1094"/>
      <c r="D153" s="1095"/>
      <c r="E153" s="1095"/>
      <c r="F153" s="1096"/>
      <c r="G153" s="1078"/>
      <c r="H153" s="1079"/>
      <c r="I153" s="1079"/>
      <c r="J153" s="1096"/>
      <c r="K153" s="1065"/>
      <c r="L153" s="1098"/>
      <c r="M153" s="1098"/>
      <c r="N153" s="1098"/>
      <c r="O153" s="1098"/>
      <c r="P153" s="1098"/>
      <c r="Q153" s="1098"/>
    </row>
    <row r="154" spans="1:17">
      <c r="A154" s="1064">
        <f t="shared" si="50"/>
        <v>146</v>
      </c>
      <c r="B154" s="1065" t="s">
        <v>1682</v>
      </c>
      <c r="C154" s="1094"/>
      <c r="D154" s="1095"/>
      <c r="E154" s="1099">
        <f>1-(D152/E152)</f>
        <v>0.53675799086757991</v>
      </c>
      <c r="F154" s="1096"/>
      <c r="G154" s="1078"/>
      <c r="H154" s="1079"/>
      <c r="I154" s="1079"/>
      <c r="J154" s="1096"/>
      <c r="K154" s="1065"/>
      <c r="L154" s="1098"/>
      <c r="M154" s="1098"/>
      <c r="N154" s="1098"/>
      <c r="O154" s="1098"/>
      <c r="P154" s="1098"/>
      <c r="Q154" s="1098"/>
    </row>
    <row r="155" spans="1:17">
      <c r="A155" s="1064">
        <f t="shared" si="50"/>
        <v>147</v>
      </c>
      <c r="B155" s="1094"/>
      <c r="C155" s="1094"/>
      <c r="D155" s="1094"/>
      <c r="E155" s="1094"/>
      <c r="F155" s="1096"/>
      <c r="G155" s="1096"/>
      <c r="H155" s="1101"/>
      <c r="I155" s="1102"/>
      <c r="J155" s="1096"/>
      <c r="K155" s="1065"/>
      <c r="L155" s="1065"/>
      <c r="M155" s="1065"/>
      <c r="N155" s="1065"/>
      <c r="O155" s="1065"/>
      <c r="P155" s="1065"/>
      <c r="Q155" s="1065"/>
    </row>
    <row r="156" spans="1:17">
      <c r="A156" s="1064">
        <f t="shared" si="50"/>
        <v>148</v>
      </c>
      <c r="B156" s="1100"/>
      <c r="C156" s="1094"/>
      <c r="D156" s="1065"/>
      <c r="E156" s="1094"/>
      <c r="F156" s="1065"/>
      <c r="G156" s="1096"/>
      <c r="H156" s="1101"/>
      <c r="I156" s="1102"/>
      <c r="J156" s="1095"/>
      <c r="K156" s="1065"/>
      <c r="L156" s="1065"/>
      <c r="M156" s="1065"/>
      <c r="N156" s="1065"/>
      <c r="O156" s="1065"/>
      <c r="P156" s="1065"/>
      <c r="Q156" s="1095"/>
    </row>
    <row r="157" spans="1:17" customFormat="1">
      <c r="A157" s="1064">
        <f t="shared" si="50"/>
        <v>149</v>
      </c>
      <c r="B157" s="1103" t="s">
        <v>1683</v>
      </c>
      <c r="C157" s="1103"/>
      <c r="D157" s="1103"/>
      <c r="E157" s="1103"/>
      <c r="F157" s="1104" t="str">
        <f>"(Line "&amp;A139&amp;", Col H)"</f>
        <v>(Line 131, Col H)</v>
      </c>
      <c r="G157" s="1105"/>
      <c r="H157" s="1103"/>
      <c r="I157" s="1105"/>
      <c r="J157" s="1082">
        <f>J139</f>
        <v>-487449658.66661829</v>
      </c>
      <c r="K157" s="1103"/>
      <c r="L157" s="1103"/>
      <c r="M157" s="1103"/>
      <c r="N157" s="1104" t="str">
        <f>"(Line "&amp;A139&amp;", Col N)"</f>
        <v>(Line 131, Col N)</v>
      </c>
      <c r="O157" s="1103"/>
      <c r="P157" s="1103"/>
      <c r="Q157" s="1082">
        <f>Q139</f>
        <v>-445308432</v>
      </c>
    </row>
    <row r="158" spans="1:17" customFormat="1">
      <c r="A158" s="1064">
        <f t="shared" si="50"/>
        <v>150</v>
      </c>
      <c r="B158" s="1103" t="s">
        <v>1684</v>
      </c>
      <c r="C158" s="1103"/>
      <c r="D158" s="1103"/>
      <c r="E158" s="1103"/>
      <c r="F158" s="1104" t="str">
        <f>"(Line "&amp;A151&amp;", Col H)"</f>
        <v>(Line 143, Col H)</v>
      </c>
      <c r="G158" s="1105"/>
      <c r="H158" s="1103"/>
      <c r="I158" s="1105"/>
      <c r="J158" s="1079">
        <f>J151</f>
        <v>-502703128.07449049</v>
      </c>
      <c r="K158" s="1103"/>
      <c r="L158" s="1106"/>
      <c r="M158" s="1103"/>
      <c r="N158" s="1104" t="str">
        <f>"(Line "&amp;A151&amp;", Col N)"</f>
        <v>(Line 143, Col N)</v>
      </c>
      <c r="O158" s="1103"/>
      <c r="P158" s="1103"/>
      <c r="Q158" s="1079">
        <f>Q151</f>
        <v>-454746827.65433788</v>
      </c>
    </row>
    <row r="159" spans="1:17" customFormat="1">
      <c r="A159" s="1064">
        <f t="shared" si="50"/>
        <v>151</v>
      </c>
      <c r="B159" s="1103" t="s">
        <v>1685</v>
      </c>
      <c r="C159" s="1103"/>
      <c r="D159" s="1103"/>
      <c r="E159" s="1103"/>
      <c r="F159" s="1103" t="str">
        <f>"(Average of Line "&amp;A157&amp;" &amp; Line "&amp;A158&amp;")"</f>
        <v>(Average of Line 149 &amp; Line 150)</v>
      </c>
      <c r="G159" s="1105"/>
      <c r="H159" s="1103"/>
      <c r="I159" s="1107"/>
      <c r="J159" s="1108">
        <f>(J157+J158)/2</f>
        <v>-495076393.37055439</v>
      </c>
      <c r="K159" s="1103"/>
      <c r="L159" s="1109"/>
      <c r="M159" s="1103"/>
      <c r="N159" s="1103" t="str">
        <f>"(Average of Line "&amp;A157&amp;" &amp; Line "&amp;A158&amp;")"</f>
        <v>(Average of Line 149 &amp; Line 150)</v>
      </c>
      <c r="O159" s="1103"/>
      <c r="P159" s="1103"/>
      <c r="Q159" s="1108">
        <f>(Q157+Q158)/2</f>
        <v>-450027629.82716894</v>
      </c>
    </row>
    <row r="160" spans="1:17" customFormat="1" ht="13.5" customHeight="1">
      <c r="A160" s="1064">
        <f t="shared" si="50"/>
        <v>152</v>
      </c>
      <c r="B160" s="1103" t="s">
        <v>1686</v>
      </c>
      <c r="C160" s="1103"/>
      <c r="D160" s="1103"/>
      <c r="E160" s="1103"/>
      <c r="F160" s="1103" t="s">
        <v>1804</v>
      </c>
      <c r="G160" s="1103"/>
      <c r="H160" s="1103"/>
      <c r="I160" s="1103"/>
      <c r="J160" s="1110">
        <f>AVERAGE(J139, (SUM(H140:H151)+J139))</f>
        <v>-503913482.22661829</v>
      </c>
      <c r="K160" s="1103"/>
      <c r="L160" s="1103"/>
      <c r="M160" s="1103"/>
      <c r="N160" s="1103" t="s">
        <v>1804</v>
      </c>
      <c r="O160" s="1103"/>
      <c r="P160" s="1103"/>
      <c r="Q160" s="1110">
        <f>AVERAGE(Q139, (SUM(L140:L151)+Q139))</f>
        <v>-455495759</v>
      </c>
    </row>
    <row r="161" spans="1:18" customFormat="1" ht="13.5" customHeight="1">
      <c r="A161" s="1064">
        <f t="shared" si="50"/>
        <v>153</v>
      </c>
      <c r="B161" s="1103" t="s">
        <v>1687</v>
      </c>
      <c r="C161" s="1103"/>
      <c r="D161" s="1103"/>
      <c r="E161" s="1103"/>
      <c r="F161" s="1103"/>
      <c r="G161" s="1103"/>
      <c r="H161" s="1103"/>
      <c r="I161" s="1103"/>
      <c r="J161" s="1106">
        <f>J159-J160</f>
        <v>8837088.8560639024</v>
      </c>
      <c r="K161" s="1103"/>
      <c r="L161" s="1103"/>
      <c r="M161" s="1103"/>
      <c r="N161" s="1103"/>
      <c r="O161" s="1103"/>
      <c r="P161" s="1103"/>
      <c r="Q161" s="1106">
        <f>Q159-Q160</f>
        <v>5468129.1728310585</v>
      </c>
    </row>
    <row r="162" spans="1:18">
      <c r="A162" s="1064">
        <f t="shared" si="50"/>
        <v>154</v>
      </c>
      <c r="B162" s="1111"/>
      <c r="C162" s="1111"/>
      <c r="D162" s="1111"/>
      <c r="E162" s="1111"/>
      <c r="F162" s="1111"/>
      <c r="G162" s="1111"/>
      <c r="H162" s="1111"/>
      <c r="I162" s="1111"/>
      <c r="J162" s="1111"/>
      <c r="K162" s="1065"/>
      <c r="L162" s="1065"/>
      <c r="M162" s="1065"/>
      <c r="N162" s="1065"/>
      <c r="O162" s="1065"/>
      <c r="P162" s="1065"/>
      <c r="Q162" s="1111"/>
    </row>
    <row r="163" spans="1:18">
      <c r="A163" s="1064">
        <f t="shared" si="50"/>
        <v>155</v>
      </c>
      <c r="B163" s="1111"/>
      <c r="C163" s="1111"/>
      <c r="D163" s="1111"/>
      <c r="E163" s="1111"/>
      <c r="F163" s="1111"/>
      <c r="G163" s="1111"/>
      <c r="H163" s="1111"/>
      <c r="I163" s="1111"/>
      <c r="J163" s="1111"/>
      <c r="K163" s="1065"/>
      <c r="L163" s="1065"/>
      <c r="M163" s="1065"/>
      <c r="N163" s="1065"/>
      <c r="O163" s="1065"/>
      <c r="P163" s="1065"/>
      <c r="Q163" s="1111"/>
    </row>
    <row r="164" spans="1:18">
      <c r="A164" s="1064">
        <f t="shared" si="50"/>
        <v>156</v>
      </c>
      <c r="B164" s="1270" t="s">
        <v>1689</v>
      </c>
      <c r="C164" s="1270"/>
      <c r="D164" s="1270"/>
      <c r="E164" s="1270"/>
      <c r="F164" s="1065"/>
      <c r="G164" s="1065"/>
      <c r="H164" s="1112"/>
      <c r="I164" s="1112"/>
      <c r="J164" s="1112"/>
      <c r="K164" s="1065"/>
      <c r="L164" s="1113"/>
      <c r="M164" s="1114"/>
      <c r="N164" s="1114"/>
      <c r="O164" s="1114"/>
      <c r="P164" s="1114"/>
      <c r="Q164" s="1114"/>
      <c r="R164" s="1070"/>
    </row>
    <row r="165" spans="1:18">
      <c r="A165" s="1064">
        <f t="shared" si="50"/>
        <v>157</v>
      </c>
      <c r="B165" s="1262" t="s">
        <v>1295</v>
      </c>
      <c r="C165" s="1262"/>
      <c r="D165" s="1262"/>
      <c r="E165" s="1262"/>
      <c r="F165" s="1065"/>
      <c r="G165" s="1065"/>
      <c r="H165" s="1112"/>
      <c r="I165" s="1112"/>
      <c r="J165" s="1112"/>
      <c r="K165" s="1065"/>
      <c r="L165" s="1113"/>
      <c r="M165" s="1114"/>
      <c r="N165" s="1114"/>
      <c r="O165" s="1114"/>
      <c r="P165" s="1114"/>
      <c r="Q165" s="1114"/>
      <c r="R165" s="1070"/>
    </row>
    <row r="166" spans="1:18">
      <c r="A166" s="1064">
        <f t="shared" si="50"/>
        <v>158</v>
      </c>
      <c r="B166" s="1263" t="s">
        <v>1666</v>
      </c>
      <c r="C166" s="1264"/>
      <c r="D166" s="1264"/>
      <c r="E166" s="1264"/>
      <c r="F166" s="1265"/>
      <c r="G166" s="1071"/>
      <c r="H166" s="1266" t="s">
        <v>1667</v>
      </c>
      <c r="I166" s="1267"/>
      <c r="J166" s="1268"/>
      <c r="K166" s="1065"/>
      <c r="L166" s="1266" t="s">
        <v>1668</v>
      </c>
      <c r="M166" s="1267"/>
      <c r="N166" s="1267"/>
      <c r="O166" s="1267"/>
      <c r="P166" s="1267"/>
      <c r="Q166" s="1267"/>
    </row>
    <row r="167" spans="1:18">
      <c r="A167" s="1064">
        <f t="shared" si="50"/>
        <v>159</v>
      </c>
      <c r="B167" s="1072" t="s">
        <v>824</v>
      </c>
      <c r="C167" s="1072" t="s">
        <v>825</v>
      </c>
      <c r="D167" s="1072" t="s">
        <v>826</v>
      </c>
      <c r="E167" s="1072" t="s">
        <v>827</v>
      </c>
      <c r="F167" s="1072" t="s">
        <v>828</v>
      </c>
      <c r="G167" s="1071"/>
      <c r="H167" s="1072" t="s">
        <v>829</v>
      </c>
      <c r="I167" s="1072" t="s">
        <v>830</v>
      </c>
      <c r="J167" s="1072" t="s">
        <v>831</v>
      </c>
      <c r="K167" s="1065"/>
      <c r="L167" s="1072" t="s">
        <v>832</v>
      </c>
      <c r="M167" s="1072" t="s">
        <v>833</v>
      </c>
      <c r="N167" s="1072" t="s">
        <v>834</v>
      </c>
      <c r="O167" s="1072" t="s">
        <v>835</v>
      </c>
      <c r="P167" s="1072" t="s">
        <v>837</v>
      </c>
      <c r="Q167" s="1072" t="s">
        <v>836</v>
      </c>
    </row>
    <row r="168" spans="1:18" ht="45">
      <c r="A168" s="1064">
        <f t="shared" si="50"/>
        <v>160</v>
      </c>
      <c r="B168" s="1074" t="s">
        <v>1342</v>
      </c>
      <c r="C168" s="1074" t="s">
        <v>1577</v>
      </c>
      <c r="D168" s="1074" t="s">
        <v>1669</v>
      </c>
      <c r="E168" s="1074" t="s">
        <v>1670</v>
      </c>
      <c r="F168" s="1074" t="s">
        <v>1671</v>
      </c>
      <c r="G168" s="1075"/>
      <c r="H168" s="1074" t="s">
        <v>1672</v>
      </c>
      <c r="I168" s="1074" t="s">
        <v>1673</v>
      </c>
      <c r="J168" s="1074" t="s">
        <v>1674</v>
      </c>
      <c r="K168" s="1065"/>
      <c r="L168" s="1074" t="s">
        <v>1675</v>
      </c>
      <c r="M168" s="1074" t="s">
        <v>1676</v>
      </c>
      <c r="N168" s="1074" t="s">
        <v>1677</v>
      </c>
      <c r="O168" s="1074" t="s">
        <v>1678</v>
      </c>
      <c r="P168" s="1074" t="s">
        <v>1679</v>
      </c>
      <c r="Q168" s="1074" t="s">
        <v>1680</v>
      </c>
    </row>
    <row r="169" spans="1:18">
      <c r="A169" s="1064">
        <f t="shared" si="50"/>
        <v>161</v>
      </c>
      <c r="B169" s="1065"/>
      <c r="C169" s="1075"/>
      <c r="D169" s="1075"/>
      <c r="E169" s="1075"/>
      <c r="F169" s="1075"/>
      <c r="G169" s="1075"/>
      <c r="H169" s="1075"/>
      <c r="I169" s="1075"/>
      <c r="J169" s="1075"/>
      <c r="K169" s="1065"/>
      <c r="L169" s="1065"/>
      <c r="M169" s="1065"/>
      <c r="N169" s="1065"/>
      <c r="O169" s="1065"/>
      <c r="P169" s="1065"/>
      <c r="Q169" s="1065"/>
    </row>
    <row r="170" spans="1:18">
      <c r="A170" s="1064">
        <f t="shared" si="50"/>
        <v>162</v>
      </c>
      <c r="B170" s="1269" t="s">
        <v>1681</v>
      </c>
      <c r="C170" s="1269"/>
      <c r="D170" s="1269"/>
      <c r="E170" s="1269"/>
      <c r="F170" s="1078"/>
      <c r="G170" s="1078"/>
      <c r="H170" s="1079"/>
      <c r="I170" s="1079"/>
      <c r="J170" s="1080">
        <f>'WP_B-2'!C35</f>
        <v>-83960113.388546288</v>
      </c>
      <c r="K170" s="1081"/>
      <c r="L170" s="1079"/>
      <c r="M170" s="1082"/>
      <c r="N170" s="1082"/>
      <c r="O170" s="1082"/>
      <c r="P170" s="1082"/>
      <c r="Q170" s="1080">
        <f>'WP_B-2'!C140</f>
        <v>-92963607.802095726</v>
      </c>
    </row>
    <row r="171" spans="1:18">
      <c r="A171" s="1064">
        <f t="shared" si="50"/>
        <v>163</v>
      </c>
      <c r="B171" s="1084" t="s">
        <v>950</v>
      </c>
      <c r="C171" s="1079">
        <v>31</v>
      </c>
      <c r="D171" s="1085">
        <f t="shared" ref="D171:D179" si="63">D172+C172</f>
        <v>335</v>
      </c>
      <c r="E171" s="1085">
        <f>SUM(C171:C182)</f>
        <v>365</v>
      </c>
      <c r="F171" s="1086">
        <f>D171/E171</f>
        <v>0.9178082191780822</v>
      </c>
      <c r="G171" s="1078"/>
      <c r="H171" s="1087">
        <f>('WP_B-2'!D35-'WP_B-2'!C35)/12</f>
        <v>-462890.50209985301</v>
      </c>
      <c r="I171" s="1079">
        <f>+H171*F171</f>
        <v>-424844.70740671438</v>
      </c>
      <c r="J171" s="1079">
        <f t="shared" ref="J171:J182" si="64">+I171+J170</f>
        <v>-84384958.095953003</v>
      </c>
      <c r="K171" s="1065"/>
      <c r="L171" s="1087">
        <f>('WP_B-2'!D140-'WP_B-2'!C140)/12</f>
        <v>-501028.77399202558</v>
      </c>
      <c r="M171" s="1082">
        <f>L171-H171</f>
        <v>-38138.271892172575</v>
      </c>
      <c r="N171" s="1082">
        <f>IF(M171&lt;=0,+M171,0)</f>
        <v>-38138.271892172575</v>
      </c>
      <c r="O171" s="1082">
        <f>IF(N171&lt;0,0,IF(L171&gt;0,0,(-(M171)*(D171/E171))))</f>
        <v>0</v>
      </c>
      <c r="P171" s="1082">
        <f t="shared" ref="P171:P182" si="65">IF(L171&gt;0,L171,0)</f>
        <v>0</v>
      </c>
      <c r="Q171" s="1082">
        <f>IF(L171&gt;0,Q170+P171,Q170+I171+N171-O171)</f>
        <v>-93426590.781394616</v>
      </c>
    </row>
    <row r="172" spans="1:18">
      <c r="A172" s="1064">
        <f t="shared" si="50"/>
        <v>164</v>
      </c>
      <c r="B172" s="1084" t="s">
        <v>899</v>
      </c>
      <c r="C172" s="1087">
        <v>28</v>
      </c>
      <c r="D172" s="1085">
        <f t="shared" si="63"/>
        <v>307</v>
      </c>
      <c r="E172" s="1085">
        <f>E171</f>
        <v>365</v>
      </c>
      <c r="F172" s="1086">
        <f t="shared" ref="F172:F182" si="66">D172/E172</f>
        <v>0.84109589041095889</v>
      </c>
      <c r="G172" s="1078"/>
      <c r="H172" s="1087">
        <f>$H$171</f>
        <v>-462890.50209985301</v>
      </c>
      <c r="I172" s="1079">
        <f t="shared" ref="I172:I182" si="67">+H172*F172</f>
        <v>-389335.29902645171</v>
      </c>
      <c r="J172" s="1079">
        <f t="shared" si="64"/>
        <v>-84774293.394979447</v>
      </c>
      <c r="K172" s="1065"/>
      <c r="L172" s="1087">
        <f>$L$171</f>
        <v>-501028.77399202558</v>
      </c>
      <c r="M172" s="1082">
        <f t="shared" ref="M172:M182" si="68">L172-H172</f>
        <v>-38138.271892172575</v>
      </c>
      <c r="N172" s="1082">
        <f t="shared" ref="N172:N182" si="69">IF(M172&lt;=0,+M172,0)</f>
        <v>-38138.271892172575</v>
      </c>
      <c r="O172" s="1082">
        <f t="shared" ref="O172:O182" si="70">IF(N172&lt;0,0,IF(L172&gt;0,0,(-(M172)*(D172/E172))))</f>
        <v>0</v>
      </c>
      <c r="P172" s="1082">
        <f t="shared" si="65"/>
        <v>0</v>
      </c>
      <c r="Q172" s="1082">
        <f t="shared" ref="Q172:Q182" si="71">IF(L172&gt;0,Q171+P172,Q171+I172+N172-O172)</f>
        <v>-93854064.352313235</v>
      </c>
    </row>
    <row r="173" spans="1:18">
      <c r="A173" s="1064">
        <f t="shared" si="50"/>
        <v>165</v>
      </c>
      <c r="B173" s="1084" t="s">
        <v>900</v>
      </c>
      <c r="C173" s="1079">
        <v>31</v>
      </c>
      <c r="D173" s="1085">
        <f t="shared" si="63"/>
        <v>276</v>
      </c>
      <c r="E173" s="1085">
        <f t="shared" ref="E173:E182" si="72">E172</f>
        <v>365</v>
      </c>
      <c r="F173" s="1086">
        <f t="shared" si="66"/>
        <v>0.75616438356164384</v>
      </c>
      <c r="G173" s="1078"/>
      <c r="H173" s="1087">
        <f t="shared" ref="H173:H182" si="73">$H$171</f>
        <v>-462890.50209985301</v>
      </c>
      <c r="I173" s="1079">
        <f t="shared" si="67"/>
        <v>-350021.31117687514</v>
      </c>
      <c r="J173" s="1079">
        <f t="shared" si="64"/>
        <v>-85124314.706156328</v>
      </c>
      <c r="K173" s="1065"/>
      <c r="L173" s="1087">
        <f t="shared" ref="L173:L182" si="74">$L$171</f>
        <v>-501028.77399202558</v>
      </c>
      <c r="M173" s="1082">
        <f t="shared" si="68"/>
        <v>-38138.271892172575</v>
      </c>
      <c r="N173" s="1082">
        <f t="shared" si="69"/>
        <v>-38138.271892172575</v>
      </c>
      <c r="O173" s="1082">
        <f t="shared" si="70"/>
        <v>0</v>
      </c>
      <c r="P173" s="1082">
        <f t="shared" si="65"/>
        <v>0</v>
      </c>
      <c r="Q173" s="1082">
        <f t="shared" si="71"/>
        <v>-94242223.935382292</v>
      </c>
    </row>
    <row r="174" spans="1:18">
      <c r="A174" s="1064">
        <f t="shared" si="50"/>
        <v>166</v>
      </c>
      <c r="B174" s="1084" t="s">
        <v>901</v>
      </c>
      <c r="C174" s="1079">
        <v>30</v>
      </c>
      <c r="D174" s="1085">
        <f t="shared" si="63"/>
        <v>246</v>
      </c>
      <c r="E174" s="1085">
        <f t="shared" si="72"/>
        <v>365</v>
      </c>
      <c r="F174" s="1086">
        <f t="shared" si="66"/>
        <v>0.67397260273972603</v>
      </c>
      <c r="G174" s="1078"/>
      <c r="H174" s="1087">
        <f t="shared" si="73"/>
        <v>-462890.50209985301</v>
      </c>
      <c r="I174" s="1079">
        <f t="shared" si="67"/>
        <v>-311975.51648373657</v>
      </c>
      <c r="J174" s="1079">
        <f t="shared" si="64"/>
        <v>-85436290.222640067</v>
      </c>
      <c r="K174" s="1065"/>
      <c r="L174" s="1087">
        <f t="shared" si="74"/>
        <v>-501028.77399202558</v>
      </c>
      <c r="M174" s="1082">
        <f t="shared" si="68"/>
        <v>-38138.271892172575</v>
      </c>
      <c r="N174" s="1082">
        <f t="shared" si="69"/>
        <v>-38138.271892172575</v>
      </c>
      <c r="O174" s="1082">
        <f t="shared" si="70"/>
        <v>0</v>
      </c>
      <c r="P174" s="1082">
        <f t="shared" si="65"/>
        <v>0</v>
      </c>
      <c r="Q174" s="1082">
        <f t="shared" si="71"/>
        <v>-94592337.723758206</v>
      </c>
    </row>
    <row r="175" spans="1:18">
      <c r="A175" s="1064">
        <f t="shared" si="50"/>
        <v>167</v>
      </c>
      <c r="B175" s="1084" t="s">
        <v>902</v>
      </c>
      <c r="C175" s="1079">
        <v>31</v>
      </c>
      <c r="D175" s="1085">
        <f t="shared" si="63"/>
        <v>215</v>
      </c>
      <c r="E175" s="1085">
        <f t="shared" si="72"/>
        <v>365</v>
      </c>
      <c r="F175" s="1086">
        <f t="shared" si="66"/>
        <v>0.58904109589041098</v>
      </c>
      <c r="G175" s="1078"/>
      <c r="H175" s="1087">
        <f t="shared" si="73"/>
        <v>-462890.50209985301</v>
      </c>
      <c r="I175" s="1079">
        <f t="shared" si="67"/>
        <v>-272661.52863416</v>
      </c>
      <c r="J175" s="1079">
        <f t="shared" si="64"/>
        <v>-85708951.751274228</v>
      </c>
      <c r="K175" s="1065"/>
      <c r="L175" s="1087">
        <f t="shared" si="74"/>
        <v>-501028.77399202558</v>
      </c>
      <c r="M175" s="1082">
        <f t="shared" si="68"/>
        <v>-38138.271892172575</v>
      </c>
      <c r="N175" s="1082">
        <f t="shared" si="69"/>
        <v>-38138.271892172575</v>
      </c>
      <c r="O175" s="1082">
        <f t="shared" si="70"/>
        <v>0</v>
      </c>
      <c r="P175" s="1082">
        <f t="shared" si="65"/>
        <v>0</v>
      </c>
      <c r="Q175" s="1082">
        <f t="shared" si="71"/>
        <v>-94903137.524284542</v>
      </c>
    </row>
    <row r="176" spans="1:18">
      <c r="A176" s="1064">
        <f t="shared" si="50"/>
        <v>168</v>
      </c>
      <c r="B176" s="1084" t="s">
        <v>903</v>
      </c>
      <c r="C176" s="1079">
        <v>30</v>
      </c>
      <c r="D176" s="1085">
        <f t="shared" si="63"/>
        <v>185</v>
      </c>
      <c r="E176" s="1085">
        <f t="shared" si="72"/>
        <v>365</v>
      </c>
      <c r="F176" s="1086">
        <f t="shared" si="66"/>
        <v>0.50684931506849318</v>
      </c>
      <c r="G176" s="1078"/>
      <c r="H176" s="1087">
        <f t="shared" si="73"/>
        <v>-462890.50209985301</v>
      </c>
      <c r="I176" s="1079">
        <f t="shared" si="67"/>
        <v>-234615.7339410214</v>
      </c>
      <c r="J176" s="1079">
        <f t="shared" si="64"/>
        <v>-85943567.485215247</v>
      </c>
      <c r="K176" s="1065"/>
      <c r="L176" s="1087">
        <f t="shared" si="74"/>
        <v>-501028.77399202558</v>
      </c>
      <c r="M176" s="1082">
        <f t="shared" si="68"/>
        <v>-38138.271892172575</v>
      </c>
      <c r="N176" s="1082">
        <f t="shared" si="69"/>
        <v>-38138.271892172575</v>
      </c>
      <c r="O176" s="1082">
        <f t="shared" si="70"/>
        <v>0</v>
      </c>
      <c r="P176" s="1082">
        <f t="shared" si="65"/>
        <v>0</v>
      </c>
      <c r="Q176" s="1082">
        <f t="shared" si="71"/>
        <v>-95175891.530117735</v>
      </c>
    </row>
    <row r="177" spans="1:17">
      <c r="A177" s="1064">
        <f t="shared" si="50"/>
        <v>169</v>
      </c>
      <c r="B177" s="1084" t="s">
        <v>904</v>
      </c>
      <c r="C177" s="1079">
        <v>31</v>
      </c>
      <c r="D177" s="1085">
        <f t="shared" si="63"/>
        <v>154</v>
      </c>
      <c r="E177" s="1085">
        <f t="shared" si="72"/>
        <v>365</v>
      </c>
      <c r="F177" s="1086">
        <f t="shared" si="66"/>
        <v>0.42191780821917807</v>
      </c>
      <c r="G177" s="1078"/>
      <c r="H177" s="1087">
        <f t="shared" si="73"/>
        <v>-462890.50209985301</v>
      </c>
      <c r="I177" s="1079">
        <f t="shared" si="67"/>
        <v>-195301.74609144483</v>
      </c>
      <c r="J177" s="1079">
        <f t="shared" si="64"/>
        <v>-86138869.231306687</v>
      </c>
      <c r="K177" s="1065"/>
      <c r="L177" s="1087">
        <f t="shared" si="74"/>
        <v>-501028.77399202558</v>
      </c>
      <c r="M177" s="1082">
        <f t="shared" si="68"/>
        <v>-38138.271892172575</v>
      </c>
      <c r="N177" s="1082">
        <f t="shared" si="69"/>
        <v>-38138.271892172575</v>
      </c>
      <c r="O177" s="1082">
        <f t="shared" si="70"/>
        <v>0</v>
      </c>
      <c r="P177" s="1082">
        <f t="shared" si="65"/>
        <v>0</v>
      </c>
      <c r="Q177" s="1082">
        <f t="shared" si="71"/>
        <v>-95409331.548101351</v>
      </c>
    </row>
    <row r="178" spans="1:17">
      <c r="A178" s="1064">
        <f t="shared" si="50"/>
        <v>170</v>
      </c>
      <c r="B178" s="1084" t="s">
        <v>905</v>
      </c>
      <c r="C178" s="1079">
        <v>31</v>
      </c>
      <c r="D178" s="1085">
        <f t="shared" si="63"/>
        <v>123</v>
      </c>
      <c r="E178" s="1085">
        <f t="shared" si="72"/>
        <v>365</v>
      </c>
      <c r="F178" s="1086">
        <f t="shared" si="66"/>
        <v>0.33698630136986302</v>
      </c>
      <c r="G178" s="1078"/>
      <c r="H178" s="1087">
        <f t="shared" si="73"/>
        <v>-462890.50209985301</v>
      </c>
      <c r="I178" s="1079">
        <f t="shared" si="67"/>
        <v>-155987.75824186829</v>
      </c>
      <c r="J178" s="1079">
        <f t="shared" si="64"/>
        <v>-86294856.989548549</v>
      </c>
      <c r="K178" s="1065"/>
      <c r="L178" s="1087">
        <f t="shared" si="74"/>
        <v>-501028.77399202558</v>
      </c>
      <c r="M178" s="1082">
        <f t="shared" si="68"/>
        <v>-38138.271892172575</v>
      </c>
      <c r="N178" s="1082">
        <f t="shared" si="69"/>
        <v>-38138.271892172575</v>
      </c>
      <c r="O178" s="1082">
        <f t="shared" si="70"/>
        <v>0</v>
      </c>
      <c r="P178" s="1082">
        <f t="shared" si="65"/>
        <v>0</v>
      </c>
      <c r="Q178" s="1082">
        <f t="shared" si="71"/>
        <v>-95603457.578235388</v>
      </c>
    </row>
    <row r="179" spans="1:17">
      <c r="A179" s="1064">
        <f t="shared" si="50"/>
        <v>171</v>
      </c>
      <c r="B179" s="1084" t="s">
        <v>906</v>
      </c>
      <c r="C179" s="1079">
        <v>30</v>
      </c>
      <c r="D179" s="1085">
        <f t="shared" si="63"/>
        <v>93</v>
      </c>
      <c r="E179" s="1085">
        <f t="shared" si="72"/>
        <v>365</v>
      </c>
      <c r="F179" s="1086">
        <f t="shared" si="66"/>
        <v>0.25479452054794521</v>
      </c>
      <c r="G179" s="1078"/>
      <c r="H179" s="1087">
        <f t="shared" si="73"/>
        <v>-462890.50209985301</v>
      </c>
      <c r="I179" s="1079">
        <f t="shared" si="67"/>
        <v>-117941.96354872968</v>
      </c>
      <c r="J179" s="1079">
        <f t="shared" si="64"/>
        <v>-86412798.953097284</v>
      </c>
      <c r="K179" s="1065"/>
      <c r="L179" s="1087">
        <f t="shared" si="74"/>
        <v>-501028.77399202558</v>
      </c>
      <c r="M179" s="1082">
        <f t="shared" si="68"/>
        <v>-38138.271892172575</v>
      </c>
      <c r="N179" s="1082">
        <f t="shared" si="69"/>
        <v>-38138.271892172575</v>
      </c>
      <c r="O179" s="1082">
        <f t="shared" si="70"/>
        <v>0</v>
      </c>
      <c r="P179" s="1082">
        <f t="shared" si="65"/>
        <v>0</v>
      </c>
      <c r="Q179" s="1082">
        <f t="shared" si="71"/>
        <v>-95759537.813676298</v>
      </c>
    </row>
    <row r="180" spans="1:17">
      <c r="A180" s="1064">
        <f t="shared" si="50"/>
        <v>172</v>
      </c>
      <c r="B180" s="1084" t="s">
        <v>907</v>
      </c>
      <c r="C180" s="1079">
        <v>31</v>
      </c>
      <c r="D180" s="1085">
        <f>D181+C181</f>
        <v>62</v>
      </c>
      <c r="E180" s="1085">
        <f t="shared" si="72"/>
        <v>365</v>
      </c>
      <c r="F180" s="1086">
        <f t="shared" si="66"/>
        <v>0.16986301369863013</v>
      </c>
      <c r="G180" s="1078"/>
      <c r="H180" s="1087">
        <f t="shared" si="73"/>
        <v>-462890.50209985301</v>
      </c>
      <c r="I180" s="1079">
        <f t="shared" si="67"/>
        <v>-78627.975699153118</v>
      </c>
      <c r="J180" s="1079">
        <f t="shared" si="64"/>
        <v>-86491426.92879644</v>
      </c>
      <c r="K180" s="1065"/>
      <c r="L180" s="1087">
        <f t="shared" si="74"/>
        <v>-501028.77399202558</v>
      </c>
      <c r="M180" s="1082">
        <f t="shared" si="68"/>
        <v>-38138.271892172575</v>
      </c>
      <c r="N180" s="1082">
        <f t="shared" si="69"/>
        <v>-38138.271892172575</v>
      </c>
      <c r="O180" s="1082">
        <f t="shared" si="70"/>
        <v>0</v>
      </c>
      <c r="P180" s="1082">
        <f t="shared" si="65"/>
        <v>0</v>
      </c>
      <c r="Q180" s="1082">
        <f t="shared" si="71"/>
        <v>-95876304.061267629</v>
      </c>
    </row>
    <row r="181" spans="1:17">
      <c r="A181" s="1064">
        <f t="shared" si="50"/>
        <v>173</v>
      </c>
      <c r="B181" s="1084" t="s">
        <v>908</v>
      </c>
      <c r="C181" s="1079">
        <v>30</v>
      </c>
      <c r="D181" s="1085">
        <f>D182+C182</f>
        <v>32</v>
      </c>
      <c r="E181" s="1085">
        <f t="shared" si="72"/>
        <v>365</v>
      </c>
      <c r="F181" s="1086">
        <f t="shared" si="66"/>
        <v>8.7671232876712329E-2</v>
      </c>
      <c r="G181" s="1078"/>
      <c r="H181" s="1087">
        <f t="shared" si="73"/>
        <v>-462890.50209985301</v>
      </c>
      <c r="I181" s="1079">
        <f t="shared" si="67"/>
        <v>-40582.181006014507</v>
      </c>
      <c r="J181" s="1079">
        <f t="shared" si="64"/>
        <v>-86532009.109802455</v>
      </c>
      <c r="K181" s="1065"/>
      <c r="L181" s="1087">
        <f t="shared" si="74"/>
        <v>-501028.77399202558</v>
      </c>
      <c r="M181" s="1082">
        <f t="shared" si="68"/>
        <v>-38138.271892172575</v>
      </c>
      <c r="N181" s="1082">
        <f t="shared" si="69"/>
        <v>-38138.271892172575</v>
      </c>
      <c r="O181" s="1082">
        <f t="shared" si="70"/>
        <v>0</v>
      </c>
      <c r="P181" s="1082">
        <f t="shared" si="65"/>
        <v>0</v>
      </c>
      <c r="Q181" s="1082">
        <f t="shared" si="71"/>
        <v>-95955024.514165819</v>
      </c>
    </row>
    <row r="182" spans="1:17">
      <c r="A182" s="1064">
        <f t="shared" si="50"/>
        <v>174</v>
      </c>
      <c r="B182" s="1084" t="s">
        <v>909</v>
      </c>
      <c r="C182" s="1079">
        <v>31</v>
      </c>
      <c r="D182" s="1085">
        <v>1</v>
      </c>
      <c r="E182" s="1085">
        <f t="shared" si="72"/>
        <v>365</v>
      </c>
      <c r="F182" s="1086">
        <f t="shared" si="66"/>
        <v>2.7397260273972603E-3</v>
      </c>
      <c r="G182" s="1078"/>
      <c r="H182" s="1087">
        <f t="shared" si="73"/>
        <v>-462890.50209985301</v>
      </c>
      <c r="I182" s="1079">
        <f t="shared" si="67"/>
        <v>-1268.1931564379533</v>
      </c>
      <c r="J182" s="1079">
        <f t="shared" si="64"/>
        <v>-86533277.302958891</v>
      </c>
      <c r="K182" s="1065"/>
      <c r="L182" s="1087">
        <f t="shared" si="74"/>
        <v>-501028.77399202558</v>
      </c>
      <c r="M182" s="1082">
        <f t="shared" si="68"/>
        <v>-38138.271892172575</v>
      </c>
      <c r="N182" s="1082">
        <f t="shared" si="69"/>
        <v>-38138.271892172575</v>
      </c>
      <c r="O182" s="1082">
        <f t="shared" si="70"/>
        <v>0</v>
      </c>
      <c r="P182" s="1082">
        <f t="shared" si="65"/>
        <v>0</v>
      </c>
      <c r="Q182" s="1082">
        <f t="shared" si="71"/>
        <v>-95994430.97921443</v>
      </c>
    </row>
    <row r="183" spans="1:17">
      <c r="A183" s="1064">
        <f t="shared" si="50"/>
        <v>175</v>
      </c>
      <c r="B183" s="1088"/>
      <c r="C183" s="1088" t="s">
        <v>790</v>
      </c>
      <c r="D183" s="1089">
        <f>+SUM(D171:D182)</f>
        <v>2029</v>
      </c>
      <c r="E183" s="1089">
        <f>+SUM(E171:E182)</f>
        <v>4380</v>
      </c>
      <c r="F183" s="1090"/>
      <c r="G183" s="1078"/>
      <c r="H183" s="1091">
        <f>SUM(H171:H182)</f>
        <v>-5554686.0251982361</v>
      </c>
      <c r="I183" s="1091">
        <f>SUM(I171:I182)</f>
        <v>-2573163.9144126074</v>
      </c>
      <c r="J183" s="1090"/>
      <c r="K183" s="1065"/>
      <c r="L183" s="1092">
        <f>SUM(L171:L182)</f>
        <v>-6012345.2879043063</v>
      </c>
      <c r="M183" s="1092">
        <f>SUM(M171:M182)</f>
        <v>-457659.26270607091</v>
      </c>
      <c r="N183" s="1092">
        <f>SUM(N171:N182)</f>
        <v>-457659.26270607091</v>
      </c>
      <c r="O183" s="1092">
        <f>SUM(O171:O182)</f>
        <v>0</v>
      </c>
      <c r="P183" s="1092">
        <f>SUM(P171:P182)</f>
        <v>0</v>
      </c>
      <c r="Q183" s="1092"/>
    </row>
    <row r="184" spans="1:17">
      <c r="A184" s="1064">
        <f t="shared" si="50"/>
        <v>176</v>
      </c>
      <c r="B184" s="1094"/>
      <c r="C184" s="1094"/>
      <c r="D184" s="1095"/>
      <c r="E184" s="1095"/>
      <c r="F184" s="1096"/>
      <c r="G184" s="1078"/>
      <c r="H184" s="1079"/>
      <c r="I184" s="1079"/>
      <c r="J184" s="1096"/>
      <c r="K184" s="1065"/>
      <c r="L184" s="1098"/>
      <c r="M184" s="1098"/>
      <c r="N184" s="1098"/>
      <c r="O184" s="1098"/>
      <c r="P184" s="1098"/>
      <c r="Q184" s="1098"/>
    </row>
    <row r="185" spans="1:17">
      <c r="A185" s="1064">
        <f t="shared" si="50"/>
        <v>177</v>
      </c>
      <c r="B185" s="1065" t="s">
        <v>1682</v>
      </c>
      <c r="C185" s="1094"/>
      <c r="D185" s="1095"/>
      <c r="E185" s="1099">
        <f>1-(D183/E183)</f>
        <v>0.53675799086757991</v>
      </c>
      <c r="F185" s="1096"/>
      <c r="G185" s="1078"/>
      <c r="H185" s="1079"/>
      <c r="I185" s="1079"/>
      <c r="J185" s="1096"/>
      <c r="K185" s="1065"/>
      <c r="L185" s="1098"/>
      <c r="M185" s="1098"/>
      <c r="N185" s="1098"/>
      <c r="O185" s="1098"/>
      <c r="P185" s="1098"/>
      <c r="Q185" s="1098"/>
    </row>
    <row r="186" spans="1:17">
      <c r="A186" s="1064">
        <f t="shared" si="50"/>
        <v>178</v>
      </c>
      <c r="B186" s="1094"/>
      <c r="C186" s="1094"/>
      <c r="D186" s="1094"/>
      <c r="E186" s="1094"/>
      <c r="F186" s="1096"/>
      <c r="G186" s="1096"/>
      <c r="H186" s="1101"/>
      <c r="I186" s="1102"/>
      <c r="J186" s="1096"/>
      <c r="K186" s="1065"/>
      <c r="L186" s="1065"/>
      <c r="M186" s="1065"/>
      <c r="N186" s="1065"/>
      <c r="O186" s="1065"/>
      <c r="P186" s="1065"/>
      <c r="Q186" s="1065"/>
    </row>
    <row r="187" spans="1:17">
      <c r="A187" s="1064">
        <f t="shared" si="50"/>
        <v>179</v>
      </c>
      <c r="B187" s="1100"/>
      <c r="C187" s="1094"/>
      <c r="D187" s="1065"/>
      <c r="E187" s="1094"/>
      <c r="F187" s="1065"/>
      <c r="G187" s="1096"/>
      <c r="H187" s="1101"/>
      <c r="I187" s="1102"/>
      <c r="J187" s="1095"/>
      <c r="K187" s="1065"/>
      <c r="L187" s="1065"/>
      <c r="M187" s="1065"/>
      <c r="N187" s="1065"/>
      <c r="O187" s="1065"/>
      <c r="P187" s="1065"/>
      <c r="Q187" s="1095"/>
    </row>
    <row r="188" spans="1:17" customFormat="1">
      <c r="A188" s="1064">
        <f t="shared" si="50"/>
        <v>180</v>
      </c>
      <c r="B188" s="1103" t="s">
        <v>1683</v>
      </c>
      <c r="C188" s="1103"/>
      <c r="D188" s="1103"/>
      <c r="E188" s="1103"/>
      <c r="F188" s="1104" t="str">
        <f>"(Line "&amp;A170&amp;", Col H)"</f>
        <v>(Line 162, Col H)</v>
      </c>
      <c r="G188" s="1105"/>
      <c r="H188" s="1103"/>
      <c r="I188" s="1105"/>
      <c r="J188" s="1082">
        <f>J170</f>
        <v>-83960113.388546288</v>
      </c>
      <c r="K188" s="1103"/>
      <c r="L188" s="1103"/>
      <c r="M188" s="1103"/>
      <c r="N188" s="1104" t="str">
        <f>"(Line "&amp;A170&amp;", Col N)"</f>
        <v>(Line 162, Col N)</v>
      </c>
      <c r="O188" s="1103"/>
      <c r="P188" s="1103"/>
      <c r="Q188" s="1082">
        <f>Q170</f>
        <v>-92963607.802095726</v>
      </c>
    </row>
    <row r="189" spans="1:17" customFormat="1">
      <c r="A189" s="1064">
        <f t="shared" si="50"/>
        <v>181</v>
      </c>
      <c r="B189" s="1103" t="s">
        <v>1684</v>
      </c>
      <c r="C189" s="1103"/>
      <c r="D189" s="1103"/>
      <c r="E189" s="1103"/>
      <c r="F189" s="1104" t="str">
        <f>"(Line "&amp;A182&amp;", Col H)"</f>
        <v>(Line 174, Col H)</v>
      </c>
      <c r="G189" s="1105"/>
      <c r="H189" s="1103"/>
      <c r="I189" s="1105"/>
      <c r="J189" s="1079">
        <f>J182</f>
        <v>-86533277.302958891</v>
      </c>
      <c r="K189" s="1103"/>
      <c r="L189" s="1106"/>
      <c r="M189" s="1103"/>
      <c r="N189" s="1104" t="str">
        <f>"(Line "&amp;A182&amp;", Col N)"</f>
        <v>(Line 174, Col N)</v>
      </c>
      <c r="O189" s="1103"/>
      <c r="P189" s="1103"/>
      <c r="Q189" s="1079">
        <f>Q182</f>
        <v>-95994430.97921443</v>
      </c>
    </row>
    <row r="190" spans="1:17" customFormat="1">
      <c r="A190" s="1064">
        <f t="shared" si="50"/>
        <v>182</v>
      </c>
      <c r="B190" s="1103" t="s">
        <v>1685</v>
      </c>
      <c r="C190" s="1103"/>
      <c r="D190" s="1103"/>
      <c r="E190" s="1103"/>
      <c r="F190" s="1103" t="str">
        <f>"(Average of Line "&amp;A188&amp;" &amp; Line "&amp;A189&amp;")"</f>
        <v>(Average of Line 180 &amp; Line 181)</v>
      </c>
      <c r="G190" s="1105"/>
      <c r="H190" s="1103"/>
      <c r="I190" s="1107"/>
      <c r="J190" s="1108">
        <f>(J188+J189)/2</f>
        <v>-85246695.345752597</v>
      </c>
      <c r="K190" s="1103"/>
      <c r="L190" s="1109"/>
      <c r="M190" s="1103"/>
      <c r="N190" s="1103" t="str">
        <f>"(Average of Line "&amp;A188&amp;" &amp; Line "&amp;A189&amp;")"</f>
        <v>(Average of Line 180 &amp; Line 181)</v>
      </c>
      <c r="O190" s="1103"/>
      <c r="P190" s="1103"/>
      <c r="Q190" s="1108">
        <f>(Q188+Q189)/2</f>
        <v>-94479019.390655071</v>
      </c>
    </row>
    <row r="191" spans="1:17" customFormat="1" ht="13.5" customHeight="1">
      <c r="A191" s="1064">
        <f t="shared" si="50"/>
        <v>183</v>
      </c>
      <c r="B191" s="1103" t="s">
        <v>1686</v>
      </c>
      <c r="C191" s="1103"/>
      <c r="D191" s="1103"/>
      <c r="E191" s="1103"/>
      <c r="F191" s="1103" t="s">
        <v>1805</v>
      </c>
      <c r="G191" s="1103"/>
      <c r="H191" s="1103"/>
      <c r="I191" s="1103"/>
      <c r="J191" s="1110">
        <f>AVERAGE(J170, (SUM(H171:H182)+J170))</f>
        <v>-86737456.401145399</v>
      </c>
      <c r="K191" s="1103"/>
      <c r="L191" s="1103"/>
      <c r="M191" s="1103"/>
      <c r="N191" s="1103" t="s">
        <v>1805</v>
      </c>
      <c r="O191" s="1103"/>
      <c r="P191" s="1103"/>
      <c r="Q191" s="1110">
        <f>AVERAGE(Q170, (SUM(L171:L182)+Q170))</f>
        <v>-95969780.446047872</v>
      </c>
    </row>
    <row r="192" spans="1:17" customFormat="1" ht="13.5" customHeight="1">
      <c r="A192" s="1064">
        <f t="shared" si="50"/>
        <v>184</v>
      </c>
      <c r="B192" s="1103" t="s">
        <v>1687</v>
      </c>
      <c r="C192" s="1103"/>
      <c r="D192" s="1103"/>
      <c r="E192" s="1103"/>
      <c r="F192" s="1103"/>
      <c r="G192" s="1103"/>
      <c r="H192" s="1103"/>
      <c r="I192" s="1103"/>
      <c r="J192" s="1106">
        <f>J190-J191</f>
        <v>1490761.0553928018</v>
      </c>
      <c r="K192" s="1103"/>
      <c r="L192" s="1103"/>
      <c r="M192" s="1103"/>
      <c r="N192" s="1103"/>
      <c r="O192" s="1103"/>
      <c r="P192" s="1103"/>
      <c r="Q192" s="1106">
        <f>Q190-Q191</f>
        <v>1490761.0553928018</v>
      </c>
    </row>
    <row r="193" spans="1:18">
      <c r="A193" s="1064">
        <f t="shared" si="50"/>
        <v>185</v>
      </c>
      <c r="B193" s="1111"/>
      <c r="C193" s="1111"/>
      <c r="D193" s="1111"/>
      <c r="E193" s="1111"/>
      <c r="F193" s="1111"/>
      <c r="G193" s="1111"/>
      <c r="H193" s="1111"/>
      <c r="I193" s="1111"/>
      <c r="J193" s="1111"/>
      <c r="K193" s="1065"/>
      <c r="L193" s="1065"/>
      <c r="M193" s="1065"/>
      <c r="N193" s="1065"/>
      <c r="O193" s="1065"/>
      <c r="P193" s="1065"/>
      <c r="Q193" s="1111"/>
    </row>
    <row r="194" spans="1:18">
      <c r="A194" s="1064">
        <f t="shared" si="50"/>
        <v>186</v>
      </c>
      <c r="B194" s="1111"/>
      <c r="C194" s="1111"/>
      <c r="D194" s="1111"/>
      <c r="E194" s="1111"/>
      <c r="F194" s="1111"/>
      <c r="G194" s="1111"/>
      <c r="H194" s="1111"/>
      <c r="I194" s="1111"/>
      <c r="J194" s="1111"/>
      <c r="K194" s="1065"/>
      <c r="L194" s="1065"/>
      <c r="M194" s="1065"/>
      <c r="N194" s="1065"/>
      <c r="O194" s="1065"/>
      <c r="P194" s="1065"/>
      <c r="Q194" s="1111"/>
    </row>
    <row r="195" spans="1:18">
      <c r="A195" s="1064">
        <f t="shared" si="50"/>
        <v>187</v>
      </c>
      <c r="B195" s="1270" t="s">
        <v>1690</v>
      </c>
      <c r="C195" s="1270"/>
      <c r="D195" s="1270"/>
      <c r="E195" s="1270"/>
      <c r="F195" s="1065"/>
      <c r="G195" s="1065"/>
      <c r="H195" s="1112"/>
      <c r="I195" s="1112"/>
      <c r="J195" s="1112"/>
      <c r="K195" s="1065"/>
      <c r="L195" s="1113"/>
      <c r="M195" s="1114"/>
      <c r="N195" s="1114"/>
      <c r="O195" s="1114"/>
      <c r="P195" s="1114"/>
      <c r="Q195" s="1114"/>
      <c r="R195" s="1070"/>
    </row>
    <row r="196" spans="1:18">
      <c r="A196" s="1064">
        <f t="shared" si="50"/>
        <v>188</v>
      </c>
      <c r="B196" s="1262" t="s">
        <v>988</v>
      </c>
      <c r="C196" s="1262"/>
      <c r="D196" s="1262"/>
      <c r="E196" s="1262"/>
      <c r="F196" s="1065"/>
      <c r="G196" s="1065"/>
      <c r="H196" s="1112"/>
      <c r="I196" s="1112"/>
      <c r="J196" s="1112"/>
      <c r="K196" s="1065"/>
      <c r="L196" s="1113"/>
      <c r="M196" s="1114"/>
      <c r="N196" s="1114"/>
      <c r="O196" s="1114"/>
      <c r="P196" s="1114"/>
      <c r="Q196" s="1114"/>
      <c r="R196" s="1070"/>
    </row>
    <row r="197" spans="1:18">
      <c r="A197" s="1064">
        <f t="shared" si="50"/>
        <v>189</v>
      </c>
      <c r="B197" s="1263" t="s">
        <v>1666</v>
      </c>
      <c r="C197" s="1264"/>
      <c r="D197" s="1264"/>
      <c r="E197" s="1264"/>
      <c r="F197" s="1265"/>
      <c r="G197" s="1071"/>
      <c r="H197" s="1266" t="s">
        <v>1667</v>
      </c>
      <c r="I197" s="1267"/>
      <c r="J197" s="1268"/>
      <c r="K197" s="1065"/>
      <c r="L197" s="1266" t="s">
        <v>1668</v>
      </c>
      <c r="M197" s="1267"/>
      <c r="N197" s="1267"/>
      <c r="O197" s="1267"/>
      <c r="P197" s="1267"/>
      <c r="Q197" s="1267"/>
    </row>
    <row r="198" spans="1:18">
      <c r="A198" s="1064">
        <f t="shared" si="50"/>
        <v>190</v>
      </c>
      <c r="B198" s="1072" t="s">
        <v>824</v>
      </c>
      <c r="C198" s="1072" t="s">
        <v>825</v>
      </c>
      <c r="D198" s="1072" t="s">
        <v>826</v>
      </c>
      <c r="E198" s="1072" t="s">
        <v>827</v>
      </c>
      <c r="F198" s="1072" t="s">
        <v>828</v>
      </c>
      <c r="G198" s="1071"/>
      <c r="H198" s="1072" t="s">
        <v>829</v>
      </c>
      <c r="I198" s="1072" t="s">
        <v>830</v>
      </c>
      <c r="J198" s="1072" t="s">
        <v>831</v>
      </c>
      <c r="K198" s="1065"/>
      <c r="L198" s="1072" t="s">
        <v>832</v>
      </c>
      <c r="M198" s="1072" t="s">
        <v>833</v>
      </c>
      <c r="N198" s="1072" t="s">
        <v>834</v>
      </c>
      <c r="O198" s="1072" t="s">
        <v>835</v>
      </c>
      <c r="P198" s="1072" t="s">
        <v>837</v>
      </c>
      <c r="Q198" s="1072" t="s">
        <v>836</v>
      </c>
    </row>
    <row r="199" spans="1:18" ht="45">
      <c r="A199" s="1064">
        <f t="shared" si="50"/>
        <v>191</v>
      </c>
      <c r="B199" s="1074" t="s">
        <v>1342</v>
      </c>
      <c r="C199" s="1074" t="s">
        <v>1577</v>
      </c>
      <c r="D199" s="1074" t="s">
        <v>1669</v>
      </c>
      <c r="E199" s="1074" t="s">
        <v>1670</v>
      </c>
      <c r="F199" s="1074" t="s">
        <v>1671</v>
      </c>
      <c r="G199" s="1075"/>
      <c r="H199" s="1074" t="s">
        <v>1672</v>
      </c>
      <c r="I199" s="1074" t="s">
        <v>1673</v>
      </c>
      <c r="J199" s="1074" t="s">
        <v>1674</v>
      </c>
      <c r="K199" s="1065"/>
      <c r="L199" s="1074" t="s">
        <v>1675</v>
      </c>
      <c r="M199" s="1074" t="s">
        <v>1676</v>
      </c>
      <c r="N199" s="1074" t="s">
        <v>1677</v>
      </c>
      <c r="O199" s="1074" t="s">
        <v>1678</v>
      </c>
      <c r="P199" s="1074" t="s">
        <v>1679</v>
      </c>
      <c r="Q199" s="1074" t="s">
        <v>1680</v>
      </c>
    </row>
    <row r="200" spans="1:18">
      <c r="A200" s="1064">
        <f t="shared" si="50"/>
        <v>192</v>
      </c>
      <c r="B200" s="1065"/>
      <c r="C200" s="1075"/>
      <c r="D200" s="1075"/>
      <c r="E200" s="1075"/>
      <c r="F200" s="1075"/>
      <c r="G200" s="1075"/>
      <c r="H200" s="1075"/>
      <c r="I200" s="1075"/>
      <c r="J200" s="1075"/>
      <c r="K200" s="1065"/>
      <c r="L200" s="1065"/>
      <c r="M200" s="1065"/>
      <c r="N200" s="1065"/>
      <c r="O200" s="1065"/>
      <c r="P200" s="1065"/>
      <c r="Q200" s="1065"/>
    </row>
    <row r="201" spans="1:18">
      <c r="A201" s="1064">
        <f t="shared" si="50"/>
        <v>193</v>
      </c>
      <c r="B201" s="1269" t="s">
        <v>1681</v>
      </c>
      <c r="C201" s="1269"/>
      <c r="D201" s="1269"/>
      <c r="E201" s="1269"/>
      <c r="F201" s="1078"/>
      <c r="G201" s="1078"/>
      <c r="H201" s="1079"/>
      <c r="I201" s="1079"/>
      <c r="J201" s="1080">
        <f>'WP_B-2'!C50</f>
        <v>-1223428.46</v>
      </c>
      <c r="K201" s="1081"/>
      <c r="L201" s="1079"/>
      <c r="M201" s="1082"/>
      <c r="N201" s="1082"/>
      <c r="O201" s="1082"/>
      <c r="P201" s="1082"/>
      <c r="Q201" s="1080">
        <f>'WP_B-2'!C155</f>
        <v>-1224758.3729711985</v>
      </c>
    </row>
    <row r="202" spans="1:18">
      <c r="A202" s="1064">
        <f t="shared" si="50"/>
        <v>194</v>
      </c>
      <c r="B202" s="1084" t="s">
        <v>950</v>
      </c>
      <c r="C202" s="1079">
        <v>31</v>
      </c>
      <c r="D202" s="1085">
        <f t="shared" ref="D202:D210" si="75">D203+C203</f>
        <v>335</v>
      </c>
      <c r="E202" s="1085">
        <f>SUM(C202:C213)</f>
        <v>365</v>
      </c>
      <c r="F202" s="1086">
        <f>D202/E202</f>
        <v>0.9178082191780822</v>
      </c>
      <c r="G202" s="1078"/>
      <c r="H202" s="1087">
        <f>('WP_B-2'!D50-'WP_B-2'!C50)/12</f>
        <v>7932.8858333333437</v>
      </c>
      <c r="I202" s="1079">
        <f>+H202*F202</f>
        <v>7280.8678196347128</v>
      </c>
      <c r="J202" s="1079">
        <f t="shared" ref="J202:J213" si="76">+I202+J201</f>
        <v>-1216147.5921803652</v>
      </c>
      <c r="K202" s="1065"/>
      <c r="L202" s="1087">
        <f>('WP_B-2'!D155-'WP_B-2'!C155)/12</f>
        <v>7979.3432600498782</v>
      </c>
      <c r="M202" s="1082">
        <f>L202-H202</f>
        <v>46.457426716534428</v>
      </c>
      <c r="N202" s="1082">
        <f>IF(M202&lt;=0,+M202,0)</f>
        <v>0</v>
      </c>
      <c r="O202" s="1082">
        <f>IF(N202&lt;0,0,IF(L202&gt;0,0,(-(M202)*(D202/E202))))</f>
        <v>0</v>
      </c>
      <c r="P202" s="1082">
        <f t="shared" ref="P202:P213" si="77">IF(L202&gt;0,L202,0)</f>
        <v>7979.3432600498782</v>
      </c>
      <c r="Q202" s="1082">
        <f>IF(L202&gt;0,Q201+P202,Q201+I202+N202-O202)</f>
        <v>-1216779.0297111487</v>
      </c>
    </row>
    <row r="203" spans="1:18">
      <c r="A203" s="1064">
        <f t="shared" ref="A203:A266" si="78">+A202+1</f>
        <v>195</v>
      </c>
      <c r="B203" s="1084" t="s">
        <v>899</v>
      </c>
      <c r="C203" s="1087">
        <v>28</v>
      </c>
      <c r="D203" s="1085">
        <f t="shared" si="75"/>
        <v>307</v>
      </c>
      <c r="E203" s="1085">
        <f>E202</f>
        <v>365</v>
      </c>
      <c r="F203" s="1086">
        <f t="shared" ref="F203:F213" si="79">D203/E203</f>
        <v>0.84109589041095889</v>
      </c>
      <c r="G203" s="1078"/>
      <c r="H203" s="1087">
        <f>$H$202</f>
        <v>7932.8858333333437</v>
      </c>
      <c r="I203" s="1079">
        <f t="shared" ref="I203:I213" si="80">+H203*F203</f>
        <v>6672.3176735159905</v>
      </c>
      <c r="J203" s="1079">
        <f t="shared" si="76"/>
        <v>-1209475.2745068492</v>
      </c>
      <c r="K203" s="1065"/>
      <c r="L203" s="1087">
        <f>$L$202</f>
        <v>7979.3432600498782</v>
      </c>
      <c r="M203" s="1082">
        <f t="shared" ref="M203:M213" si="81">L203-H203</f>
        <v>46.457426716534428</v>
      </c>
      <c r="N203" s="1082">
        <f t="shared" ref="N203:N213" si="82">IF(M203&lt;=0,+M203,0)</f>
        <v>0</v>
      </c>
      <c r="O203" s="1082">
        <f t="shared" ref="O203:O213" si="83">IF(N203&lt;0,0,IF(L203&gt;0,0,(-(M203)*(D203/E203))))</f>
        <v>0</v>
      </c>
      <c r="P203" s="1082">
        <f t="shared" si="77"/>
        <v>7979.3432600498782</v>
      </c>
      <c r="Q203" s="1082">
        <f t="shared" ref="Q203:Q213" si="84">IF(L203&gt;0,Q202+P203,Q202+I203+N203-O203)</f>
        <v>-1208799.6864510989</v>
      </c>
    </row>
    <row r="204" spans="1:18">
      <c r="A204" s="1064">
        <f t="shared" si="78"/>
        <v>196</v>
      </c>
      <c r="B204" s="1084" t="s">
        <v>900</v>
      </c>
      <c r="C204" s="1079">
        <v>31</v>
      </c>
      <c r="D204" s="1085">
        <f t="shared" si="75"/>
        <v>276</v>
      </c>
      <c r="E204" s="1085">
        <f t="shared" ref="E204:E213" si="85">E203</f>
        <v>365</v>
      </c>
      <c r="F204" s="1086">
        <f t="shared" si="79"/>
        <v>0.75616438356164384</v>
      </c>
      <c r="G204" s="1078"/>
      <c r="H204" s="1087">
        <f t="shared" ref="H204:H213" si="86">$H$202</f>
        <v>7932.8858333333437</v>
      </c>
      <c r="I204" s="1079">
        <f t="shared" si="80"/>
        <v>5998.5657260274047</v>
      </c>
      <c r="J204" s="1079">
        <f t="shared" si="76"/>
        <v>-1203476.7087808219</v>
      </c>
      <c r="K204" s="1065"/>
      <c r="L204" s="1087">
        <f t="shared" ref="L204:L213" si="87">$L$202</f>
        <v>7979.3432600498782</v>
      </c>
      <c r="M204" s="1082">
        <f t="shared" si="81"/>
        <v>46.457426716534428</v>
      </c>
      <c r="N204" s="1082">
        <f t="shared" si="82"/>
        <v>0</v>
      </c>
      <c r="O204" s="1082">
        <f t="shared" si="83"/>
        <v>0</v>
      </c>
      <c r="P204" s="1082">
        <f t="shared" si="77"/>
        <v>7979.3432600498782</v>
      </c>
      <c r="Q204" s="1082">
        <f t="shared" si="84"/>
        <v>-1200820.3431910491</v>
      </c>
    </row>
    <row r="205" spans="1:18">
      <c r="A205" s="1064">
        <f t="shared" si="78"/>
        <v>197</v>
      </c>
      <c r="B205" s="1084" t="s">
        <v>901</v>
      </c>
      <c r="C205" s="1079">
        <v>30</v>
      </c>
      <c r="D205" s="1085">
        <f t="shared" si="75"/>
        <v>246</v>
      </c>
      <c r="E205" s="1085">
        <f t="shared" si="85"/>
        <v>365</v>
      </c>
      <c r="F205" s="1086">
        <f t="shared" si="79"/>
        <v>0.67397260273972603</v>
      </c>
      <c r="G205" s="1078"/>
      <c r="H205" s="1087">
        <f t="shared" si="86"/>
        <v>7932.8858333333437</v>
      </c>
      <c r="I205" s="1079">
        <f t="shared" si="80"/>
        <v>5346.5477123287737</v>
      </c>
      <c r="J205" s="1079">
        <f t="shared" si="76"/>
        <v>-1198130.161068493</v>
      </c>
      <c r="K205" s="1065"/>
      <c r="L205" s="1087">
        <f t="shared" si="87"/>
        <v>7979.3432600498782</v>
      </c>
      <c r="M205" s="1082">
        <f t="shared" si="81"/>
        <v>46.457426716534428</v>
      </c>
      <c r="N205" s="1082">
        <f t="shared" si="82"/>
        <v>0</v>
      </c>
      <c r="O205" s="1082">
        <f t="shared" si="83"/>
        <v>0</v>
      </c>
      <c r="P205" s="1082">
        <f t="shared" si="77"/>
        <v>7979.3432600498782</v>
      </c>
      <c r="Q205" s="1082">
        <f t="shared" si="84"/>
        <v>-1192840.9999309992</v>
      </c>
    </row>
    <row r="206" spans="1:18">
      <c r="A206" s="1064">
        <f t="shared" si="78"/>
        <v>198</v>
      </c>
      <c r="B206" s="1084" t="s">
        <v>902</v>
      </c>
      <c r="C206" s="1079">
        <v>31</v>
      </c>
      <c r="D206" s="1085">
        <f t="shared" si="75"/>
        <v>215</v>
      </c>
      <c r="E206" s="1085">
        <f t="shared" si="85"/>
        <v>365</v>
      </c>
      <c r="F206" s="1086">
        <f t="shared" si="79"/>
        <v>0.58904109589041098</v>
      </c>
      <c r="G206" s="1078"/>
      <c r="H206" s="1087">
        <f t="shared" si="86"/>
        <v>7932.8858333333437</v>
      </c>
      <c r="I206" s="1079">
        <f t="shared" si="80"/>
        <v>4672.7957648401889</v>
      </c>
      <c r="J206" s="1079">
        <f t="shared" si="76"/>
        <v>-1193457.3653036528</v>
      </c>
      <c r="K206" s="1065"/>
      <c r="L206" s="1087">
        <f t="shared" si="87"/>
        <v>7979.3432600498782</v>
      </c>
      <c r="M206" s="1082">
        <f t="shared" si="81"/>
        <v>46.457426716534428</v>
      </c>
      <c r="N206" s="1082">
        <f t="shared" si="82"/>
        <v>0</v>
      </c>
      <c r="O206" s="1082">
        <f t="shared" si="83"/>
        <v>0</v>
      </c>
      <c r="P206" s="1082">
        <f t="shared" si="77"/>
        <v>7979.3432600498782</v>
      </c>
      <c r="Q206" s="1082">
        <f t="shared" si="84"/>
        <v>-1184861.6566709494</v>
      </c>
    </row>
    <row r="207" spans="1:18">
      <c r="A207" s="1064">
        <f t="shared" si="78"/>
        <v>199</v>
      </c>
      <c r="B207" s="1084" t="s">
        <v>903</v>
      </c>
      <c r="C207" s="1079">
        <v>30</v>
      </c>
      <c r="D207" s="1085">
        <f t="shared" si="75"/>
        <v>185</v>
      </c>
      <c r="E207" s="1085">
        <f t="shared" si="85"/>
        <v>365</v>
      </c>
      <c r="F207" s="1086">
        <f t="shared" si="79"/>
        <v>0.50684931506849318</v>
      </c>
      <c r="G207" s="1078"/>
      <c r="H207" s="1087">
        <f t="shared" si="86"/>
        <v>7932.8858333333437</v>
      </c>
      <c r="I207" s="1079">
        <f t="shared" si="80"/>
        <v>4020.7777511415579</v>
      </c>
      <c r="J207" s="1079">
        <f t="shared" si="76"/>
        <v>-1189436.5875525114</v>
      </c>
      <c r="K207" s="1065"/>
      <c r="L207" s="1087">
        <f t="shared" si="87"/>
        <v>7979.3432600498782</v>
      </c>
      <c r="M207" s="1082">
        <f t="shared" si="81"/>
        <v>46.457426716534428</v>
      </c>
      <c r="N207" s="1082">
        <f t="shared" si="82"/>
        <v>0</v>
      </c>
      <c r="O207" s="1082">
        <f t="shared" si="83"/>
        <v>0</v>
      </c>
      <c r="P207" s="1082">
        <f t="shared" si="77"/>
        <v>7979.3432600498782</v>
      </c>
      <c r="Q207" s="1082">
        <f t="shared" si="84"/>
        <v>-1176882.3134108996</v>
      </c>
    </row>
    <row r="208" spans="1:18">
      <c r="A208" s="1064">
        <f t="shared" si="78"/>
        <v>200</v>
      </c>
      <c r="B208" s="1084" t="s">
        <v>904</v>
      </c>
      <c r="C208" s="1079">
        <v>31</v>
      </c>
      <c r="D208" s="1085">
        <f t="shared" si="75"/>
        <v>154</v>
      </c>
      <c r="E208" s="1085">
        <f t="shared" si="85"/>
        <v>365</v>
      </c>
      <c r="F208" s="1086">
        <f t="shared" si="79"/>
        <v>0.42191780821917807</v>
      </c>
      <c r="G208" s="1078"/>
      <c r="H208" s="1087">
        <f t="shared" si="86"/>
        <v>7932.8858333333437</v>
      </c>
      <c r="I208" s="1079">
        <f t="shared" si="80"/>
        <v>3347.0258036529722</v>
      </c>
      <c r="J208" s="1079">
        <f t="shared" si="76"/>
        <v>-1186089.5617488583</v>
      </c>
      <c r="K208" s="1065"/>
      <c r="L208" s="1087">
        <f t="shared" si="87"/>
        <v>7979.3432600498782</v>
      </c>
      <c r="M208" s="1082">
        <f t="shared" si="81"/>
        <v>46.457426716534428</v>
      </c>
      <c r="N208" s="1082">
        <f t="shared" si="82"/>
        <v>0</v>
      </c>
      <c r="O208" s="1082">
        <f t="shared" si="83"/>
        <v>0</v>
      </c>
      <c r="P208" s="1082">
        <f t="shared" si="77"/>
        <v>7979.3432600498782</v>
      </c>
      <c r="Q208" s="1082">
        <f t="shared" si="84"/>
        <v>-1168902.9701508498</v>
      </c>
    </row>
    <row r="209" spans="1:17">
      <c r="A209" s="1064">
        <f t="shared" si="78"/>
        <v>201</v>
      </c>
      <c r="B209" s="1084" t="s">
        <v>905</v>
      </c>
      <c r="C209" s="1079">
        <v>31</v>
      </c>
      <c r="D209" s="1085">
        <f t="shared" si="75"/>
        <v>123</v>
      </c>
      <c r="E209" s="1085">
        <f t="shared" si="85"/>
        <v>365</v>
      </c>
      <c r="F209" s="1086">
        <f t="shared" si="79"/>
        <v>0.33698630136986302</v>
      </c>
      <c r="G209" s="1078"/>
      <c r="H209" s="1087">
        <f t="shared" si="86"/>
        <v>7932.8858333333437</v>
      </c>
      <c r="I209" s="1079">
        <f t="shared" si="80"/>
        <v>2673.2738561643869</v>
      </c>
      <c r="J209" s="1079">
        <f t="shared" si="76"/>
        <v>-1183416.2878926939</v>
      </c>
      <c r="K209" s="1065"/>
      <c r="L209" s="1087">
        <f t="shared" si="87"/>
        <v>7979.3432600498782</v>
      </c>
      <c r="M209" s="1082">
        <f t="shared" si="81"/>
        <v>46.457426716534428</v>
      </c>
      <c r="N209" s="1082">
        <f t="shared" si="82"/>
        <v>0</v>
      </c>
      <c r="O209" s="1082">
        <f t="shared" si="83"/>
        <v>0</v>
      </c>
      <c r="P209" s="1082">
        <f t="shared" si="77"/>
        <v>7979.3432600498782</v>
      </c>
      <c r="Q209" s="1082">
        <f t="shared" si="84"/>
        <v>-1160923.6268908</v>
      </c>
    </row>
    <row r="210" spans="1:17">
      <c r="A210" s="1064">
        <f t="shared" si="78"/>
        <v>202</v>
      </c>
      <c r="B210" s="1084" t="s">
        <v>906</v>
      </c>
      <c r="C210" s="1079">
        <v>30</v>
      </c>
      <c r="D210" s="1085">
        <f t="shared" si="75"/>
        <v>93</v>
      </c>
      <c r="E210" s="1085">
        <f t="shared" si="85"/>
        <v>365</v>
      </c>
      <c r="F210" s="1086">
        <f t="shared" si="79"/>
        <v>0.25479452054794521</v>
      </c>
      <c r="G210" s="1078"/>
      <c r="H210" s="1087">
        <f t="shared" si="86"/>
        <v>7932.8858333333437</v>
      </c>
      <c r="I210" s="1079">
        <f t="shared" si="80"/>
        <v>2021.2558424657561</v>
      </c>
      <c r="J210" s="1079">
        <f t="shared" si="76"/>
        <v>-1181395.0320502282</v>
      </c>
      <c r="K210" s="1065"/>
      <c r="L210" s="1087">
        <f t="shared" si="87"/>
        <v>7979.3432600498782</v>
      </c>
      <c r="M210" s="1082">
        <f t="shared" si="81"/>
        <v>46.457426716534428</v>
      </c>
      <c r="N210" s="1082">
        <f t="shared" si="82"/>
        <v>0</v>
      </c>
      <c r="O210" s="1082">
        <f t="shared" si="83"/>
        <v>0</v>
      </c>
      <c r="P210" s="1082">
        <f t="shared" si="77"/>
        <v>7979.3432600498782</v>
      </c>
      <c r="Q210" s="1082">
        <f t="shared" si="84"/>
        <v>-1152944.2836307501</v>
      </c>
    </row>
    <row r="211" spans="1:17">
      <c r="A211" s="1064">
        <f t="shared" si="78"/>
        <v>203</v>
      </c>
      <c r="B211" s="1084" t="s">
        <v>907</v>
      </c>
      <c r="C211" s="1079">
        <v>31</v>
      </c>
      <c r="D211" s="1085">
        <f>D212+C212</f>
        <v>62</v>
      </c>
      <c r="E211" s="1085">
        <f t="shared" si="85"/>
        <v>365</v>
      </c>
      <c r="F211" s="1086">
        <f t="shared" si="79"/>
        <v>0.16986301369863013</v>
      </c>
      <c r="G211" s="1078"/>
      <c r="H211" s="1087">
        <f t="shared" si="86"/>
        <v>7932.8858333333437</v>
      </c>
      <c r="I211" s="1079">
        <f t="shared" si="80"/>
        <v>1347.5038949771706</v>
      </c>
      <c r="J211" s="1079">
        <f t="shared" si="76"/>
        <v>-1180047.5281552509</v>
      </c>
      <c r="K211" s="1065"/>
      <c r="L211" s="1087">
        <f t="shared" si="87"/>
        <v>7979.3432600498782</v>
      </c>
      <c r="M211" s="1082">
        <f t="shared" si="81"/>
        <v>46.457426716534428</v>
      </c>
      <c r="N211" s="1082">
        <f t="shared" si="82"/>
        <v>0</v>
      </c>
      <c r="O211" s="1082">
        <f t="shared" si="83"/>
        <v>0</v>
      </c>
      <c r="P211" s="1082">
        <f t="shared" si="77"/>
        <v>7979.3432600498782</v>
      </c>
      <c r="Q211" s="1082">
        <f t="shared" si="84"/>
        <v>-1144964.9403707003</v>
      </c>
    </row>
    <row r="212" spans="1:17">
      <c r="A212" s="1064">
        <f t="shared" si="78"/>
        <v>204</v>
      </c>
      <c r="B212" s="1084" t="s">
        <v>908</v>
      </c>
      <c r="C212" s="1079">
        <v>30</v>
      </c>
      <c r="D212" s="1085">
        <f>D213+C213</f>
        <v>32</v>
      </c>
      <c r="E212" s="1085">
        <f t="shared" si="85"/>
        <v>365</v>
      </c>
      <c r="F212" s="1086">
        <f t="shared" si="79"/>
        <v>8.7671232876712329E-2</v>
      </c>
      <c r="G212" s="1078"/>
      <c r="H212" s="1087">
        <f t="shared" si="86"/>
        <v>7932.8858333333437</v>
      </c>
      <c r="I212" s="1079">
        <f t="shared" si="80"/>
        <v>695.48588127853975</v>
      </c>
      <c r="J212" s="1079">
        <f t="shared" si="76"/>
        <v>-1179352.0422739724</v>
      </c>
      <c r="K212" s="1065"/>
      <c r="L212" s="1087">
        <f t="shared" si="87"/>
        <v>7979.3432600498782</v>
      </c>
      <c r="M212" s="1082">
        <f t="shared" si="81"/>
        <v>46.457426716534428</v>
      </c>
      <c r="N212" s="1082">
        <f t="shared" si="82"/>
        <v>0</v>
      </c>
      <c r="O212" s="1082">
        <f t="shared" si="83"/>
        <v>0</v>
      </c>
      <c r="P212" s="1082">
        <f t="shared" si="77"/>
        <v>7979.3432600498782</v>
      </c>
      <c r="Q212" s="1082">
        <f t="shared" si="84"/>
        <v>-1136985.5971106505</v>
      </c>
    </row>
    <row r="213" spans="1:17">
      <c r="A213" s="1064">
        <f t="shared" si="78"/>
        <v>205</v>
      </c>
      <c r="B213" s="1084" t="s">
        <v>909</v>
      </c>
      <c r="C213" s="1079">
        <v>31</v>
      </c>
      <c r="D213" s="1085">
        <v>1</v>
      </c>
      <c r="E213" s="1085">
        <f t="shared" si="85"/>
        <v>365</v>
      </c>
      <c r="F213" s="1086">
        <f t="shared" si="79"/>
        <v>2.7397260273972603E-3</v>
      </c>
      <c r="G213" s="1078"/>
      <c r="H213" s="1087">
        <f t="shared" si="86"/>
        <v>7932.8858333333437</v>
      </c>
      <c r="I213" s="1079">
        <f t="shared" si="80"/>
        <v>21.733933789954367</v>
      </c>
      <c r="J213" s="1079">
        <f t="shared" si="76"/>
        <v>-1179330.3083401825</v>
      </c>
      <c r="K213" s="1065"/>
      <c r="L213" s="1087">
        <f t="shared" si="87"/>
        <v>7979.3432600498782</v>
      </c>
      <c r="M213" s="1082">
        <f t="shared" si="81"/>
        <v>46.457426716534428</v>
      </c>
      <c r="N213" s="1082">
        <f t="shared" si="82"/>
        <v>0</v>
      </c>
      <c r="O213" s="1082">
        <f t="shared" si="83"/>
        <v>0</v>
      </c>
      <c r="P213" s="1082">
        <f t="shared" si="77"/>
        <v>7979.3432600498782</v>
      </c>
      <c r="Q213" s="1082">
        <f t="shared" si="84"/>
        <v>-1129006.2538506007</v>
      </c>
    </row>
    <row r="214" spans="1:17">
      <c r="A214" s="1064">
        <f t="shared" si="78"/>
        <v>206</v>
      </c>
      <c r="B214" s="1088"/>
      <c r="C214" s="1088" t="s">
        <v>790</v>
      </c>
      <c r="D214" s="1089">
        <f>+SUM(D202:D213)</f>
        <v>2029</v>
      </c>
      <c r="E214" s="1089">
        <f>+SUM(E202:E213)</f>
        <v>4380</v>
      </c>
      <c r="F214" s="1090"/>
      <c r="G214" s="1078"/>
      <c r="H214" s="1091">
        <f>SUM(H202:H213)</f>
        <v>95194.630000000136</v>
      </c>
      <c r="I214" s="1091">
        <f>SUM(I202:I213)</f>
        <v>44098.151659817406</v>
      </c>
      <c r="J214" s="1090"/>
      <c r="K214" s="1065"/>
      <c r="L214" s="1092">
        <f>SUM(L202:L213)</f>
        <v>95752.119120598538</v>
      </c>
      <c r="M214" s="1092">
        <f>SUM(M202:M213)</f>
        <v>557.48912059841314</v>
      </c>
      <c r="N214" s="1092">
        <f>SUM(N202:N213)</f>
        <v>0</v>
      </c>
      <c r="O214" s="1092">
        <f>SUM(O202:O213)</f>
        <v>0</v>
      </c>
      <c r="P214" s="1092">
        <f>SUM(P202:P213)</f>
        <v>95752.119120598538</v>
      </c>
      <c r="Q214" s="1092"/>
    </row>
    <row r="215" spans="1:17">
      <c r="A215" s="1064">
        <f t="shared" si="78"/>
        <v>207</v>
      </c>
      <c r="B215" s="1094"/>
      <c r="C215" s="1094"/>
      <c r="D215" s="1095"/>
      <c r="E215" s="1095"/>
      <c r="F215" s="1096"/>
      <c r="G215" s="1078"/>
      <c r="H215" s="1079"/>
      <c r="I215" s="1079"/>
      <c r="J215" s="1096"/>
      <c r="K215" s="1065"/>
      <c r="L215" s="1098"/>
      <c r="M215" s="1098"/>
      <c r="N215" s="1098"/>
      <c r="O215" s="1098"/>
      <c r="P215" s="1098"/>
      <c r="Q215" s="1098"/>
    </row>
    <row r="216" spans="1:17">
      <c r="A216" s="1064">
        <f t="shared" si="78"/>
        <v>208</v>
      </c>
      <c r="B216" s="1065" t="s">
        <v>1682</v>
      </c>
      <c r="C216" s="1094"/>
      <c r="D216" s="1095"/>
      <c r="E216" s="1099">
        <f>1-(D214/E214)</f>
        <v>0.53675799086757991</v>
      </c>
      <c r="F216" s="1096"/>
      <c r="G216" s="1078"/>
      <c r="H216" s="1079"/>
      <c r="I216" s="1079"/>
      <c r="J216" s="1096"/>
      <c r="K216" s="1065"/>
      <c r="L216" s="1098"/>
      <c r="M216" s="1098"/>
      <c r="N216" s="1098"/>
      <c r="O216" s="1098"/>
      <c r="P216" s="1098"/>
      <c r="Q216" s="1098"/>
    </row>
    <row r="217" spans="1:17">
      <c r="A217" s="1064">
        <f t="shared" si="78"/>
        <v>209</v>
      </c>
      <c r="B217" s="1094"/>
      <c r="C217" s="1094"/>
      <c r="D217" s="1094"/>
      <c r="E217" s="1094"/>
      <c r="F217" s="1096"/>
      <c r="G217" s="1096"/>
      <c r="H217" s="1101"/>
      <c r="I217" s="1102"/>
      <c r="J217" s="1096"/>
      <c r="K217" s="1065"/>
      <c r="L217" s="1065"/>
      <c r="M217" s="1065"/>
      <c r="N217" s="1065"/>
      <c r="O217" s="1065"/>
      <c r="P217" s="1065"/>
      <c r="Q217" s="1065"/>
    </row>
    <row r="218" spans="1:17">
      <c r="A218" s="1064">
        <f t="shared" si="78"/>
        <v>210</v>
      </c>
      <c r="B218" s="1100"/>
      <c r="C218" s="1094"/>
      <c r="D218" s="1065"/>
      <c r="E218" s="1094"/>
      <c r="F218" s="1065"/>
      <c r="G218" s="1096"/>
      <c r="H218" s="1101"/>
      <c r="I218" s="1102"/>
      <c r="J218" s="1095"/>
      <c r="K218" s="1065"/>
      <c r="L218" s="1065"/>
      <c r="M218" s="1065"/>
      <c r="N218" s="1065"/>
      <c r="O218" s="1065"/>
      <c r="P218" s="1065"/>
      <c r="Q218" s="1095"/>
    </row>
    <row r="219" spans="1:17" customFormat="1">
      <c r="A219" s="1064">
        <f t="shared" si="78"/>
        <v>211</v>
      </c>
      <c r="B219" s="1103" t="s">
        <v>1683</v>
      </c>
      <c r="C219" s="1103"/>
      <c r="D219" s="1103"/>
      <c r="E219" s="1103"/>
      <c r="F219" s="1104" t="str">
        <f>"(Line "&amp;A201&amp;", Col H)"</f>
        <v>(Line 193, Col H)</v>
      </c>
      <c r="G219" s="1105"/>
      <c r="H219" s="1103"/>
      <c r="I219" s="1105"/>
      <c r="J219" s="1082">
        <f>J201</f>
        <v>-1223428.46</v>
      </c>
      <c r="K219" s="1103"/>
      <c r="L219" s="1103"/>
      <c r="M219" s="1103"/>
      <c r="N219" s="1104" t="str">
        <f>"(Line "&amp;A201&amp;", Col N)"</f>
        <v>(Line 193, Col N)</v>
      </c>
      <c r="O219" s="1103"/>
      <c r="P219" s="1103"/>
      <c r="Q219" s="1082">
        <f>Q201</f>
        <v>-1224758.3729711985</v>
      </c>
    </row>
    <row r="220" spans="1:17" customFormat="1">
      <c r="A220" s="1064">
        <f t="shared" si="78"/>
        <v>212</v>
      </c>
      <c r="B220" s="1103" t="s">
        <v>1684</v>
      </c>
      <c r="C220" s="1103"/>
      <c r="D220" s="1103"/>
      <c r="E220" s="1103"/>
      <c r="F220" s="1104" t="str">
        <f>"(Line "&amp;A213&amp;", Col H)"</f>
        <v>(Line 205, Col H)</v>
      </c>
      <c r="G220" s="1105"/>
      <c r="H220" s="1103"/>
      <c r="I220" s="1105"/>
      <c r="J220" s="1079">
        <f>J213</f>
        <v>-1179330.3083401825</v>
      </c>
      <c r="K220" s="1103"/>
      <c r="L220" s="1106"/>
      <c r="M220" s="1103"/>
      <c r="N220" s="1104" t="str">
        <f>"(Line "&amp;A213&amp;", Col N)"</f>
        <v>(Line 205, Col N)</v>
      </c>
      <c r="O220" s="1103"/>
      <c r="P220" s="1103"/>
      <c r="Q220" s="1079">
        <f>Q213</f>
        <v>-1129006.2538506007</v>
      </c>
    </row>
    <row r="221" spans="1:17" customFormat="1">
      <c r="A221" s="1064">
        <f t="shared" si="78"/>
        <v>213</v>
      </c>
      <c r="B221" s="1103" t="s">
        <v>1685</v>
      </c>
      <c r="C221" s="1103"/>
      <c r="D221" s="1103"/>
      <c r="E221" s="1103"/>
      <c r="F221" s="1103" t="str">
        <f>"(Average of Line "&amp;A219&amp;" &amp; Line "&amp;A220&amp;")"</f>
        <v>(Average of Line 211 &amp; Line 212)</v>
      </c>
      <c r="G221" s="1105"/>
      <c r="H221" s="1103"/>
      <c r="I221" s="1107"/>
      <c r="J221" s="1108">
        <f>(J219+J220)/2</f>
        <v>-1201379.3841700912</v>
      </c>
      <c r="K221" s="1103"/>
      <c r="L221" s="1109"/>
      <c r="M221" s="1103"/>
      <c r="N221" s="1103" t="str">
        <f>"(Average of Line "&amp;A219&amp;" &amp; Line "&amp;A220&amp;")"</f>
        <v>(Average of Line 211 &amp; Line 212)</v>
      </c>
      <c r="O221" s="1103"/>
      <c r="P221" s="1103"/>
      <c r="Q221" s="1108">
        <f>(Q219+Q220)/2</f>
        <v>-1176882.3134108996</v>
      </c>
    </row>
    <row r="222" spans="1:17" customFormat="1" ht="13.5" customHeight="1">
      <c r="A222" s="1064">
        <f t="shared" si="78"/>
        <v>214</v>
      </c>
      <c r="B222" s="1103" t="s">
        <v>1686</v>
      </c>
      <c r="C222" s="1103"/>
      <c r="D222" s="1103"/>
      <c r="E222" s="1103"/>
      <c r="F222" s="1103" t="s">
        <v>1806</v>
      </c>
      <c r="G222" s="1103"/>
      <c r="H222" s="1103"/>
      <c r="I222" s="1103"/>
      <c r="J222" s="1110">
        <f>AVERAGE(J201, (SUM(H202:H213)+J201))</f>
        <v>-1175831.145</v>
      </c>
      <c r="K222" s="1103"/>
      <c r="L222" s="1103"/>
      <c r="M222" s="1103"/>
      <c r="N222" s="1103" t="s">
        <v>1807</v>
      </c>
      <c r="O222" s="1103"/>
      <c r="P222" s="1103"/>
      <c r="Q222" s="1110">
        <f>AVERAGE(Q201, (SUM(L202:L213)+Q201))</f>
        <v>-1176882.3134108991</v>
      </c>
    </row>
    <row r="223" spans="1:17" customFormat="1" ht="13.5" customHeight="1">
      <c r="A223" s="1064">
        <f t="shared" si="78"/>
        <v>215</v>
      </c>
      <c r="B223" s="1103" t="s">
        <v>1687</v>
      </c>
      <c r="C223" s="1103"/>
      <c r="D223" s="1103"/>
      <c r="E223" s="1103"/>
      <c r="F223" s="1103"/>
      <c r="G223" s="1103"/>
      <c r="H223" s="1103"/>
      <c r="I223" s="1103"/>
      <c r="J223" s="1106">
        <f>J221-J222</f>
        <v>-25548.239170091227</v>
      </c>
      <c r="K223" s="1103"/>
      <c r="L223" s="1103"/>
      <c r="M223" s="1103"/>
      <c r="N223" s="1103"/>
      <c r="O223" s="1103"/>
      <c r="P223" s="1103"/>
      <c r="Q223" s="1106">
        <f>Q221-Q222</f>
        <v>0</v>
      </c>
    </row>
    <row r="224" spans="1:17">
      <c r="A224" s="1064">
        <f t="shared" si="78"/>
        <v>216</v>
      </c>
      <c r="B224" s="1111"/>
      <c r="C224" s="1111"/>
      <c r="D224" s="1111"/>
      <c r="E224" s="1111"/>
      <c r="F224" s="1111"/>
      <c r="G224" s="1111"/>
      <c r="H224" s="1111"/>
      <c r="I224" s="1111"/>
      <c r="J224" s="1111"/>
      <c r="K224" s="1065"/>
      <c r="L224" s="1065"/>
      <c r="M224" s="1065"/>
      <c r="N224" s="1065"/>
      <c r="O224" s="1065"/>
      <c r="P224" s="1065"/>
      <c r="Q224" s="1111"/>
    </row>
    <row r="225" spans="1:18">
      <c r="A225" s="1064">
        <f t="shared" si="78"/>
        <v>217</v>
      </c>
      <c r="B225" s="1111"/>
      <c r="C225" s="1111"/>
      <c r="D225" s="1111"/>
      <c r="E225" s="1111"/>
      <c r="F225" s="1111"/>
      <c r="G225" s="1111"/>
      <c r="H225" s="1111"/>
      <c r="I225" s="1111"/>
      <c r="J225" s="1111"/>
      <c r="K225" s="1065"/>
      <c r="L225" s="1065"/>
      <c r="M225" s="1065"/>
      <c r="N225" s="1065"/>
      <c r="O225" s="1065"/>
      <c r="P225" s="1065"/>
      <c r="Q225" s="1111"/>
    </row>
    <row r="226" spans="1:18">
      <c r="A226" s="1064">
        <f t="shared" si="78"/>
        <v>218</v>
      </c>
      <c r="B226" s="1270" t="s">
        <v>1690</v>
      </c>
      <c r="C226" s="1270"/>
      <c r="D226" s="1270"/>
      <c r="E226" s="1270"/>
      <c r="F226" s="1065"/>
      <c r="G226" s="1065"/>
      <c r="H226" s="1112"/>
      <c r="I226" s="1112"/>
      <c r="J226" s="1112"/>
      <c r="K226" s="1065"/>
      <c r="L226" s="1113"/>
      <c r="M226" s="1114"/>
      <c r="N226" s="1114"/>
      <c r="O226" s="1114"/>
      <c r="P226" s="1114"/>
      <c r="Q226" s="1114"/>
      <c r="R226" s="1070"/>
    </row>
    <row r="227" spans="1:18">
      <c r="A227" s="1064">
        <f t="shared" si="78"/>
        <v>219</v>
      </c>
      <c r="B227" s="1262" t="s">
        <v>1295</v>
      </c>
      <c r="C227" s="1262"/>
      <c r="D227" s="1262"/>
      <c r="E227" s="1262"/>
      <c r="F227" s="1065"/>
      <c r="G227" s="1065"/>
      <c r="H227" s="1112"/>
      <c r="I227" s="1112"/>
      <c r="J227" s="1112"/>
      <c r="K227" s="1065"/>
      <c r="L227" s="1113"/>
      <c r="M227" s="1114"/>
      <c r="N227" s="1114"/>
      <c r="O227" s="1114"/>
      <c r="P227" s="1114"/>
      <c r="Q227" s="1114"/>
      <c r="R227" s="1070"/>
    </row>
    <row r="228" spans="1:18">
      <c r="A228" s="1064">
        <f t="shared" si="78"/>
        <v>220</v>
      </c>
      <c r="B228" s="1263" t="s">
        <v>1666</v>
      </c>
      <c r="C228" s="1264"/>
      <c r="D228" s="1264"/>
      <c r="E228" s="1264"/>
      <c r="F228" s="1265"/>
      <c r="G228" s="1071"/>
      <c r="H228" s="1266" t="s">
        <v>1667</v>
      </c>
      <c r="I228" s="1267"/>
      <c r="J228" s="1268"/>
      <c r="K228" s="1065"/>
      <c r="L228" s="1266" t="s">
        <v>1668</v>
      </c>
      <c r="M228" s="1267"/>
      <c r="N228" s="1267"/>
      <c r="O228" s="1267"/>
      <c r="P228" s="1267"/>
      <c r="Q228" s="1267"/>
    </row>
    <row r="229" spans="1:18">
      <c r="A229" s="1064">
        <f t="shared" si="78"/>
        <v>221</v>
      </c>
      <c r="B229" s="1072" t="s">
        <v>824</v>
      </c>
      <c r="C229" s="1072" t="s">
        <v>825</v>
      </c>
      <c r="D229" s="1072" t="s">
        <v>826</v>
      </c>
      <c r="E229" s="1072" t="s">
        <v>827</v>
      </c>
      <c r="F229" s="1072" t="s">
        <v>828</v>
      </c>
      <c r="G229" s="1071"/>
      <c r="H229" s="1072" t="s">
        <v>829</v>
      </c>
      <c r="I229" s="1072" t="s">
        <v>830</v>
      </c>
      <c r="J229" s="1072" t="s">
        <v>831</v>
      </c>
      <c r="K229" s="1065"/>
      <c r="L229" s="1072" t="s">
        <v>832</v>
      </c>
      <c r="M229" s="1072" t="s">
        <v>833</v>
      </c>
      <c r="N229" s="1072" t="s">
        <v>834</v>
      </c>
      <c r="O229" s="1072" t="s">
        <v>835</v>
      </c>
      <c r="P229" s="1072" t="s">
        <v>837</v>
      </c>
      <c r="Q229" s="1072" t="s">
        <v>836</v>
      </c>
    </row>
    <row r="230" spans="1:18" ht="45">
      <c r="A230" s="1064">
        <f t="shared" si="78"/>
        <v>222</v>
      </c>
      <c r="B230" s="1074" t="s">
        <v>1342</v>
      </c>
      <c r="C230" s="1074" t="s">
        <v>1577</v>
      </c>
      <c r="D230" s="1074" t="s">
        <v>1669</v>
      </c>
      <c r="E230" s="1074" t="s">
        <v>1670</v>
      </c>
      <c r="F230" s="1074" t="s">
        <v>1671</v>
      </c>
      <c r="G230" s="1075"/>
      <c r="H230" s="1074" t="s">
        <v>1672</v>
      </c>
      <c r="I230" s="1074" t="s">
        <v>1673</v>
      </c>
      <c r="J230" s="1074" t="s">
        <v>1674</v>
      </c>
      <c r="K230" s="1065"/>
      <c r="L230" s="1074" t="s">
        <v>1675</v>
      </c>
      <c r="M230" s="1074" t="s">
        <v>1676</v>
      </c>
      <c r="N230" s="1074" t="s">
        <v>1677</v>
      </c>
      <c r="O230" s="1074" t="s">
        <v>1678</v>
      </c>
      <c r="P230" s="1074" t="s">
        <v>1679</v>
      </c>
      <c r="Q230" s="1074" t="s">
        <v>1680</v>
      </c>
    </row>
    <row r="231" spans="1:18">
      <c r="A231" s="1064">
        <f t="shared" si="78"/>
        <v>223</v>
      </c>
      <c r="B231" s="1065"/>
      <c r="C231" s="1075"/>
      <c r="D231" s="1075"/>
      <c r="E231" s="1075"/>
      <c r="F231" s="1075"/>
      <c r="G231" s="1075"/>
      <c r="H231" s="1075"/>
      <c r="I231" s="1075"/>
      <c r="J231" s="1075"/>
      <c r="K231" s="1065"/>
      <c r="L231" s="1065"/>
      <c r="M231" s="1065"/>
      <c r="N231" s="1065"/>
      <c r="O231" s="1065"/>
      <c r="P231" s="1065"/>
      <c r="Q231" s="1065"/>
    </row>
    <row r="232" spans="1:18">
      <c r="A232" s="1064">
        <f t="shared" si="78"/>
        <v>224</v>
      </c>
      <c r="B232" s="1269" t="s">
        <v>1681</v>
      </c>
      <c r="C232" s="1269"/>
      <c r="D232" s="1269"/>
      <c r="E232" s="1269"/>
      <c r="F232" s="1078"/>
      <c r="G232" s="1078"/>
      <c r="H232" s="1079"/>
      <c r="I232" s="1079"/>
      <c r="J232" s="1080">
        <f>'WP_B-2'!C62</f>
        <v>-28458181.746414892</v>
      </c>
      <c r="K232" s="1081"/>
      <c r="L232" s="1079"/>
      <c r="M232" s="1082"/>
      <c r="N232" s="1082"/>
      <c r="O232" s="1082"/>
      <c r="P232" s="1082"/>
      <c r="Q232" s="1080">
        <f>'WP_B-2'!C162</f>
        <v>-27619486.699999996</v>
      </c>
    </row>
    <row r="233" spans="1:18">
      <c r="A233" s="1064">
        <f t="shared" si="78"/>
        <v>225</v>
      </c>
      <c r="B233" s="1084" t="s">
        <v>950</v>
      </c>
      <c r="C233" s="1079">
        <v>31</v>
      </c>
      <c r="D233" s="1085">
        <f t="shared" ref="D233:D241" si="88">D234+C234</f>
        <v>335</v>
      </c>
      <c r="E233" s="1085">
        <f>SUM(C233:C244)</f>
        <v>365</v>
      </c>
      <c r="F233" s="1086">
        <f>D233/E233</f>
        <v>0.9178082191780822</v>
      </c>
      <c r="G233" s="1078"/>
      <c r="H233" s="1087">
        <f>('WP_B-2'!D62-'WP_B-2'!C62)/12</f>
        <v>-1393374.6949599821</v>
      </c>
      <c r="I233" s="1079">
        <f>+H233*F233</f>
        <v>-1278850.7474290247</v>
      </c>
      <c r="J233" s="1079">
        <f t="shared" ref="J233:J244" si="89">+I233+J232</f>
        <v>-29737032.493843917</v>
      </c>
      <c r="K233" s="1065"/>
      <c r="L233" s="1087">
        <f>('WP_B-2'!D162-'WP_B-2'!C162)/12</f>
        <v>-870822.75000000058</v>
      </c>
      <c r="M233" s="1082">
        <f>L233-H233</f>
        <v>522551.94495998148</v>
      </c>
      <c r="N233" s="1082">
        <f>IF(M233&lt;=0,+M233,0)</f>
        <v>0</v>
      </c>
      <c r="O233" s="1082">
        <f>IF(N233&lt;0,0,IF(L233&gt;0,0,(-(M233)*(D233/E233))))</f>
        <v>-479602.47003176383</v>
      </c>
      <c r="P233" s="1082">
        <f t="shared" ref="P233:P244" si="90">IF(L233&gt;0,L233,0)</f>
        <v>0</v>
      </c>
      <c r="Q233" s="1082">
        <f>IF(L233&gt;0,Q232+P233,Q232+I233+N233-O233)</f>
        <v>-28418734.977397256</v>
      </c>
    </row>
    <row r="234" spans="1:18">
      <c r="A234" s="1064">
        <f t="shared" si="78"/>
        <v>226</v>
      </c>
      <c r="B234" s="1084" t="s">
        <v>899</v>
      </c>
      <c r="C234" s="1087">
        <v>28</v>
      </c>
      <c r="D234" s="1085">
        <f t="shared" si="88"/>
        <v>307</v>
      </c>
      <c r="E234" s="1085">
        <f>E233</f>
        <v>365</v>
      </c>
      <c r="F234" s="1086">
        <f t="shared" ref="F234:F244" si="91">D234/E234</f>
        <v>0.84109589041095889</v>
      </c>
      <c r="G234" s="1078"/>
      <c r="H234" s="1087">
        <f>$H$233</f>
        <v>-1393374.6949599821</v>
      </c>
      <c r="I234" s="1079">
        <f t="shared" ref="I234:I244" si="92">+H234*F234</f>
        <v>-1171961.7297334643</v>
      </c>
      <c r="J234" s="1079">
        <f t="shared" si="89"/>
        <v>-30908994.22357738</v>
      </c>
      <c r="K234" s="1065"/>
      <c r="L234" s="1087">
        <f>$L$233</f>
        <v>-870822.75000000058</v>
      </c>
      <c r="M234" s="1082">
        <f t="shared" ref="M234:M244" si="93">L234-H234</f>
        <v>522551.94495998148</v>
      </c>
      <c r="N234" s="1082">
        <f t="shared" ref="N234:N244" si="94">IF(M234&lt;=0,+M234,0)</f>
        <v>0</v>
      </c>
      <c r="O234" s="1082">
        <f t="shared" ref="O234:O244" si="95">IF(N234&lt;0,0,IF(L234&gt;0,0,(-(M234)*(D234/E234))))</f>
        <v>-439516.29343209398</v>
      </c>
      <c r="P234" s="1082">
        <f t="shared" si="90"/>
        <v>0</v>
      </c>
      <c r="Q234" s="1082">
        <f t="shared" ref="Q234:Q244" si="96">IF(L234&gt;0,Q233+P234,Q233+I234+N234-O234)</f>
        <v>-29151180.413698625</v>
      </c>
    </row>
    <row r="235" spans="1:18">
      <c r="A235" s="1064">
        <f t="shared" si="78"/>
        <v>227</v>
      </c>
      <c r="B235" s="1084" t="s">
        <v>900</v>
      </c>
      <c r="C235" s="1079">
        <v>31</v>
      </c>
      <c r="D235" s="1085">
        <f t="shared" si="88"/>
        <v>276</v>
      </c>
      <c r="E235" s="1085">
        <f t="shared" ref="E235:E244" si="97">E234</f>
        <v>365</v>
      </c>
      <c r="F235" s="1086">
        <f t="shared" si="91"/>
        <v>0.75616438356164384</v>
      </c>
      <c r="G235" s="1078"/>
      <c r="H235" s="1087">
        <f t="shared" ref="H235:H244" si="98">$H$233</f>
        <v>-1393374.6949599821</v>
      </c>
      <c r="I235" s="1079">
        <f t="shared" si="92"/>
        <v>-1053620.3172848083</v>
      </c>
      <c r="J235" s="1079">
        <f t="shared" si="89"/>
        <v>-31962614.540862188</v>
      </c>
      <c r="K235" s="1065"/>
      <c r="L235" s="1087">
        <f t="shared" ref="L235:L244" si="99">$L$233</f>
        <v>-870822.75000000058</v>
      </c>
      <c r="M235" s="1082">
        <f t="shared" si="93"/>
        <v>522551.94495998148</v>
      </c>
      <c r="N235" s="1082">
        <f t="shared" si="94"/>
        <v>0</v>
      </c>
      <c r="O235" s="1082">
        <f t="shared" si="95"/>
        <v>-395135.16933960246</v>
      </c>
      <c r="P235" s="1082">
        <f t="shared" si="90"/>
        <v>0</v>
      </c>
      <c r="Q235" s="1082">
        <f t="shared" si="96"/>
        <v>-29809665.561643831</v>
      </c>
    </row>
    <row r="236" spans="1:18">
      <c r="A236" s="1064">
        <f t="shared" si="78"/>
        <v>228</v>
      </c>
      <c r="B236" s="1084" t="s">
        <v>901</v>
      </c>
      <c r="C236" s="1079">
        <v>30</v>
      </c>
      <c r="D236" s="1085">
        <f t="shared" si="88"/>
        <v>246</v>
      </c>
      <c r="E236" s="1085">
        <f t="shared" si="97"/>
        <v>365</v>
      </c>
      <c r="F236" s="1086">
        <f t="shared" si="91"/>
        <v>0.67397260273972603</v>
      </c>
      <c r="G236" s="1078"/>
      <c r="H236" s="1087">
        <f t="shared" si="98"/>
        <v>-1393374.6949599821</v>
      </c>
      <c r="I236" s="1079">
        <f t="shared" si="92"/>
        <v>-939096.36975385097</v>
      </c>
      <c r="J236" s="1079">
        <f t="shared" si="89"/>
        <v>-32901710.91061604</v>
      </c>
      <c r="K236" s="1065"/>
      <c r="L236" s="1087">
        <f t="shared" si="99"/>
        <v>-870822.75000000058</v>
      </c>
      <c r="M236" s="1082">
        <f t="shared" si="93"/>
        <v>522551.94495998148</v>
      </c>
      <c r="N236" s="1082">
        <f t="shared" si="94"/>
        <v>0</v>
      </c>
      <c r="O236" s="1082">
        <f t="shared" si="95"/>
        <v>-352185.69441138476</v>
      </c>
      <c r="P236" s="1082">
        <f t="shared" si="90"/>
        <v>0</v>
      </c>
      <c r="Q236" s="1082">
        <f t="shared" si="96"/>
        <v>-30396576.236986298</v>
      </c>
    </row>
    <row r="237" spans="1:18">
      <c r="A237" s="1064">
        <f t="shared" si="78"/>
        <v>229</v>
      </c>
      <c r="B237" s="1084" t="s">
        <v>902</v>
      </c>
      <c r="C237" s="1079">
        <v>31</v>
      </c>
      <c r="D237" s="1085">
        <f t="shared" si="88"/>
        <v>215</v>
      </c>
      <c r="E237" s="1085">
        <f t="shared" si="97"/>
        <v>365</v>
      </c>
      <c r="F237" s="1086">
        <f t="shared" si="91"/>
        <v>0.58904109589041098</v>
      </c>
      <c r="G237" s="1078"/>
      <c r="H237" s="1087">
        <f t="shared" si="98"/>
        <v>-1393374.6949599821</v>
      </c>
      <c r="I237" s="1079">
        <f t="shared" si="92"/>
        <v>-820754.95730519493</v>
      </c>
      <c r="J237" s="1079">
        <f t="shared" si="89"/>
        <v>-33722465.867921233</v>
      </c>
      <c r="K237" s="1065"/>
      <c r="L237" s="1087">
        <f t="shared" si="99"/>
        <v>-870822.75000000058</v>
      </c>
      <c r="M237" s="1082">
        <f t="shared" si="93"/>
        <v>522551.94495998148</v>
      </c>
      <c r="N237" s="1082">
        <f t="shared" si="94"/>
        <v>0</v>
      </c>
      <c r="O237" s="1082">
        <f t="shared" si="95"/>
        <v>-307804.57031889324</v>
      </c>
      <c r="P237" s="1082">
        <f t="shared" si="90"/>
        <v>0</v>
      </c>
      <c r="Q237" s="1082">
        <f t="shared" si="96"/>
        <v>-30909526.623972602</v>
      </c>
    </row>
    <row r="238" spans="1:18">
      <c r="A238" s="1064">
        <f t="shared" si="78"/>
        <v>230</v>
      </c>
      <c r="B238" s="1084" t="s">
        <v>903</v>
      </c>
      <c r="C238" s="1079">
        <v>30</v>
      </c>
      <c r="D238" s="1085">
        <f t="shared" si="88"/>
        <v>185</v>
      </c>
      <c r="E238" s="1085">
        <f t="shared" si="97"/>
        <v>365</v>
      </c>
      <c r="F238" s="1086">
        <f t="shared" si="91"/>
        <v>0.50684931506849318</v>
      </c>
      <c r="G238" s="1078"/>
      <c r="H238" s="1087">
        <f t="shared" si="98"/>
        <v>-1393374.6949599821</v>
      </c>
      <c r="I238" s="1079">
        <f t="shared" si="92"/>
        <v>-706231.00977423752</v>
      </c>
      <c r="J238" s="1079">
        <f t="shared" si="89"/>
        <v>-34428696.877695471</v>
      </c>
      <c r="K238" s="1065"/>
      <c r="L238" s="1087">
        <f t="shared" si="99"/>
        <v>-870822.75000000058</v>
      </c>
      <c r="M238" s="1082">
        <f t="shared" si="93"/>
        <v>522551.94495998148</v>
      </c>
      <c r="N238" s="1082">
        <f t="shared" si="94"/>
        <v>0</v>
      </c>
      <c r="O238" s="1082">
        <f t="shared" si="95"/>
        <v>-264855.09539067559</v>
      </c>
      <c r="P238" s="1082">
        <f t="shared" si="90"/>
        <v>0</v>
      </c>
      <c r="Q238" s="1082">
        <f t="shared" si="96"/>
        <v>-31350902.538356163</v>
      </c>
    </row>
    <row r="239" spans="1:18">
      <c r="A239" s="1064">
        <f t="shared" si="78"/>
        <v>231</v>
      </c>
      <c r="B239" s="1084" t="s">
        <v>904</v>
      </c>
      <c r="C239" s="1079">
        <v>31</v>
      </c>
      <c r="D239" s="1085">
        <f t="shared" si="88"/>
        <v>154</v>
      </c>
      <c r="E239" s="1085">
        <f t="shared" si="97"/>
        <v>365</v>
      </c>
      <c r="F239" s="1086">
        <f t="shared" si="91"/>
        <v>0.42191780821917807</v>
      </c>
      <c r="G239" s="1078"/>
      <c r="H239" s="1087">
        <f t="shared" si="98"/>
        <v>-1393374.6949599821</v>
      </c>
      <c r="I239" s="1079">
        <f t="shared" si="92"/>
        <v>-587889.59732558148</v>
      </c>
      <c r="J239" s="1079">
        <f t="shared" si="89"/>
        <v>-35016586.475021049</v>
      </c>
      <c r="K239" s="1065"/>
      <c r="L239" s="1087">
        <f t="shared" si="99"/>
        <v>-870822.75000000058</v>
      </c>
      <c r="M239" s="1082">
        <f t="shared" si="93"/>
        <v>522551.94495998148</v>
      </c>
      <c r="N239" s="1082">
        <f t="shared" si="94"/>
        <v>0</v>
      </c>
      <c r="O239" s="1082">
        <f t="shared" si="95"/>
        <v>-220473.97129818395</v>
      </c>
      <c r="P239" s="1082">
        <f t="shared" si="90"/>
        <v>0</v>
      </c>
      <c r="Q239" s="1082">
        <f t="shared" si="96"/>
        <v>-31718318.16438356</v>
      </c>
    </row>
    <row r="240" spans="1:18">
      <c r="A240" s="1064">
        <f t="shared" si="78"/>
        <v>232</v>
      </c>
      <c r="B240" s="1084" t="s">
        <v>905</v>
      </c>
      <c r="C240" s="1079">
        <v>31</v>
      </c>
      <c r="D240" s="1085">
        <f t="shared" si="88"/>
        <v>123</v>
      </c>
      <c r="E240" s="1085">
        <f t="shared" si="97"/>
        <v>365</v>
      </c>
      <c r="F240" s="1086">
        <f t="shared" si="91"/>
        <v>0.33698630136986302</v>
      </c>
      <c r="G240" s="1078"/>
      <c r="H240" s="1087">
        <f t="shared" si="98"/>
        <v>-1393374.6949599821</v>
      </c>
      <c r="I240" s="1079">
        <f t="shared" si="92"/>
        <v>-469548.18487692549</v>
      </c>
      <c r="J240" s="1079">
        <f t="shared" si="89"/>
        <v>-35486134.659897976</v>
      </c>
      <c r="K240" s="1065"/>
      <c r="L240" s="1087">
        <f t="shared" si="99"/>
        <v>-870822.75000000058</v>
      </c>
      <c r="M240" s="1082">
        <f t="shared" si="93"/>
        <v>522551.94495998148</v>
      </c>
      <c r="N240" s="1082">
        <f t="shared" si="94"/>
        <v>0</v>
      </c>
      <c r="O240" s="1082">
        <f t="shared" si="95"/>
        <v>-176092.84720569238</v>
      </c>
      <c r="P240" s="1082">
        <f t="shared" si="90"/>
        <v>0</v>
      </c>
      <c r="Q240" s="1082">
        <f t="shared" si="96"/>
        <v>-32011773.502054796</v>
      </c>
    </row>
    <row r="241" spans="1:17">
      <c r="A241" s="1064">
        <f t="shared" si="78"/>
        <v>233</v>
      </c>
      <c r="B241" s="1084" t="s">
        <v>906</v>
      </c>
      <c r="C241" s="1079">
        <v>30</v>
      </c>
      <c r="D241" s="1085">
        <f t="shared" si="88"/>
        <v>93</v>
      </c>
      <c r="E241" s="1085">
        <f t="shared" si="97"/>
        <v>365</v>
      </c>
      <c r="F241" s="1086">
        <f t="shared" si="91"/>
        <v>0.25479452054794521</v>
      </c>
      <c r="G241" s="1078"/>
      <c r="H241" s="1087">
        <f t="shared" si="98"/>
        <v>-1393374.6949599821</v>
      </c>
      <c r="I241" s="1079">
        <f t="shared" si="92"/>
        <v>-355024.23734596802</v>
      </c>
      <c r="J241" s="1079">
        <f t="shared" si="89"/>
        <v>-35841158.897243947</v>
      </c>
      <c r="K241" s="1065"/>
      <c r="L241" s="1087">
        <f t="shared" si="99"/>
        <v>-870822.75000000058</v>
      </c>
      <c r="M241" s="1082">
        <f t="shared" si="93"/>
        <v>522551.94495998148</v>
      </c>
      <c r="N241" s="1082">
        <f t="shared" si="94"/>
        <v>0</v>
      </c>
      <c r="O241" s="1082">
        <f t="shared" si="95"/>
        <v>-133143.37227747473</v>
      </c>
      <c r="P241" s="1082">
        <f t="shared" si="90"/>
        <v>0</v>
      </c>
      <c r="Q241" s="1082">
        <f t="shared" si="96"/>
        <v>-32233654.367123287</v>
      </c>
    </row>
    <row r="242" spans="1:17">
      <c r="A242" s="1064">
        <f t="shared" si="78"/>
        <v>234</v>
      </c>
      <c r="B242" s="1084" t="s">
        <v>907</v>
      </c>
      <c r="C242" s="1079">
        <v>31</v>
      </c>
      <c r="D242" s="1085">
        <f>D243+C243</f>
        <v>62</v>
      </c>
      <c r="E242" s="1085">
        <f t="shared" si="97"/>
        <v>365</v>
      </c>
      <c r="F242" s="1086">
        <f t="shared" si="91"/>
        <v>0.16986301369863013</v>
      </c>
      <c r="G242" s="1078"/>
      <c r="H242" s="1087">
        <f t="shared" si="98"/>
        <v>-1393374.6949599821</v>
      </c>
      <c r="I242" s="1079">
        <f t="shared" si="92"/>
        <v>-236682.82489731201</v>
      </c>
      <c r="J242" s="1079">
        <f t="shared" si="89"/>
        <v>-36077841.722141258</v>
      </c>
      <c r="K242" s="1065"/>
      <c r="L242" s="1087">
        <f t="shared" si="99"/>
        <v>-870822.75000000058</v>
      </c>
      <c r="M242" s="1082">
        <f t="shared" si="93"/>
        <v>522551.94495998148</v>
      </c>
      <c r="N242" s="1082">
        <f t="shared" si="94"/>
        <v>0</v>
      </c>
      <c r="O242" s="1082">
        <f t="shared" si="95"/>
        <v>-88762.248184983153</v>
      </c>
      <c r="P242" s="1082">
        <f t="shared" si="90"/>
        <v>0</v>
      </c>
      <c r="Q242" s="1082">
        <f t="shared" si="96"/>
        <v>-32381574.943835616</v>
      </c>
    </row>
    <row r="243" spans="1:17">
      <c r="A243" s="1064">
        <f t="shared" si="78"/>
        <v>235</v>
      </c>
      <c r="B243" s="1084" t="s">
        <v>908</v>
      </c>
      <c r="C243" s="1079">
        <v>30</v>
      </c>
      <c r="D243" s="1085">
        <f>D244+C244</f>
        <v>32</v>
      </c>
      <c r="E243" s="1085">
        <f t="shared" si="97"/>
        <v>365</v>
      </c>
      <c r="F243" s="1086">
        <f t="shared" si="91"/>
        <v>8.7671232876712329E-2</v>
      </c>
      <c r="G243" s="1078"/>
      <c r="H243" s="1087">
        <f t="shared" si="98"/>
        <v>-1393374.6949599821</v>
      </c>
      <c r="I243" s="1079">
        <f t="shared" si="92"/>
        <v>-122158.87736635459</v>
      </c>
      <c r="J243" s="1079">
        <f t="shared" si="89"/>
        <v>-36200000.599507615</v>
      </c>
      <c r="K243" s="1065"/>
      <c r="L243" s="1087">
        <f t="shared" si="99"/>
        <v>-870822.75000000058</v>
      </c>
      <c r="M243" s="1082">
        <f t="shared" si="93"/>
        <v>522551.94495998148</v>
      </c>
      <c r="N243" s="1082">
        <f t="shared" si="94"/>
        <v>0</v>
      </c>
      <c r="O243" s="1082">
        <f t="shared" si="95"/>
        <v>-45812.773256765504</v>
      </c>
      <c r="P243" s="1082">
        <f t="shared" si="90"/>
        <v>0</v>
      </c>
      <c r="Q243" s="1082">
        <f t="shared" si="96"/>
        <v>-32457921.047945205</v>
      </c>
    </row>
    <row r="244" spans="1:17">
      <c r="A244" s="1064">
        <f t="shared" si="78"/>
        <v>236</v>
      </c>
      <c r="B244" s="1084" t="s">
        <v>909</v>
      </c>
      <c r="C244" s="1079">
        <v>31</v>
      </c>
      <c r="D244" s="1085">
        <v>1</v>
      </c>
      <c r="E244" s="1085">
        <f t="shared" si="97"/>
        <v>365</v>
      </c>
      <c r="F244" s="1086">
        <f t="shared" si="91"/>
        <v>2.7397260273972603E-3</v>
      </c>
      <c r="G244" s="1078"/>
      <c r="H244" s="1087">
        <f t="shared" si="98"/>
        <v>-1393374.6949599821</v>
      </c>
      <c r="I244" s="1079">
        <f t="shared" si="92"/>
        <v>-3817.4649176985808</v>
      </c>
      <c r="J244" s="1079">
        <f t="shared" si="89"/>
        <v>-36203818.064425312</v>
      </c>
      <c r="K244" s="1065"/>
      <c r="L244" s="1087">
        <f t="shared" si="99"/>
        <v>-870822.75000000058</v>
      </c>
      <c r="M244" s="1082">
        <f t="shared" si="93"/>
        <v>522551.94495998148</v>
      </c>
      <c r="N244" s="1082">
        <f t="shared" si="94"/>
        <v>0</v>
      </c>
      <c r="O244" s="1082">
        <f t="shared" si="95"/>
        <v>-1431.649164273922</v>
      </c>
      <c r="P244" s="1082">
        <f t="shared" si="90"/>
        <v>0</v>
      </c>
      <c r="Q244" s="1082">
        <f t="shared" si="96"/>
        <v>-32460306.863698628</v>
      </c>
    </row>
    <row r="245" spans="1:17">
      <c r="A245" s="1064">
        <f t="shared" si="78"/>
        <v>237</v>
      </c>
      <c r="B245" s="1088"/>
      <c r="C245" s="1088" t="s">
        <v>790</v>
      </c>
      <c r="D245" s="1089">
        <f>+SUM(D233:D244)</f>
        <v>2029</v>
      </c>
      <c r="E245" s="1089">
        <f>+SUM(E233:E244)</f>
        <v>4380</v>
      </c>
      <c r="F245" s="1090"/>
      <c r="G245" s="1078"/>
      <c r="H245" s="1091">
        <f>SUM(H233:H244)</f>
        <v>-16720496.339519782</v>
      </c>
      <c r="I245" s="1091">
        <f>SUM(I233:I244)</f>
        <v>-7745636.3180104205</v>
      </c>
      <c r="J245" s="1090"/>
      <c r="K245" s="1065"/>
      <c r="L245" s="1092">
        <f>SUM(L233:L244)</f>
        <v>-10449873.000000007</v>
      </c>
      <c r="M245" s="1092">
        <f>SUM(M233:M244)</f>
        <v>6270623.3395197773</v>
      </c>
      <c r="N245" s="1092">
        <f>SUM(N233:N244)</f>
        <v>0</v>
      </c>
      <c r="O245" s="1092">
        <f>SUM(O233:O244)</f>
        <v>-2904816.1543117883</v>
      </c>
      <c r="P245" s="1092">
        <f>SUM(P233:P244)</f>
        <v>0</v>
      </c>
      <c r="Q245" s="1092"/>
    </row>
    <row r="246" spans="1:17">
      <c r="A246" s="1064">
        <f t="shared" si="78"/>
        <v>238</v>
      </c>
      <c r="B246" s="1094"/>
      <c r="C246" s="1094"/>
      <c r="D246" s="1095"/>
      <c r="E246" s="1095"/>
      <c r="F246" s="1096"/>
      <c r="G246" s="1078"/>
      <c r="H246" s="1079"/>
      <c r="I246" s="1079"/>
      <c r="J246" s="1096"/>
      <c r="K246" s="1065"/>
      <c r="L246" s="1098"/>
      <c r="M246" s="1098"/>
      <c r="N246" s="1098"/>
      <c r="O246" s="1098"/>
      <c r="P246" s="1098"/>
      <c r="Q246" s="1098"/>
    </row>
    <row r="247" spans="1:17">
      <c r="A247" s="1064">
        <f t="shared" si="78"/>
        <v>239</v>
      </c>
      <c r="B247" s="1065" t="s">
        <v>1682</v>
      </c>
      <c r="C247" s="1094"/>
      <c r="D247" s="1095"/>
      <c r="E247" s="1099">
        <f>1-(D245/E245)</f>
        <v>0.53675799086757991</v>
      </c>
      <c r="F247" s="1096"/>
      <c r="G247" s="1078"/>
      <c r="H247" s="1079"/>
      <c r="I247" s="1079"/>
      <c r="J247" s="1096"/>
      <c r="K247" s="1065"/>
      <c r="L247" s="1098"/>
      <c r="M247" s="1098"/>
      <c r="N247" s="1098"/>
      <c r="O247" s="1098"/>
      <c r="P247" s="1098"/>
      <c r="Q247" s="1098"/>
    </row>
    <row r="248" spans="1:17">
      <c r="A248" s="1064">
        <f t="shared" si="78"/>
        <v>240</v>
      </c>
      <c r="B248" s="1094"/>
      <c r="C248" s="1094"/>
      <c r="D248" s="1094"/>
      <c r="E248" s="1094"/>
      <c r="F248" s="1096"/>
      <c r="G248" s="1096"/>
      <c r="H248" s="1101"/>
      <c r="I248" s="1102"/>
      <c r="J248" s="1096"/>
      <c r="K248" s="1065"/>
      <c r="L248" s="1065"/>
      <c r="M248" s="1065"/>
      <c r="N248" s="1065"/>
      <c r="O248" s="1065"/>
      <c r="P248" s="1065"/>
      <c r="Q248" s="1065"/>
    </row>
    <row r="249" spans="1:17">
      <c r="A249" s="1064">
        <f t="shared" si="78"/>
        <v>241</v>
      </c>
      <c r="B249" s="1100"/>
      <c r="C249" s="1094"/>
      <c r="D249" s="1065"/>
      <c r="E249" s="1094"/>
      <c r="F249" s="1065"/>
      <c r="G249" s="1096"/>
      <c r="H249" s="1101"/>
      <c r="I249" s="1102"/>
      <c r="J249" s="1095"/>
      <c r="K249" s="1065"/>
      <c r="L249" s="1065"/>
      <c r="M249" s="1065"/>
      <c r="N249" s="1065"/>
      <c r="O249" s="1065"/>
      <c r="P249" s="1065"/>
      <c r="Q249" s="1095"/>
    </row>
    <row r="250" spans="1:17" customFormat="1">
      <c r="A250" s="1064">
        <f t="shared" si="78"/>
        <v>242</v>
      </c>
      <c r="B250" s="1103" t="s">
        <v>1683</v>
      </c>
      <c r="C250" s="1103"/>
      <c r="D250" s="1103"/>
      <c r="E250" s="1103"/>
      <c r="F250" s="1104" t="str">
        <f>"(Line "&amp;A232&amp;", Col H)"</f>
        <v>(Line 224, Col H)</v>
      </c>
      <c r="G250" s="1105"/>
      <c r="H250" s="1103"/>
      <c r="I250" s="1105"/>
      <c r="J250" s="1082">
        <f>J232</f>
        <v>-28458181.746414892</v>
      </c>
      <c r="K250" s="1103"/>
      <c r="L250" s="1103"/>
      <c r="M250" s="1103"/>
      <c r="N250" s="1104" t="str">
        <f>"(Line "&amp;A232&amp;", Col N)"</f>
        <v>(Line 224, Col N)</v>
      </c>
      <c r="O250" s="1103"/>
      <c r="P250" s="1103"/>
      <c r="Q250" s="1082">
        <f>Q232</f>
        <v>-27619486.699999996</v>
      </c>
    </row>
    <row r="251" spans="1:17" customFormat="1">
      <c r="A251" s="1064">
        <f t="shared" si="78"/>
        <v>243</v>
      </c>
      <c r="B251" s="1103" t="s">
        <v>1684</v>
      </c>
      <c r="C251" s="1103"/>
      <c r="D251" s="1103"/>
      <c r="E251" s="1103"/>
      <c r="F251" s="1104" t="str">
        <f>"(Line "&amp;A244&amp;", Col H)"</f>
        <v>(Line 236, Col H)</v>
      </c>
      <c r="G251" s="1105"/>
      <c r="H251" s="1103"/>
      <c r="I251" s="1105"/>
      <c r="J251" s="1079">
        <f>J244</f>
        <v>-36203818.064425312</v>
      </c>
      <c r="K251" s="1103"/>
      <c r="L251" s="1106"/>
      <c r="M251" s="1103"/>
      <c r="N251" s="1104" t="str">
        <f>"(Line "&amp;A244&amp;", Col N)"</f>
        <v>(Line 236, Col N)</v>
      </c>
      <c r="O251" s="1103"/>
      <c r="P251" s="1103"/>
      <c r="Q251" s="1079">
        <f>Q244</f>
        <v>-32460306.863698628</v>
      </c>
    </row>
    <row r="252" spans="1:17" customFormat="1">
      <c r="A252" s="1064">
        <f t="shared" si="78"/>
        <v>244</v>
      </c>
      <c r="B252" s="1103" t="s">
        <v>1685</v>
      </c>
      <c r="C252" s="1103"/>
      <c r="D252" s="1103"/>
      <c r="E252" s="1103"/>
      <c r="F252" s="1103" t="str">
        <f>"(Average of Line "&amp;A250&amp;" &amp; Line "&amp;A251&amp;")"</f>
        <v>(Average of Line 242 &amp; Line 243)</v>
      </c>
      <c r="G252" s="1105"/>
      <c r="H252" s="1103"/>
      <c r="I252" s="1107"/>
      <c r="J252" s="1108">
        <f>(J250+J251)/2</f>
        <v>-32330999.905420102</v>
      </c>
      <c r="K252" s="1103"/>
      <c r="L252" s="1109"/>
      <c r="M252" s="1103"/>
      <c r="N252" s="1103" t="str">
        <f>"(Average of Line "&amp;A250&amp;" &amp; Line "&amp;A251&amp;")"</f>
        <v>(Average of Line 242 &amp; Line 243)</v>
      </c>
      <c r="O252" s="1103"/>
      <c r="P252" s="1103"/>
      <c r="Q252" s="1108">
        <f>(Q250+Q251)/2</f>
        <v>-30039896.78184931</v>
      </c>
    </row>
    <row r="253" spans="1:17" customFormat="1" ht="13.5" customHeight="1">
      <c r="A253" s="1064">
        <f t="shared" si="78"/>
        <v>245</v>
      </c>
      <c r="B253" s="1103" t="s">
        <v>1686</v>
      </c>
      <c r="C253" s="1103"/>
      <c r="D253" s="1103"/>
      <c r="E253" s="1103"/>
      <c r="F253" s="1103" t="s">
        <v>1808</v>
      </c>
      <c r="G253" s="1103"/>
      <c r="H253" s="1103"/>
      <c r="I253" s="1103"/>
      <c r="J253" s="1110">
        <f>AVERAGE(J232, (SUM(H233:H244)+J232))</f>
        <v>-36818429.916174784</v>
      </c>
      <c r="K253" s="1103"/>
      <c r="L253" s="1103"/>
      <c r="M253" s="1103"/>
      <c r="N253" s="1103" t="s">
        <v>1807</v>
      </c>
      <c r="O253" s="1103"/>
      <c r="P253" s="1103"/>
      <c r="Q253" s="1110">
        <f>AVERAGE(Q232, (SUM(L233:L244)+Q232))</f>
        <v>-32844423.199999999</v>
      </c>
    </row>
    <row r="254" spans="1:17" customFormat="1" ht="13.5" customHeight="1">
      <c r="A254" s="1064">
        <f t="shared" si="78"/>
        <v>246</v>
      </c>
      <c r="B254" s="1103" t="s">
        <v>1687</v>
      </c>
      <c r="C254" s="1103"/>
      <c r="D254" s="1103"/>
      <c r="E254" s="1103"/>
      <c r="F254" s="1103"/>
      <c r="G254" s="1103"/>
      <c r="H254" s="1103"/>
      <c r="I254" s="1103"/>
      <c r="J254" s="1106">
        <f>J252-J253</f>
        <v>4487430.0107546821</v>
      </c>
      <c r="K254" s="1103"/>
      <c r="L254" s="1103"/>
      <c r="M254" s="1103"/>
      <c r="N254" s="1103"/>
      <c r="O254" s="1103"/>
      <c r="P254" s="1103"/>
      <c r="Q254" s="1106">
        <f>Q252-Q253</f>
        <v>2804526.4181506895</v>
      </c>
    </row>
    <row r="255" spans="1:17">
      <c r="A255" s="1064">
        <f t="shared" si="78"/>
        <v>247</v>
      </c>
      <c r="B255" s="1111"/>
      <c r="C255" s="1111"/>
      <c r="D255" s="1111"/>
      <c r="E255" s="1111"/>
      <c r="F255" s="1111"/>
      <c r="G255" s="1111"/>
      <c r="H255" s="1111"/>
      <c r="I255" s="1111"/>
      <c r="J255" s="1111"/>
      <c r="K255" s="1065"/>
      <c r="L255" s="1065"/>
      <c r="M255" s="1065"/>
      <c r="N255" s="1065"/>
      <c r="O255" s="1065"/>
      <c r="P255" s="1065"/>
      <c r="Q255" s="1111"/>
    </row>
    <row r="256" spans="1:17">
      <c r="A256" s="1064">
        <f t="shared" si="78"/>
        <v>248</v>
      </c>
      <c r="B256" s="1111"/>
      <c r="C256" s="1111"/>
      <c r="D256" s="1111"/>
      <c r="E256" s="1111"/>
      <c r="F256" s="1111"/>
      <c r="G256" s="1111"/>
      <c r="H256" s="1111"/>
      <c r="I256" s="1111"/>
      <c r="J256" s="1111"/>
      <c r="K256" s="1065"/>
      <c r="L256" s="1065"/>
      <c r="M256" s="1065"/>
      <c r="N256" s="1065"/>
      <c r="O256" s="1065"/>
      <c r="P256" s="1065"/>
      <c r="Q256" s="1111"/>
    </row>
    <row r="257" spans="1:18">
      <c r="A257" s="1064">
        <f t="shared" si="78"/>
        <v>249</v>
      </c>
      <c r="B257" s="1270" t="s">
        <v>1690</v>
      </c>
      <c r="C257" s="1270"/>
      <c r="D257" s="1270"/>
      <c r="E257" s="1270"/>
      <c r="F257" s="1065"/>
      <c r="G257" s="1065"/>
      <c r="H257" s="1112"/>
      <c r="I257" s="1112"/>
      <c r="J257" s="1112"/>
      <c r="K257" s="1065"/>
      <c r="L257" s="1113"/>
      <c r="M257" s="1114"/>
      <c r="N257" s="1114"/>
      <c r="O257" s="1114"/>
      <c r="P257" s="1114"/>
      <c r="Q257" s="1114"/>
      <c r="R257" s="1070"/>
    </row>
    <row r="258" spans="1:18">
      <c r="A258" s="1064">
        <f t="shared" si="78"/>
        <v>250</v>
      </c>
      <c r="B258" s="1262" t="s">
        <v>1006</v>
      </c>
      <c r="C258" s="1262"/>
      <c r="D258" s="1262"/>
      <c r="E258" s="1262"/>
      <c r="F258" s="1065"/>
      <c r="G258" s="1065"/>
      <c r="H258" s="1112"/>
      <c r="I258" s="1112"/>
      <c r="J258" s="1112"/>
      <c r="K258" s="1065"/>
      <c r="L258" s="1113"/>
      <c r="M258" s="1114"/>
      <c r="N258" s="1114"/>
      <c r="O258" s="1114"/>
      <c r="P258" s="1114"/>
      <c r="Q258" s="1114"/>
      <c r="R258" s="1070"/>
    </row>
    <row r="259" spans="1:18">
      <c r="A259" s="1064">
        <f t="shared" si="78"/>
        <v>251</v>
      </c>
      <c r="B259" s="1263" t="s">
        <v>1666</v>
      </c>
      <c r="C259" s="1264"/>
      <c r="D259" s="1264"/>
      <c r="E259" s="1264"/>
      <c r="F259" s="1265"/>
      <c r="G259" s="1071"/>
      <c r="H259" s="1266" t="s">
        <v>1667</v>
      </c>
      <c r="I259" s="1267"/>
      <c r="J259" s="1268"/>
      <c r="K259" s="1065"/>
      <c r="L259" s="1266" t="s">
        <v>1668</v>
      </c>
      <c r="M259" s="1267"/>
      <c r="N259" s="1267"/>
      <c r="O259" s="1267"/>
      <c r="P259" s="1267"/>
      <c r="Q259" s="1267"/>
    </row>
    <row r="260" spans="1:18">
      <c r="A260" s="1064">
        <f t="shared" si="78"/>
        <v>252</v>
      </c>
      <c r="B260" s="1072" t="s">
        <v>824</v>
      </c>
      <c r="C260" s="1072" t="s">
        <v>825</v>
      </c>
      <c r="D260" s="1072" t="s">
        <v>826</v>
      </c>
      <c r="E260" s="1072" t="s">
        <v>827</v>
      </c>
      <c r="F260" s="1072" t="s">
        <v>828</v>
      </c>
      <c r="G260" s="1071"/>
      <c r="H260" s="1072" t="s">
        <v>829</v>
      </c>
      <c r="I260" s="1072" t="s">
        <v>830</v>
      </c>
      <c r="J260" s="1072" t="s">
        <v>831</v>
      </c>
      <c r="K260" s="1065"/>
      <c r="L260" s="1072" t="s">
        <v>832</v>
      </c>
      <c r="M260" s="1072" t="s">
        <v>833</v>
      </c>
      <c r="N260" s="1072" t="s">
        <v>834</v>
      </c>
      <c r="O260" s="1072" t="s">
        <v>835</v>
      </c>
      <c r="P260" s="1072" t="s">
        <v>837</v>
      </c>
      <c r="Q260" s="1072" t="s">
        <v>836</v>
      </c>
    </row>
    <row r="261" spans="1:18" ht="45">
      <c r="A261" s="1064">
        <f t="shared" si="78"/>
        <v>253</v>
      </c>
      <c r="B261" s="1074" t="s">
        <v>1342</v>
      </c>
      <c r="C261" s="1074" t="s">
        <v>1577</v>
      </c>
      <c r="D261" s="1074" t="s">
        <v>1669</v>
      </c>
      <c r="E261" s="1074" t="s">
        <v>1670</v>
      </c>
      <c r="F261" s="1074" t="s">
        <v>1671</v>
      </c>
      <c r="G261" s="1075"/>
      <c r="H261" s="1074" t="s">
        <v>1672</v>
      </c>
      <c r="I261" s="1074" t="s">
        <v>1673</v>
      </c>
      <c r="J261" s="1074" t="s">
        <v>1674</v>
      </c>
      <c r="K261" s="1065"/>
      <c r="L261" s="1074" t="s">
        <v>1675</v>
      </c>
      <c r="M261" s="1074" t="s">
        <v>1676</v>
      </c>
      <c r="N261" s="1074" t="s">
        <v>1677</v>
      </c>
      <c r="O261" s="1074" t="s">
        <v>1678</v>
      </c>
      <c r="P261" s="1074" t="s">
        <v>1679</v>
      </c>
      <c r="Q261" s="1074" t="s">
        <v>1680</v>
      </c>
    </row>
    <row r="262" spans="1:18">
      <c r="A262" s="1064">
        <f t="shared" si="78"/>
        <v>254</v>
      </c>
      <c r="B262" s="1065"/>
      <c r="C262" s="1075"/>
      <c r="D262" s="1075"/>
      <c r="E262" s="1075"/>
      <c r="F262" s="1075"/>
      <c r="G262" s="1075"/>
      <c r="H262" s="1075"/>
      <c r="I262" s="1075"/>
      <c r="J262" s="1075"/>
      <c r="K262" s="1065"/>
      <c r="L262" s="1065"/>
      <c r="M262" s="1065"/>
      <c r="N262" s="1065"/>
      <c r="O262" s="1065"/>
      <c r="P262" s="1065"/>
      <c r="Q262" s="1065"/>
    </row>
    <row r="263" spans="1:18">
      <c r="A263" s="1064">
        <f t="shared" si="78"/>
        <v>255</v>
      </c>
      <c r="B263" s="1269" t="s">
        <v>1681</v>
      </c>
      <c r="C263" s="1269"/>
      <c r="D263" s="1269"/>
      <c r="E263" s="1269"/>
      <c r="F263" s="1078"/>
      <c r="G263" s="1078"/>
      <c r="H263" s="1079"/>
      <c r="I263" s="1079"/>
      <c r="J263" s="1080">
        <f>(SUM('WP_B-2'!C74,'WP_B-2'!C76,'WP_B-2'!C77))</f>
        <v>-4193885.7500000005</v>
      </c>
      <c r="K263" s="1081"/>
      <c r="L263" s="1079"/>
      <c r="M263" s="1082"/>
      <c r="N263" s="1082"/>
      <c r="O263" s="1082"/>
      <c r="P263" s="1082"/>
      <c r="Q263" s="1080">
        <f>'WP_B-2'!C182</f>
        <v>-3143187.6721448842</v>
      </c>
    </row>
    <row r="264" spans="1:18">
      <c r="A264" s="1064">
        <f t="shared" si="78"/>
        <v>256</v>
      </c>
      <c r="B264" s="1084" t="s">
        <v>950</v>
      </c>
      <c r="C264" s="1079">
        <v>31</v>
      </c>
      <c r="D264" s="1085">
        <f t="shared" ref="D264:D272" si="100">D265+C265</f>
        <v>335</v>
      </c>
      <c r="E264" s="1085">
        <f>SUM(C264:C275)</f>
        <v>365</v>
      </c>
      <c r="F264" s="1086">
        <f>D264/E264</f>
        <v>0.9178082191780822</v>
      </c>
      <c r="G264" s="1078"/>
      <c r="H264" s="1087">
        <f>(SUM('WP_B-2'!D74,'WP_B-2'!D76,'WP_B-2'!D77)-SUM('WP_B-2'!C74,'WP_B-2'!C76,'WP_B-2'!C77))/12</f>
        <v>39670.593333333381</v>
      </c>
      <c r="I264" s="1079">
        <f>+H264*F264</f>
        <v>36409.996621004611</v>
      </c>
      <c r="J264" s="1079">
        <f t="shared" ref="J264:J275" si="101">+I264+J263</f>
        <v>-4157475.7533789957</v>
      </c>
      <c r="K264" s="1065"/>
      <c r="L264" s="1087">
        <f>('WP_B-2'!D182-'WP_B-2'!C182)/12</f>
        <v>-28047.047019751353</v>
      </c>
      <c r="M264" s="1082">
        <f>L264-H264</f>
        <v>-67717.640353084731</v>
      </c>
      <c r="N264" s="1082">
        <f>IF(M264&lt;=0,+M264,0)</f>
        <v>-67717.640353084731</v>
      </c>
      <c r="O264" s="1082">
        <f>IF(N264&lt;0,0,IF(L264&gt;0,0,(-(M264)*(D264/E264))))</f>
        <v>0</v>
      </c>
      <c r="P264" s="1082">
        <f t="shared" ref="P264:P275" si="102">IF(L264&gt;0,L264,0)</f>
        <v>0</v>
      </c>
      <c r="Q264" s="1082">
        <f>IF(L264&gt;0,Q263+P264,Q263+I264+N264-O264)</f>
        <v>-3174495.315876964</v>
      </c>
    </row>
    <row r="265" spans="1:18">
      <c r="A265" s="1064">
        <f t="shared" si="78"/>
        <v>257</v>
      </c>
      <c r="B265" s="1084" t="s">
        <v>899</v>
      </c>
      <c r="C265" s="1087">
        <v>28</v>
      </c>
      <c r="D265" s="1085">
        <f t="shared" si="100"/>
        <v>307</v>
      </c>
      <c r="E265" s="1085">
        <f>E264</f>
        <v>365</v>
      </c>
      <c r="F265" s="1086">
        <f t="shared" ref="F265:F275" si="103">D265/E265</f>
        <v>0.84109589041095889</v>
      </c>
      <c r="G265" s="1078"/>
      <c r="H265" s="1087">
        <f>$H$264</f>
        <v>39670.593333333381</v>
      </c>
      <c r="I265" s="1079">
        <f t="shared" ref="I265:I275" si="104">+H265*F265</f>
        <v>33366.77302283109</v>
      </c>
      <c r="J265" s="1079">
        <f t="shared" si="101"/>
        <v>-4124108.9803561647</v>
      </c>
      <c r="K265" s="1065"/>
      <c r="L265" s="1087">
        <f>$L$264</f>
        <v>-28047.047019751353</v>
      </c>
      <c r="M265" s="1082">
        <f t="shared" ref="M265:M275" si="105">L265-H265</f>
        <v>-67717.640353084731</v>
      </c>
      <c r="N265" s="1082">
        <f t="shared" ref="N265:N275" si="106">IF(M265&lt;=0,+M265,0)</f>
        <v>-67717.640353084731</v>
      </c>
      <c r="O265" s="1082">
        <f t="shared" ref="O265:O275" si="107">IF(N265&lt;0,0,IF(L265&gt;0,0,(-(M265)*(D265/E265))))</f>
        <v>0</v>
      </c>
      <c r="P265" s="1082">
        <f t="shared" si="102"/>
        <v>0</v>
      </c>
      <c r="Q265" s="1082">
        <f t="shared" ref="Q265:Q275" si="108">IF(L265&gt;0,Q264+P265,Q264+I265+N265-O265)</f>
        <v>-3208846.1832072176</v>
      </c>
    </row>
    <row r="266" spans="1:18">
      <c r="A266" s="1064">
        <f t="shared" si="78"/>
        <v>258</v>
      </c>
      <c r="B266" s="1084" t="s">
        <v>900</v>
      </c>
      <c r="C266" s="1079">
        <v>31</v>
      </c>
      <c r="D266" s="1085">
        <f t="shared" si="100"/>
        <v>276</v>
      </c>
      <c r="E266" s="1085">
        <f t="shared" ref="E266:E275" si="109">E265</f>
        <v>365</v>
      </c>
      <c r="F266" s="1086">
        <f t="shared" si="103"/>
        <v>0.75616438356164384</v>
      </c>
      <c r="G266" s="1078"/>
      <c r="H266" s="1087">
        <f t="shared" ref="H266:H275" si="110">$H$264</f>
        <v>39670.593333333381</v>
      </c>
      <c r="I266" s="1079">
        <f t="shared" si="104"/>
        <v>29997.489753424696</v>
      </c>
      <c r="J266" s="1079">
        <f t="shared" si="101"/>
        <v>-4094111.4906027401</v>
      </c>
      <c r="K266" s="1065"/>
      <c r="L266" s="1087">
        <f t="shared" ref="L266:L275" si="111">$L$264</f>
        <v>-28047.047019751353</v>
      </c>
      <c r="M266" s="1082">
        <f t="shared" si="105"/>
        <v>-67717.640353084731</v>
      </c>
      <c r="N266" s="1082">
        <f t="shared" si="106"/>
        <v>-67717.640353084731</v>
      </c>
      <c r="O266" s="1082">
        <f t="shared" si="107"/>
        <v>0</v>
      </c>
      <c r="P266" s="1082">
        <f t="shared" si="102"/>
        <v>0</v>
      </c>
      <c r="Q266" s="1082">
        <f t="shared" si="108"/>
        <v>-3246566.3338068775</v>
      </c>
    </row>
    <row r="267" spans="1:18">
      <c r="A267" s="1064">
        <f t="shared" ref="A267:A330" si="112">+A266+1</f>
        <v>259</v>
      </c>
      <c r="B267" s="1084" t="s">
        <v>901</v>
      </c>
      <c r="C267" s="1079">
        <v>30</v>
      </c>
      <c r="D267" s="1085">
        <f t="shared" si="100"/>
        <v>246</v>
      </c>
      <c r="E267" s="1085">
        <f t="shared" si="109"/>
        <v>365</v>
      </c>
      <c r="F267" s="1086">
        <f t="shared" si="103"/>
        <v>0.67397260273972603</v>
      </c>
      <c r="G267" s="1078"/>
      <c r="H267" s="1087">
        <f t="shared" si="110"/>
        <v>39670.593333333381</v>
      </c>
      <c r="I267" s="1079">
        <f t="shared" si="104"/>
        <v>26736.893041095922</v>
      </c>
      <c r="J267" s="1079">
        <f t="shared" si="101"/>
        <v>-4067374.5975616444</v>
      </c>
      <c r="K267" s="1065"/>
      <c r="L267" s="1087">
        <f t="shared" si="111"/>
        <v>-28047.047019751353</v>
      </c>
      <c r="M267" s="1082">
        <f t="shared" si="105"/>
        <v>-67717.640353084731</v>
      </c>
      <c r="N267" s="1082">
        <f t="shared" si="106"/>
        <v>-67717.640353084731</v>
      </c>
      <c r="O267" s="1082">
        <f t="shared" si="107"/>
        <v>0</v>
      </c>
      <c r="P267" s="1082">
        <f t="shared" si="102"/>
        <v>0</v>
      </c>
      <c r="Q267" s="1082">
        <f t="shared" si="108"/>
        <v>-3287547.0811188663</v>
      </c>
    </row>
    <row r="268" spans="1:18">
      <c r="A268" s="1064">
        <f t="shared" si="112"/>
        <v>260</v>
      </c>
      <c r="B268" s="1084" t="s">
        <v>902</v>
      </c>
      <c r="C268" s="1079">
        <v>31</v>
      </c>
      <c r="D268" s="1085">
        <f t="shared" si="100"/>
        <v>215</v>
      </c>
      <c r="E268" s="1085">
        <f t="shared" si="109"/>
        <v>365</v>
      </c>
      <c r="F268" s="1086">
        <f t="shared" si="103"/>
        <v>0.58904109589041098</v>
      </c>
      <c r="G268" s="1078"/>
      <c r="H268" s="1087">
        <f t="shared" si="110"/>
        <v>39670.593333333381</v>
      </c>
      <c r="I268" s="1079">
        <f t="shared" si="104"/>
        <v>23367.609771689527</v>
      </c>
      <c r="J268" s="1079">
        <f t="shared" si="101"/>
        <v>-4044006.987789955</v>
      </c>
      <c r="K268" s="1065"/>
      <c r="L268" s="1087">
        <f t="shared" si="111"/>
        <v>-28047.047019751353</v>
      </c>
      <c r="M268" s="1082">
        <f t="shared" si="105"/>
        <v>-67717.640353084731</v>
      </c>
      <c r="N268" s="1082">
        <f t="shared" si="106"/>
        <v>-67717.640353084731</v>
      </c>
      <c r="O268" s="1082">
        <f t="shared" si="107"/>
        <v>0</v>
      </c>
      <c r="P268" s="1082">
        <f t="shared" si="102"/>
        <v>0</v>
      </c>
      <c r="Q268" s="1082">
        <f t="shared" si="108"/>
        <v>-3331897.1117002615</v>
      </c>
    </row>
    <row r="269" spans="1:18">
      <c r="A269" s="1064">
        <f t="shared" si="112"/>
        <v>261</v>
      </c>
      <c r="B269" s="1084" t="s">
        <v>903</v>
      </c>
      <c r="C269" s="1079">
        <v>30</v>
      </c>
      <c r="D269" s="1085">
        <f t="shared" si="100"/>
        <v>185</v>
      </c>
      <c r="E269" s="1085">
        <f t="shared" si="109"/>
        <v>365</v>
      </c>
      <c r="F269" s="1086">
        <f t="shared" si="103"/>
        <v>0.50684931506849318</v>
      </c>
      <c r="G269" s="1078"/>
      <c r="H269" s="1087">
        <f t="shared" si="110"/>
        <v>39670.593333333381</v>
      </c>
      <c r="I269" s="1079">
        <f t="shared" si="104"/>
        <v>20107.013059360757</v>
      </c>
      <c r="J269" s="1079">
        <f t="shared" si="101"/>
        <v>-4023899.9747305941</v>
      </c>
      <c r="K269" s="1065"/>
      <c r="L269" s="1087">
        <f t="shared" si="111"/>
        <v>-28047.047019751353</v>
      </c>
      <c r="M269" s="1082">
        <f t="shared" si="105"/>
        <v>-67717.640353084731</v>
      </c>
      <c r="N269" s="1082">
        <f t="shared" si="106"/>
        <v>-67717.640353084731</v>
      </c>
      <c r="O269" s="1082">
        <f t="shared" si="107"/>
        <v>0</v>
      </c>
      <c r="P269" s="1082">
        <f t="shared" si="102"/>
        <v>0</v>
      </c>
      <c r="Q269" s="1082">
        <f t="shared" si="108"/>
        <v>-3379507.7389939851</v>
      </c>
    </row>
    <row r="270" spans="1:18">
      <c r="A270" s="1064">
        <f t="shared" si="112"/>
        <v>262</v>
      </c>
      <c r="B270" s="1084" t="s">
        <v>904</v>
      </c>
      <c r="C270" s="1079">
        <v>31</v>
      </c>
      <c r="D270" s="1085">
        <f t="shared" si="100"/>
        <v>154</v>
      </c>
      <c r="E270" s="1085">
        <f t="shared" si="109"/>
        <v>365</v>
      </c>
      <c r="F270" s="1086">
        <f t="shared" si="103"/>
        <v>0.42191780821917807</v>
      </c>
      <c r="G270" s="1078"/>
      <c r="H270" s="1087">
        <f t="shared" si="110"/>
        <v>39670.593333333381</v>
      </c>
      <c r="I270" s="1079">
        <f t="shared" si="104"/>
        <v>16737.729789954359</v>
      </c>
      <c r="J270" s="1079">
        <f t="shared" si="101"/>
        <v>-4007162.2449406399</v>
      </c>
      <c r="K270" s="1065"/>
      <c r="L270" s="1087">
        <f t="shared" si="111"/>
        <v>-28047.047019751353</v>
      </c>
      <c r="M270" s="1082">
        <f t="shared" si="105"/>
        <v>-67717.640353084731</v>
      </c>
      <c r="N270" s="1082">
        <f t="shared" si="106"/>
        <v>-67717.640353084731</v>
      </c>
      <c r="O270" s="1082">
        <f t="shared" si="107"/>
        <v>0</v>
      </c>
      <c r="P270" s="1082">
        <f t="shared" si="102"/>
        <v>0</v>
      </c>
      <c r="Q270" s="1082">
        <f t="shared" si="108"/>
        <v>-3430487.6495571155</v>
      </c>
    </row>
    <row r="271" spans="1:18">
      <c r="A271" s="1064">
        <f t="shared" si="112"/>
        <v>263</v>
      </c>
      <c r="B271" s="1084" t="s">
        <v>905</v>
      </c>
      <c r="C271" s="1079">
        <v>31</v>
      </c>
      <c r="D271" s="1085">
        <f t="shared" si="100"/>
        <v>123</v>
      </c>
      <c r="E271" s="1085">
        <f t="shared" si="109"/>
        <v>365</v>
      </c>
      <c r="F271" s="1086">
        <f t="shared" si="103"/>
        <v>0.33698630136986302</v>
      </c>
      <c r="G271" s="1078"/>
      <c r="H271" s="1087">
        <f t="shared" si="110"/>
        <v>39670.593333333381</v>
      </c>
      <c r="I271" s="1079">
        <f t="shared" si="104"/>
        <v>13368.446520547961</v>
      </c>
      <c r="J271" s="1079">
        <f t="shared" si="101"/>
        <v>-3993793.7984200921</v>
      </c>
      <c r="K271" s="1065"/>
      <c r="L271" s="1087">
        <f t="shared" si="111"/>
        <v>-28047.047019751353</v>
      </c>
      <c r="M271" s="1082">
        <f t="shared" si="105"/>
        <v>-67717.640353084731</v>
      </c>
      <c r="N271" s="1082">
        <f t="shared" si="106"/>
        <v>-67717.640353084731</v>
      </c>
      <c r="O271" s="1082">
        <f t="shared" si="107"/>
        <v>0</v>
      </c>
      <c r="P271" s="1082">
        <f t="shared" si="102"/>
        <v>0</v>
      </c>
      <c r="Q271" s="1082">
        <f t="shared" si="108"/>
        <v>-3484836.8433896522</v>
      </c>
    </row>
    <row r="272" spans="1:18">
      <c r="A272" s="1064">
        <f t="shared" si="112"/>
        <v>264</v>
      </c>
      <c r="B272" s="1084" t="s">
        <v>906</v>
      </c>
      <c r="C272" s="1079">
        <v>30</v>
      </c>
      <c r="D272" s="1085">
        <f t="shared" si="100"/>
        <v>93</v>
      </c>
      <c r="E272" s="1085">
        <f t="shared" si="109"/>
        <v>365</v>
      </c>
      <c r="F272" s="1086">
        <f t="shared" si="103"/>
        <v>0.25479452054794521</v>
      </c>
      <c r="G272" s="1078"/>
      <c r="H272" s="1087">
        <f t="shared" si="110"/>
        <v>39670.593333333381</v>
      </c>
      <c r="I272" s="1079">
        <f t="shared" si="104"/>
        <v>10107.849808219191</v>
      </c>
      <c r="J272" s="1079">
        <f t="shared" si="101"/>
        <v>-3983685.9486118727</v>
      </c>
      <c r="K272" s="1065"/>
      <c r="L272" s="1087">
        <f t="shared" si="111"/>
        <v>-28047.047019751353</v>
      </c>
      <c r="M272" s="1082">
        <f t="shared" si="105"/>
        <v>-67717.640353084731</v>
      </c>
      <c r="N272" s="1082">
        <f t="shared" si="106"/>
        <v>-67717.640353084731</v>
      </c>
      <c r="O272" s="1082">
        <f t="shared" si="107"/>
        <v>0</v>
      </c>
      <c r="P272" s="1082">
        <f t="shared" si="102"/>
        <v>0</v>
      </c>
      <c r="Q272" s="1082">
        <f t="shared" si="108"/>
        <v>-3542446.6339345174</v>
      </c>
    </row>
    <row r="273" spans="1:18">
      <c r="A273" s="1064">
        <f t="shared" si="112"/>
        <v>265</v>
      </c>
      <c r="B273" s="1084" t="s">
        <v>907</v>
      </c>
      <c r="C273" s="1079">
        <v>31</v>
      </c>
      <c r="D273" s="1085">
        <f>D274+C274</f>
        <v>62</v>
      </c>
      <c r="E273" s="1085">
        <f t="shared" si="109"/>
        <v>365</v>
      </c>
      <c r="F273" s="1086">
        <f t="shared" si="103"/>
        <v>0.16986301369863013</v>
      </c>
      <c r="G273" s="1078"/>
      <c r="H273" s="1087">
        <f t="shared" si="110"/>
        <v>39670.593333333381</v>
      </c>
      <c r="I273" s="1079">
        <f t="shared" si="104"/>
        <v>6738.5665388127936</v>
      </c>
      <c r="J273" s="1079">
        <f t="shared" si="101"/>
        <v>-3976947.3820730601</v>
      </c>
      <c r="K273" s="1065"/>
      <c r="L273" s="1087">
        <f t="shared" si="111"/>
        <v>-28047.047019751353</v>
      </c>
      <c r="M273" s="1082">
        <f t="shared" si="105"/>
        <v>-67717.640353084731</v>
      </c>
      <c r="N273" s="1082">
        <f t="shared" si="106"/>
        <v>-67717.640353084731</v>
      </c>
      <c r="O273" s="1082">
        <f t="shared" si="107"/>
        <v>0</v>
      </c>
      <c r="P273" s="1082">
        <f t="shared" si="102"/>
        <v>0</v>
      </c>
      <c r="Q273" s="1082">
        <f t="shared" si="108"/>
        <v>-3603425.7077487893</v>
      </c>
    </row>
    <row r="274" spans="1:18">
      <c r="A274" s="1064">
        <f t="shared" si="112"/>
        <v>266</v>
      </c>
      <c r="B274" s="1084" t="s">
        <v>908</v>
      </c>
      <c r="C274" s="1079">
        <v>30</v>
      </c>
      <c r="D274" s="1085">
        <f>D275+C275</f>
        <v>32</v>
      </c>
      <c r="E274" s="1085">
        <f t="shared" si="109"/>
        <v>365</v>
      </c>
      <c r="F274" s="1086">
        <f t="shared" si="103"/>
        <v>8.7671232876712329E-2</v>
      </c>
      <c r="G274" s="1078"/>
      <c r="H274" s="1087">
        <f t="shared" si="110"/>
        <v>39670.593333333381</v>
      </c>
      <c r="I274" s="1079">
        <f t="shared" si="104"/>
        <v>3477.9698264840226</v>
      </c>
      <c r="J274" s="1079">
        <f t="shared" si="101"/>
        <v>-3973469.412246576</v>
      </c>
      <c r="K274" s="1065"/>
      <c r="L274" s="1087">
        <f t="shared" si="111"/>
        <v>-28047.047019751353</v>
      </c>
      <c r="M274" s="1082">
        <f t="shared" si="105"/>
        <v>-67717.640353084731</v>
      </c>
      <c r="N274" s="1082">
        <f t="shared" si="106"/>
        <v>-67717.640353084731</v>
      </c>
      <c r="O274" s="1082">
        <f t="shared" si="107"/>
        <v>0</v>
      </c>
      <c r="P274" s="1082">
        <f t="shared" si="102"/>
        <v>0</v>
      </c>
      <c r="Q274" s="1082">
        <f t="shared" si="108"/>
        <v>-3667665.3782753898</v>
      </c>
    </row>
    <row r="275" spans="1:18">
      <c r="A275" s="1064">
        <f t="shared" si="112"/>
        <v>267</v>
      </c>
      <c r="B275" s="1084" t="s">
        <v>909</v>
      </c>
      <c r="C275" s="1079">
        <v>31</v>
      </c>
      <c r="D275" s="1085">
        <v>1</v>
      </c>
      <c r="E275" s="1085">
        <f t="shared" si="109"/>
        <v>365</v>
      </c>
      <c r="F275" s="1086">
        <f t="shared" si="103"/>
        <v>2.7397260273972603E-3</v>
      </c>
      <c r="G275" s="1078"/>
      <c r="H275" s="1087">
        <f t="shared" si="110"/>
        <v>39670.593333333381</v>
      </c>
      <c r="I275" s="1079">
        <f t="shared" si="104"/>
        <v>108.68655707762571</v>
      </c>
      <c r="J275" s="1079">
        <f t="shared" si="101"/>
        <v>-3973360.7256894982</v>
      </c>
      <c r="K275" s="1065"/>
      <c r="L275" s="1087">
        <f t="shared" si="111"/>
        <v>-28047.047019751353</v>
      </c>
      <c r="M275" s="1082">
        <f t="shared" si="105"/>
        <v>-67717.640353084731</v>
      </c>
      <c r="N275" s="1082">
        <f t="shared" si="106"/>
        <v>-67717.640353084731</v>
      </c>
      <c r="O275" s="1082">
        <f t="shared" si="107"/>
        <v>0</v>
      </c>
      <c r="P275" s="1082">
        <f t="shared" si="102"/>
        <v>0</v>
      </c>
      <c r="Q275" s="1082">
        <f t="shared" si="108"/>
        <v>-3735274.3320713965</v>
      </c>
    </row>
    <row r="276" spans="1:18">
      <c r="A276" s="1064">
        <f t="shared" si="112"/>
        <v>268</v>
      </c>
      <c r="B276" s="1088"/>
      <c r="C276" s="1088" t="s">
        <v>790</v>
      </c>
      <c r="D276" s="1089">
        <f>+SUM(D264:D275)</f>
        <v>2029</v>
      </c>
      <c r="E276" s="1089">
        <f>+SUM(E264:E275)</f>
        <v>4380</v>
      </c>
      <c r="F276" s="1090"/>
      <c r="G276" s="1078"/>
      <c r="H276" s="1091">
        <f>SUM(H264:H275)</f>
        <v>476047.12000000058</v>
      </c>
      <c r="I276" s="1091">
        <f>SUM(I264:I275)</f>
        <v>220525.02431050251</v>
      </c>
      <c r="J276" s="1090"/>
      <c r="K276" s="1065"/>
      <c r="L276" s="1092">
        <f>SUM(L264:L275)</f>
        <v>-336564.56423701625</v>
      </c>
      <c r="M276" s="1092">
        <f>SUM(M264:M275)</f>
        <v>-812611.68423701695</v>
      </c>
      <c r="N276" s="1092">
        <f>SUM(N264:N275)</f>
        <v>-812611.68423701695</v>
      </c>
      <c r="O276" s="1092">
        <f>SUM(O264:O275)</f>
        <v>0</v>
      </c>
      <c r="P276" s="1092">
        <f>SUM(P264:P275)</f>
        <v>0</v>
      </c>
      <c r="Q276" s="1092"/>
    </row>
    <row r="277" spans="1:18">
      <c r="A277" s="1064">
        <f t="shared" si="112"/>
        <v>269</v>
      </c>
      <c r="B277" s="1094"/>
      <c r="C277" s="1094"/>
      <c r="D277" s="1095"/>
      <c r="E277" s="1095"/>
      <c r="F277" s="1096"/>
      <c r="G277" s="1078"/>
      <c r="H277" s="1079"/>
      <c r="I277" s="1079"/>
      <c r="J277" s="1096"/>
      <c r="K277" s="1065"/>
      <c r="L277" s="1098"/>
      <c r="M277" s="1098"/>
      <c r="N277" s="1098"/>
      <c r="O277" s="1098"/>
      <c r="P277" s="1098"/>
      <c r="Q277" s="1098"/>
    </row>
    <row r="278" spans="1:18">
      <c r="A278" s="1064">
        <f t="shared" si="112"/>
        <v>270</v>
      </c>
      <c r="B278" s="1065" t="s">
        <v>1682</v>
      </c>
      <c r="C278" s="1094"/>
      <c r="D278" s="1095"/>
      <c r="E278" s="1099">
        <f>1-(D276/E276)</f>
        <v>0.53675799086757991</v>
      </c>
      <c r="F278" s="1096"/>
      <c r="G278" s="1078"/>
      <c r="H278" s="1079"/>
      <c r="I278" s="1079"/>
      <c r="J278" s="1096"/>
      <c r="K278" s="1065"/>
      <c r="L278" s="1098"/>
      <c r="M278" s="1098"/>
      <c r="N278" s="1098"/>
      <c r="O278" s="1098"/>
      <c r="P278" s="1098"/>
      <c r="Q278" s="1098"/>
    </row>
    <row r="279" spans="1:18">
      <c r="A279" s="1064">
        <f t="shared" si="112"/>
        <v>271</v>
      </c>
      <c r="B279" s="1094"/>
      <c r="C279" s="1094"/>
      <c r="D279" s="1094"/>
      <c r="E279" s="1094"/>
      <c r="F279" s="1096"/>
      <c r="G279" s="1096"/>
      <c r="H279" s="1101"/>
      <c r="I279" s="1102"/>
      <c r="J279" s="1096"/>
      <c r="K279" s="1065"/>
      <c r="L279" s="1065"/>
      <c r="M279" s="1065"/>
      <c r="N279" s="1065"/>
      <c r="O279" s="1065"/>
      <c r="P279" s="1065"/>
      <c r="Q279" s="1065"/>
    </row>
    <row r="280" spans="1:18">
      <c r="A280" s="1064">
        <f t="shared" si="112"/>
        <v>272</v>
      </c>
      <c r="B280" s="1100"/>
      <c r="C280" s="1094"/>
      <c r="D280" s="1065"/>
      <c r="E280" s="1094"/>
      <c r="F280" s="1065"/>
      <c r="G280" s="1096"/>
      <c r="H280" s="1101"/>
      <c r="I280" s="1102"/>
      <c r="J280" s="1095"/>
      <c r="K280" s="1065"/>
      <c r="L280" s="1065"/>
      <c r="M280" s="1065"/>
      <c r="N280" s="1065"/>
      <c r="O280" s="1065"/>
      <c r="P280" s="1065"/>
      <c r="Q280" s="1095"/>
    </row>
    <row r="281" spans="1:18" customFormat="1">
      <c r="A281" s="1064">
        <f t="shared" si="112"/>
        <v>273</v>
      </c>
      <c r="B281" s="1103" t="s">
        <v>1683</v>
      </c>
      <c r="C281" s="1103"/>
      <c r="D281" s="1103"/>
      <c r="E281" s="1103"/>
      <c r="F281" s="1104" t="str">
        <f>"(Line "&amp;A263&amp;", Col H)"</f>
        <v>(Line 255, Col H)</v>
      </c>
      <c r="G281" s="1105"/>
      <c r="H281" s="1103"/>
      <c r="I281" s="1105"/>
      <c r="J281" s="1082">
        <f>J263</f>
        <v>-4193885.7500000005</v>
      </c>
      <c r="K281" s="1103"/>
      <c r="L281" s="1103"/>
      <c r="M281" s="1103"/>
      <c r="N281" s="1104" t="str">
        <f>"(Line "&amp;A263&amp;", Col N)"</f>
        <v>(Line 255, Col N)</v>
      </c>
      <c r="O281" s="1103"/>
      <c r="P281" s="1103"/>
      <c r="Q281" s="1082">
        <f>Q263</f>
        <v>-3143187.6721448842</v>
      </c>
    </row>
    <row r="282" spans="1:18" customFormat="1">
      <c r="A282" s="1064">
        <f t="shared" si="112"/>
        <v>274</v>
      </c>
      <c r="B282" s="1103" t="s">
        <v>1684</v>
      </c>
      <c r="C282" s="1103"/>
      <c r="D282" s="1103"/>
      <c r="E282" s="1103"/>
      <c r="F282" s="1104" t="str">
        <f>"(Line "&amp;A275&amp;", Col H)"</f>
        <v>(Line 267, Col H)</v>
      </c>
      <c r="G282" s="1105"/>
      <c r="H282" s="1103"/>
      <c r="I282" s="1105"/>
      <c r="J282" s="1079">
        <f>J275</f>
        <v>-3973360.7256894982</v>
      </c>
      <c r="K282" s="1103"/>
      <c r="L282" s="1106"/>
      <c r="M282" s="1103"/>
      <c r="N282" s="1104" t="str">
        <f>"(Line "&amp;A275&amp;", Col N)"</f>
        <v>(Line 267, Col N)</v>
      </c>
      <c r="O282" s="1103"/>
      <c r="P282" s="1103"/>
      <c r="Q282" s="1079">
        <f>Q275</f>
        <v>-3735274.3320713965</v>
      </c>
    </row>
    <row r="283" spans="1:18" customFormat="1">
      <c r="A283" s="1064">
        <f t="shared" si="112"/>
        <v>275</v>
      </c>
      <c r="B283" s="1103" t="s">
        <v>1685</v>
      </c>
      <c r="C283" s="1103"/>
      <c r="D283" s="1103"/>
      <c r="E283" s="1103"/>
      <c r="F283" s="1103" t="str">
        <f>"(Average of Line "&amp;A281&amp;" &amp; Line "&amp;A282&amp;")"</f>
        <v>(Average of Line 273 &amp; Line 274)</v>
      </c>
      <c r="G283" s="1105"/>
      <c r="H283" s="1103"/>
      <c r="I283" s="1107"/>
      <c r="J283" s="1108">
        <f>(J281+J282)/2</f>
        <v>-4083623.2378447494</v>
      </c>
      <c r="K283" s="1103"/>
      <c r="L283" s="1109"/>
      <c r="M283" s="1103"/>
      <c r="N283" s="1103" t="str">
        <f>"(Average of Line "&amp;A281&amp;" &amp; Line "&amp;A282&amp;")"</f>
        <v>(Average of Line 273 &amp; Line 274)</v>
      </c>
      <c r="O283" s="1103"/>
      <c r="P283" s="1103"/>
      <c r="Q283" s="1108">
        <f>(Q281+Q282)/2</f>
        <v>-3439231.0021081404</v>
      </c>
    </row>
    <row r="284" spans="1:18" customFormat="1" ht="13.5" customHeight="1">
      <c r="A284" s="1064">
        <f t="shared" si="112"/>
        <v>276</v>
      </c>
      <c r="B284" s="1103" t="s">
        <v>1686</v>
      </c>
      <c r="C284" s="1103"/>
      <c r="D284" s="1103"/>
      <c r="E284" s="1103"/>
      <c r="F284" s="1103" t="s">
        <v>1809</v>
      </c>
      <c r="G284" s="1103"/>
      <c r="H284" s="1103"/>
      <c r="I284" s="1103"/>
      <c r="J284" s="1110">
        <f>AVERAGE(J263, (SUM(H264:H275)+J263))</f>
        <v>-3955862.1900000004</v>
      </c>
      <c r="K284" s="1103"/>
      <c r="L284" s="1103"/>
      <c r="M284" s="1103"/>
      <c r="N284" s="1103" t="s">
        <v>1807</v>
      </c>
      <c r="O284" s="1103"/>
      <c r="P284" s="1103"/>
      <c r="Q284" s="1110">
        <f>AVERAGE(Q263, (SUM(L264:L275)+Q263))</f>
        <v>-3311469.9542633924</v>
      </c>
    </row>
    <row r="285" spans="1:18" customFormat="1" ht="13.5" customHeight="1">
      <c r="A285" s="1064">
        <f t="shared" si="112"/>
        <v>277</v>
      </c>
      <c r="B285" s="1103" t="s">
        <v>1687</v>
      </c>
      <c r="C285" s="1103"/>
      <c r="D285" s="1103"/>
      <c r="E285" s="1103"/>
      <c r="F285" s="1103"/>
      <c r="G285" s="1103"/>
      <c r="H285" s="1103"/>
      <c r="I285" s="1103"/>
      <c r="J285" s="1106">
        <f>J283-J284</f>
        <v>-127761.04784474894</v>
      </c>
      <c r="K285" s="1103"/>
      <c r="L285" s="1103"/>
      <c r="M285" s="1103"/>
      <c r="N285" s="1103"/>
      <c r="O285" s="1103"/>
      <c r="P285" s="1103"/>
      <c r="Q285" s="1106">
        <f>Q283-Q284</f>
        <v>-127761.04784474801</v>
      </c>
    </row>
    <row r="286" spans="1:18">
      <c r="A286" s="1064">
        <f t="shared" si="112"/>
        <v>278</v>
      </c>
      <c r="B286" s="1111"/>
      <c r="C286" s="1111"/>
      <c r="D286" s="1111"/>
      <c r="E286" s="1111"/>
      <c r="F286" s="1111"/>
      <c r="G286" s="1111"/>
      <c r="H286" s="1111"/>
      <c r="I286" s="1111"/>
      <c r="J286" s="1111"/>
      <c r="K286" s="1065"/>
      <c r="L286" s="1065"/>
      <c r="M286" s="1065"/>
      <c r="N286" s="1065"/>
      <c r="O286" s="1065"/>
      <c r="P286" s="1065"/>
      <c r="Q286" s="1111"/>
    </row>
    <row r="287" spans="1:18" s="1070" customFormat="1">
      <c r="A287" s="1115">
        <f t="shared" si="112"/>
        <v>279</v>
      </c>
      <c r="B287" s="1077"/>
      <c r="C287" s="1077"/>
      <c r="D287" s="1077"/>
      <c r="E287" s="1077"/>
      <c r="F287" s="1077"/>
      <c r="G287" s="1077"/>
      <c r="H287" s="1077"/>
      <c r="I287" s="1077"/>
      <c r="J287" s="1077"/>
      <c r="K287" s="1077"/>
      <c r="L287" s="1077"/>
      <c r="M287" s="1077"/>
      <c r="N287" s="1077"/>
      <c r="O287" s="1077"/>
      <c r="P287" s="1077"/>
      <c r="Q287" s="1077"/>
    </row>
    <row r="288" spans="1:18">
      <c r="A288" s="1064">
        <f t="shared" si="112"/>
        <v>280</v>
      </c>
      <c r="B288" s="1270" t="s">
        <v>1691</v>
      </c>
      <c r="C288" s="1270"/>
      <c r="D288" s="1270"/>
      <c r="E288" s="1270"/>
      <c r="F288" s="1065"/>
      <c r="G288" s="1065"/>
      <c r="H288" s="1112"/>
      <c r="I288" s="1112"/>
      <c r="J288" s="1112"/>
      <c r="K288" s="1065"/>
      <c r="L288" s="1113"/>
      <c r="M288" s="1114"/>
      <c r="N288" s="1114"/>
      <c r="O288" s="1114"/>
      <c r="P288" s="1114"/>
      <c r="Q288" s="1114"/>
      <c r="R288" s="1070"/>
    </row>
    <row r="289" spans="1:18">
      <c r="A289" s="1064">
        <f t="shared" si="112"/>
        <v>281</v>
      </c>
      <c r="B289" s="1262" t="s">
        <v>1692</v>
      </c>
      <c r="C289" s="1262"/>
      <c r="D289" s="1262"/>
      <c r="E289" s="1262"/>
      <c r="F289" s="1065"/>
      <c r="G289" s="1065"/>
      <c r="H289" s="1112"/>
      <c r="I289" s="1112"/>
      <c r="J289" s="1112"/>
      <c r="K289" s="1065"/>
      <c r="L289" s="1113"/>
      <c r="M289" s="1114"/>
      <c r="N289" s="1114"/>
      <c r="O289" s="1114"/>
      <c r="P289" s="1114"/>
      <c r="Q289" s="1114"/>
      <c r="R289" s="1070"/>
    </row>
    <row r="290" spans="1:18">
      <c r="A290" s="1064">
        <f t="shared" si="112"/>
        <v>282</v>
      </c>
      <c r="B290" s="1263" t="s">
        <v>1666</v>
      </c>
      <c r="C290" s="1264"/>
      <c r="D290" s="1264"/>
      <c r="E290" s="1264"/>
      <c r="F290" s="1265"/>
      <c r="G290" s="1071"/>
      <c r="H290" s="1266" t="s">
        <v>1667</v>
      </c>
      <c r="I290" s="1267"/>
      <c r="J290" s="1268"/>
      <c r="K290" s="1065"/>
      <c r="L290" s="1266" t="s">
        <v>1668</v>
      </c>
      <c r="M290" s="1267"/>
      <c r="N290" s="1267"/>
      <c r="O290" s="1267"/>
      <c r="P290" s="1267"/>
      <c r="Q290" s="1267"/>
    </row>
    <row r="291" spans="1:18">
      <c r="A291" s="1064">
        <f t="shared" si="112"/>
        <v>283</v>
      </c>
      <c r="B291" s="1072" t="s">
        <v>824</v>
      </c>
      <c r="C291" s="1072" t="s">
        <v>825</v>
      </c>
      <c r="D291" s="1072" t="s">
        <v>826</v>
      </c>
      <c r="E291" s="1072" t="s">
        <v>827</v>
      </c>
      <c r="F291" s="1072" t="s">
        <v>828</v>
      </c>
      <c r="G291" s="1071"/>
      <c r="H291" s="1072" t="s">
        <v>829</v>
      </c>
      <c r="I291" s="1072" t="s">
        <v>830</v>
      </c>
      <c r="J291" s="1072" t="s">
        <v>831</v>
      </c>
      <c r="K291" s="1065"/>
      <c r="L291" s="1072" t="s">
        <v>832</v>
      </c>
      <c r="M291" s="1072" t="s">
        <v>833</v>
      </c>
      <c r="N291" s="1072" t="s">
        <v>834</v>
      </c>
      <c r="O291" s="1072" t="s">
        <v>835</v>
      </c>
      <c r="P291" s="1072" t="s">
        <v>837</v>
      </c>
      <c r="Q291" s="1072" t="s">
        <v>836</v>
      </c>
    </row>
    <row r="292" spans="1:18" ht="45">
      <c r="A292" s="1064">
        <f t="shared" si="112"/>
        <v>284</v>
      </c>
      <c r="B292" s="1074" t="s">
        <v>1342</v>
      </c>
      <c r="C292" s="1074" t="s">
        <v>1577</v>
      </c>
      <c r="D292" s="1074" t="s">
        <v>1669</v>
      </c>
      <c r="E292" s="1074" t="s">
        <v>1670</v>
      </c>
      <c r="F292" s="1074" t="s">
        <v>1671</v>
      </c>
      <c r="G292" s="1075"/>
      <c r="H292" s="1074" t="s">
        <v>1672</v>
      </c>
      <c r="I292" s="1074" t="s">
        <v>1673</v>
      </c>
      <c r="J292" s="1074" t="s">
        <v>1674</v>
      </c>
      <c r="K292" s="1065"/>
      <c r="L292" s="1074" t="s">
        <v>1675</v>
      </c>
      <c r="M292" s="1074" t="s">
        <v>1676</v>
      </c>
      <c r="N292" s="1074" t="s">
        <v>1677</v>
      </c>
      <c r="O292" s="1074" t="s">
        <v>1678</v>
      </c>
      <c r="P292" s="1074" t="s">
        <v>1679</v>
      </c>
      <c r="Q292" s="1074" t="s">
        <v>1680</v>
      </c>
    </row>
    <row r="293" spans="1:18">
      <c r="A293" s="1064">
        <f t="shared" si="112"/>
        <v>285</v>
      </c>
      <c r="B293" s="1065"/>
      <c r="C293" s="1075"/>
      <c r="D293" s="1075"/>
      <c r="E293" s="1075"/>
      <c r="F293" s="1075"/>
      <c r="G293" s="1075"/>
      <c r="H293" s="1075"/>
      <c r="I293" s="1075"/>
      <c r="J293" s="1075"/>
      <c r="K293" s="1065"/>
      <c r="L293" s="1065"/>
      <c r="M293" s="1065"/>
      <c r="N293" s="1065"/>
      <c r="O293" s="1065"/>
      <c r="P293" s="1065"/>
      <c r="Q293" s="1065"/>
    </row>
    <row r="294" spans="1:18">
      <c r="A294" s="1064">
        <f t="shared" si="112"/>
        <v>286</v>
      </c>
      <c r="B294" s="1269" t="s">
        <v>1681</v>
      </c>
      <c r="C294" s="1269"/>
      <c r="D294" s="1269"/>
      <c r="E294" s="1269"/>
      <c r="F294" s="1078"/>
      <c r="G294" s="1078"/>
      <c r="H294" s="1079"/>
      <c r="I294" s="1079"/>
      <c r="J294" s="1080">
        <f>'WP_B-Inputs Est.'!C107</f>
        <v>-493732.93105685402</v>
      </c>
      <c r="K294" s="1081"/>
      <c r="L294" s="1079"/>
      <c r="M294" s="1082"/>
      <c r="N294" s="1082"/>
      <c r="O294" s="1082"/>
      <c r="P294" s="1082"/>
      <c r="Q294" s="1080">
        <f>'WP_B-Inputs Act.'!C106</f>
        <v>-470975.84532510908</v>
      </c>
    </row>
    <row r="295" spans="1:18">
      <c r="A295" s="1064">
        <f t="shared" si="112"/>
        <v>287</v>
      </c>
      <c r="B295" s="1084" t="s">
        <v>950</v>
      </c>
      <c r="C295" s="1079">
        <v>31</v>
      </c>
      <c r="D295" s="1085">
        <f t="shared" ref="D295:D303" si="113">D296+C296</f>
        <v>335</v>
      </c>
      <c r="E295" s="1085">
        <f>SUM(C295:C306)</f>
        <v>365</v>
      </c>
      <c r="F295" s="1086">
        <f>D295/E295</f>
        <v>0.9178082191780822</v>
      </c>
      <c r="G295" s="1078"/>
      <c r="H295" s="1087">
        <f>('WP_B-Inputs Est.'!C108-'WP_B-Inputs Est.'!C107)/12</f>
        <v>-9281.2085867399819</v>
      </c>
      <c r="I295" s="1079">
        <f>+H295*F295</f>
        <v>-8518.3695248161475</v>
      </c>
      <c r="J295" s="1079">
        <f t="shared" ref="J295:J306" si="114">+I295+J294</f>
        <v>-502251.30058167019</v>
      </c>
      <c r="K295" s="1065"/>
      <c r="L295" s="1087">
        <f>('WP_B-Inputs Act.'!C107-'WP_B-Inputs Act.'!C106)/12</f>
        <v>13154.377981668216</v>
      </c>
      <c r="M295" s="1082">
        <f>L295-H295</f>
        <v>22435.586568408198</v>
      </c>
      <c r="N295" s="1082">
        <f>IF(M295&lt;=0,+M295,0)</f>
        <v>0</v>
      </c>
      <c r="O295" s="1082">
        <f>IF(N295&lt;0,0,IF(L295&gt;0,0,(-(M295)*(D295/E295))))</f>
        <v>0</v>
      </c>
      <c r="P295" s="1082">
        <f t="shared" ref="P295:P306" si="115">IF(L295&gt;0,L295,0)</f>
        <v>13154.377981668216</v>
      </c>
      <c r="Q295" s="1082">
        <f>IF(L295&gt;0,Q294+P295,Q294+I295+N295-O295)</f>
        <v>-457821.46734344086</v>
      </c>
    </row>
    <row r="296" spans="1:18">
      <c r="A296" s="1064">
        <f t="shared" si="112"/>
        <v>288</v>
      </c>
      <c r="B296" s="1084" t="s">
        <v>899</v>
      </c>
      <c r="C296" s="1087">
        <v>28</v>
      </c>
      <c r="D296" s="1085">
        <f t="shared" si="113"/>
        <v>307</v>
      </c>
      <c r="E296" s="1085">
        <f>E295</f>
        <v>365</v>
      </c>
      <c r="F296" s="1086">
        <f t="shared" ref="F296:F306" si="116">D296/E296</f>
        <v>0.84109589041095889</v>
      </c>
      <c r="G296" s="1078"/>
      <c r="H296" s="1087">
        <f>$H$295</f>
        <v>-9281.2085867399819</v>
      </c>
      <c r="I296" s="1079">
        <f t="shared" ref="I296:I306" si="117">+H296*F296</f>
        <v>-7806.3864003539029</v>
      </c>
      <c r="J296" s="1079">
        <f t="shared" si="114"/>
        <v>-510057.68698202411</v>
      </c>
      <c r="K296" s="1065"/>
      <c r="L296" s="1087">
        <f>$L$295</f>
        <v>13154.377981668216</v>
      </c>
      <c r="M296" s="1082">
        <f t="shared" ref="M296:M306" si="118">L296-H296</f>
        <v>22435.586568408198</v>
      </c>
      <c r="N296" s="1082">
        <f t="shared" ref="N296:N306" si="119">IF(M296&lt;=0,+M296,0)</f>
        <v>0</v>
      </c>
      <c r="O296" s="1082">
        <f t="shared" ref="O296:O306" si="120">IF(N296&lt;0,0,IF(L296&gt;0,0,(-(M296)*(D296/E296))))</f>
        <v>0</v>
      </c>
      <c r="P296" s="1082">
        <f t="shared" si="115"/>
        <v>13154.377981668216</v>
      </c>
      <c r="Q296" s="1082">
        <f t="shared" ref="Q296:Q306" si="121">IF(L296&gt;0,Q295+P296,Q295+I296+N296-O296)</f>
        <v>-444667.08936177264</v>
      </c>
    </row>
    <row r="297" spans="1:18">
      <c r="A297" s="1064">
        <f t="shared" si="112"/>
        <v>289</v>
      </c>
      <c r="B297" s="1084" t="s">
        <v>900</v>
      </c>
      <c r="C297" s="1079">
        <v>31</v>
      </c>
      <c r="D297" s="1085">
        <f t="shared" si="113"/>
        <v>276</v>
      </c>
      <c r="E297" s="1085">
        <f t="shared" ref="E297:E306" si="122">E296</f>
        <v>365</v>
      </c>
      <c r="F297" s="1086">
        <f t="shared" si="116"/>
        <v>0.75616438356164384</v>
      </c>
      <c r="G297" s="1078"/>
      <c r="H297" s="1087">
        <f t="shared" ref="H297:H306" si="123">$H$295</f>
        <v>-9281.2085867399819</v>
      </c>
      <c r="I297" s="1079">
        <f t="shared" si="117"/>
        <v>-7018.1193696992741</v>
      </c>
      <c r="J297" s="1079">
        <f t="shared" si="114"/>
        <v>-517075.80635172338</v>
      </c>
      <c r="K297" s="1065"/>
      <c r="L297" s="1087">
        <f t="shared" ref="L297:L306" si="124">$L$295</f>
        <v>13154.377981668216</v>
      </c>
      <c r="M297" s="1082">
        <f t="shared" si="118"/>
        <v>22435.586568408198</v>
      </c>
      <c r="N297" s="1082">
        <f t="shared" si="119"/>
        <v>0</v>
      </c>
      <c r="O297" s="1082">
        <f t="shared" si="120"/>
        <v>0</v>
      </c>
      <c r="P297" s="1082">
        <f t="shared" si="115"/>
        <v>13154.377981668216</v>
      </c>
      <c r="Q297" s="1082">
        <f t="shared" si="121"/>
        <v>-431512.71138010442</v>
      </c>
    </row>
    <row r="298" spans="1:18">
      <c r="A298" s="1064">
        <f t="shared" si="112"/>
        <v>290</v>
      </c>
      <c r="B298" s="1084" t="s">
        <v>901</v>
      </c>
      <c r="C298" s="1079">
        <v>30</v>
      </c>
      <c r="D298" s="1085">
        <f t="shared" si="113"/>
        <v>246</v>
      </c>
      <c r="E298" s="1085">
        <f t="shared" si="122"/>
        <v>365</v>
      </c>
      <c r="F298" s="1086">
        <f t="shared" si="116"/>
        <v>0.67397260273972603</v>
      </c>
      <c r="G298" s="1078"/>
      <c r="H298" s="1087">
        <f t="shared" si="123"/>
        <v>-9281.2085867399819</v>
      </c>
      <c r="I298" s="1079">
        <f t="shared" si="117"/>
        <v>-6255.2803077754397</v>
      </c>
      <c r="J298" s="1079">
        <f t="shared" si="114"/>
        <v>-523331.0866594988</v>
      </c>
      <c r="K298" s="1065"/>
      <c r="L298" s="1087">
        <f t="shared" si="124"/>
        <v>13154.377981668216</v>
      </c>
      <c r="M298" s="1082">
        <f t="shared" si="118"/>
        <v>22435.586568408198</v>
      </c>
      <c r="N298" s="1082">
        <f t="shared" si="119"/>
        <v>0</v>
      </c>
      <c r="O298" s="1082">
        <f t="shared" si="120"/>
        <v>0</v>
      </c>
      <c r="P298" s="1082">
        <f t="shared" si="115"/>
        <v>13154.377981668216</v>
      </c>
      <c r="Q298" s="1082">
        <f t="shared" si="121"/>
        <v>-418358.3333984362</v>
      </c>
    </row>
    <row r="299" spans="1:18">
      <c r="A299" s="1064">
        <f t="shared" si="112"/>
        <v>291</v>
      </c>
      <c r="B299" s="1084" t="s">
        <v>902</v>
      </c>
      <c r="C299" s="1079">
        <v>31</v>
      </c>
      <c r="D299" s="1085">
        <f t="shared" si="113"/>
        <v>215</v>
      </c>
      <c r="E299" s="1085">
        <f t="shared" si="122"/>
        <v>365</v>
      </c>
      <c r="F299" s="1086">
        <f t="shared" si="116"/>
        <v>0.58904109589041098</v>
      </c>
      <c r="G299" s="1078"/>
      <c r="H299" s="1087">
        <f t="shared" si="123"/>
        <v>-9281.2085867399819</v>
      </c>
      <c r="I299" s="1079">
        <f t="shared" si="117"/>
        <v>-5467.0132771208118</v>
      </c>
      <c r="J299" s="1079">
        <f t="shared" si="114"/>
        <v>-528798.09993661963</v>
      </c>
      <c r="K299" s="1065"/>
      <c r="L299" s="1087">
        <f t="shared" si="124"/>
        <v>13154.377981668216</v>
      </c>
      <c r="M299" s="1082">
        <f t="shared" si="118"/>
        <v>22435.586568408198</v>
      </c>
      <c r="N299" s="1082">
        <f t="shared" si="119"/>
        <v>0</v>
      </c>
      <c r="O299" s="1082">
        <f t="shared" si="120"/>
        <v>0</v>
      </c>
      <c r="P299" s="1082">
        <f t="shared" si="115"/>
        <v>13154.377981668216</v>
      </c>
      <c r="Q299" s="1082">
        <f t="shared" si="121"/>
        <v>-405203.95541676797</v>
      </c>
    </row>
    <row r="300" spans="1:18">
      <c r="A300" s="1064">
        <f t="shared" si="112"/>
        <v>292</v>
      </c>
      <c r="B300" s="1084" t="s">
        <v>903</v>
      </c>
      <c r="C300" s="1079">
        <v>30</v>
      </c>
      <c r="D300" s="1085">
        <f t="shared" si="113"/>
        <v>185</v>
      </c>
      <c r="E300" s="1085">
        <f t="shared" si="122"/>
        <v>365</v>
      </c>
      <c r="F300" s="1086">
        <f t="shared" si="116"/>
        <v>0.50684931506849318</v>
      </c>
      <c r="G300" s="1078"/>
      <c r="H300" s="1087">
        <f t="shared" si="123"/>
        <v>-9281.2085867399819</v>
      </c>
      <c r="I300" s="1079">
        <f t="shared" si="117"/>
        <v>-4704.1742151969775</v>
      </c>
      <c r="J300" s="1079">
        <f t="shared" si="114"/>
        <v>-533502.27415181661</v>
      </c>
      <c r="K300" s="1065"/>
      <c r="L300" s="1087">
        <f t="shared" si="124"/>
        <v>13154.377981668216</v>
      </c>
      <c r="M300" s="1082">
        <f t="shared" si="118"/>
        <v>22435.586568408198</v>
      </c>
      <c r="N300" s="1082">
        <f t="shared" si="119"/>
        <v>0</v>
      </c>
      <c r="O300" s="1082">
        <f t="shared" si="120"/>
        <v>0</v>
      </c>
      <c r="P300" s="1082">
        <f t="shared" si="115"/>
        <v>13154.377981668216</v>
      </c>
      <c r="Q300" s="1082">
        <f t="shared" si="121"/>
        <v>-392049.57743509975</v>
      </c>
    </row>
    <row r="301" spans="1:18">
      <c r="A301" s="1064">
        <f t="shared" si="112"/>
        <v>293</v>
      </c>
      <c r="B301" s="1084" t="s">
        <v>904</v>
      </c>
      <c r="C301" s="1079">
        <v>31</v>
      </c>
      <c r="D301" s="1085">
        <f t="shared" si="113"/>
        <v>154</v>
      </c>
      <c r="E301" s="1085">
        <f t="shared" si="122"/>
        <v>365</v>
      </c>
      <c r="F301" s="1086">
        <f t="shared" si="116"/>
        <v>0.42191780821917807</v>
      </c>
      <c r="G301" s="1078"/>
      <c r="H301" s="1087">
        <f t="shared" si="123"/>
        <v>-9281.2085867399819</v>
      </c>
      <c r="I301" s="1079">
        <f t="shared" si="117"/>
        <v>-3915.9071845423482</v>
      </c>
      <c r="J301" s="1079">
        <f t="shared" si="114"/>
        <v>-537418.181336359</v>
      </c>
      <c r="K301" s="1065"/>
      <c r="L301" s="1087">
        <f t="shared" si="124"/>
        <v>13154.377981668216</v>
      </c>
      <c r="M301" s="1082">
        <f t="shared" si="118"/>
        <v>22435.586568408198</v>
      </c>
      <c r="N301" s="1082">
        <f t="shared" si="119"/>
        <v>0</v>
      </c>
      <c r="O301" s="1082">
        <f t="shared" si="120"/>
        <v>0</v>
      </c>
      <c r="P301" s="1082">
        <f t="shared" si="115"/>
        <v>13154.377981668216</v>
      </c>
      <c r="Q301" s="1082">
        <f t="shared" si="121"/>
        <v>-378895.19945343153</v>
      </c>
    </row>
    <row r="302" spans="1:18">
      <c r="A302" s="1064">
        <f t="shared" si="112"/>
        <v>294</v>
      </c>
      <c r="B302" s="1084" t="s">
        <v>905</v>
      </c>
      <c r="C302" s="1079">
        <v>31</v>
      </c>
      <c r="D302" s="1085">
        <f t="shared" si="113"/>
        <v>123</v>
      </c>
      <c r="E302" s="1085">
        <f t="shared" si="122"/>
        <v>365</v>
      </c>
      <c r="F302" s="1086">
        <f t="shared" si="116"/>
        <v>0.33698630136986302</v>
      </c>
      <c r="G302" s="1078"/>
      <c r="H302" s="1087">
        <f t="shared" si="123"/>
        <v>-9281.2085867399819</v>
      </c>
      <c r="I302" s="1079">
        <f t="shared" si="117"/>
        <v>-3127.6401538877199</v>
      </c>
      <c r="J302" s="1079">
        <f t="shared" si="114"/>
        <v>-540545.82149024669</v>
      </c>
      <c r="K302" s="1065"/>
      <c r="L302" s="1087">
        <f t="shared" si="124"/>
        <v>13154.377981668216</v>
      </c>
      <c r="M302" s="1082">
        <f t="shared" si="118"/>
        <v>22435.586568408198</v>
      </c>
      <c r="N302" s="1082">
        <f t="shared" si="119"/>
        <v>0</v>
      </c>
      <c r="O302" s="1082">
        <f t="shared" si="120"/>
        <v>0</v>
      </c>
      <c r="P302" s="1082">
        <f t="shared" si="115"/>
        <v>13154.377981668216</v>
      </c>
      <c r="Q302" s="1082">
        <f t="shared" si="121"/>
        <v>-365740.82147176331</v>
      </c>
    </row>
    <row r="303" spans="1:18">
      <c r="A303" s="1064">
        <f t="shared" si="112"/>
        <v>295</v>
      </c>
      <c r="B303" s="1084" t="s">
        <v>906</v>
      </c>
      <c r="C303" s="1079">
        <v>30</v>
      </c>
      <c r="D303" s="1085">
        <f t="shared" si="113"/>
        <v>93</v>
      </c>
      <c r="E303" s="1085">
        <f t="shared" si="122"/>
        <v>365</v>
      </c>
      <c r="F303" s="1086">
        <f t="shared" si="116"/>
        <v>0.25479452054794521</v>
      </c>
      <c r="G303" s="1078"/>
      <c r="H303" s="1087">
        <f t="shared" si="123"/>
        <v>-9281.2085867399819</v>
      </c>
      <c r="I303" s="1079">
        <f t="shared" si="117"/>
        <v>-2364.8010919638859</v>
      </c>
      <c r="J303" s="1079">
        <f t="shared" si="114"/>
        <v>-542910.62258221058</v>
      </c>
      <c r="K303" s="1065"/>
      <c r="L303" s="1087">
        <f t="shared" si="124"/>
        <v>13154.377981668216</v>
      </c>
      <c r="M303" s="1082">
        <f t="shared" si="118"/>
        <v>22435.586568408198</v>
      </c>
      <c r="N303" s="1082">
        <f t="shared" si="119"/>
        <v>0</v>
      </c>
      <c r="O303" s="1082">
        <f t="shared" si="120"/>
        <v>0</v>
      </c>
      <c r="P303" s="1082">
        <f t="shared" si="115"/>
        <v>13154.377981668216</v>
      </c>
      <c r="Q303" s="1082">
        <f t="shared" si="121"/>
        <v>-352586.44349009509</v>
      </c>
    </row>
    <row r="304" spans="1:18">
      <c r="A304" s="1064">
        <f t="shared" si="112"/>
        <v>296</v>
      </c>
      <c r="B304" s="1084" t="s">
        <v>907</v>
      </c>
      <c r="C304" s="1079">
        <v>31</v>
      </c>
      <c r="D304" s="1085">
        <f>D305+C305</f>
        <v>62</v>
      </c>
      <c r="E304" s="1085">
        <f t="shared" si="122"/>
        <v>365</v>
      </c>
      <c r="F304" s="1086">
        <f t="shared" si="116"/>
        <v>0.16986301369863013</v>
      </c>
      <c r="G304" s="1078"/>
      <c r="H304" s="1087">
        <f t="shared" si="123"/>
        <v>-9281.2085867399819</v>
      </c>
      <c r="I304" s="1079">
        <f t="shared" si="117"/>
        <v>-1576.5340613092571</v>
      </c>
      <c r="J304" s="1079">
        <f t="shared" si="114"/>
        <v>-544487.15664351988</v>
      </c>
      <c r="K304" s="1065"/>
      <c r="L304" s="1087">
        <f t="shared" si="124"/>
        <v>13154.377981668216</v>
      </c>
      <c r="M304" s="1082">
        <f t="shared" si="118"/>
        <v>22435.586568408198</v>
      </c>
      <c r="N304" s="1082">
        <f t="shared" si="119"/>
        <v>0</v>
      </c>
      <c r="O304" s="1082">
        <f t="shared" si="120"/>
        <v>0</v>
      </c>
      <c r="P304" s="1082">
        <f t="shared" si="115"/>
        <v>13154.377981668216</v>
      </c>
      <c r="Q304" s="1082">
        <f t="shared" si="121"/>
        <v>-339432.06550842687</v>
      </c>
    </row>
    <row r="305" spans="1:18">
      <c r="A305" s="1064">
        <f t="shared" si="112"/>
        <v>297</v>
      </c>
      <c r="B305" s="1084" t="s">
        <v>908</v>
      </c>
      <c r="C305" s="1079">
        <v>30</v>
      </c>
      <c r="D305" s="1085">
        <f>D306+C306</f>
        <v>32</v>
      </c>
      <c r="E305" s="1085">
        <f t="shared" si="122"/>
        <v>365</v>
      </c>
      <c r="F305" s="1086">
        <f t="shared" si="116"/>
        <v>8.7671232876712329E-2</v>
      </c>
      <c r="G305" s="1078"/>
      <c r="H305" s="1087">
        <f t="shared" si="123"/>
        <v>-9281.2085867399819</v>
      </c>
      <c r="I305" s="1079">
        <f t="shared" si="117"/>
        <v>-813.6949993854231</v>
      </c>
      <c r="J305" s="1079">
        <f t="shared" si="114"/>
        <v>-545300.85164290527</v>
      </c>
      <c r="K305" s="1065"/>
      <c r="L305" s="1087">
        <f t="shared" si="124"/>
        <v>13154.377981668216</v>
      </c>
      <c r="M305" s="1082">
        <f t="shared" si="118"/>
        <v>22435.586568408198</v>
      </c>
      <c r="N305" s="1082">
        <f t="shared" si="119"/>
        <v>0</v>
      </c>
      <c r="O305" s="1082">
        <f t="shared" si="120"/>
        <v>0</v>
      </c>
      <c r="P305" s="1082">
        <f t="shared" si="115"/>
        <v>13154.377981668216</v>
      </c>
      <c r="Q305" s="1082">
        <f t="shared" si="121"/>
        <v>-326277.68752675864</v>
      </c>
    </row>
    <row r="306" spans="1:18">
      <c r="A306" s="1064">
        <f t="shared" si="112"/>
        <v>298</v>
      </c>
      <c r="B306" s="1084" t="s">
        <v>909</v>
      </c>
      <c r="C306" s="1079">
        <v>31</v>
      </c>
      <c r="D306" s="1085">
        <v>1</v>
      </c>
      <c r="E306" s="1085">
        <f t="shared" si="122"/>
        <v>365</v>
      </c>
      <c r="F306" s="1086">
        <f t="shared" si="116"/>
        <v>2.7397260273972603E-3</v>
      </c>
      <c r="G306" s="1078"/>
      <c r="H306" s="1087">
        <f t="shared" si="123"/>
        <v>-9281.2085867399819</v>
      </c>
      <c r="I306" s="1079">
        <f t="shared" si="117"/>
        <v>-25.427968730794472</v>
      </c>
      <c r="J306" s="1079">
        <f t="shared" si="114"/>
        <v>-545326.27961163607</v>
      </c>
      <c r="K306" s="1065"/>
      <c r="L306" s="1087">
        <f t="shared" si="124"/>
        <v>13154.377981668216</v>
      </c>
      <c r="M306" s="1082">
        <f t="shared" si="118"/>
        <v>22435.586568408198</v>
      </c>
      <c r="N306" s="1082">
        <f t="shared" si="119"/>
        <v>0</v>
      </c>
      <c r="O306" s="1082">
        <f t="shared" si="120"/>
        <v>0</v>
      </c>
      <c r="P306" s="1082">
        <f t="shared" si="115"/>
        <v>13154.377981668216</v>
      </c>
      <c r="Q306" s="1082">
        <f t="shared" si="121"/>
        <v>-313123.30954509042</v>
      </c>
    </row>
    <row r="307" spans="1:18">
      <c r="A307" s="1064">
        <f t="shared" si="112"/>
        <v>299</v>
      </c>
      <c r="B307" s="1088"/>
      <c r="C307" s="1088" t="s">
        <v>790</v>
      </c>
      <c r="D307" s="1089">
        <f>+SUM(D295:D306)</f>
        <v>2029</v>
      </c>
      <c r="E307" s="1089">
        <f>+SUM(E295:E306)</f>
        <v>4380</v>
      </c>
      <c r="F307" s="1090"/>
      <c r="G307" s="1078"/>
      <c r="H307" s="1091">
        <f>SUM(H295:H306)</f>
        <v>-111374.5030408798</v>
      </c>
      <c r="I307" s="1091">
        <f>SUM(I295:I306)</f>
        <v>-51593.34855478198</v>
      </c>
      <c r="J307" s="1090"/>
      <c r="K307" s="1065"/>
      <c r="L307" s="1092">
        <f>SUM(L295:L306)</f>
        <v>157852.53578001863</v>
      </c>
      <c r="M307" s="1092">
        <f>SUM(M295:M306)</f>
        <v>269227.03882089845</v>
      </c>
      <c r="N307" s="1092">
        <f>SUM(N295:N306)</f>
        <v>0</v>
      </c>
      <c r="O307" s="1092">
        <f>SUM(O295:O306)</f>
        <v>0</v>
      </c>
      <c r="P307" s="1092">
        <f>SUM(P295:P306)</f>
        <v>157852.53578001863</v>
      </c>
      <c r="Q307" s="1092"/>
    </row>
    <row r="308" spans="1:18">
      <c r="A308" s="1064">
        <f t="shared" si="112"/>
        <v>300</v>
      </c>
      <c r="B308" s="1094"/>
      <c r="C308" s="1094"/>
      <c r="D308" s="1095"/>
      <c r="E308" s="1095"/>
      <c r="F308" s="1096"/>
      <c r="G308" s="1078"/>
      <c r="H308" s="1079"/>
      <c r="I308" s="1079"/>
      <c r="J308" s="1096"/>
      <c r="K308" s="1065"/>
      <c r="L308" s="1098"/>
      <c r="M308" s="1098"/>
      <c r="N308" s="1098"/>
      <c r="O308" s="1098"/>
      <c r="P308" s="1098"/>
      <c r="Q308" s="1098"/>
    </row>
    <row r="309" spans="1:18">
      <c r="A309" s="1064">
        <f t="shared" si="112"/>
        <v>301</v>
      </c>
      <c r="B309" s="1065" t="s">
        <v>1682</v>
      </c>
      <c r="C309" s="1094"/>
      <c r="D309" s="1095"/>
      <c r="E309" s="1099">
        <f>1-(D307/E307)</f>
        <v>0.53675799086757991</v>
      </c>
      <c r="F309" s="1096"/>
      <c r="G309" s="1078"/>
      <c r="H309" s="1079"/>
      <c r="I309" s="1079"/>
      <c r="J309" s="1096"/>
      <c r="K309" s="1065"/>
      <c r="L309" s="1098"/>
      <c r="M309" s="1098"/>
      <c r="N309" s="1098"/>
      <c r="O309" s="1098"/>
      <c r="P309" s="1098"/>
      <c r="Q309" s="1098"/>
    </row>
    <row r="310" spans="1:18" s="1070" customFormat="1">
      <c r="A310" s="1064">
        <f t="shared" si="112"/>
        <v>302</v>
      </c>
      <c r="B310" s="1117"/>
      <c r="C310" s="1117"/>
      <c r="D310" s="1117"/>
      <c r="E310" s="1117"/>
      <c r="F310" s="1118"/>
      <c r="G310" s="1118"/>
      <c r="H310" s="1069"/>
      <c r="I310" s="1119"/>
      <c r="J310" s="1118"/>
      <c r="K310" s="1077"/>
      <c r="L310" s="1077"/>
      <c r="M310" s="1077"/>
      <c r="N310" s="1077"/>
      <c r="O310" s="1077"/>
      <c r="P310" s="1077"/>
      <c r="Q310" s="1077"/>
    </row>
    <row r="311" spans="1:18" s="1070" customFormat="1">
      <c r="A311" s="1064">
        <f t="shared" si="112"/>
        <v>303</v>
      </c>
      <c r="B311" s="1120"/>
      <c r="C311" s="1117"/>
      <c r="D311" s="1077"/>
      <c r="E311" s="1117"/>
      <c r="F311" s="1077"/>
      <c r="G311" s="1118"/>
      <c r="H311" s="1069"/>
      <c r="I311" s="1119"/>
      <c r="J311" s="1121"/>
      <c r="K311" s="1077"/>
      <c r="L311" s="1077"/>
      <c r="M311" s="1077"/>
      <c r="N311" s="1077"/>
      <c r="O311" s="1077"/>
      <c r="P311" s="1077"/>
      <c r="Q311" s="1121"/>
    </row>
    <row r="312" spans="1:18" s="110" customFormat="1">
      <c r="A312" s="1064">
        <f t="shared" si="112"/>
        <v>304</v>
      </c>
      <c r="B312" s="1104" t="s">
        <v>1683</v>
      </c>
      <c r="C312" s="1104"/>
      <c r="D312" s="1104"/>
      <c r="E312" s="1104"/>
      <c r="F312" s="1104" t="str">
        <f>"(Line "&amp;A294&amp;", Col H)"</f>
        <v>(Line 286, Col H)</v>
      </c>
      <c r="G312" s="1122"/>
      <c r="H312" s="1104"/>
      <c r="I312" s="1122"/>
      <c r="J312" s="1082">
        <f>J294</f>
        <v>-493732.93105685402</v>
      </c>
      <c r="K312" s="1104"/>
      <c r="L312" s="1104"/>
      <c r="M312" s="1104"/>
      <c r="N312" s="1104" t="str">
        <f>"(Line "&amp;A294&amp;", Col N)"</f>
        <v>(Line 286, Col N)</v>
      </c>
      <c r="O312" s="1104"/>
      <c r="P312" s="1104"/>
      <c r="Q312" s="1082">
        <f>Q294</f>
        <v>-470975.84532510908</v>
      </c>
    </row>
    <row r="313" spans="1:18" s="110" customFormat="1">
      <c r="A313" s="1064">
        <f t="shared" si="112"/>
        <v>305</v>
      </c>
      <c r="B313" s="1104" t="s">
        <v>1684</v>
      </c>
      <c r="C313" s="1104"/>
      <c r="D313" s="1104"/>
      <c r="E313" s="1104"/>
      <c r="F313" s="1104" t="str">
        <f>"(Line "&amp;A306&amp;", Col H)"</f>
        <v>(Line 298, Col H)</v>
      </c>
      <c r="G313" s="1122"/>
      <c r="H313" s="1104"/>
      <c r="I313" s="1122"/>
      <c r="J313" s="1082">
        <f>J306</f>
        <v>-545326.27961163607</v>
      </c>
      <c r="K313" s="1104"/>
      <c r="L313" s="1123"/>
      <c r="M313" s="1104"/>
      <c r="N313" s="1104" t="str">
        <f>"(Line "&amp;A306&amp;", Col N)"</f>
        <v>(Line 298, Col N)</v>
      </c>
      <c r="O313" s="1104"/>
      <c r="P313" s="1104"/>
      <c r="Q313" s="1082">
        <f>Q306</f>
        <v>-313123.30954509042</v>
      </c>
    </row>
    <row r="314" spans="1:18" s="110" customFormat="1">
      <c r="A314" s="1064">
        <f t="shared" si="112"/>
        <v>306</v>
      </c>
      <c r="B314" s="1104" t="s">
        <v>1685</v>
      </c>
      <c r="C314" s="1104"/>
      <c r="D314" s="1104"/>
      <c r="E314" s="1104"/>
      <c r="F314" s="1104" t="str">
        <f>"(Average of Line "&amp;A312&amp;" &amp; Line "&amp;A313&amp;")"</f>
        <v>(Average of Line 304 &amp; Line 305)</v>
      </c>
      <c r="G314" s="1122"/>
      <c r="H314" s="1104"/>
      <c r="I314" s="1124"/>
      <c r="J314" s="1108">
        <f>(J312+J313)/2</f>
        <v>-519529.60533424502</v>
      </c>
      <c r="K314" s="1104"/>
      <c r="L314" s="1125"/>
      <c r="M314" s="1104"/>
      <c r="N314" s="1104" t="str">
        <f>"(Average of Line "&amp;A312&amp;" &amp; Line "&amp;A313&amp;")"</f>
        <v>(Average of Line 304 &amp; Line 305)</v>
      </c>
      <c r="O314" s="1104"/>
      <c r="P314" s="1104"/>
      <c r="Q314" s="1108">
        <f>(Q312+Q313)/2</f>
        <v>-392049.57743509975</v>
      </c>
    </row>
    <row r="315" spans="1:18" s="110" customFormat="1" ht="13.5" customHeight="1">
      <c r="A315" s="1064">
        <f t="shared" si="112"/>
        <v>307</v>
      </c>
      <c r="B315" s="1104" t="s">
        <v>1686</v>
      </c>
      <c r="C315" s="1104"/>
      <c r="D315" s="1104"/>
      <c r="E315" s="1104"/>
      <c r="F315" s="1104" t="s">
        <v>1810</v>
      </c>
      <c r="G315" s="1104"/>
      <c r="H315" s="1104"/>
      <c r="I315" s="1104"/>
      <c r="J315" s="1126">
        <f>AVERAGE(J294, (SUM(H295:H306)+J294))</f>
        <v>-549420.18257729395</v>
      </c>
      <c r="K315" s="1104"/>
      <c r="L315" s="1104"/>
      <c r="M315" s="1104"/>
      <c r="N315" s="1104" t="s">
        <v>1807</v>
      </c>
      <c r="O315" s="1104"/>
      <c r="P315" s="1104"/>
      <c r="Q315" s="1126">
        <f>AVERAGE(Q294, (SUM(L295:L306)+Q294))</f>
        <v>-392049.57743509975</v>
      </c>
    </row>
    <row r="316" spans="1:18" s="110" customFormat="1" ht="13.5" customHeight="1">
      <c r="A316" s="1064">
        <f t="shared" si="112"/>
        <v>308</v>
      </c>
      <c r="B316" s="1104" t="s">
        <v>1687</v>
      </c>
      <c r="C316" s="1104"/>
      <c r="D316" s="1104"/>
      <c r="E316" s="1104"/>
      <c r="F316" s="1104"/>
      <c r="G316" s="1104"/>
      <c r="H316" s="1104"/>
      <c r="I316" s="1104"/>
      <c r="J316" s="1123">
        <f>J314-J315</f>
        <v>29890.577243048931</v>
      </c>
      <c r="K316" s="1104"/>
      <c r="L316" s="1104"/>
      <c r="M316" s="1104"/>
      <c r="N316" s="1104"/>
      <c r="O316" s="1104"/>
      <c r="P316" s="1104"/>
      <c r="Q316" s="1123">
        <f>Q314-Q315</f>
        <v>0</v>
      </c>
    </row>
    <row r="317" spans="1:18" s="1070" customFormat="1">
      <c r="A317" s="1064">
        <f t="shared" si="112"/>
        <v>309</v>
      </c>
      <c r="B317" s="1127"/>
      <c r="C317" s="1127"/>
      <c r="D317" s="1127"/>
      <c r="E317" s="1127"/>
      <c r="F317" s="1127"/>
      <c r="G317" s="1127"/>
      <c r="H317" s="1127"/>
      <c r="I317" s="1127"/>
      <c r="J317" s="1127"/>
      <c r="K317" s="1077"/>
      <c r="L317" s="1077"/>
      <c r="M317" s="1077"/>
      <c r="N317" s="1077"/>
      <c r="O317" s="1077"/>
      <c r="P317" s="1077"/>
      <c r="Q317" s="1127"/>
    </row>
    <row r="318" spans="1:18" s="1070" customFormat="1">
      <c r="A318" s="1064">
        <f t="shared" si="112"/>
        <v>310</v>
      </c>
      <c r="B318" s="1077"/>
      <c r="C318" s="1077"/>
      <c r="D318" s="1077"/>
      <c r="E318" s="1077"/>
      <c r="F318" s="1077"/>
      <c r="G318" s="1077"/>
      <c r="H318" s="1077"/>
      <c r="I318" s="1077"/>
      <c r="J318" s="1077"/>
      <c r="K318" s="1077"/>
      <c r="L318" s="1077"/>
      <c r="M318" s="1077"/>
      <c r="N318" s="1077"/>
      <c r="O318" s="1077"/>
      <c r="P318" s="1077"/>
      <c r="Q318" s="1077"/>
    </row>
    <row r="319" spans="1:18">
      <c r="A319" s="1064">
        <f t="shared" si="112"/>
        <v>311</v>
      </c>
      <c r="B319" s="1270" t="s">
        <v>1691</v>
      </c>
      <c r="C319" s="1270"/>
      <c r="D319" s="1270"/>
      <c r="E319" s="1270"/>
      <c r="F319" s="1065"/>
      <c r="G319" s="1065"/>
      <c r="H319" s="1112"/>
      <c r="I319" s="1112"/>
      <c r="J319" s="1112"/>
      <c r="K319" s="1065"/>
      <c r="L319" s="1113"/>
      <c r="M319" s="1114"/>
      <c r="N319" s="1114"/>
      <c r="O319" s="1114"/>
      <c r="P319" s="1114"/>
      <c r="Q319" s="1114"/>
      <c r="R319" s="1070"/>
    </row>
    <row r="320" spans="1:18">
      <c r="A320" s="1064">
        <f t="shared" si="112"/>
        <v>312</v>
      </c>
      <c r="B320" s="1262" t="s">
        <v>1693</v>
      </c>
      <c r="C320" s="1262"/>
      <c r="D320" s="1262"/>
      <c r="E320" s="1262"/>
      <c r="F320" s="1065"/>
      <c r="G320" s="1065"/>
      <c r="H320" s="1112"/>
      <c r="I320" s="1112"/>
      <c r="J320" s="1112"/>
      <c r="K320" s="1065"/>
      <c r="L320" s="1113"/>
      <c r="M320" s="1114"/>
      <c r="N320" s="1114"/>
      <c r="O320" s="1114"/>
      <c r="P320" s="1114"/>
      <c r="Q320" s="1114"/>
      <c r="R320" s="1070"/>
    </row>
    <row r="321" spans="1:17">
      <c r="A321" s="1064">
        <f t="shared" si="112"/>
        <v>313</v>
      </c>
      <c r="B321" s="1263" t="s">
        <v>1666</v>
      </c>
      <c r="C321" s="1264"/>
      <c r="D321" s="1264"/>
      <c r="E321" s="1264"/>
      <c r="F321" s="1265"/>
      <c r="G321" s="1071"/>
      <c r="H321" s="1266" t="s">
        <v>1667</v>
      </c>
      <c r="I321" s="1267"/>
      <c r="J321" s="1268"/>
      <c r="K321" s="1065"/>
      <c r="L321" s="1266" t="s">
        <v>1668</v>
      </c>
      <c r="M321" s="1267"/>
      <c r="N321" s="1267"/>
      <c r="O321" s="1267"/>
      <c r="P321" s="1267"/>
      <c r="Q321" s="1267"/>
    </row>
    <row r="322" spans="1:17">
      <c r="A322" s="1064">
        <f t="shared" si="112"/>
        <v>314</v>
      </c>
      <c r="B322" s="1072" t="s">
        <v>824</v>
      </c>
      <c r="C322" s="1072" t="s">
        <v>825</v>
      </c>
      <c r="D322" s="1072" t="s">
        <v>826</v>
      </c>
      <c r="E322" s="1072" t="s">
        <v>827</v>
      </c>
      <c r="F322" s="1072" t="s">
        <v>828</v>
      </c>
      <c r="G322" s="1071"/>
      <c r="H322" s="1072" t="s">
        <v>829</v>
      </c>
      <c r="I322" s="1072" t="s">
        <v>830</v>
      </c>
      <c r="J322" s="1072" t="s">
        <v>831</v>
      </c>
      <c r="K322" s="1065"/>
      <c r="L322" s="1072" t="s">
        <v>832</v>
      </c>
      <c r="M322" s="1072" t="s">
        <v>833</v>
      </c>
      <c r="N322" s="1072" t="s">
        <v>834</v>
      </c>
      <c r="O322" s="1072" t="s">
        <v>835</v>
      </c>
      <c r="P322" s="1072" t="s">
        <v>837</v>
      </c>
      <c r="Q322" s="1072" t="s">
        <v>836</v>
      </c>
    </row>
    <row r="323" spans="1:17" ht="45">
      <c r="A323" s="1064">
        <f t="shared" si="112"/>
        <v>315</v>
      </c>
      <c r="B323" s="1074" t="s">
        <v>1342</v>
      </c>
      <c r="C323" s="1074" t="s">
        <v>1577</v>
      </c>
      <c r="D323" s="1074" t="s">
        <v>1669</v>
      </c>
      <c r="E323" s="1074" t="s">
        <v>1670</v>
      </c>
      <c r="F323" s="1074" t="s">
        <v>1671</v>
      </c>
      <c r="G323" s="1075"/>
      <c r="H323" s="1074" t="s">
        <v>1672</v>
      </c>
      <c r="I323" s="1074" t="s">
        <v>1673</v>
      </c>
      <c r="J323" s="1074" t="s">
        <v>1674</v>
      </c>
      <c r="K323" s="1065"/>
      <c r="L323" s="1074" t="s">
        <v>1675</v>
      </c>
      <c r="M323" s="1074" t="s">
        <v>1676</v>
      </c>
      <c r="N323" s="1074" t="s">
        <v>1677</v>
      </c>
      <c r="O323" s="1074" t="s">
        <v>1678</v>
      </c>
      <c r="P323" s="1074" t="s">
        <v>1679</v>
      </c>
      <c r="Q323" s="1074" t="s">
        <v>1680</v>
      </c>
    </row>
    <row r="324" spans="1:17">
      <c r="A324" s="1064">
        <f t="shared" si="112"/>
        <v>316</v>
      </c>
      <c r="B324" s="1065"/>
      <c r="C324" s="1075"/>
      <c r="D324" s="1075"/>
      <c r="E324" s="1075"/>
      <c r="F324" s="1075"/>
      <c r="G324" s="1075"/>
      <c r="H324" s="1075"/>
      <c r="I324" s="1075"/>
      <c r="J324" s="1075"/>
      <c r="K324" s="1065"/>
      <c r="L324" s="1065"/>
      <c r="M324" s="1065"/>
      <c r="N324" s="1065"/>
      <c r="O324" s="1065"/>
      <c r="P324" s="1065"/>
      <c r="Q324" s="1065"/>
    </row>
    <row r="325" spans="1:17">
      <c r="A325" s="1064">
        <f t="shared" si="112"/>
        <v>317</v>
      </c>
      <c r="B325" s="1269" t="s">
        <v>1681</v>
      </c>
      <c r="C325" s="1269"/>
      <c r="D325" s="1269"/>
      <c r="E325" s="1269"/>
      <c r="F325" s="1078"/>
      <c r="G325" s="1078"/>
      <c r="H325" s="1079"/>
      <c r="I325" s="1079"/>
      <c r="J325" s="1080">
        <f>'WP_B-Inputs Est.'!D107</f>
        <v>-0.13122942676874744</v>
      </c>
      <c r="K325" s="1081"/>
      <c r="L325" s="1079"/>
      <c r="M325" s="1082"/>
      <c r="N325" s="1082"/>
      <c r="O325" s="1082"/>
      <c r="P325" s="1082"/>
      <c r="Q325" s="1080">
        <f>'WP_B-Inputs Act.'!D106</f>
        <v>-5.8207660913467407E-10</v>
      </c>
    </row>
    <row r="326" spans="1:17">
      <c r="A326" s="1064">
        <f t="shared" si="112"/>
        <v>318</v>
      </c>
      <c r="B326" s="1084" t="s">
        <v>950</v>
      </c>
      <c r="C326" s="1079">
        <v>31</v>
      </c>
      <c r="D326" s="1085">
        <f t="shared" ref="D326:D334" si="125">D327+C327</f>
        <v>335</v>
      </c>
      <c r="E326" s="1085">
        <f>SUM(C326:C337)</f>
        <v>365</v>
      </c>
      <c r="F326" s="1086">
        <f>D326/E326</f>
        <v>0.9178082191780822</v>
      </c>
      <c r="G326" s="1078"/>
      <c r="H326" s="1087">
        <f>('WP_B-Inputs Est.'!D108-'WP_B-Inputs Est.'!D107)/12</f>
        <v>0</v>
      </c>
      <c r="I326" s="1079">
        <f>+H326*F326</f>
        <v>0</v>
      </c>
      <c r="J326" s="1079">
        <f t="shared" ref="J326:J337" si="126">+I326+J325</f>
        <v>-0.13122942676874744</v>
      </c>
      <c r="K326" s="1065"/>
      <c r="L326" s="1087">
        <f>('WP_B-Inputs Act.'!D107-'WP_B-Inputs Act.'!D106)/12</f>
        <v>0</v>
      </c>
      <c r="M326" s="1082">
        <f>L326-H326</f>
        <v>0</v>
      </c>
      <c r="N326" s="1082">
        <f>IF(M326&lt;=0,+M326,0)</f>
        <v>0</v>
      </c>
      <c r="O326" s="1082">
        <f>IF(N326&lt;0,0,IF(L326&gt;0,0,(-(M326)*(D326/E326))))</f>
        <v>0</v>
      </c>
      <c r="P326" s="1082">
        <f t="shared" ref="P326:P337" si="127">IF(L326&gt;0,L326,0)</f>
        <v>0</v>
      </c>
      <c r="Q326" s="1082">
        <f>IF(L326&gt;0,Q325+P326,Q325+I326+N326-O326)</f>
        <v>-5.8207660913467407E-10</v>
      </c>
    </row>
    <row r="327" spans="1:17">
      <c r="A327" s="1064">
        <f t="shared" si="112"/>
        <v>319</v>
      </c>
      <c r="B327" s="1084" t="s">
        <v>899</v>
      </c>
      <c r="C327" s="1087">
        <v>28</v>
      </c>
      <c r="D327" s="1085">
        <f t="shared" si="125"/>
        <v>307</v>
      </c>
      <c r="E327" s="1085">
        <f>E326</f>
        <v>365</v>
      </c>
      <c r="F327" s="1086">
        <f t="shared" ref="F327:F337" si="128">D327/E327</f>
        <v>0.84109589041095889</v>
      </c>
      <c r="G327" s="1078"/>
      <c r="H327" s="1087">
        <f>$H$326</f>
        <v>0</v>
      </c>
      <c r="I327" s="1079">
        <f t="shared" ref="I327:I337" si="129">+H327*F327</f>
        <v>0</v>
      </c>
      <c r="J327" s="1079">
        <f t="shared" si="126"/>
        <v>-0.13122942676874744</v>
      </c>
      <c r="K327" s="1065"/>
      <c r="L327" s="1087">
        <f>$L$326</f>
        <v>0</v>
      </c>
      <c r="M327" s="1082">
        <f t="shared" ref="M327:M337" si="130">L327-H327</f>
        <v>0</v>
      </c>
      <c r="N327" s="1082">
        <f t="shared" ref="N327:N337" si="131">IF(M327&lt;=0,+M327,0)</f>
        <v>0</v>
      </c>
      <c r="O327" s="1082">
        <f t="shared" ref="O327:O337" si="132">IF(N327&lt;0,0,IF(L327&gt;0,0,(-(M327)*(D327/E327))))</f>
        <v>0</v>
      </c>
      <c r="P327" s="1082">
        <f t="shared" si="127"/>
        <v>0</v>
      </c>
      <c r="Q327" s="1082">
        <f t="shared" ref="Q327:Q337" si="133">IF(L327&gt;0,Q326+P327,Q326+I327+N327-O327)</f>
        <v>-5.8207660913467407E-10</v>
      </c>
    </row>
    <row r="328" spans="1:17">
      <c r="A328" s="1064">
        <f t="shared" si="112"/>
        <v>320</v>
      </c>
      <c r="B328" s="1084" t="s">
        <v>900</v>
      </c>
      <c r="C328" s="1079">
        <v>31</v>
      </c>
      <c r="D328" s="1085">
        <f t="shared" si="125"/>
        <v>276</v>
      </c>
      <c r="E328" s="1085">
        <f t="shared" ref="E328:E337" si="134">E327</f>
        <v>365</v>
      </c>
      <c r="F328" s="1086">
        <f t="shared" si="128"/>
        <v>0.75616438356164384</v>
      </c>
      <c r="G328" s="1078"/>
      <c r="H328" s="1087">
        <f t="shared" ref="H328:H337" si="135">$H$326</f>
        <v>0</v>
      </c>
      <c r="I328" s="1079">
        <f t="shared" si="129"/>
        <v>0</v>
      </c>
      <c r="J328" s="1079">
        <f t="shared" si="126"/>
        <v>-0.13122942676874744</v>
      </c>
      <c r="K328" s="1065"/>
      <c r="L328" s="1087">
        <f t="shared" ref="L328:L337" si="136">$L$326</f>
        <v>0</v>
      </c>
      <c r="M328" s="1082">
        <f t="shared" si="130"/>
        <v>0</v>
      </c>
      <c r="N328" s="1082">
        <f t="shared" si="131"/>
        <v>0</v>
      </c>
      <c r="O328" s="1082">
        <f t="shared" si="132"/>
        <v>0</v>
      </c>
      <c r="P328" s="1082">
        <f t="shared" si="127"/>
        <v>0</v>
      </c>
      <c r="Q328" s="1082">
        <f t="shared" si="133"/>
        <v>-5.8207660913467407E-10</v>
      </c>
    </row>
    <row r="329" spans="1:17">
      <c r="A329" s="1064">
        <f t="shared" si="112"/>
        <v>321</v>
      </c>
      <c r="B329" s="1084" t="s">
        <v>901</v>
      </c>
      <c r="C329" s="1079">
        <v>30</v>
      </c>
      <c r="D329" s="1085">
        <f t="shared" si="125"/>
        <v>246</v>
      </c>
      <c r="E329" s="1085">
        <f t="shared" si="134"/>
        <v>365</v>
      </c>
      <c r="F329" s="1086">
        <f t="shared" si="128"/>
        <v>0.67397260273972603</v>
      </c>
      <c r="G329" s="1078"/>
      <c r="H329" s="1087">
        <f t="shared" si="135"/>
        <v>0</v>
      </c>
      <c r="I329" s="1079">
        <f t="shared" si="129"/>
        <v>0</v>
      </c>
      <c r="J329" s="1079">
        <f t="shared" si="126"/>
        <v>-0.13122942676874744</v>
      </c>
      <c r="K329" s="1065"/>
      <c r="L329" s="1087">
        <f t="shared" si="136"/>
        <v>0</v>
      </c>
      <c r="M329" s="1082">
        <f t="shared" si="130"/>
        <v>0</v>
      </c>
      <c r="N329" s="1082">
        <f t="shared" si="131"/>
        <v>0</v>
      </c>
      <c r="O329" s="1082">
        <f t="shared" si="132"/>
        <v>0</v>
      </c>
      <c r="P329" s="1082">
        <f t="shared" si="127"/>
        <v>0</v>
      </c>
      <c r="Q329" s="1082">
        <f t="shared" si="133"/>
        <v>-5.8207660913467407E-10</v>
      </c>
    </row>
    <row r="330" spans="1:17">
      <c r="A330" s="1064">
        <f t="shared" si="112"/>
        <v>322</v>
      </c>
      <c r="B330" s="1084" t="s">
        <v>902</v>
      </c>
      <c r="C330" s="1079">
        <v>31</v>
      </c>
      <c r="D330" s="1085">
        <f t="shared" si="125"/>
        <v>215</v>
      </c>
      <c r="E330" s="1085">
        <f t="shared" si="134"/>
        <v>365</v>
      </c>
      <c r="F330" s="1086">
        <f t="shared" si="128"/>
        <v>0.58904109589041098</v>
      </c>
      <c r="G330" s="1078"/>
      <c r="H330" s="1087">
        <f t="shared" si="135"/>
        <v>0</v>
      </c>
      <c r="I330" s="1079">
        <f t="shared" si="129"/>
        <v>0</v>
      </c>
      <c r="J330" s="1079">
        <f t="shared" si="126"/>
        <v>-0.13122942676874744</v>
      </c>
      <c r="K330" s="1065"/>
      <c r="L330" s="1087">
        <f t="shared" si="136"/>
        <v>0</v>
      </c>
      <c r="M330" s="1082">
        <f t="shared" si="130"/>
        <v>0</v>
      </c>
      <c r="N330" s="1082">
        <f t="shared" si="131"/>
        <v>0</v>
      </c>
      <c r="O330" s="1082">
        <f t="shared" si="132"/>
        <v>0</v>
      </c>
      <c r="P330" s="1082">
        <f t="shared" si="127"/>
        <v>0</v>
      </c>
      <c r="Q330" s="1082">
        <f t="shared" si="133"/>
        <v>-5.8207660913467407E-10</v>
      </c>
    </row>
    <row r="331" spans="1:17">
      <c r="A331" s="1064">
        <f t="shared" ref="A331:A394" si="137">+A330+1</f>
        <v>323</v>
      </c>
      <c r="B331" s="1084" t="s">
        <v>903</v>
      </c>
      <c r="C331" s="1079">
        <v>30</v>
      </c>
      <c r="D331" s="1085">
        <f t="shared" si="125"/>
        <v>185</v>
      </c>
      <c r="E331" s="1085">
        <f t="shared" si="134"/>
        <v>365</v>
      </c>
      <c r="F331" s="1086">
        <f t="shared" si="128"/>
        <v>0.50684931506849318</v>
      </c>
      <c r="G331" s="1078"/>
      <c r="H331" s="1087">
        <f t="shared" si="135"/>
        <v>0</v>
      </c>
      <c r="I331" s="1079">
        <f t="shared" si="129"/>
        <v>0</v>
      </c>
      <c r="J331" s="1079">
        <f t="shared" si="126"/>
        <v>-0.13122942676874744</v>
      </c>
      <c r="K331" s="1065"/>
      <c r="L331" s="1087">
        <f t="shared" si="136"/>
        <v>0</v>
      </c>
      <c r="M331" s="1082">
        <f t="shared" si="130"/>
        <v>0</v>
      </c>
      <c r="N331" s="1082">
        <f t="shared" si="131"/>
        <v>0</v>
      </c>
      <c r="O331" s="1082">
        <f t="shared" si="132"/>
        <v>0</v>
      </c>
      <c r="P331" s="1082">
        <f t="shared" si="127"/>
        <v>0</v>
      </c>
      <c r="Q331" s="1082">
        <f t="shared" si="133"/>
        <v>-5.8207660913467407E-10</v>
      </c>
    </row>
    <row r="332" spans="1:17">
      <c r="A332" s="1064">
        <f t="shared" si="137"/>
        <v>324</v>
      </c>
      <c r="B332" s="1084" t="s">
        <v>904</v>
      </c>
      <c r="C332" s="1079">
        <v>31</v>
      </c>
      <c r="D332" s="1085">
        <f t="shared" si="125"/>
        <v>154</v>
      </c>
      <c r="E332" s="1085">
        <f t="shared" si="134"/>
        <v>365</v>
      </c>
      <c r="F332" s="1086">
        <f t="shared" si="128"/>
        <v>0.42191780821917807</v>
      </c>
      <c r="G332" s="1078"/>
      <c r="H332" s="1087">
        <f t="shared" si="135"/>
        <v>0</v>
      </c>
      <c r="I332" s="1079">
        <f t="shared" si="129"/>
        <v>0</v>
      </c>
      <c r="J332" s="1079">
        <f t="shared" si="126"/>
        <v>-0.13122942676874744</v>
      </c>
      <c r="K332" s="1065"/>
      <c r="L332" s="1087">
        <f t="shared" si="136"/>
        <v>0</v>
      </c>
      <c r="M332" s="1082">
        <f t="shared" si="130"/>
        <v>0</v>
      </c>
      <c r="N332" s="1082">
        <f t="shared" si="131"/>
        <v>0</v>
      </c>
      <c r="O332" s="1082">
        <f t="shared" si="132"/>
        <v>0</v>
      </c>
      <c r="P332" s="1082">
        <f t="shared" si="127"/>
        <v>0</v>
      </c>
      <c r="Q332" s="1082">
        <f t="shared" si="133"/>
        <v>-5.8207660913467407E-10</v>
      </c>
    </row>
    <row r="333" spans="1:17">
      <c r="A333" s="1064">
        <f t="shared" si="137"/>
        <v>325</v>
      </c>
      <c r="B333" s="1084" t="s">
        <v>905</v>
      </c>
      <c r="C333" s="1079">
        <v>31</v>
      </c>
      <c r="D333" s="1085">
        <f t="shared" si="125"/>
        <v>123</v>
      </c>
      <c r="E333" s="1085">
        <f t="shared" si="134"/>
        <v>365</v>
      </c>
      <c r="F333" s="1086">
        <f t="shared" si="128"/>
        <v>0.33698630136986302</v>
      </c>
      <c r="G333" s="1078"/>
      <c r="H333" s="1087">
        <f t="shared" si="135"/>
        <v>0</v>
      </c>
      <c r="I333" s="1079">
        <f t="shared" si="129"/>
        <v>0</v>
      </c>
      <c r="J333" s="1079">
        <f t="shared" si="126"/>
        <v>-0.13122942676874744</v>
      </c>
      <c r="K333" s="1065"/>
      <c r="L333" s="1087">
        <f t="shared" si="136"/>
        <v>0</v>
      </c>
      <c r="M333" s="1082">
        <f t="shared" si="130"/>
        <v>0</v>
      </c>
      <c r="N333" s="1082">
        <f t="shared" si="131"/>
        <v>0</v>
      </c>
      <c r="O333" s="1082">
        <f t="shared" si="132"/>
        <v>0</v>
      </c>
      <c r="P333" s="1082">
        <f t="shared" si="127"/>
        <v>0</v>
      </c>
      <c r="Q333" s="1082">
        <f t="shared" si="133"/>
        <v>-5.8207660913467407E-10</v>
      </c>
    </row>
    <row r="334" spans="1:17">
      <c r="A334" s="1064">
        <f t="shared" si="137"/>
        <v>326</v>
      </c>
      <c r="B334" s="1084" t="s">
        <v>906</v>
      </c>
      <c r="C334" s="1079">
        <v>30</v>
      </c>
      <c r="D334" s="1085">
        <f t="shared" si="125"/>
        <v>93</v>
      </c>
      <c r="E334" s="1085">
        <f t="shared" si="134"/>
        <v>365</v>
      </c>
      <c r="F334" s="1086">
        <f t="shared" si="128"/>
        <v>0.25479452054794521</v>
      </c>
      <c r="G334" s="1078"/>
      <c r="H334" s="1087">
        <f t="shared" si="135"/>
        <v>0</v>
      </c>
      <c r="I334" s="1079">
        <f t="shared" si="129"/>
        <v>0</v>
      </c>
      <c r="J334" s="1079">
        <f t="shared" si="126"/>
        <v>-0.13122942676874744</v>
      </c>
      <c r="K334" s="1065"/>
      <c r="L334" s="1087">
        <f t="shared" si="136"/>
        <v>0</v>
      </c>
      <c r="M334" s="1082">
        <f t="shared" si="130"/>
        <v>0</v>
      </c>
      <c r="N334" s="1082">
        <f t="shared" si="131"/>
        <v>0</v>
      </c>
      <c r="O334" s="1082">
        <f t="shared" si="132"/>
        <v>0</v>
      </c>
      <c r="P334" s="1082">
        <f t="shared" si="127"/>
        <v>0</v>
      </c>
      <c r="Q334" s="1082">
        <f t="shared" si="133"/>
        <v>-5.8207660913467407E-10</v>
      </c>
    </row>
    <row r="335" spans="1:17">
      <c r="A335" s="1064">
        <f t="shared" si="137"/>
        <v>327</v>
      </c>
      <c r="B335" s="1084" t="s">
        <v>907</v>
      </c>
      <c r="C335" s="1079">
        <v>31</v>
      </c>
      <c r="D335" s="1085">
        <f>D336+C336</f>
        <v>62</v>
      </c>
      <c r="E335" s="1085">
        <f t="shared" si="134"/>
        <v>365</v>
      </c>
      <c r="F335" s="1086">
        <f t="shared" si="128"/>
        <v>0.16986301369863013</v>
      </c>
      <c r="G335" s="1078"/>
      <c r="H335" s="1087">
        <f t="shared" si="135"/>
        <v>0</v>
      </c>
      <c r="I335" s="1079">
        <f t="shared" si="129"/>
        <v>0</v>
      </c>
      <c r="J335" s="1079">
        <f t="shared" si="126"/>
        <v>-0.13122942676874744</v>
      </c>
      <c r="K335" s="1065"/>
      <c r="L335" s="1087">
        <f t="shared" si="136"/>
        <v>0</v>
      </c>
      <c r="M335" s="1082">
        <f t="shared" si="130"/>
        <v>0</v>
      </c>
      <c r="N335" s="1082">
        <f t="shared" si="131"/>
        <v>0</v>
      </c>
      <c r="O335" s="1082">
        <f t="shared" si="132"/>
        <v>0</v>
      </c>
      <c r="P335" s="1082">
        <f t="shared" si="127"/>
        <v>0</v>
      </c>
      <c r="Q335" s="1082">
        <f t="shared" si="133"/>
        <v>-5.8207660913467407E-10</v>
      </c>
    </row>
    <row r="336" spans="1:17">
      <c r="A336" s="1064">
        <f t="shared" si="137"/>
        <v>328</v>
      </c>
      <c r="B336" s="1084" t="s">
        <v>908</v>
      </c>
      <c r="C336" s="1079">
        <v>30</v>
      </c>
      <c r="D336" s="1085">
        <f>D337+C337</f>
        <v>32</v>
      </c>
      <c r="E336" s="1085">
        <f t="shared" si="134"/>
        <v>365</v>
      </c>
      <c r="F336" s="1086">
        <f t="shared" si="128"/>
        <v>8.7671232876712329E-2</v>
      </c>
      <c r="G336" s="1078"/>
      <c r="H336" s="1087">
        <f t="shared" si="135"/>
        <v>0</v>
      </c>
      <c r="I336" s="1079">
        <f t="shared" si="129"/>
        <v>0</v>
      </c>
      <c r="J336" s="1079">
        <f t="shared" si="126"/>
        <v>-0.13122942676874744</v>
      </c>
      <c r="K336" s="1065"/>
      <c r="L336" s="1087">
        <f t="shared" si="136"/>
        <v>0</v>
      </c>
      <c r="M336" s="1082">
        <f t="shared" si="130"/>
        <v>0</v>
      </c>
      <c r="N336" s="1082">
        <f t="shared" si="131"/>
        <v>0</v>
      </c>
      <c r="O336" s="1082">
        <f t="shared" si="132"/>
        <v>0</v>
      </c>
      <c r="P336" s="1082">
        <f t="shared" si="127"/>
        <v>0</v>
      </c>
      <c r="Q336" s="1082">
        <f t="shared" si="133"/>
        <v>-5.8207660913467407E-10</v>
      </c>
    </row>
    <row r="337" spans="1:18">
      <c r="A337" s="1064">
        <f t="shared" si="137"/>
        <v>329</v>
      </c>
      <c r="B337" s="1084" t="s">
        <v>909</v>
      </c>
      <c r="C337" s="1079">
        <v>31</v>
      </c>
      <c r="D337" s="1085">
        <v>1</v>
      </c>
      <c r="E337" s="1085">
        <f t="shared" si="134"/>
        <v>365</v>
      </c>
      <c r="F337" s="1086">
        <f t="shared" si="128"/>
        <v>2.7397260273972603E-3</v>
      </c>
      <c r="G337" s="1078"/>
      <c r="H337" s="1087">
        <f t="shared" si="135"/>
        <v>0</v>
      </c>
      <c r="I337" s="1079">
        <f t="shared" si="129"/>
        <v>0</v>
      </c>
      <c r="J337" s="1079">
        <f t="shared" si="126"/>
        <v>-0.13122942676874744</v>
      </c>
      <c r="K337" s="1065"/>
      <c r="L337" s="1087">
        <f t="shared" si="136"/>
        <v>0</v>
      </c>
      <c r="M337" s="1082">
        <f t="shared" si="130"/>
        <v>0</v>
      </c>
      <c r="N337" s="1082">
        <f t="shared" si="131"/>
        <v>0</v>
      </c>
      <c r="O337" s="1082">
        <f t="shared" si="132"/>
        <v>0</v>
      </c>
      <c r="P337" s="1082">
        <f t="shared" si="127"/>
        <v>0</v>
      </c>
      <c r="Q337" s="1082">
        <f t="shared" si="133"/>
        <v>-5.8207660913467407E-10</v>
      </c>
    </row>
    <row r="338" spans="1:18">
      <c r="A338" s="1064">
        <f t="shared" si="137"/>
        <v>330</v>
      </c>
      <c r="B338" s="1088"/>
      <c r="C338" s="1088" t="s">
        <v>790</v>
      </c>
      <c r="D338" s="1089">
        <f>+SUM(D326:D337)</f>
        <v>2029</v>
      </c>
      <c r="E338" s="1089">
        <f>+SUM(E326:E337)</f>
        <v>4380</v>
      </c>
      <c r="F338" s="1090"/>
      <c r="G338" s="1078"/>
      <c r="H338" s="1091">
        <f>SUM(H326:H337)</f>
        <v>0</v>
      </c>
      <c r="I338" s="1091">
        <f>SUM(I326:I337)</f>
        <v>0</v>
      </c>
      <c r="J338" s="1090"/>
      <c r="K338" s="1065"/>
      <c r="L338" s="1092">
        <f>SUM(L326:L337)</f>
        <v>0</v>
      </c>
      <c r="M338" s="1092">
        <f>SUM(M326:M337)</f>
        <v>0</v>
      </c>
      <c r="N338" s="1092">
        <f>SUM(N326:N337)</f>
        <v>0</v>
      </c>
      <c r="O338" s="1092">
        <f>SUM(O326:O337)</f>
        <v>0</v>
      </c>
      <c r="P338" s="1092">
        <f>SUM(P326:P337)</f>
        <v>0</v>
      </c>
      <c r="Q338" s="1092"/>
    </row>
    <row r="339" spans="1:18">
      <c r="A339" s="1064">
        <f t="shared" si="137"/>
        <v>331</v>
      </c>
      <c r="B339" s="1094"/>
      <c r="C339" s="1094"/>
      <c r="D339" s="1095"/>
      <c r="E339" s="1095"/>
      <c r="F339" s="1096"/>
      <c r="G339" s="1078"/>
      <c r="H339" s="1079"/>
      <c r="I339" s="1079"/>
      <c r="J339" s="1096"/>
      <c r="K339" s="1065"/>
      <c r="L339" s="1098"/>
      <c r="M339" s="1098"/>
      <c r="N339" s="1098"/>
      <c r="O339" s="1098"/>
      <c r="P339" s="1098"/>
      <c r="Q339" s="1098"/>
    </row>
    <row r="340" spans="1:18">
      <c r="A340" s="1064">
        <f t="shared" si="137"/>
        <v>332</v>
      </c>
      <c r="B340" s="1065" t="s">
        <v>1682</v>
      </c>
      <c r="C340" s="1094"/>
      <c r="D340" s="1095"/>
      <c r="E340" s="1099">
        <f>1-(D338/E338)</f>
        <v>0.53675799086757991</v>
      </c>
      <c r="F340" s="1096"/>
      <c r="G340" s="1078"/>
      <c r="H340" s="1079"/>
      <c r="I340" s="1079"/>
      <c r="J340" s="1096"/>
      <c r="K340" s="1065"/>
      <c r="L340" s="1098"/>
      <c r="M340" s="1098"/>
      <c r="N340" s="1098"/>
      <c r="O340" s="1098"/>
      <c r="P340" s="1098"/>
      <c r="Q340" s="1098"/>
    </row>
    <row r="341" spans="1:18" s="1070" customFormat="1">
      <c r="A341" s="1064">
        <f t="shared" si="137"/>
        <v>333</v>
      </c>
      <c r="B341" s="1117"/>
      <c r="C341" s="1117"/>
      <c r="D341" s="1117"/>
      <c r="E341" s="1117"/>
      <c r="F341" s="1118"/>
      <c r="G341" s="1118"/>
      <c r="H341" s="1069"/>
      <c r="I341" s="1119"/>
      <c r="J341" s="1118"/>
      <c r="K341" s="1077"/>
      <c r="L341" s="1077"/>
      <c r="M341" s="1077"/>
      <c r="N341" s="1077"/>
      <c r="O341" s="1077"/>
      <c r="P341" s="1077"/>
      <c r="Q341" s="1077"/>
    </row>
    <row r="342" spans="1:18" s="1070" customFormat="1">
      <c r="A342" s="1064">
        <f t="shared" si="137"/>
        <v>334</v>
      </c>
      <c r="B342" s="1120"/>
      <c r="C342" s="1117"/>
      <c r="D342" s="1077"/>
      <c r="E342" s="1117"/>
      <c r="F342" s="1077"/>
      <c r="G342" s="1118"/>
      <c r="H342" s="1069"/>
      <c r="I342" s="1119"/>
      <c r="J342" s="1121"/>
      <c r="K342" s="1077"/>
      <c r="L342" s="1077"/>
      <c r="M342" s="1077"/>
      <c r="N342" s="1077"/>
      <c r="O342" s="1077"/>
      <c r="P342" s="1077"/>
      <c r="Q342" s="1121"/>
    </row>
    <row r="343" spans="1:18" s="110" customFormat="1">
      <c r="A343" s="1064">
        <f t="shared" si="137"/>
        <v>335</v>
      </c>
      <c r="B343" s="1104" t="s">
        <v>1683</v>
      </c>
      <c r="C343" s="1104"/>
      <c r="D343" s="1104"/>
      <c r="E343" s="1104"/>
      <c r="F343" s="1104" t="str">
        <f>"(Line "&amp;A325&amp;", Col H)"</f>
        <v>(Line 317, Col H)</v>
      </c>
      <c r="G343" s="1122"/>
      <c r="H343" s="1104"/>
      <c r="I343" s="1122"/>
      <c r="J343" s="1082">
        <f>J325</f>
        <v>-0.13122942676874744</v>
      </c>
      <c r="K343" s="1104"/>
      <c r="L343" s="1104"/>
      <c r="M343" s="1104"/>
      <c r="N343" s="1104" t="str">
        <f>"(Line "&amp;A325&amp;", Col N)"</f>
        <v>(Line 317, Col N)</v>
      </c>
      <c r="O343" s="1104"/>
      <c r="P343" s="1104"/>
      <c r="Q343" s="1082">
        <f>Q325</f>
        <v>-5.8207660913467407E-10</v>
      </c>
    </row>
    <row r="344" spans="1:18" s="110" customFormat="1">
      <c r="A344" s="1064">
        <f t="shared" si="137"/>
        <v>336</v>
      </c>
      <c r="B344" s="1104" t="s">
        <v>1684</v>
      </c>
      <c r="C344" s="1104"/>
      <c r="D344" s="1104"/>
      <c r="E344" s="1104"/>
      <c r="F344" s="1104" t="str">
        <f>"(Line "&amp;A337&amp;", Col H)"</f>
        <v>(Line 329, Col H)</v>
      </c>
      <c r="G344" s="1122"/>
      <c r="H344" s="1104"/>
      <c r="I344" s="1122"/>
      <c r="J344" s="1082">
        <f>J337</f>
        <v>-0.13122942676874744</v>
      </c>
      <c r="K344" s="1104"/>
      <c r="L344" s="1123"/>
      <c r="M344" s="1104"/>
      <c r="N344" s="1104" t="str">
        <f>"(Line "&amp;A337&amp;", Col N)"</f>
        <v>(Line 329, Col N)</v>
      </c>
      <c r="O344" s="1104"/>
      <c r="P344" s="1104"/>
      <c r="Q344" s="1082">
        <f>Q337</f>
        <v>-5.8207660913467407E-10</v>
      </c>
    </row>
    <row r="345" spans="1:18" s="110" customFormat="1">
      <c r="A345" s="1064">
        <f t="shared" si="137"/>
        <v>337</v>
      </c>
      <c r="B345" s="1104" t="s">
        <v>1685</v>
      </c>
      <c r="C345" s="1104"/>
      <c r="D345" s="1104"/>
      <c r="E345" s="1104"/>
      <c r="F345" s="1104" t="str">
        <f>"(Average of Line "&amp;A343&amp;" &amp; Line "&amp;A344&amp;")"</f>
        <v>(Average of Line 335 &amp; Line 336)</v>
      </c>
      <c r="G345" s="1122"/>
      <c r="H345" s="1104"/>
      <c r="I345" s="1124"/>
      <c r="J345" s="1108">
        <f>(J343+J344)/2</f>
        <v>-0.13122942676874744</v>
      </c>
      <c r="K345" s="1104"/>
      <c r="L345" s="1125"/>
      <c r="M345" s="1104"/>
      <c r="N345" s="1104" t="str">
        <f>"(Average of Line "&amp;A343&amp;" &amp; Line "&amp;A344&amp;")"</f>
        <v>(Average of Line 335 &amp; Line 336)</v>
      </c>
      <c r="O345" s="1104"/>
      <c r="P345" s="1104"/>
      <c r="Q345" s="1108">
        <f>(Q343+Q344)/2</f>
        <v>-5.8207660913467407E-10</v>
      </c>
    </row>
    <row r="346" spans="1:18" s="110" customFormat="1" ht="13.5" customHeight="1">
      <c r="A346" s="1064">
        <f t="shared" si="137"/>
        <v>338</v>
      </c>
      <c r="B346" s="1104" t="s">
        <v>1686</v>
      </c>
      <c r="C346" s="1104"/>
      <c r="D346" s="1104"/>
      <c r="E346" s="1104"/>
      <c r="F346" s="1104" t="s">
        <v>1807</v>
      </c>
      <c r="G346" s="1104"/>
      <c r="H346" s="1104"/>
      <c r="I346" s="1104"/>
      <c r="J346" s="1126">
        <f>AVERAGE(J325, (SUM(H326:H337)+J325))</f>
        <v>-0.13122942676874744</v>
      </c>
      <c r="K346" s="1104"/>
      <c r="L346" s="1104"/>
      <c r="M346" s="1104"/>
      <c r="N346" s="1104" t="s">
        <v>1807</v>
      </c>
      <c r="O346" s="1104"/>
      <c r="P346" s="1104"/>
      <c r="Q346" s="1126">
        <f>AVERAGE(Q325, (SUM(L326:L337)+Q325))</f>
        <v>-5.8207660913467407E-10</v>
      </c>
    </row>
    <row r="347" spans="1:18" s="110" customFormat="1" ht="13.5" customHeight="1">
      <c r="A347" s="1064">
        <f t="shared" si="137"/>
        <v>339</v>
      </c>
      <c r="B347" s="1104" t="s">
        <v>1687</v>
      </c>
      <c r="C347" s="1104"/>
      <c r="D347" s="1104"/>
      <c r="E347" s="1104"/>
      <c r="F347" s="1104"/>
      <c r="G347" s="1104"/>
      <c r="H347" s="1104"/>
      <c r="I347" s="1104"/>
      <c r="J347" s="1123">
        <f>J345-J346</f>
        <v>0</v>
      </c>
      <c r="K347" s="1104"/>
      <c r="L347" s="1104"/>
      <c r="M347" s="1104"/>
      <c r="N347" s="1104"/>
      <c r="O347" s="1104"/>
      <c r="P347" s="1104"/>
      <c r="Q347" s="1123">
        <f>Q345-Q346</f>
        <v>0</v>
      </c>
    </row>
    <row r="348" spans="1:18" s="1070" customFormat="1">
      <c r="A348" s="1064">
        <f t="shared" si="137"/>
        <v>340</v>
      </c>
      <c r="B348" s="1127"/>
      <c r="C348" s="1127"/>
      <c r="D348" s="1127"/>
      <c r="E348" s="1127"/>
      <c r="F348" s="1127"/>
      <c r="G348" s="1127"/>
      <c r="H348" s="1127"/>
      <c r="I348" s="1127"/>
      <c r="J348" s="1127"/>
      <c r="K348" s="1077"/>
      <c r="L348" s="1077"/>
      <c r="M348" s="1077"/>
      <c r="N348" s="1077"/>
      <c r="O348" s="1077"/>
      <c r="P348" s="1077"/>
      <c r="Q348" s="1127"/>
    </row>
    <row r="349" spans="1:18" s="1070" customFormat="1">
      <c r="A349" s="1064">
        <f t="shared" si="137"/>
        <v>341</v>
      </c>
      <c r="B349" s="1077"/>
      <c r="C349" s="1077"/>
      <c r="D349" s="1077"/>
      <c r="E349" s="1077"/>
      <c r="F349" s="1077"/>
      <c r="G349" s="1077"/>
      <c r="H349" s="1077"/>
      <c r="I349" s="1077"/>
      <c r="J349" s="1077"/>
      <c r="K349" s="1077"/>
      <c r="L349" s="1077"/>
      <c r="M349" s="1077"/>
      <c r="N349" s="1077"/>
      <c r="O349" s="1077"/>
      <c r="P349" s="1077"/>
      <c r="Q349" s="1077"/>
    </row>
    <row r="350" spans="1:18">
      <c r="A350" s="1064">
        <f t="shared" si="137"/>
        <v>342</v>
      </c>
      <c r="B350" s="1270" t="s">
        <v>1691</v>
      </c>
      <c r="C350" s="1270"/>
      <c r="D350" s="1270"/>
      <c r="E350" s="1270"/>
      <c r="F350" s="1065"/>
      <c r="G350" s="1065"/>
      <c r="H350" s="1112"/>
      <c r="I350" s="1112"/>
      <c r="J350" s="1112"/>
      <c r="K350" s="1065"/>
      <c r="L350" s="1113"/>
      <c r="M350" s="1114"/>
      <c r="N350" s="1114"/>
      <c r="O350" s="1114"/>
      <c r="P350" s="1114"/>
      <c r="Q350" s="1114"/>
      <c r="R350" s="1070"/>
    </row>
    <row r="351" spans="1:18">
      <c r="A351" s="1064">
        <f t="shared" si="137"/>
        <v>343</v>
      </c>
      <c r="B351" s="1262" t="s">
        <v>1694</v>
      </c>
      <c r="C351" s="1262"/>
      <c r="D351" s="1262"/>
      <c r="E351" s="1262"/>
      <c r="F351" s="1065"/>
      <c r="G351" s="1065"/>
      <c r="H351" s="1112"/>
      <c r="I351" s="1112"/>
      <c r="J351" s="1112"/>
      <c r="K351" s="1065"/>
      <c r="L351" s="1113"/>
      <c r="M351" s="1114"/>
      <c r="N351" s="1114"/>
      <c r="O351" s="1114"/>
      <c r="P351" s="1114"/>
      <c r="Q351" s="1114"/>
      <c r="R351" s="1070"/>
    </row>
    <row r="352" spans="1:18">
      <c r="A352" s="1064">
        <f t="shared" si="137"/>
        <v>344</v>
      </c>
      <c r="B352" s="1263" t="s">
        <v>1666</v>
      </c>
      <c r="C352" s="1264"/>
      <c r="D352" s="1264"/>
      <c r="E352" s="1264"/>
      <c r="F352" s="1265"/>
      <c r="G352" s="1071"/>
      <c r="H352" s="1266" t="s">
        <v>1667</v>
      </c>
      <c r="I352" s="1267"/>
      <c r="J352" s="1268"/>
      <c r="K352" s="1065"/>
      <c r="L352" s="1266" t="s">
        <v>1668</v>
      </c>
      <c r="M352" s="1267"/>
      <c r="N352" s="1267"/>
      <c r="O352" s="1267"/>
      <c r="P352" s="1267"/>
      <c r="Q352" s="1267"/>
    </row>
    <row r="353" spans="1:17">
      <c r="A353" s="1064">
        <f t="shared" si="137"/>
        <v>345</v>
      </c>
      <c r="B353" s="1072" t="s">
        <v>824</v>
      </c>
      <c r="C353" s="1072" t="s">
        <v>825</v>
      </c>
      <c r="D353" s="1072" t="s">
        <v>826</v>
      </c>
      <c r="E353" s="1072" t="s">
        <v>827</v>
      </c>
      <c r="F353" s="1072" t="s">
        <v>828</v>
      </c>
      <c r="G353" s="1071"/>
      <c r="H353" s="1072" t="s">
        <v>829</v>
      </c>
      <c r="I353" s="1072" t="s">
        <v>830</v>
      </c>
      <c r="J353" s="1072" t="s">
        <v>831</v>
      </c>
      <c r="K353" s="1065"/>
      <c r="L353" s="1072" t="s">
        <v>832</v>
      </c>
      <c r="M353" s="1072" t="s">
        <v>833</v>
      </c>
      <c r="N353" s="1072" t="s">
        <v>834</v>
      </c>
      <c r="O353" s="1072" t="s">
        <v>835</v>
      </c>
      <c r="P353" s="1072" t="s">
        <v>837</v>
      </c>
      <c r="Q353" s="1072" t="s">
        <v>836</v>
      </c>
    </row>
    <row r="354" spans="1:17" ht="45">
      <c r="A354" s="1064">
        <f t="shared" si="137"/>
        <v>346</v>
      </c>
      <c r="B354" s="1074" t="s">
        <v>1342</v>
      </c>
      <c r="C354" s="1074" t="s">
        <v>1577</v>
      </c>
      <c r="D354" s="1074" t="s">
        <v>1669</v>
      </c>
      <c r="E354" s="1074" t="s">
        <v>1670</v>
      </c>
      <c r="F354" s="1074" t="s">
        <v>1671</v>
      </c>
      <c r="G354" s="1075"/>
      <c r="H354" s="1074" t="s">
        <v>1672</v>
      </c>
      <c r="I354" s="1074" t="s">
        <v>1673</v>
      </c>
      <c r="J354" s="1074" t="s">
        <v>1674</v>
      </c>
      <c r="K354" s="1065"/>
      <c r="L354" s="1074" t="s">
        <v>1675</v>
      </c>
      <c r="M354" s="1074" t="s">
        <v>1676</v>
      </c>
      <c r="N354" s="1074" t="s">
        <v>1677</v>
      </c>
      <c r="O354" s="1074" t="s">
        <v>1678</v>
      </c>
      <c r="P354" s="1074" t="s">
        <v>1679</v>
      </c>
      <c r="Q354" s="1074" t="s">
        <v>1680</v>
      </c>
    </row>
    <row r="355" spans="1:17">
      <c r="A355" s="1064">
        <f t="shared" si="137"/>
        <v>347</v>
      </c>
      <c r="B355" s="1065"/>
      <c r="C355" s="1075"/>
      <c r="D355" s="1075"/>
      <c r="E355" s="1075"/>
      <c r="F355" s="1075"/>
      <c r="G355" s="1075"/>
      <c r="H355" s="1075"/>
      <c r="I355" s="1075"/>
      <c r="J355" s="1075"/>
      <c r="K355" s="1065"/>
      <c r="L355" s="1065"/>
      <c r="M355" s="1065"/>
      <c r="N355" s="1065"/>
      <c r="O355" s="1065"/>
      <c r="P355" s="1065"/>
      <c r="Q355" s="1065"/>
    </row>
    <row r="356" spans="1:17">
      <c r="A356" s="1064">
        <f t="shared" si="137"/>
        <v>348</v>
      </c>
      <c r="B356" s="1269" t="s">
        <v>1681</v>
      </c>
      <c r="C356" s="1269"/>
      <c r="D356" s="1269"/>
      <c r="E356" s="1269"/>
      <c r="F356" s="1078"/>
      <c r="G356" s="1078"/>
      <c r="H356" s="1079"/>
      <c r="I356" s="1079"/>
      <c r="J356" s="1080">
        <f>'WP_B-Inputs Est.'!F107</f>
        <v>298281.7873159005</v>
      </c>
      <c r="K356" s="1081"/>
      <c r="L356" s="1079"/>
      <c r="M356" s="1082"/>
      <c r="N356" s="1082"/>
      <c r="O356" s="1082"/>
      <c r="P356" s="1082"/>
      <c r="Q356" s="1080">
        <f>'WP_B-Inputs Act.'!F106</f>
        <v>212046.01781357394</v>
      </c>
    </row>
    <row r="357" spans="1:17">
      <c r="A357" s="1064">
        <f t="shared" si="137"/>
        <v>349</v>
      </c>
      <c r="B357" s="1084" t="s">
        <v>950</v>
      </c>
      <c r="C357" s="1079">
        <v>31</v>
      </c>
      <c r="D357" s="1085">
        <f t="shared" ref="D357:D365" si="138">D358+C358</f>
        <v>335</v>
      </c>
      <c r="E357" s="1085">
        <f>SUM(C357:C368)</f>
        <v>365</v>
      </c>
      <c r="F357" s="1086">
        <f>D357/E357</f>
        <v>0.9178082191780822</v>
      </c>
      <c r="G357" s="1078"/>
      <c r="H357" s="1087">
        <f>('WP_B-Inputs Est.'!F108-'WP_B-Inputs Est.'!F107)/12</f>
        <v>-1285.0955945306778</v>
      </c>
      <c r="I357" s="1079">
        <f>+H357*F357</f>
        <v>-1179.4712990898001</v>
      </c>
      <c r="J357" s="1079">
        <f t="shared" ref="J357:J368" si="139">+I357+J356</f>
        <v>297102.31601681071</v>
      </c>
      <c r="K357" s="1065"/>
      <c r="L357" s="1087">
        <f>('WP_B-Inputs Act.'!F107-'WP_B-Inputs Act.'!F106)/12</f>
        <v>-2633.8720629041782</v>
      </c>
      <c r="M357" s="1082">
        <f>L357-H357</f>
        <v>-1348.7764683735004</v>
      </c>
      <c r="N357" s="1082">
        <f>IF(M357&lt;=0,+M357,0)</f>
        <v>-1348.7764683735004</v>
      </c>
      <c r="O357" s="1082">
        <f>IF(N357&lt;0,0,IF(L357&gt;0,0,(-(M357)*(D357/E357))))</f>
        <v>0</v>
      </c>
      <c r="P357" s="1082">
        <f t="shared" ref="P357:P368" si="140">IF(L357&gt;0,L357,0)</f>
        <v>0</v>
      </c>
      <c r="Q357" s="1082">
        <f>IF(L357&gt;0,Q356+P357,Q356+I357+N357-O357)</f>
        <v>209517.77004611061</v>
      </c>
    </row>
    <row r="358" spans="1:17">
      <c r="A358" s="1064">
        <f t="shared" si="137"/>
        <v>350</v>
      </c>
      <c r="B358" s="1084" t="s">
        <v>899</v>
      </c>
      <c r="C358" s="1087">
        <v>28</v>
      </c>
      <c r="D358" s="1085">
        <f t="shared" si="138"/>
        <v>307</v>
      </c>
      <c r="E358" s="1085">
        <f>E357</f>
        <v>365</v>
      </c>
      <c r="F358" s="1086">
        <f t="shared" ref="F358:F368" si="141">D358/E358</f>
        <v>0.84109589041095889</v>
      </c>
      <c r="G358" s="1078"/>
      <c r="H358" s="1087">
        <f>$H$357</f>
        <v>-1285.0955945306778</v>
      </c>
      <c r="I358" s="1079">
        <f t="shared" ref="I358:I368" si="142">+H358*F358</f>
        <v>-1080.8886233449809</v>
      </c>
      <c r="J358" s="1079">
        <f t="shared" si="139"/>
        <v>296021.42739346571</v>
      </c>
      <c r="K358" s="1065"/>
      <c r="L358" s="1087">
        <f>$L$357</f>
        <v>-2633.8720629041782</v>
      </c>
      <c r="M358" s="1082">
        <f t="shared" ref="M358:M368" si="143">L358-H358</f>
        <v>-1348.7764683735004</v>
      </c>
      <c r="N358" s="1082">
        <f t="shared" ref="N358:N368" si="144">IF(M358&lt;=0,+M358,0)</f>
        <v>-1348.7764683735004</v>
      </c>
      <c r="O358" s="1082">
        <f t="shared" ref="O358:O368" si="145">IF(N358&lt;0,0,IF(L358&gt;0,0,(-(M358)*(D358/E358))))</f>
        <v>0</v>
      </c>
      <c r="P358" s="1082">
        <f t="shared" si="140"/>
        <v>0</v>
      </c>
      <c r="Q358" s="1082">
        <f t="shared" ref="Q358:Q368" si="146">IF(L358&gt;0,Q357+P358,Q357+I358+N358-O358)</f>
        <v>207088.10495439213</v>
      </c>
    </row>
    <row r="359" spans="1:17">
      <c r="A359" s="1064">
        <f t="shared" si="137"/>
        <v>351</v>
      </c>
      <c r="B359" s="1084" t="s">
        <v>900</v>
      </c>
      <c r="C359" s="1079">
        <v>31</v>
      </c>
      <c r="D359" s="1085">
        <f t="shared" si="138"/>
        <v>276</v>
      </c>
      <c r="E359" s="1085">
        <f t="shared" ref="E359:E368" si="147">E358</f>
        <v>365</v>
      </c>
      <c r="F359" s="1086">
        <f t="shared" si="141"/>
        <v>0.75616438356164384</v>
      </c>
      <c r="G359" s="1078"/>
      <c r="H359" s="1087">
        <f t="shared" ref="H359:H368" si="148">$H$357</f>
        <v>-1285.0955945306778</v>
      </c>
      <c r="I359" s="1079">
        <f t="shared" si="142"/>
        <v>-971.74351805607421</v>
      </c>
      <c r="J359" s="1079">
        <f t="shared" si="139"/>
        <v>295049.68387540965</v>
      </c>
      <c r="K359" s="1065"/>
      <c r="L359" s="1087">
        <f t="shared" ref="L359:L368" si="149">$L$357</f>
        <v>-2633.8720629041782</v>
      </c>
      <c r="M359" s="1082">
        <f t="shared" si="143"/>
        <v>-1348.7764683735004</v>
      </c>
      <c r="N359" s="1082">
        <f t="shared" si="144"/>
        <v>-1348.7764683735004</v>
      </c>
      <c r="O359" s="1082">
        <f t="shared" si="145"/>
        <v>0</v>
      </c>
      <c r="P359" s="1082">
        <f t="shared" si="140"/>
        <v>0</v>
      </c>
      <c r="Q359" s="1082">
        <f t="shared" si="146"/>
        <v>204767.58496796252</v>
      </c>
    </row>
    <row r="360" spans="1:17">
      <c r="A360" s="1064">
        <f t="shared" si="137"/>
        <v>352</v>
      </c>
      <c r="B360" s="1084" t="s">
        <v>901</v>
      </c>
      <c r="C360" s="1079">
        <v>30</v>
      </c>
      <c r="D360" s="1085">
        <f t="shared" si="138"/>
        <v>246</v>
      </c>
      <c r="E360" s="1085">
        <f t="shared" si="147"/>
        <v>365</v>
      </c>
      <c r="F360" s="1086">
        <f t="shared" si="141"/>
        <v>0.67397260273972603</v>
      </c>
      <c r="G360" s="1078"/>
      <c r="H360" s="1087">
        <f t="shared" si="148"/>
        <v>-1285.0955945306778</v>
      </c>
      <c r="I360" s="1079">
        <f t="shared" si="142"/>
        <v>-866.11922261519658</v>
      </c>
      <c r="J360" s="1079">
        <f t="shared" si="139"/>
        <v>294183.56465279445</v>
      </c>
      <c r="K360" s="1065"/>
      <c r="L360" s="1087">
        <f t="shared" si="149"/>
        <v>-2633.8720629041782</v>
      </c>
      <c r="M360" s="1082">
        <f t="shared" si="143"/>
        <v>-1348.7764683735004</v>
      </c>
      <c r="N360" s="1082">
        <f t="shared" si="144"/>
        <v>-1348.7764683735004</v>
      </c>
      <c r="O360" s="1082">
        <f t="shared" si="145"/>
        <v>0</v>
      </c>
      <c r="P360" s="1082">
        <f t="shared" si="140"/>
        <v>0</v>
      </c>
      <c r="Q360" s="1082">
        <f t="shared" si="146"/>
        <v>202552.68927697383</v>
      </c>
    </row>
    <row r="361" spans="1:17">
      <c r="A361" s="1064">
        <f t="shared" si="137"/>
        <v>353</v>
      </c>
      <c r="B361" s="1084" t="s">
        <v>902</v>
      </c>
      <c r="C361" s="1079">
        <v>31</v>
      </c>
      <c r="D361" s="1085">
        <f t="shared" si="138"/>
        <v>215</v>
      </c>
      <c r="E361" s="1085">
        <f t="shared" si="147"/>
        <v>365</v>
      </c>
      <c r="F361" s="1086">
        <f t="shared" si="141"/>
        <v>0.58904109589041098</v>
      </c>
      <c r="G361" s="1078"/>
      <c r="H361" s="1087">
        <f t="shared" si="148"/>
        <v>-1285.0955945306778</v>
      </c>
      <c r="I361" s="1079">
        <f t="shared" si="142"/>
        <v>-756.97411732628973</v>
      </c>
      <c r="J361" s="1079">
        <f t="shared" si="139"/>
        <v>293426.59053546813</v>
      </c>
      <c r="K361" s="1065"/>
      <c r="L361" s="1087">
        <f t="shared" si="149"/>
        <v>-2633.8720629041782</v>
      </c>
      <c r="M361" s="1082">
        <f t="shared" si="143"/>
        <v>-1348.7764683735004</v>
      </c>
      <c r="N361" s="1082">
        <f t="shared" si="144"/>
        <v>-1348.7764683735004</v>
      </c>
      <c r="O361" s="1082">
        <f t="shared" si="145"/>
        <v>0</v>
      </c>
      <c r="P361" s="1082">
        <f t="shared" si="140"/>
        <v>0</v>
      </c>
      <c r="Q361" s="1082">
        <f t="shared" si="146"/>
        <v>200446.93869127403</v>
      </c>
    </row>
    <row r="362" spans="1:17">
      <c r="A362" s="1064">
        <f t="shared" si="137"/>
        <v>354</v>
      </c>
      <c r="B362" s="1084" t="s">
        <v>903</v>
      </c>
      <c r="C362" s="1079">
        <v>30</v>
      </c>
      <c r="D362" s="1085">
        <f t="shared" si="138"/>
        <v>185</v>
      </c>
      <c r="E362" s="1085">
        <f t="shared" si="147"/>
        <v>365</v>
      </c>
      <c r="F362" s="1086">
        <f t="shared" si="141"/>
        <v>0.50684931506849318</v>
      </c>
      <c r="G362" s="1078"/>
      <c r="H362" s="1087">
        <f t="shared" si="148"/>
        <v>-1285.0955945306778</v>
      </c>
      <c r="I362" s="1079">
        <f t="shared" si="142"/>
        <v>-651.3498218854121</v>
      </c>
      <c r="J362" s="1079">
        <f t="shared" si="139"/>
        <v>292775.24071358272</v>
      </c>
      <c r="K362" s="1065"/>
      <c r="L362" s="1087">
        <f t="shared" si="149"/>
        <v>-2633.8720629041782</v>
      </c>
      <c r="M362" s="1082">
        <f t="shared" si="143"/>
        <v>-1348.7764683735004</v>
      </c>
      <c r="N362" s="1082">
        <f t="shared" si="144"/>
        <v>-1348.7764683735004</v>
      </c>
      <c r="O362" s="1082">
        <f t="shared" si="145"/>
        <v>0</v>
      </c>
      <c r="P362" s="1082">
        <f t="shared" si="140"/>
        <v>0</v>
      </c>
      <c r="Q362" s="1082">
        <f t="shared" si="146"/>
        <v>198446.81240101514</v>
      </c>
    </row>
    <row r="363" spans="1:17">
      <c r="A363" s="1064">
        <f t="shared" si="137"/>
        <v>355</v>
      </c>
      <c r="B363" s="1084" t="s">
        <v>904</v>
      </c>
      <c r="C363" s="1079">
        <v>31</v>
      </c>
      <c r="D363" s="1085">
        <f t="shared" si="138"/>
        <v>154</v>
      </c>
      <c r="E363" s="1085">
        <f t="shared" si="147"/>
        <v>365</v>
      </c>
      <c r="F363" s="1086">
        <f t="shared" si="141"/>
        <v>0.42191780821917807</v>
      </c>
      <c r="G363" s="1078"/>
      <c r="H363" s="1087">
        <f t="shared" si="148"/>
        <v>-1285.0955945306778</v>
      </c>
      <c r="I363" s="1079">
        <f t="shared" si="142"/>
        <v>-542.20471659650514</v>
      </c>
      <c r="J363" s="1079">
        <f t="shared" si="139"/>
        <v>292233.0359969862</v>
      </c>
      <c r="K363" s="1065"/>
      <c r="L363" s="1087">
        <f t="shared" si="149"/>
        <v>-2633.8720629041782</v>
      </c>
      <c r="M363" s="1082">
        <f t="shared" si="143"/>
        <v>-1348.7764683735004</v>
      </c>
      <c r="N363" s="1082">
        <f t="shared" si="144"/>
        <v>-1348.7764683735004</v>
      </c>
      <c r="O363" s="1082">
        <f t="shared" si="145"/>
        <v>0</v>
      </c>
      <c r="P363" s="1082">
        <f t="shared" si="140"/>
        <v>0</v>
      </c>
      <c r="Q363" s="1082">
        <f t="shared" si="146"/>
        <v>196555.83121604513</v>
      </c>
    </row>
    <row r="364" spans="1:17">
      <c r="A364" s="1064">
        <f t="shared" si="137"/>
        <v>356</v>
      </c>
      <c r="B364" s="1084" t="s">
        <v>905</v>
      </c>
      <c r="C364" s="1079">
        <v>31</v>
      </c>
      <c r="D364" s="1085">
        <f t="shared" si="138"/>
        <v>123</v>
      </c>
      <c r="E364" s="1085">
        <f t="shared" si="147"/>
        <v>365</v>
      </c>
      <c r="F364" s="1086">
        <f t="shared" si="141"/>
        <v>0.33698630136986302</v>
      </c>
      <c r="G364" s="1078"/>
      <c r="H364" s="1087">
        <f t="shared" si="148"/>
        <v>-1285.0955945306778</v>
      </c>
      <c r="I364" s="1079">
        <f t="shared" si="142"/>
        <v>-433.05961130759829</v>
      </c>
      <c r="J364" s="1079">
        <f t="shared" si="139"/>
        <v>291799.97638567863</v>
      </c>
      <c r="K364" s="1065"/>
      <c r="L364" s="1087">
        <f t="shared" si="149"/>
        <v>-2633.8720629041782</v>
      </c>
      <c r="M364" s="1082">
        <f t="shared" si="143"/>
        <v>-1348.7764683735004</v>
      </c>
      <c r="N364" s="1082">
        <f t="shared" si="144"/>
        <v>-1348.7764683735004</v>
      </c>
      <c r="O364" s="1082">
        <f t="shared" si="145"/>
        <v>0</v>
      </c>
      <c r="P364" s="1082">
        <f t="shared" si="140"/>
        <v>0</v>
      </c>
      <c r="Q364" s="1082">
        <f t="shared" si="146"/>
        <v>194773.99513636401</v>
      </c>
    </row>
    <row r="365" spans="1:17">
      <c r="A365" s="1064">
        <f t="shared" si="137"/>
        <v>357</v>
      </c>
      <c r="B365" s="1084" t="s">
        <v>906</v>
      </c>
      <c r="C365" s="1079">
        <v>30</v>
      </c>
      <c r="D365" s="1085">
        <f t="shared" si="138"/>
        <v>93</v>
      </c>
      <c r="E365" s="1085">
        <f t="shared" si="147"/>
        <v>365</v>
      </c>
      <c r="F365" s="1086">
        <f t="shared" si="141"/>
        <v>0.25479452054794521</v>
      </c>
      <c r="G365" s="1078"/>
      <c r="H365" s="1087">
        <f t="shared" si="148"/>
        <v>-1285.0955945306778</v>
      </c>
      <c r="I365" s="1079">
        <f t="shared" si="142"/>
        <v>-327.43531586672066</v>
      </c>
      <c r="J365" s="1079">
        <f t="shared" si="139"/>
        <v>291472.54106981191</v>
      </c>
      <c r="K365" s="1065"/>
      <c r="L365" s="1087">
        <f t="shared" si="149"/>
        <v>-2633.8720629041782</v>
      </c>
      <c r="M365" s="1082">
        <f t="shared" si="143"/>
        <v>-1348.7764683735004</v>
      </c>
      <c r="N365" s="1082">
        <f t="shared" si="144"/>
        <v>-1348.7764683735004</v>
      </c>
      <c r="O365" s="1082">
        <f t="shared" si="145"/>
        <v>0</v>
      </c>
      <c r="P365" s="1082">
        <f t="shared" si="140"/>
        <v>0</v>
      </c>
      <c r="Q365" s="1082">
        <f t="shared" si="146"/>
        <v>193097.78335212381</v>
      </c>
    </row>
    <row r="366" spans="1:17">
      <c r="A366" s="1064">
        <f t="shared" si="137"/>
        <v>358</v>
      </c>
      <c r="B366" s="1084" t="s">
        <v>907</v>
      </c>
      <c r="C366" s="1079">
        <v>31</v>
      </c>
      <c r="D366" s="1085">
        <f>D367+C367</f>
        <v>62</v>
      </c>
      <c r="E366" s="1085">
        <f t="shared" si="147"/>
        <v>365</v>
      </c>
      <c r="F366" s="1086">
        <f t="shared" si="141"/>
        <v>0.16986301369863013</v>
      </c>
      <c r="G366" s="1078"/>
      <c r="H366" s="1087">
        <f t="shared" si="148"/>
        <v>-1285.0955945306778</v>
      </c>
      <c r="I366" s="1079">
        <f t="shared" si="142"/>
        <v>-218.29021057781375</v>
      </c>
      <c r="J366" s="1079">
        <f t="shared" si="139"/>
        <v>291254.25085923407</v>
      </c>
      <c r="K366" s="1065"/>
      <c r="L366" s="1087">
        <f t="shared" si="149"/>
        <v>-2633.8720629041782</v>
      </c>
      <c r="M366" s="1082">
        <f t="shared" si="143"/>
        <v>-1348.7764683735004</v>
      </c>
      <c r="N366" s="1082">
        <f t="shared" si="144"/>
        <v>-1348.7764683735004</v>
      </c>
      <c r="O366" s="1082">
        <f t="shared" si="145"/>
        <v>0</v>
      </c>
      <c r="P366" s="1082">
        <f t="shared" si="140"/>
        <v>0</v>
      </c>
      <c r="Q366" s="1082">
        <f t="shared" si="146"/>
        <v>191530.71667317249</v>
      </c>
    </row>
    <row r="367" spans="1:17">
      <c r="A367" s="1064">
        <f t="shared" si="137"/>
        <v>359</v>
      </c>
      <c r="B367" s="1084" t="s">
        <v>908</v>
      </c>
      <c r="C367" s="1079">
        <v>30</v>
      </c>
      <c r="D367" s="1085">
        <f>D368+C368</f>
        <v>32</v>
      </c>
      <c r="E367" s="1085">
        <f t="shared" si="147"/>
        <v>365</v>
      </c>
      <c r="F367" s="1086">
        <f t="shared" si="141"/>
        <v>8.7671232876712329E-2</v>
      </c>
      <c r="G367" s="1078"/>
      <c r="H367" s="1087">
        <f t="shared" si="148"/>
        <v>-1285.0955945306778</v>
      </c>
      <c r="I367" s="1079">
        <f t="shared" si="142"/>
        <v>-112.66591513693614</v>
      </c>
      <c r="J367" s="1079">
        <f t="shared" si="139"/>
        <v>291141.58494409715</v>
      </c>
      <c r="K367" s="1065"/>
      <c r="L367" s="1087">
        <f t="shared" si="149"/>
        <v>-2633.8720629041782</v>
      </c>
      <c r="M367" s="1082">
        <f t="shared" si="143"/>
        <v>-1348.7764683735004</v>
      </c>
      <c r="N367" s="1082">
        <f t="shared" si="144"/>
        <v>-1348.7764683735004</v>
      </c>
      <c r="O367" s="1082">
        <f t="shared" si="145"/>
        <v>0</v>
      </c>
      <c r="P367" s="1082">
        <f t="shared" si="140"/>
        <v>0</v>
      </c>
      <c r="Q367" s="1082">
        <f t="shared" si="146"/>
        <v>190069.27428966208</v>
      </c>
    </row>
    <row r="368" spans="1:17">
      <c r="A368" s="1064">
        <f t="shared" si="137"/>
        <v>360</v>
      </c>
      <c r="B368" s="1084" t="s">
        <v>909</v>
      </c>
      <c r="C368" s="1079">
        <v>31</v>
      </c>
      <c r="D368" s="1085">
        <v>1</v>
      </c>
      <c r="E368" s="1085">
        <f t="shared" si="147"/>
        <v>365</v>
      </c>
      <c r="F368" s="1086">
        <f t="shared" si="141"/>
        <v>2.7397260273972603E-3</v>
      </c>
      <c r="G368" s="1078"/>
      <c r="H368" s="1087">
        <f t="shared" si="148"/>
        <v>-1285.0955945306778</v>
      </c>
      <c r="I368" s="1079">
        <f t="shared" si="142"/>
        <v>-3.5208098480292542</v>
      </c>
      <c r="J368" s="1079">
        <f t="shared" si="139"/>
        <v>291138.06413424911</v>
      </c>
      <c r="K368" s="1065"/>
      <c r="L368" s="1087">
        <f t="shared" si="149"/>
        <v>-2633.8720629041782</v>
      </c>
      <c r="M368" s="1082">
        <f t="shared" si="143"/>
        <v>-1348.7764683735004</v>
      </c>
      <c r="N368" s="1082">
        <f t="shared" si="144"/>
        <v>-1348.7764683735004</v>
      </c>
      <c r="O368" s="1082">
        <f t="shared" si="145"/>
        <v>0</v>
      </c>
      <c r="P368" s="1082">
        <f t="shared" si="140"/>
        <v>0</v>
      </c>
      <c r="Q368" s="1082">
        <f t="shared" si="146"/>
        <v>188716.97701144055</v>
      </c>
    </row>
    <row r="369" spans="1:18">
      <c r="A369" s="1064">
        <f t="shared" si="137"/>
        <v>361</v>
      </c>
      <c r="B369" s="1088"/>
      <c r="C369" s="1088" t="s">
        <v>790</v>
      </c>
      <c r="D369" s="1089">
        <f>+SUM(D357:D368)</f>
        <v>2029</v>
      </c>
      <c r="E369" s="1089">
        <f>+SUM(E357:E368)</f>
        <v>4380</v>
      </c>
      <c r="F369" s="1090"/>
      <c r="G369" s="1078"/>
      <c r="H369" s="1091">
        <f>SUM(H357:H368)</f>
        <v>-15421.147134368133</v>
      </c>
      <c r="I369" s="1091">
        <f>SUM(I357:I368)</f>
        <v>-7143.7231816513558</v>
      </c>
      <c r="J369" s="1090"/>
      <c r="K369" s="1065"/>
      <c r="L369" s="1092">
        <f>SUM(L357:L368)</f>
        <v>-31606.464754850138</v>
      </c>
      <c r="M369" s="1092">
        <f>SUM(M357:M368)</f>
        <v>-16185.317620482005</v>
      </c>
      <c r="N369" s="1092">
        <f>SUM(N357:N368)</f>
        <v>-16185.317620482005</v>
      </c>
      <c r="O369" s="1092">
        <f>SUM(O357:O368)</f>
        <v>0</v>
      </c>
      <c r="P369" s="1092">
        <f>SUM(P357:P368)</f>
        <v>0</v>
      </c>
      <c r="Q369" s="1092"/>
    </row>
    <row r="370" spans="1:18">
      <c r="A370" s="1064">
        <f t="shared" si="137"/>
        <v>362</v>
      </c>
      <c r="B370" s="1094"/>
      <c r="C370" s="1094"/>
      <c r="D370" s="1095"/>
      <c r="E370" s="1095"/>
      <c r="F370" s="1096"/>
      <c r="G370" s="1078"/>
      <c r="H370" s="1079"/>
      <c r="I370" s="1079"/>
      <c r="J370" s="1096"/>
      <c r="K370" s="1065"/>
      <c r="L370" s="1098"/>
      <c r="M370" s="1098"/>
      <c r="N370" s="1098"/>
      <c r="O370" s="1098"/>
      <c r="P370" s="1098"/>
      <c r="Q370" s="1098"/>
    </row>
    <row r="371" spans="1:18">
      <c r="A371" s="1064">
        <f t="shared" si="137"/>
        <v>363</v>
      </c>
      <c r="B371" s="1065" t="s">
        <v>1682</v>
      </c>
      <c r="C371" s="1094"/>
      <c r="D371" s="1095"/>
      <c r="E371" s="1099">
        <f>1-(D369/E369)</f>
        <v>0.53675799086757991</v>
      </c>
      <c r="F371" s="1096"/>
      <c r="G371" s="1078"/>
      <c r="H371" s="1079"/>
      <c r="I371" s="1079"/>
      <c r="J371" s="1096"/>
      <c r="K371" s="1065"/>
      <c r="L371" s="1098"/>
      <c r="M371" s="1098"/>
      <c r="N371" s="1098"/>
      <c r="O371" s="1098"/>
      <c r="P371" s="1098"/>
      <c r="Q371" s="1098"/>
    </row>
    <row r="372" spans="1:18" s="1070" customFormat="1">
      <c r="A372" s="1064">
        <f t="shared" si="137"/>
        <v>364</v>
      </c>
      <c r="B372" s="1117"/>
      <c r="C372" s="1117"/>
      <c r="D372" s="1117"/>
      <c r="E372" s="1117"/>
      <c r="F372" s="1118"/>
      <c r="G372" s="1118"/>
      <c r="H372" s="1069"/>
      <c r="I372" s="1119"/>
      <c r="J372" s="1118"/>
      <c r="K372" s="1077"/>
      <c r="L372" s="1077"/>
      <c r="M372" s="1077"/>
      <c r="N372" s="1077"/>
      <c r="O372" s="1077"/>
      <c r="P372" s="1077"/>
      <c r="Q372" s="1077"/>
    </row>
    <row r="373" spans="1:18" s="1070" customFormat="1">
      <c r="A373" s="1064">
        <f t="shared" si="137"/>
        <v>365</v>
      </c>
      <c r="B373" s="1120"/>
      <c r="C373" s="1117"/>
      <c r="D373" s="1077"/>
      <c r="E373" s="1117"/>
      <c r="F373" s="1077"/>
      <c r="G373" s="1118"/>
      <c r="H373" s="1069"/>
      <c r="I373" s="1119"/>
      <c r="J373" s="1121"/>
      <c r="K373" s="1077"/>
      <c r="L373" s="1077"/>
      <c r="M373" s="1077"/>
      <c r="N373" s="1077"/>
      <c r="O373" s="1077"/>
      <c r="P373" s="1077"/>
      <c r="Q373" s="1121"/>
    </row>
    <row r="374" spans="1:18" s="110" customFormat="1">
      <c r="A374" s="1064">
        <f t="shared" si="137"/>
        <v>366</v>
      </c>
      <c r="B374" s="1104" t="s">
        <v>1683</v>
      </c>
      <c r="C374" s="1104"/>
      <c r="D374" s="1104"/>
      <c r="E374" s="1104"/>
      <c r="F374" s="1104" t="str">
        <f>"(Line "&amp;A356&amp;", Col H)"</f>
        <v>(Line 348, Col H)</v>
      </c>
      <c r="G374" s="1122"/>
      <c r="H374" s="1104"/>
      <c r="I374" s="1122"/>
      <c r="J374" s="1082">
        <f>J356</f>
        <v>298281.7873159005</v>
      </c>
      <c r="K374" s="1104"/>
      <c r="L374" s="1104"/>
      <c r="M374" s="1104"/>
      <c r="N374" s="1104" t="str">
        <f>"(Line "&amp;A356&amp;", Col N)"</f>
        <v>(Line 348, Col N)</v>
      </c>
      <c r="O374" s="1104"/>
      <c r="P374" s="1104"/>
      <c r="Q374" s="1082">
        <f>Q356</f>
        <v>212046.01781357394</v>
      </c>
    </row>
    <row r="375" spans="1:18" s="110" customFormat="1">
      <c r="A375" s="1064">
        <f t="shared" si="137"/>
        <v>367</v>
      </c>
      <c r="B375" s="1104" t="s">
        <v>1684</v>
      </c>
      <c r="C375" s="1104"/>
      <c r="D375" s="1104"/>
      <c r="E375" s="1104"/>
      <c r="F375" s="1104" t="str">
        <f>"(Line "&amp;A368&amp;", Col H)"</f>
        <v>(Line 360, Col H)</v>
      </c>
      <c r="G375" s="1122"/>
      <c r="H375" s="1104"/>
      <c r="I375" s="1122"/>
      <c r="J375" s="1082">
        <f>J368</f>
        <v>291138.06413424911</v>
      </c>
      <c r="K375" s="1104"/>
      <c r="L375" s="1123"/>
      <c r="M375" s="1104"/>
      <c r="N375" s="1104" t="str">
        <f>"(Line "&amp;A368&amp;", Col N)"</f>
        <v>(Line 360, Col N)</v>
      </c>
      <c r="O375" s="1104"/>
      <c r="P375" s="1104"/>
      <c r="Q375" s="1082">
        <f>Q368</f>
        <v>188716.97701144055</v>
      </c>
    </row>
    <row r="376" spans="1:18" s="110" customFormat="1">
      <c r="A376" s="1064">
        <f t="shared" si="137"/>
        <v>368</v>
      </c>
      <c r="B376" s="1104" t="s">
        <v>1685</v>
      </c>
      <c r="C376" s="1104"/>
      <c r="D376" s="1104"/>
      <c r="E376" s="1104"/>
      <c r="F376" s="1104" t="str">
        <f>"(Average of Line "&amp;A374&amp;" &amp; Line "&amp;A375&amp;")"</f>
        <v>(Average of Line 366 &amp; Line 367)</v>
      </c>
      <c r="G376" s="1122"/>
      <c r="H376" s="1104"/>
      <c r="I376" s="1124"/>
      <c r="J376" s="1108">
        <f>(J374+J375)/2</f>
        <v>294709.92572507483</v>
      </c>
      <c r="K376" s="1104"/>
      <c r="L376" s="1125"/>
      <c r="M376" s="1104"/>
      <c r="N376" s="1104" t="str">
        <f>"(Average of Line "&amp;A374&amp;" &amp; Line "&amp;A375&amp;")"</f>
        <v>(Average of Line 366 &amp; Line 367)</v>
      </c>
      <c r="O376" s="1104"/>
      <c r="P376" s="1104"/>
      <c r="Q376" s="1108">
        <f>(Q374+Q375)/2</f>
        <v>200381.49741250725</v>
      </c>
    </row>
    <row r="377" spans="1:18" s="110" customFormat="1" ht="13.5" customHeight="1">
      <c r="A377" s="1064">
        <f t="shared" si="137"/>
        <v>369</v>
      </c>
      <c r="B377" s="1104" t="s">
        <v>1686</v>
      </c>
      <c r="C377" s="1104"/>
      <c r="D377" s="1104"/>
      <c r="E377" s="1104"/>
      <c r="F377" s="1104" t="s">
        <v>1807</v>
      </c>
      <c r="G377" s="1104"/>
      <c r="H377" s="1104"/>
      <c r="I377" s="1104"/>
      <c r="J377" s="1126">
        <f>AVERAGE(J356, (SUM(H357:H368)+J356))</f>
        <v>290571.2137487164</v>
      </c>
      <c r="K377" s="1104"/>
      <c r="L377" s="1104"/>
      <c r="M377" s="1104"/>
      <c r="N377" s="1104" t="s">
        <v>1807</v>
      </c>
      <c r="O377" s="1104"/>
      <c r="P377" s="1104"/>
      <c r="Q377" s="1126">
        <f>AVERAGE(Q356, (SUM(L357:L368)+Q356))</f>
        <v>196242.78543614887</v>
      </c>
    </row>
    <row r="378" spans="1:18" s="110" customFormat="1" ht="13.5" customHeight="1">
      <c r="A378" s="1064">
        <f t="shared" si="137"/>
        <v>370</v>
      </c>
      <c r="B378" s="1104" t="s">
        <v>1687</v>
      </c>
      <c r="C378" s="1104"/>
      <c r="D378" s="1104"/>
      <c r="E378" s="1104"/>
      <c r="F378" s="1104"/>
      <c r="G378" s="1104"/>
      <c r="H378" s="1104"/>
      <c r="I378" s="1104"/>
      <c r="J378" s="1123">
        <f>J376-J377</f>
        <v>4138.7119763584342</v>
      </c>
      <c r="K378" s="1104"/>
      <c r="L378" s="1104"/>
      <c r="M378" s="1104"/>
      <c r="N378" s="1104"/>
      <c r="O378" s="1104"/>
      <c r="P378" s="1104"/>
      <c r="Q378" s="1123">
        <f>Q376-Q377</f>
        <v>4138.711976358376</v>
      </c>
    </row>
    <row r="379" spans="1:18" s="1070" customFormat="1">
      <c r="A379" s="1064">
        <f t="shared" si="137"/>
        <v>371</v>
      </c>
      <c r="B379" s="1127"/>
      <c r="C379" s="1127"/>
      <c r="D379" s="1127"/>
      <c r="E379" s="1127"/>
      <c r="F379" s="1127"/>
      <c r="G379" s="1127"/>
      <c r="H379" s="1127"/>
      <c r="I379" s="1127"/>
      <c r="J379" s="1127"/>
      <c r="K379" s="1077"/>
      <c r="L379" s="1077"/>
      <c r="M379" s="1077"/>
      <c r="N379" s="1077"/>
      <c r="O379" s="1077"/>
      <c r="P379" s="1077"/>
      <c r="Q379" s="1127"/>
    </row>
    <row r="380" spans="1:18" s="1070" customFormat="1">
      <c r="A380" s="1064">
        <f t="shared" si="137"/>
        <v>372</v>
      </c>
      <c r="B380" s="1077"/>
      <c r="C380" s="1077"/>
      <c r="D380" s="1077"/>
      <c r="E380" s="1077"/>
      <c r="F380" s="1077"/>
      <c r="G380" s="1077"/>
      <c r="H380" s="1077"/>
      <c r="I380" s="1077"/>
      <c r="J380" s="1077"/>
      <c r="K380" s="1077"/>
      <c r="L380" s="1077"/>
      <c r="M380" s="1077"/>
      <c r="N380" s="1077"/>
      <c r="O380" s="1077"/>
      <c r="P380" s="1077"/>
      <c r="Q380" s="1077"/>
    </row>
    <row r="381" spans="1:18">
      <c r="A381" s="1064">
        <f t="shared" si="137"/>
        <v>373</v>
      </c>
      <c r="B381" s="1270" t="s">
        <v>1691</v>
      </c>
      <c r="C381" s="1270"/>
      <c r="D381" s="1270"/>
      <c r="E381" s="1270"/>
      <c r="F381" s="1065"/>
      <c r="G381" s="1065"/>
      <c r="H381" s="1112"/>
      <c r="I381" s="1112"/>
      <c r="J381" s="1112"/>
      <c r="K381" s="1065"/>
      <c r="L381" s="1113"/>
      <c r="M381" s="1114"/>
      <c r="N381" s="1114"/>
      <c r="O381" s="1114"/>
      <c r="P381" s="1114"/>
      <c r="Q381" s="1114"/>
      <c r="R381" s="1070"/>
    </row>
    <row r="382" spans="1:18">
      <c r="A382" s="1064">
        <f t="shared" si="137"/>
        <v>374</v>
      </c>
      <c r="B382" s="1262" t="s">
        <v>1695</v>
      </c>
      <c r="C382" s="1262"/>
      <c r="D382" s="1262"/>
      <c r="E382" s="1262"/>
      <c r="F382" s="1065"/>
      <c r="G382" s="1065"/>
      <c r="H382" s="1112"/>
      <c r="I382" s="1112"/>
      <c r="J382" s="1112"/>
      <c r="K382" s="1065"/>
      <c r="L382" s="1113"/>
      <c r="M382" s="1114"/>
      <c r="N382" s="1114"/>
      <c r="O382" s="1114"/>
      <c r="P382" s="1114"/>
      <c r="Q382" s="1114"/>
      <c r="R382" s="1070"/>
    </row>
    <row r="383" spans="1:18">
      <c r="A383" s="1064">
        <f t="shared" si="137"/>
        <v>375</v>
      </c>
      <c r="B383" s="1263" t="s">
        <v>1666</v>
      </c>
      <c r="C383" s="1264"/>
      <c r="D383" s="1264"/>
      <c r="E383" s="1264"/>
      <c r="F383" s="1265"/>
      <c r="G383" s="1071"/>
      <c r="H383" s="1266" t="s">
        <v>1667</v>
      </c>
      <c r="I383" s="1267"/>
      <c r="J383" s="1268"/>
      <c r="K383" s="1065"/>
      <c r="L383" s="1266" t="s">
        <v>1668</v>
      </c>
      <c r="M383" s="1267"/>
      <c r="N383" s="1267"/>
      <c r="O383" s="1267"/>
      <c r="P383" s="1267"/>
      <c r="Q383" s="1267"/>
    </row>
    <row r="384" spans="1:18">
      <c r="A384" s="1064">
        <f t="shared" si="137"/>
        <v>376</v>
      </c>
      <c r="B384" s="1072" t="s">
        <v>824</v>
      </c>
      <c r="C384" s="1072" t="s">
        <v>825</v>
      </c>
      <c r="D384" s="1072" t="s">
        <v>826</v>
      </c>
      <c r="E384" s="1072" t="s">
        <v>827</v>
      </c>
      <c r="F384" s="1072" t="s">
        <v>828</v>
      </c>
      <c r="G384" s="1071"/>
      <c r="H384" s="1072" t="s">
        <v>829</v>
      </c>
      <c r="I384" s="1072" t="s">
        <v>830</v>
      </c>
      <c r="J384" s="1072" t="s">
        <v>831</v>
      </c>
      <c r="K384" s="1065"/>
      <c r="L384" s="1072" t="s">
        <v>832</v>
      </c>
      <c r="M384" s="1072" t="s">
        <v>833</v>
      </c>
      <c r="N384" s="1072" t="s">
        <v>834</v>
      </c>
      <c r="O384" s="1072" t="s">
        <v>835</v>
      </c>
      <c r="P384" s="1072" t="s">
        <v>837</v>
      </c>
      <c r="Q384" s="1072" t="s">
        <v>836</v>
      </c>
    </row>
    <row r="385" spans="1:17" ht="45">
      <c r="A385" s="1064">
        <f t="shared" si="137"/>
        <v>377</v>
      </c>
      <c r="B385" s="1074" t="s">
        <v>1342</v>
      </c>
      <c r="C385" s="1074" t="s">
        <v>1577</v>
      </c>
      <c r="D385" s="1074" t="s">
        <v>1669</v>
      </c>
      <c r="E385" s="1074" t="s">
        <v>1670</v>
      </c>
      <c r="F385" s="1074" t="s">
        <v>1671</v>
      </c>
      <c r="G385" s="1075"/>
      <c r="H385" s="1074" t="s">
        <v>1672</v>
      </c>
      <c r="I385" s="1074" t="s">
        <v>1673</v>
      </c>
      <c r="J385" s="1074" t="s">
        <v>1674</v>
      </c>
      <c r="K385" s="1065"/>
      <c r="L385" s="1074" t="s">
        <v>1675</v>
      </c>
      <c r="M385" s="1074" t="s">
        <v>1676</v>
      </c>
      <c r="N385" s="1074" t="s">
        <v>1677</v>
      </c>
      <c r="O385" s="1074" t="s">
        <v>1678</v>
      </c>
      <c r="P385" s="1074" t="s">
        <v>1679</v>
      </c>
      <c r="Q385" s="1074" t="s">
        <v>1680</v>
      </c>
    </row>
    <row r="386" spans="1:17">
      <c r="A386" s="1064">
        <f t="shared" si="137"/>
        <v>378</v>
      </c>
      <c r="B386" s="1065"/>
      <c r="C386" s="1075"/>
      <c r="D386" s="1075"/>
      <c r="E386" s="1075"/>
      <c r="F386" s="1075"/>
      <c r="G386" s="1075"/>
      <c r="H386" s="1075"/>
      <c r="I386" s="1075"/>
      <c r="J386" s="1075"/>
      <c r="K386" s="1065"/>
      <c r="L386" s="1065"/>
      <c r="M386" s="1065"/>
      <c r="N386" s="1065"/>
      <c r="O386" s="1065"/>
      <c r="P386" s="1065"/>
      <c r="Q386" s="1065"/>
    </row>
    <row r="387" spans="1:17">
      <c r="A387" s="1064">
        <f t="shared" si="137"/>
        <v>379</v>
      </c>
      <c r="B387" s="1269" t="s">
        <v>1681</v>
      </c>
      <c r="C387" s="1269"/>
      <c r="D387" s="1269"/>
      <c r="E387" s="1269"/>
      <c r="F387" s="1078"/>
      <c r="G387" s="1078"/>
      <c r="H387" s="1079"/>
      <c r="I387" s="1079"/>
      <c r="J387" s="1080">
        <f>'WP_B-Inputs Est.'!G107</f>
        <v>3599580.6255438598</v>
      </c>
      <c r="K387" s="1081"/>
      <c r="L387" s="1079"/>
      <c r="M387" s="1082"/>
      <c r="N387" s="1082"/>
      <c r="O387" s="1082"/>
      <c r="P387" s="1082"/>
      <c r="Q387" s="1080">
        <f>'WP_B-Inputs Act.'!G106</f>
        <v>3272957.8615997117</v>
      </c>
    </row>
    <row r="388" spans="1:17">
      <c r="A388" s="1064">
        <f t="shared" si="137"/>
        <v>380</v>
      </c>
      <c r="B388" s="1084" t="s">
        <v>950</v>
      </c>
      <c r="C388" s="1079">
        <v>31</v>
      </c>
      <c r="D388" s="1085">
        <f t="shared" ref="D388:D396" si="150">D389+C389</f>
        <v>335</v>
      </c>
      <c r="E388" s="1085">
        <f>SUM(C388:C399)</f>
        <v>365</v>
      </c>
      <c r="F388" s="1086">
        <f>D388/E388</f>
        <v>0.9178082191780822</v>
      </c>
      <c r="G388" s="1078"/>
      <c r="H388" s="1087">
        <f>('WP_B-Inputs Est.'!G108-'WP_B-Inputs Est.'!G107)/12</f>
        <v>-29987.477213147253</v>
      </c>
      <c r="I388" s="1079">
        <f>+H388*F388</f>
        <v>-27522.753058642</v>
      </c>
      <c r="J388" s="1079">
        <f t="shared" ref="J388:J399" si="151">+I388+J387</f>
        <v>3572057.8724852176</v>
      </c>
      <c r="K388" s="1065"/>
      <c r="L388" s="1087">
        <f>('WP_B-Inputs Act.'!G107-'WP_B-Inputs Act.'!G106)/12</f>
        <v>-32953.282116327435</v>
      </c>
      <c r="M388" s="1082">
        <f>L388-H388</f>
        <v>-2965.804903180182</v>
      </c>
      <c r="N388" s="1082">
        <f>IF(M388&lt;=0,+M388,0)</f>
        <v>-2965.804903180182</v>
      </c>
      <c r="O388" s="1082">
        <f>IF(N388&lt;0,0,IF(L388&gt;0,0,(-(M388)*(D388/E388))))</f>
        <v>0</v>
      </c>
      <c r="P388" s="1082">
        <f t="shared" ref="P388:P399" si="152">IF(L388&gt;0,L388,0)</f>
        <v>0</v>
      </c>
      <c r="Q388" s="1082">
        <f>IF(L388&gt;0,Q387+P388,Q387+I388+N388-O388)</f>
        <v>3242469.3036378892</v>
      </c>
    </row>
    <row r="389" spans="1:17">
      <c r="A389" s="1064">
        <f t="shared" si="137"/>
        <v>381</v>
      </c>
      <c r="B389" s="1084" t="s">
        <v>899</v>
      </c>
      <c r="C389" s="1087">
        <v>28</v>
      </c>
      <c r="D389" s="1085">
        <f t="shared" si="150"/>
        <v>307</v>
      </c>
      <c r="E389" s="1085">
        <f>E388</f>
        <v>365</v>
      </c>
      <c r="F389" s="1086">
        <f t="shared" ref="F389:F399" si="153">D389/E389</f>
        <v>0.84109589041095889</v>
      </c>
      <c r="G389" s="1078"/>
      <c r="H389" s="1087">
        <f>$H$388</f>
        <v>-29987.477213147253</v>
      </c>
      <c r="I389" s="1079">
        <f t="shared" ref="I389:I399" si="154">+H389*F389</f>
        <v>-25222.343847770429</v>
      </c>
      <c r="J389" s="1079">
        <f t="shared" si="151"/>
        <v>3546835.5286374474</v>
      </c>
      <c r="K389" s="1065"/>
      <c r="L389" s="1087">
        <f>$L$388</f>
        <v>-32953.282116327435</v>
      </c>
      <c r="M389" s="1082">
        <f t="shared" ref="M389:M399" si="155">L389-H389</f>
        <v>-2965.804903180182</v>
      </c>
      <c r="N389" s="1082">
        <f t="shared" ref="N389:N399" si="156">IF(M389&lt;=0,+M389,0)</f>
        <v>-2965.804903180182</v>
      </c>
      <c r="O389" s="1082">
        <f t="shared" ref="O389:O399" si="157">IF(N389&lt;0,0,IF(L389&gt;0,0,(-(M389)*(D389/E389))))</f>
        <v>0</v>
      </c>
      <c r="P389" s="1082">
        <f t="shared" si="152"/>
        <v>0</v>
      </c>
      <c r="Q389" s="1082">
        <f t="shared" ref="Q389:Q399" si="158">IF(L389&gt;0,Q388+P389,Q388+I389+N389-O389)</f>
        <v>3214281.1548869386</v>
      </c>
    </row>
    <row r="390" spans="1:17">
      <c r="A390" s="1064">
        <f t="shared" si="137"/>
        <v>382</v>
      </c>
      <c r="B390" s="1084" t="s">
        <v>900</v>
      </c>
      <c r="C390" s="1079">
        <v>31</v>
      </c>
      <c r="D390" s="1085">
        <f t="shared" si="150"/>
        <v>276</v>
      </c>
      <c r="E390" s="1085">
        <f t="shared" ref="E390:E399" si="159">E389</f>
        <v>365</v>
      </c>
      <c r="F390" s="1086">
        <f t="shared" si="153"/>
        <v>0.75616438356164384</v>
      </c>
      <c r="G390" s="1078"/>
      <c r="H390" s="1087">
        <f t="shared" ref="H390:H399" si="160">$H$388</f>
        <v>-29987.477213147253</v>
      </c>
      <c r="I390" s="1079">
        <f t="shared" si="154"/>
        <v>-22675.462221448335</v>
      </c>
      <c r="J390" s="1079">
        <f t="shared" si="151"/>
        <v>3524160.0664159991</v>
      </c>
      <c r="K390" s="1065"/>
      <c r="L390" s="1087">
        <f t="shared" ref="L390:L399" si="161">$L$388</f>
        <v>-32953.282116327435</v>
      </c>
      <c r="M390" s="1082">
        <f t="shared" si="155"/>
        <v>-2965.804903180182</v>
      </c>
      <c r="N390" s="1082">
        <f t="shared" si="156"/>
        <v>-2965.804903180182</v>
      </c>
      <c r="O390" s="1082">
        <f t="shared" si="157"/>
        <v>0</v>
      </c>
      <c r="P390" s="1082">
        <f t="shared" si="152"/>
        <v>0</v>
      </c>
      <c r="Q390" s="1082">
        <f t="shared" si="158"/>
        <v>3188639.88776231</v>
      </c>
    </row>
    <row r="391" spans="1:17">
      <c r="A391" s="1064">
        <f t="shared" si="137"/>
        <v>383</v>
      </c>
      <c r="B391" s="1084" t="s">
        <v>901</v>
      </c>
      <c r="C391" s="1079">
        <v>30</v>
      </c>
      <c r="D391" s="1085">
        <f t="shared" si="150"/>
        <v>246</v>
      </c>
      <c r="E391" s="1085">
        <f t="shared" si="159"/>
        <v>365</v>
      </c>
      <c r="F391" s="1086">
        <f t="shared" si="153"/>
        <v>0.67397260273972603</v>
      </c>
      <c r="G391" s="1078"/>
      <c r="H391" s="1087">
        <f t="shared" si="160"/>
        <v>-29987.477213147253</v>
      </c>
      <c r="I391" s="1079">
        <f t="shared" si="154"/>
        <v>-20210.738066943079</v>
      </c>
      <c r="J391" s="1079">
        <f t="shared" si="151"/>
        <v>3503949.3283490562</v>
      </c>
      <c r="K391" s="1065"/>
      <c r="L391" s="1087">
        <f t="shared" si="161"/>
        <v>-32953.282116327435</v>
      </c>
      <c r="M391" s="1082">
        <f t="shared" si="155"/>
        <v>-2965.804903180182</v>
      </c>
      <c r="N391" s="1082">
        <f t="shared" si="156"/>
        <v>-2965.804903180182</v>
      </c>
      <c r="O391" s="1082">
        <f t="shared" si="157"/>
        <v>0</v>
      </c>
      <c r="P391" s="1082">
        <f t="shared" si="152"/>
        <v>0</v>
      </c>
      <c r="Q391" s="1082">
        <f t="shared" si="158"/>
        <v>3165463.3447921867</v>
      </c>
    </row>
    <row r="392" spans="1:17">
      <c r="A392" s="1064">
        <f t="shared" si="137"/>
        <v>384</v>
      </c>
      <c r="B392" s="1084" t="s">
        <v>902</v>
      </c>
      <c r="C392" s="1079">
        <v>31</v>
      </c>
      <c r="D392" s="1085">
        <f t="shared" si="150"/>
        <v>215</v>
      </c>
      <c r="E392" s="1085">
        <f t="shared" si="159"/>
        <v>365</v>
      </c>
      <c r="F392" s="1086">
        <f t="shared" si="153"/>
        <v>0.58904109589041098</v>
      </c>
      <c r="G392" s="1078"/>
      <c r="H392" s="1087">
        <f t="shared" si="160"/>
        <v>-29987.477213147253</v>
      </c>
      <c r="I392" s="1079">
        <f t="shared" si="154"/>
        <v>-17663.856440620984</v>
      </c>
      <c r="J392" s="1079">
        <f t="shared" si="151"/>
        <v>3486285.4719084352</v>
      </c>
      <c r="K392" s="1065"/>
      <c r="L392" s="1087">
        <f t="shared" si="161"/>
        <v>-32953.282116327435</v>
      </c>
      <c r="M392" s="1082">
        <f t="shared" si="155"/>
        <v>-2965.804903180182</v>
      </c>
      <c r="N392" s="1082">
        <f t="shared" si="156"/>
        <v>-2965.804903180182</v>
      </c>
      <c r="O392" s="1082">
        <f t="shared" si="157"/>
        <v>0</v>
      </c>
      <c r="P392" s="1082">
        <f t="shared" si="152"/>
        <v>0</v>
      </c>
      <c r="Q392" s="1082">
        <f t="shared" si="158"/>
        <v>3144833.6834483854</v>
      </c>
    </row>
    <row r="393" spans="1:17">
      <c r="A393" s="1064">
        <f t="shared" si="137"/>
        <v>385</v>
      </c>
      <c r="B393" s="1084" t="s">
        <v>903</v>
      </c>
      <c r="C393" s="1079">
        <v>30</v>
      </c>
      <c r="D393" s="1085">
        <f t="shared" si="150"/>
        <v>185</v>
      </c>
      <c r="E393" s="1085">
        <f t="shared" si="159"/>
        <v>365</v>
      </c>
      <c r="F393" s="1086">
        <f t="shared" si="153"/>
        <v>0.50684931506849318</v>
      </c>
      <c r="G393" s="1078"/>
      <c r="H393" s="1087">
        <f t="shared" si="160"/>
        <v>-29987.477213147253</v>
      </c>
      <c r="I393" s="1079">
        <f t="shared" si="154"/>
        <v>-15199.132286115731</v>
      </c>
      <c r="J393" s="1079">
        <f t="shared" si="151"/>
        <v>3471086.3396223197</v>
      </c>
      <c r="K393" s="1065"/>
      <c r="L393" s="1087">
        <f t="shared" si="161"/>
        <v>-32953.282116327435</v>
      </c>
      <c r="M393" s="1082">
        <f t="shared" si="155"/>
        <v>-2965.804903180182</v>
      </c>
      <c r="N393" s="1082">
        <f t="shared" si="156"/>
        <v>-2965.804903180182</v>
      </c>
      <c r="O393" s="1082">
        <f t="shared" si="157"/>
        <v>0</v>
      </c>
      <c r="P393" s="1082">
        <f t="shared" si="152"/>
        <v>0</v>
      </c>
      <c r="Q393" s="1082">
        <f t="shared" si="158"/>
        <v>3126668.7462590896</v>
      </c>
    </row>
    <row r="394" spans="1:17">
      <c r="A394" s="1064">
        <f t="shared" si="137"/>
        <v>386</v>
      </c>
      <c r="B394" s="1084" t="s">
        <v>904</v>
      </c>
      <c r="C394" s="1079">
        <v>31</v>
      </c>
      <c r="D394" s="1085">
        <f t="shared" si="150"/>
        <v>154</v>
      </c>
      <c r="E394" s="1085">
        <f t="shared" si="159"/>
        <v>365</v>
      </c>
      <c r="F394" s="1086">
        <f t="shared" si="153"/>
        <v>0.42191780821917807</v>
      </c>
      <c r="G394" s="1078"/>
      <c r="H394" s="1087">
        <f t="shared" si="160"/>
        <v>-29987.477213147253</v>
      </c>
      <c r="I394" s="1079">
        <f t="shared" si="154"/>
        <v>-12652.250659793635</v>
      </c>
      <c r="J394" s="1079">
        <f t="shared" si="151"/>
        <v>3458434.0889625261</v>
      </c>
      <c r="K394" s="1065"/>
      <c r="L394" s="1087">
        <f t="shared" si="161"/>
        <v>-32953.282116327435</v>
      </c>
      <c r="M394" s="1082">
        <f t="shared" si="155"/>
        <v>-2965.804903180182</v>
      </c>
      <c r="N394" s="1082">
        <f t="shared" si="156"/>
        <v>-2965.804903180182</v>
      </c>
      <c r="O394" s="1082">
        <f t="shared" si="157"/>
        <v>0</v>
      </c>
      <c r="P394" s="1082">
        <f t="shared" si="152"/>
        <v>0</v>
      </c>
      <c r="Q394" s="1082">
        <f t="shared" si="158"/>
        <v>3111050.6906961156</v>
      </c>
    </row>
    <row r="395" spans="1:17">
      <c r="A395" s="1064">
        <f t="shared" ref="A395:A458" si="162">+A394+1</f>
        <v>387</v>
      </c>
      <c r="B395" s="1084" t="s">
        <v>905</v>
      </c>
      <c r="C395" s="1079">
        <v>31</v>
      </c>
      <c r="D395" s="1085">
        <f t="shared" si="150"/>
        <v>123</v>
      </c>
      <c r="E395" s="1085">
        <f t="shared" si="159"/>
        <v>365</v>
      </c>
      <c r="F395" s="1086">
        <f t="shared" si="153"/>
        <v>0.33698630136986302</v>
      </c>
      <c r="G395" s="1078"/>
      <c r="H395" s="1087">
        <f t="shared" si="160"/>
        <v>-29987.477213147253</v>
      </c>
      <c r="I395" s="1079">
        <f t="shared" si="154"/>
        <v>-10105.369033471539</v>
      </c>
      <c r="J395" s="1079">
        <f t="shared" si="151"/>
        <v>3448328.7199290544</v>
      </c>
      <c r="K395" s="1065"/>
      <c r="L395" s="1087">
        <f t="shared" si="161"/>
        <v>-32953.282116327435</v>
      </c>
      <c r="M395" s="1082">
        <f t="shared" si="155"/>
        <v>-2965.804903180182</v>
      </c>
      <c r="N395" s="1082">
        <f t="shared" si="156"/>
        <v>-2965.804903180182</v>
      </c>
      <c r="O395" s="1082">
        <f t="shared" si="157"/>
        <v>0</v>
      </c>
      <c r="P395" s="1082">
        <f t="shared" si="152"/>
        <v>0</v>
      </c>
      <c r="Q395" s="1082">
        <f t="shared" si="158"/>
        <v>3097979.5167594636</v>
      </c>
    </row>
    <row r="396" spans="1:17">
      <c r="A396" s="1064">
        <f t="shared" si="162"/>
        <v>388</v>
      </c>
      <c r="B396" s="1084" t="s">
        <v>906</v>
      </c>
      <c r="C396" s="1079">
        <v>30</v>
      </c>
      <c r="D396" s="1085">
        <f t="shared" si="150"/>
        <v>93</v>
      </c>
      <c r="E396" s="1085">
        <f t="shared" si="159"/>
        <v>365</v>
      </c>
      <c r="F396" s="1086">
        <f t="shared" si="153"/>
        <v>0.25479452054794521</v>
      </c>
      <c r="G396" s="1078"/>
      <c r="H396" s="1087">
        <f t="shared" si="160"/>
        <v>-29987.477213147253</v>
      </c>
      <c r="I396" s="1079">
        <f t="shared" si="154"/>
        <v>-7640.6448789662863</v>
      </c>
      <c r="J396" s="1079">
        <f t="shared" si="151"/>
        <v>3440688.0750500881</v>
      </c>
      <c r="K396" s="1065"/>
      <c r="L396" s="1087">
        <f t="shared" si="161"/>
        <v>-32953.282116327435</v>
      </c>
      <c r="M396" s="1082">
        <f t="shared" si="155"/>
        <v>-2965.804903180182</v>
      </c>
      <c r="N396" s="1082">
        <f t="shared" si="156"/>
        <v>-2965.804903180182</v>
      </c>
      <c r="O396" s="1082">
        <f t="shared" si="157"/>
        <v>0</v>
      </c>
      <c r="P396" s="1082">
        <f t="shared" si="152"/>
        <v>0</v>
      </c>
      <c r="Q396" s="1082">
        <f t="shared" si="158"/>
        <v>3087373.066977317</v>
      </c>
    </row>
    <row r="397" spans="1:17">
      <c r="A397" s="1064">
        <f t="shared" si="162"/>
        <v>389</v>
      </c>
      <c r="B397" s="1084" t="s">
        <v>907</v>
      </c>
      <c r="C397" s="1079">
        <v>31</v>
      </c>
      <c r="D397" s="1085">
        <f>D398+C398</f>
        <v>62</v>
      </c>
      <c r="E397" s="1085">
        <f t="shared" si="159"/>
        <v>365</v>
      </c>
      <c r="F397" s="1086">
        <f t="shared" si="153"/>
        <v>0.16986301369863013</v>
      </c>
      <c r="G397" s="1078"/>
      <c r="H397" s="1087">
        <f t="shared" si="160"/>
        <v>-29987.477213147253</v>
      </c>
      <c r="I397" s="1079">
        <f t="shared" si="154"/>
        <v>-5093.7632526441912</v>
      </c>
      <c r="J397" s="1079">
        <f t="shared" si="151"/>
        <v>3435594.3117974438</v>
      </c>
      <c r="K397" s="1065"/>
      <c r="L397" s="1087">
        <f t="shared" si="161"/>
        <v>-32953.282116327435</v>
      </c>
      <c r="M397" s="1082">
        <f t="shared" si="155"/>
        <v>-2965.804903180182</v>
      </c>
      <c r="N397" s="1082">
        <f t="shared" si="156"/>
        <v>-2965.804903180182</v>
      </c>
      <c r="O397" s="1082">
        <f t="shared" si="157"/>
        <v>0</v>
      </c>
      <c r="P397" s="1082">
        <f t="shared" si="152"/>
        <v>0</v>
      </c>
      <c r="Q397" s="1082">
        <f t="shared" si="158"/>
        <v>3079313.4988214923</v>
      </c>
    </row>
    <row r="398" spans="1:17">
      <c r="A398" s="1064">
        <f t="shared" si="162"/>
        <v>390</v>
      </c>
      <c r="B398" s="1084" t="s">
        <v>908</v>
      </c>
      <c r="C398" s="1079">
        <v>30</v>
      </c>
      <c r="D398" s="1085">
        <f>D399+C399</f>
        <v>32</v>
      </c>
      <c r="E398" s="1085">
        <f t="shared" si="159"/>
        <v>365</v>
      </c>
      <c r="F398" s="1086">
        <f t="shared" si="153"/>
        <v>8.7671232876712329E-2</v>
      </c>
      <c r="G398" s="1078"/>
      <c r="H398" s="1087">
        <f t="shared" si="160"/>
        <v>-29987.477213147253</v>
      </c>
      <c r="I398" s="1079">
        <f t="shared" si="154"/>
        <v>-2629.0390981389373</v>
      </c>
      <c r="J398" s="1079">
        <f t="shared" si="151"/>
        <v>3432965.2726993049</v>
      </c>
      <c r="K398" s="1065"/>
      <c r="L398" s="1087">
        <f t="shared" si="161"/>
        <v>-32953.282116327435</v>
      </c>
      <c r="M398" s="1082">
        <f t="shared" si="155"/>
        <v>-2965.804903180182</v>
      </c>
      <c r="N398" s="1082">
        <f t="shared" si="156"/>
        <v>-2965.804903180182</v>
      </c>
      <c r="O398" s="1082">
        <f t="shared" si="157"/>
        <v>0</v>
      </c>
      <c r="P398" s="1082">
        <f t="shared" si="152"/>
        <v>0</v>
      </c>
      <c r="Q398" s="1082">
        <f t="shared" si="158"/>
        <v>3073718.654820173</v>
      </c>
    </row>
    <row r="399" spans="1:17">
      <c r="A399" s="1064">
        <f t="shared" si="162"/>
        <v>391</v>
      </c>
      <c r="B399" s="1084" t="s">
        <v>909</v>
      </c>
      <c r="C399" s="1079">
        <v>31</v>
      </c>
      <c r="D399" s="1085">
        <v>1</v>
      </c>
      <c r="E399" s="1085">
        <f t="shared" si="159"/>
        <v>365</v>
      </c>
      <c r="F399" s="1086">
        <f t="shared" si="153"/>
        <v>2.7397260273972603E-3</v>
      </c>
      <c r="G399" s="1078"/>
      <c r="H399" s="1087">
        <f t="shared" si="160"/>
        <v>-29987.477213147253</v>
      </c>
      <c r="I399" s="1079">
        <f t="shared" si="154"/>
        <v>-82.157471816841792</v>
      </c>
      <c r="J399" s="1079">
        <f t="shared" si="151"/>
        <v>3432883.1152274879</v>
      </c>
      <c r="K399" s="1065"/>
      <c r="L399" s="1087">
        <f t="shared" si="161"/>
        <v>-32953.282116327435</v>
      </c>
      <c r="M399" s="1082">
        <f t="shared" si="155"/>
        <v>-2965.804903180182</v>
      </c>
      <c r="N399" s="1082">
        <f t="shared" si="156"/>
        <v>-2965.804903180182</v>
      </c>
      <c r="O399" s="1082">
        <f t="shared" si="157"/>
        <v>0</v>
      </c>
      <c r="P399" s="1082">
        <f t="shared" si="152"/>
        <v>0</v>
      </c>
      <c r="Q399" s="1082">
        <f t="shared" si="158"/>
        <v>3070670.6924451757</v>
      </c>
    </row>
    <row r="400" spans="1:17">
      <c r="A400" s="1064">
        <f t="shared" si="162"/>
        <v>392</v>
      </c>
      <c r="B400" s="1088"/>
      <c r="C400" s="1088" t="s">
        <v>790</v>
      </c>
      <c r="D400" s="1089">
        <f>+SUM(D388:D399)</f>
        <v>2029</v>
      </c>
      <c r="E400" s="1089">
        <f>+SUM(E388:E399)</f>
        <v>4380</v>
      </c>
      <c r="F400" s="1090"/>
      <c r="G400" s="1078"/>
      <c r="H400" s="1091">
        <f>SUM(H388:H399)</f>
        <v>-359849.72655776708</v>
      </c>
      <c r="I400" s="1091">
        <f>SUM(I388:I399)</f>
        <v>-166697.51031637201</v>
      </c>
      <c r="J400" s="1090"/>
      <c r="K400" s="1065"/>
      <c r="L400" s="1092">
        <f>SUM(L388:L399)</f>
        <v>-395439.38539592922</v>
      </c>
      <c r="M400" s="1092">
        <f>SUM(M388:M399)</f>
        <v>-35589.658838162184</v>
      </c>
      <c r="N400" s="1092">
        <f>SUM(N388:N399)</f>
        <v>-35589.658838162184</v>
      </c>
      <c r="O400" s="1092">
        <f>SUM(O388:O399)</f>
        <v>0</v>
      </c>
      <c r="P400" s="1092">
        <f>SUM(P388:P399)</f>
        <v>0</v>
      </c>
      <c r="Q400" s="1092"/>
    </row>
    <row r="401" spans="1:18">
      <c r="A401" s="1064">
        <f t="shared" si="162"/>
        <v>393</v>
      </c>
      <c r="B401" s="1094"/>
      <c r="C401" s="1094"/>
      <c r="D401" s="1095"/>
      <c r="E401" s="1095"/>
      <c r="F401" s="1096"/>
      <c r="G401" s="1078"/>
      <c r="H401" s="1079"/>
      <c r="I401" s="1079"/>
      <c r="J401" s="1096"/>
      <c r="K401" s="1065"/>
      <c r="L401" s="1098"/>
      <c r="M401" s="1098"/>
      <c r="N401" s="1098"/>
      <c r="O401" s="1098"/>
      <c r="P401" s="1098"/>
      <c r="Q401" s="1098"/>
    </row>
    <row r="402" spans="1:18">
      <c r="A402" s="1064">
        <f t="shared" si="162"/>
        <v>394</v>
      </c>
      <c r="B402" s="1065" t="s">
        <v>1682</v>
      </c>
      <c r="C402" s="1094"/>
      <c r="D402" s="1095"/>
      <c r="E402" s="1099">
        <f>1-(D400/E400)</f>
        <v>0.53675799086757991</v>
      </c>
      <c r="F402" s="1096"/>
      <c r="G402" s="1078"/>
      <c r="H402" s="1079"/>
      <c r="I402" s="1079"/>
      <c r="J402" s="1096"/>
      <c r="K402" s="1065"/>
      <c r="L402" s="1098"/>
      <c r="M402" s="1098"/>
      <c r="N402" s="1098"/>
      <c r="O402" s="1098"/>
      <c r="P402" s="1098"/>
      <c r="Q402" s="1098"/>
    </row>
    <row r="403" spans="1:18" s="1070" customFormat="1">
      <c r="A403" s="1064">
        <f t="shared" si="162"/>
        <v>395</v>
      </c>
      <c r="B403" s="1117"/>
      <c r="C403" s="1117"/>
      <c r="D403" s="1117"/>
      <c r="E403" s="1117"/>
      <c r="F403" s="1118"/>
      <c r="G403" s="1118"/>
      <c r="H403" s="1069"/>
      <c r="I403" s="1119"/>
      <c r="J403" s="1118"/>
      <c r="K403" s="1077"/>
      <c r="L403" s="1077"/>
      <c r="M403" s="1077"/>
      <c r="N403" s="1077"/>
      <c r="O403" s="1077"/>
      <c r="P403" s="1077"/>
      <c r="Q403" s="1077"/>
    </row>
    <row r="404" spans="1:18" s="1070" customFormat="1">
      <c r="A404" s="1064">
        <f t="shared" si="162"/>
        <v>396</v>
      </c>
      <c r="B404" s="1120"/>
      <c r="C404" s="1117"/>
      <c r="D404" s="1077"/>
      <c r="E404" s="1117"/>
      <c r="F404" s="1077"/>
      <c r="G404" s="1118"/>
      <c r="H404" s="1069"/>
      <c r="I404" s="1119"/>
      <c r="J404" s="1121"/>
      <c r="K404" s="1077"/>
      <c r="L404" s="1077"/>
      <c r="M404" s="1077"/>
      <c r="N404" s="1077"/>
      <c r="O404" s="1077"/>
      <c r="P404" s="1077"/>
      <c r="Q404" s="1121"/>
    </row>
    <row r="405" spans="1:18" s="110" customFormat="1">
      <c r="A405" s="1064">
        <f t="shared" si="162"/>
        <v>397</v>
      </c>
      <c r="B405" s="1104" t="s">
        <v>1683</v>
      </c>
      <c r="C405" s="1104"/>
      <c r="D405" s="1104"/>
      <c r="E405" s="1104"/>
      <c r="F405" s="1104" t="str">
        <f>"(Line "&amp;A387&amp;", Col H)"</f>
        <v>(Line 379, Col H)</v>
      </c>
      <c r="G405" s="1122"/>
      <c r="H405" s="1104"/>
      <c r="I405" s="1122"/>
      <c r="J405" s="1082">
        <f>J387</f>
        <v>3599580.6255438598</v>
      </c>
      <c r="K405" s="1104"/>
      <c r="L405" s="1104"/>
      <c r="M405" s="1104"/>
      <c r="N405" s="1104" t="str">
        <f>"(Line "&amp;A387&amp;", Col N)"</f>
        <v>(Line 379, Col N)</v>
      </c>
      <c r="O405" s="1104"/>
      <c r="P405" s="1104"/>
      <c r="Q405" s="1082">
        <f>Q387</f>
        <v>3272957.8615997117</v>
      </c>
    </row>
    <row r="406" spans="1:18" s="110" customFormat="1">
      <c r="A406" s="1064">
        <f t="shared" si="162"/>
        <v>398</v>
      </c>
      <c r="B406" s="1104" t="s">
        <v>1684</v>
      </c>
      <c r="C406" s="1104"/>
      <c r="D406" s="1104"/>
      <c r="E406" s="1104"/>
      <c r="F406" s="1104" t="str">
        <f>"(Line "&amp;A399&amp;", Col H)"</f>
        <v>(Line 391, Col H)</v>
      </c>
      <c r="G406" s="1122"/>
      <c r="H406" s="1104"/>
      <c r="I406" s="1122"/>
      <c r="J406" s="1082">
        <f>J399</f>
        <v>3432883.1152274879</v>
      </c>
      <c r="K406" s="1104"/>
      <c r="L406" s="1123"/>
      <c r="M406" s="1104"/>
      <c r="N406" s="1104" t="str">
        <f>"(Line "&amp;A399&amp;", Col N)"</f>
        <v>(Line 391, Col N)</v>
      </c>
      <c r="O406" s="1104"/>
      <c r="P406" s="1104"/>
      <c r="Q406" s="1082">
        <f>Q399</f>
        <v>3070670.6924451757</v>
      </c>
    </row>
    <row r="407" spans="1:18" s="110" customFormat="1">
      <c r="A407" s="1064">
        <f t="shared" si="162"/>
        <v>399</v>
      </c>
      <c r="B407" s="1104" t="s">
        <v>1685</v>
      </c>
      <c r="C407" s="1104"/>
      <c r="D407" s="1104"/>
      <c r="E407" s="1104"/>
      <c r="F407" s="1104" t="str">
        <f>"(Average of Line "&amp;A405&amp;" &amp; Line "&amp;A406&amp;")"</f>
        <v>(Average of Line 397 &amp; Line 398)</v>
      </c>
      <c r="G407" s="1122"/>
      <c r="H407" s="1104"/>
      <c r="I407" s="1124"/>
      <c r="J407" s="1108">
        <f>(J405+J406)/2</f>
        <v>3516231.8703856738</v>
      </c>
      <c r="K407" s="1104"/>
      <c r="L407" s="1125"/>
      <c r="M407" s="1104"/>
      <c r="N407" s="1104" t="str">
        <f>"(Average of Line "&amp;A405&amp;" &amp; Line "&amp;A406&amp;")"</f>
        <v>(Average of Line 397 &amp; Line 398)</v>
      </c>
      <c r="O407" s="1104"/>
      <c r="P407" s="1104"/>
      <c r="Q407" s="1108">
        <f>(Q405+Q406)/2</f>
        <v>3171814.2770224437</v>
      </c>
    </row>
    <row r="408" spans="1:18" s="110" customFormat="1" ht="13.5" customHeight="1">
      <c r="A408" s="1064">
        <f t="shared" si="162"/>
        <v>400</v>
      </c>
      <c r="B408" s="1104" t="s">
        <v>1686</v>
      </c>
      <c r="C408" s="1104"/>
      <c r="D408" s="1104"/>
      <c r="E408" s="1104"/>
      <c r="F408" s="1104" t="s">
        <v>1807</v>
      </c>
      <c r="G408" s="1104"/>
      <c r="H408" s="1104"/>
      <c r="I408" s="1104"/>
      <c r="J408" s="1126">
        <f>AVERAGE(J387, (SUM(H388:H399)+J387))</f>
        <v>3419655.7622649763</v>
      </c>
      <c r="K408" s="1104"/>
      <c r="L408" s="1104"/>
      <c r="M408" s="1104"/>
      <c r="N408" s="1104" t="s">
        <v>1807</v>
      </c>
      <c r="O408" s="1104"/>
      <c r="P408" s="1104"/>
      <c r="Q408" s="1126">
        <f>AVERAGE(Q387, (SUM(L388:L399)+Q387))</f>
        <v>3075238.1689017471</v>
      </c>
    </row>
    <row r="409" spans="1:18" s="110" customFormat="1" ht="13.5" customHeight="1">
      <c r="A409" s="1064">
        <f t="shared" si="162"/>
        <v>401</v>
      </c>
      <c r="B409" s="1104" t="s">
        <v>1687</v>
      </c>
      <c r="C409" s="1104"/>
      <c r="D409" s="1104"/>
      <c r="E409" s="1104"/>
      <c r="F409" s="1104"/>
      <c r="G409" s="1104"/>
      <c r="H409" s="1104"/>
      <c r="I409" s="1104"/>
      <c r="J409" s="1123">
        <f>J407-J408</f>
        <v>96576.10812069755</v>
      </c>
      <c r="K409" s="1104"/>
      <c r="L409" s="1104"/>
      <c r="M409" s="1104"/>
      <c r="N409" s="1104"/>
      <c r="O409" s="1104"/>
      <c r="P409" s="1104"/>
      <c r="Q409" s="1123">
        <f>Q407-Q408</f>
        <v>96576.108120696619</v>
      </c>
    </row>
    <row r="410" spans="1:18" s="1070" customFormat="1">
      <c r="A410" s="1064">
        <f t="shared" si="162"/>
        <v>402</v>
      </c>
      <c r="B410" s="1127"/>
      <c r="C410" s="1127"/>
      <c r="D410" s="1127"/>
      <c r="E410" s="1127"/>
      <c r="F410" s="1127"/>
      <c r="G410" s="1127"/>
      <c r="H410" s="1127"/>
      <c r="I410" s="1127"/>
      <c r="J410" s="1127"/>
      <c r="K410" s="1077"/>
      <c r="L410" s="1077"/>
      <c r="M410" s="1077"/>
      <c r="N410" s="1077"/>
      <c r="O410" s="1077"/>
      <c r="P410" s="1077"/>
      <c r="Q410" s="1127"/>
    </row>
    <row r="411" spans="1:18" s="1070" customFormat="1">
      <c r="A411" s="1064">
        <f t="shared" si="162"/>
        <v>403</v>
      </c>
      <c r="B411" s="1077"/>
      <c r="C411" s="1077"/>
      <c r="D411" s="1077"/>
      <c r="E411" s="1077"/>
      <c r="F411" s="1077"/>
      <c r="G411" s="1077"/>
      <c r="H411" s="1077"/>
      <c r="I411" s="1077"/>
      <c r="J411" s="1077"/>
      <c r="K411" s="1077"/>
      <c r="L411" s="1077"/>
      <c r="M411" s="1077"/>
      <c r="N411" s="1077"/>
      <c r="O411" s="1077"/>
      <c r="P411" s="1077"/>
      <c r="Q411" s="1077"/>
    </row>
    <row r="412" spans="1:18">
      <c r="A412" s="1064">
        <f t="shared" si="162"/>
        <v>404</v>
      </c>
      <c r="B412" s="1270" t="s">
        <v>1691</v>
      </c>
      <c r="C412" s="1270"/>
      <c r="D412" s="1270"/>
      <c r="E412" s="1270"/>
      <c r="F412" s="1065"/>
      <c r="G412" s="1065"/>
      <c r="H412" s="1112"/>
      <c r="I412" s="1112"/>
      <c r="J412" s="1112"/>
      <c r="K412" s="1065"/>
      <c r="L412" s="1113"/>
      <c r="M412" s="1114"/>
      <c r="N412" s="1114"/>
      <c r="O412" s="1114"/>
      <c r="P412" s="1114"/>
      <c r="Q412" s="1114"/>
      <c r="R412" s="1070"/>
    </row>
    <row r="413" spans="1:18">
      <c r="A413" s="1064">
        <f t="shared" si="162"/>
        <v>405</v>
      </c>
      <c r="B413" s="1262" t="s">
        <v>1696</v>
      </c>
      <c r="C413" s="1262"/>
      <c r="D413" s="1262"/>
      <c r="E413" s="1262"/>
      <c r="F413" s="1065"/>
      <c r="G413" s="1065"/>
      <c r="H413" s="1112"/>
      <c r="I413" s="1112"/>
      <c r="J413" s="1112"/>
      <c r="K413" s="1065"/>
      <c r="L413" s="1113"/>
      <c r="M413" s="1114"/>
      <c r="N413" s="1114"/>
      <c r="O413" s="1114"/>
      <c r="P413" s="1114"/>
      <c r="Q413" s="1114"/>
      <c r="R413" s="1070"/>
    </row>
    <row r="414" spans="1:18">
      <c r="A414" s="1064">
        <f t="shared" si="162"/>
        <v>406</v>
      </c>
      <c r="B414" s="1263" t="s">
        <v>1666</v>
      </c>
      <c r="C414" s="1264"/>
      <c r="D414" s="1264"/>
      <c r="E414" s="1264"/>
      <c r="F414" s="1265"/>
      <c r="G414" s="1071"/>
      <c r="H414" s="1266" t="s">
        <v>1667</v>
      </c>
      <c r="I414" s="1267"/>
      <c r="J414" s="1268"/>
      <c r="K414" s="1065"/>
      <c r="L414" s="1266" t="s">
        <v>1668</v>
      </c>
      <c r="M414" s="1267"/>
      <c r="N414" s="1267"/>
      <c r="O414" s="1267"/>
      <c r="P414" s="1267"/>
      <c r="Q414" s="1267"/>
    </row>
    <row r="415" spans="1:18">
      <c r="A415" s="1064">
        <f t="shared" si="162"/>
        <v>407</v>
      </c>
      <c r="B415" s="1072" t="s">
        <v>824</v>
      </c>
      <c r="C415" s="1072" t="s">
        <v>825</v>
      </c>
      <c r="D415" s="1072" t="s">
        <v>826</v>
      </c>
      <c r="E415" s="1072" t="s">
        <v>827</v>
      </c>
      <c r="F415" s="1072" t="s">
        <v>828</v>
      </c>
      <c r="G415" s="1071"/>
      <c r="H415" s="1072" t="s">
        <v>829</v>
      </c>
      <c r="I415" s="1072" t="s">
        <v>830</v>
      </c>
      <c r="J415" s="1072" t="s">
        <v>831</v>
      </c>
      <c r="K415" s="1065"/>
      <c r="L415" s="1072" t="s">
        <v>832</v>
      </c>
      <c r="M415" s="1072" t="s">
        <v>833</v>
      </c>
      <c r="N415" s="1072" t="s">
        <v>834</v>
      </c>
      <c r="O415" s="1072" t="s">
        <v>835</v>
      </c>
      <c r="P415" s="1072" t="s">
        <v>837</v>
      </c>
      <c r="Q415" s="1072" t="s">
        <v>836</v>
      </c>
    </row>
    <row r="416" spans="1:18" ht="45">
      <c r="A416" s="1064">
        <f t="shared" si="162"/>
        <v>408</v>
      </c>
      <c r="B416" s="1074" t="s">
        <v>1342</v>
      </c>
      <c r="C416" s="1074" t="s">
        <v>1577</v>
      </c>
      <c r="D416" s="1074" t="s">
        <v>1669</v>
      </c>
      <c r="E416" s="1074" t="s">
        <v>1670</v>
      </c>
      <c r="F416" s="1074" t="s">
        <v>1671</v>
      </c>
      <c r="G416" s="1075"/>
      <c r="H416" s="1074" t="s">
        <v>1672</v>
      </c>
      <c r="I416" s="1074" t="s">
        <v>1673</v>
      </c>
      <c r="J416" s="1074" t="s">
        <v>1674</v>
      </c>
      <c r="K416" s="1065"/>
      <c r="L416" s="1074" t="s">
        <v>1675</v>
      </c>
      <c r="M416" s="1074" t="s">
        <v>1676</v>
      </c>
      <c r="N416" s="1074" t="s">
        <v>1677</v>
      </c>
      <c r="O416" s="1074" t="s">
        <v>1678</v>
      </c>
      <c r="P416" s="1074" t="s">
        <v>1679</v>
      </c>
      <c r="Q416" s="1074" t="s">
        <v>1680</v>
      </c>
    </row>
    <row r="417" spans="1:17">
      <c r="A417" s="1064">
        <f t="shared" si="162"/>
        <v>409</v>
      </c>
      <c r="B417" s="1065"/>
      <c r="C417" s="1075"/>
      <c r="D417" s="1075"/>
      <c r="E417" s="1075"/>
      <c r="F417" s="1075"/>
      <c r="G417" s="1075"/>
      <c r="H417" s="1075"/>
      <c r="I417" s="1075"/>
      <c r="J417" s="1075"/>
      <c r="K417" s="1065"/>
      <c r="L417" s="1065"/>
      <c r="M417" s="1065"/>
      <c r="N417" s="1065"/>
      <c r="O417" s="1065"/>
      <c r="P417" s="1065"/>
      <c r="Q417" s="1065"/>
    </row>
    <row r="418" spans="1:17">
      <c r="A418" s="1064">
        <f t="shared" si="162"/>
        <v>410</v>
      </c>
      <c r="B418" s="1269" t="s">
        <v>1681</v>
      </c>
      <c r="C418" s="1269"/>
      <c r="D418" s="1269"/>
      <c r="E418" s="1269"/>
      <c r="F418" s="1078"/>
      <c r="G418" s="1078"/>
      <c r="H418" s="1079"/>
      <c r="I418" s="1079"/>
      <c r="J418" s="1080">
        <f>'WP_B-Inputs Est.'!H107</f>
        <v>-237237.87000000008</v>
      </c>
      <c r="K418" s="1081"/>
      <c r="L418" s="1079"/>
      <c r="M418" s="1082"/>
      <c r="N418" s="1082"/>
      <c r="O418" s="1082"/>
      <c r="P418" s="1082"/>
      <c r="Q418" s="1080">
        <f>'WP_B-Inputs Act.'!H106</f>
        <v>-229375.39999999956</v>
      </c>
    </row>
    <row r="419" spans="1:17">
      <c r="A419" s="1064">
        <f t="shared" si="162"/>
        <v>411</v>
      </c>
      <c r="B419" s="1084" t="s">
        <v>950</v>
      </c>
      <c r="C419" s="1079">
        <v>31</v>
      </c>
      <c r="D419" s="1085">
        <f t="shared" ref="D419:D427" si="163">D420+C420</f>
        <v>335</v>
      </c>
      <c r="E419" s="1085">
        <f>SUM(C419:C430)</f>
        <v>365</v>
      </c>
      <c r="F419" s="1086">
        <f>D419/E419</f>
        <v>0.9178082191780822</v>
      </c>
      <c r="G419" s="1078"/>
      <c r="H419" s="1087">
        <f>('WP_B-Inputs Est.'!H108-'WP_B-Inputs Est.'!H107)/12</f>
        <v>655.44333333332906</v>
      </c>
      <c r="I419" s="1079">
        <f>+H419*F419</f>
        <v>601.57127853880888</v>
      </c>
      <c r="J419" s="1079">
        <f t="shared" ref="J419:J430" si="164">+I419+J418</f>
        <v>-236636.29872146127</v>
      </c>
      <c r="K419" s="1065"/>
      <c r="L419" s="1087">
        <f>('WP_B-Inputs Act.'!H107-'WP_B-Inputs Act.'!H106)/12</f>
        <v>-653.3816666667359</v>
      </c>
      <c r="M419" s="1082">
        <f>L419-H419</f>
        <v>-1308.8250000000648</v>
      </c>
      <c r="N419" s="1082">
        <f>IF(M419&lt;=0,+M419,0)</f>
        <v>-1308.8250000000648</v>
      </c>
      <c r="O419" s="1082">
        <f>IF(N419&lt;0,0,IF(L419&gt;0,0,(-(M419)*(D419/E419))))</f>
        <v>0</v>
      </c>
      <c r="P419" s="1082">
        <f t="shared" ref="P419:P430" si="165">IF(L419&gt;0,L419,0)</f>
        <v>0</v>
      </c>
      <c r="Q419" s="1082">
        <f>IF(L419&gt;0,Q418+P419,Q418+I419+N419-O419)</f>
        <v>-230082.65372146081</v>
      </c>
    </row>
    <row r="420" spans="1:17">
      <c r="A420" s="1064">
        <f t="shared" si="162"/>
        <v>412</v>
      </c>
      <c r="B420" s="1084" t="s">
        <v>899</v>
      </c>
      <c r="C420" s="1087">
        <v>28</v>
      </c>
      <c r="D420" s="1085">
        <f t="shared" si="163"/>
        <v>307</v>
      </c>
      <c r="E420" s="1085">
        <f>E419</f>
        <v>365</v>
      </c>
      <c r="F420" s="1086">
        <f t="shared" ref="F420:F430" si="166">D420/E420</f>
        <v>0.84109589041095889</v>
      </c>
      <c r="G420" s="1078"/>
      <c r="H420" s="1087">
        <f>$H$419</f>
        <v>655.44333333332906</v>
      </c>
      <c r="I420" s="1079">
        <f t="shared" ref="I420:I430" si="167">+H420*F420</f>
        <v>551.2906940639233</v>
      </c>
      <c r="J420" s="1079">
        <f t="shared" si="164"/>
        <v>-236085.00802739733</v>
      </c>
      <c r="K420" s="1065"/>
      <c r="L420" s="1087">
        <f>$L$419</f>
        <v>-653.3816666667359</v>
      </c>
      <c r="M420" s="1082">
        <f t="shared" ref="M420:M430" si="168">L420-H420</f>
        <v>-1308.8250000000648</v>
      </c>
      <c r="N420" s="1082">
        <f t="shared" ref="N420:N430" si="169">IF(M420&lt;=0,+M420,0)</f>
        <v>-1308.8250000000648</v>
      </c>
      <c r="O420" s="1082">
        <f t="shared" ref="O420:O430" si="170">IF(N420&lt;0,0,IF(L420&gt;0,0,(-(M420)*(D420/E420))))</f>
        <v>0</v>
      </c>
      <c r="P420" s="1082">
        <f t="shared" si="165"/>
        <v>0</v>
      </c>
      <c r="Q420" s="1082">
        <f t="shared" ref="Q420:Q430" si="171">IF(L420&gt;0,Q419+P420,Q419+I420+N420-O420)</f>
        <v>-230840.18802739694</v>
      </c>
    </row>
    <row r="421" spans="1:17">
      <c r="A421" s="1064">
        <f t="shared" si="162"/>
        <v>413</v>
      </c>
      <c r="B421" s="1084" t="s">
        <v>900</v>
      </c>
      <c r="C421" s="1079">
        <v>31</v>
      </c>
      <c r="D421" s="1085">
        <f t="shared" si="163"/>
        <v>276</v>
      </c>
      <c r="E421" s="1085">
        <f t="shared" ref="E421:E430" si="172">E420</f>
        <v>365</v>
      </c>
      <c r="F421" s="1086">
        <f t="shared" si="166"/>
        <v>0.75616438356164384</v>
      </c>
      <c r="G421" s="1078"/>
      <c r="H421" s="1087">
        <f t="shared" ref="H421:H430" si="173">$H$419</f>
        <v>655.44333333332906</v>
      </c>
      <c r="I421" s="1079">
        <f t="shared" si="167"/>
        <v>495.62290410958582</v>
      </c>
      <c r="J421" s="1079">
        <f t="shared" si="164"/>
        <v>-235589.38512328774</v>
      </c>
      <c r="K421" s="1065"/>
      <c r="L421" s="1087">
        <f t="shared" ref="L421:L430" si="174">$L$419</f>
        <v>-653.3816666667359</v>
      </c>
      <c r="M421" s="1082">
        <f t="shared" si="168"/>
        <v>-1308.8250000000648</v>
      </c>
      <c r="N421" s="1082">
        <f t="shared" si="169"/>
        <v>-1308.8250000000648</v>
      </c>
      <c r="O421" s="1082">
        <f t="shared" si="170"/>
        <v>0</v>
      </c>
      <c r="P421" s="1082">
        <f t="shared" si="165"/>
        <v>0</v>
      </c>
      <c r="Q421" s="1082">
        <f t="shared" si="171"/>
        <v>-231653.39012328742</v>
      </c>
    </row>
    <row r="422" spans="1:17">
      <c r="A422" s="1064">
        <f t="shared" si="162"/>
        <v>414</v>
      </c>
      <c r="B422" s="1084" t="s">
        <v>901</v>
      </c>
      <c r="C422" s="1079">
        <v>30</v>
      </c>
      <c r="D422" s="1085">
        <f t="shared" si="163"/>
        <v>246</v>
      </c>
      <c r="E422" s="1085">
        <f t="shared" si="172"/>
        <v>365</v>
      </c>
      <c r="F422" s="1086">
        <f t="shared" si="166"/>
        <v>0.67397260273972603</v>
      </c>
      <c r="G422" s="1078"/>
      <c r="H422" s="1087">
        <f t="shared" si="173"/>
        <v>655.44333333332906</v>
      </c>
      <c r="I422" s="1079">
        <f t="shared" si="167"/>
        <v>441.75084931506564</v>
      </c>
      <c r="J422" s="1079">
        <f t="shared" si="164"/>
        <v>-235147.63427397268</v>
      </c>
      <c r="K422" s="1065"/>
      <c r="L422" s="1087">
        <f t="shared" si="174"/>
        <v>-653.3816666667359</v>
      </c>
      <c r="M422" s="1082">
        <f t="shared" si="168"/>
        <v>-1308.8250000000648</v>
      </c>
      <c r="N422" s="1082">
        <f t="shared" si="169"/>
        <v>-1308.8250000000648</v>
      </c>
      <c r="O422" s="1082">
        <f t="shared" si="170"/>
        <v>0</v>
      </c>
      <c r="P422" s="1082">
        <f t="shared" si="165"/>
        <v>0</v>
      </c>
      <c r="Q422" s="1082">
        <f t="shared" si="171"/>
        <v>-232520.46427397244</v>
      </c>
    </row>
    <row r="423" spans="1:17">
      <c r="A423" s="1064">
        <f t="shared" si="162"/>
        <v>415</v>
      </c>
      <c r="B423" s="1084" t="s">
        <v>902</v>
      </c>
      <c r="C423" s="1079">
        <v>31</v>
      </c>
      <c r="D423" s="1085">
        <f t="shared" si="163"/>
        <v>215</v>
      </c>
      <c r="E423" s="1085">
        <f t="shared" si="172"/>
        <v>365</v>
      </c>
      <c r="F423" s="1086">
        <f t="shared" si="166"/>
        <v>0.58904109589041098</v>
      </c>
      <c r="G423" s="1078"/>
      <c r="H423" s="1087">
        <f t="shared" si="173"/>
        <v>655.44333333332906</v>
      </c>
      <c r="I423" s="1079">
        <f t="shared" si="167"/>
        <v>386.0830593607281</v>
      </c>
      <c r="J423" s="1079">
        <f t="shared" si="164"/>
        <v>-234761.55121461194</v>
      </c>
      <c r="K423" s="1065"/>
      <c r="L423" s="1087">
        <f t="shared" si="174"/>
        <v>-653.3816666667359</v>
      </c>
      <c r="M423" s="1082">
        <f t="shared" si="168"/>
        <v>-1308.8250000000648</v>
      </c>
      <c r="N423" s="1082">
        <f t="shared" si="169"/>
        <v>-1308.8250000000648</v>
      </c>
      <c r="O423" s="1082">
        <f t="shared" si="170"/>
        <v>0</v>
      </c>
      <c r="P423" s="1082">
        <f t="shared" si="165"/>
        <v>0</v>
      </c>
      <c r="Q423" s="1082">
        <f t="shared" si="171"/>
        <v>-233443.20621461177</v>
      </c>
    </row>
    <row r="424" spans="1:17">
      <c r="A424" s="1064">
        <f t="shared" si="162"/>
        <v>416</v>
      </c>
      <c r="B424" s="1084" t="s">
        <v>903</v>
      </c>
      <c r="C424" s="1079">
        <v>30</v>
      </c>
      <c r="D424" s="1085">
        <f t="shared" si="163"/>
        <v>185</v>
      </c>
      <c r="E424" s="1085">
        <f t="shared" si="172"/>
        <v>365</v>
      </c>
      <c r="F424" s="1086">
        <f t="shared" si="166"/>
        <v>0.50684931506849318</v>
      </c>
      <c r="G424" s="1078"/>
      <c r="H424" s="1087">
        <f t="shared" si="173"/>
        <v>655.44333333332906</v>
      </c>
      <c r="I424" s="1079">
        <f t="shared" si="167"/>
        <v>332.21100456620792</v>
      </c>
      <c r="J424" s="1079">
        <f t="shared" si="164"/>
        <v>-234429.34021004575</v>
      </c>
      <c r="K424" s="1065"/>
      <c r="L424" s="1087">
        <f t="shared" si="174"/>
        <v>-653.3816666667359</v>
      </c>
      <c r="M424" s="1082">
        <f t="shared" si="168"/>
        <v>-1308.8250000000648</v>
      </c>
      <c r="N424" s="1082">
        <f t="shared" si="169"/>
        <v>-1308.8250000000648</v>
      </c>
      <c r="O424" s="1082">
        <f t="shared" si="170"/>
        <v>0</v>
      </c>
      <c r="P424" s="1082">
        <f t="shared" si="165"/>
        <v>0</v>
      </c>
      <c r="Q424" s="1082">
        <f t="shared" si="171"/>
        <v>-234419.82021004564</v>
      </c>
    </row>
    <row r="425" spans="1:17">
      <c r="A425" s="1064">
        <f t="shared" si="162"/>
        <v>417</v>
      </c>
      <c r="B425" s="1084" t="s">
        <v>904</v>
      </c>
      <c r="C425" s="1079">
        <v>31</v>
      </c>
      <c r="D425" s="1085">
        <f t="shared" si="163"/>
        <v>154</v>
      </c>
      <c r="E425" s="1085">
        <f t="shared" si="172"/>
        <v>365</v>
      </c>
      <c r="F425" s="1086">
        <f t="shared" si="166"/>
        <v>0.42191780821917807</v>
      </c>
      <c r="G425" s="1078"/>
      <c r="H425" s="1087">
        <f t="shared" si="173"/>
        <v>655.44333333332906</v>
      </c>
      <c r="I425" s="1079">
        <f t="shared" si="167"/>
        <v>276.54321461187033</v>
      </c>
      <c r="J425" s="1079">
        <f t="shared" si="164"/>
        <v>-234152.79699543386</v>
      </c>
      <c r="K425" s="1065"/>
      <c r="L425" s="1087">
        <f t="shared" si="174"/>
        <v>-653.3816666667359</v>
      </c>
      <c r="M425" s="1082">
        <f t="shared" si="168"/>
        <v>-1308.8250000000648</v>
      </c>
      <c r="N425" s="1082">
        <f t="shared" si="169"/>
        <v>-1308.8250000000648</v>
      </c>
      <c r="O425" s="1082">
        <f t="shared" si="170"/>
        <v>0</v>
      </c>
      <c r="P425" s="1082">
        <f t="shared" si="165"/>
        <v>0</v>
      </c>
      <c r="Q425" s="1082">
        <f t="shared" si="171"/>
        <v>-235452.10199543383</v>
      </c>
    </row>
    <row r="426" spans="1:17">
      <c r="A426" s="1064">
        <f t="shared" si="162"/>
        <v>418</v>
      </c>
      <c r="B426" s="1084" t="s">
        <v>905</v>
      </c>
      <c r="C426" s="1079">
        <v>31</v>
      </c>
      <c r="D426" s="1085">
        <f t="shared" si="163"/>
        <v>123</v>
      </c>
      <c r="E426" s="1085">
        <f t="shared" si="172"/>
        <v>365</v>
      </c>
      <c r="F426" s="1086">
        <f t="shared" si="166"/>
        <v>0.33698630136986302</v>
      </c>
      <c r="G426" s="1078"/>
      <c r="H426" s="1087">
        <f t="shared" si="173"/>
        <v>655.44333333332906</v>
      </c>
      <c r="I426" s="1079">
        <f t="shared" si="167"/>
        <v>220.87542465753282</v>
      </c>
      <c r="J426" s="1079">
        <f t="shared" si="164"/>
        <v>-233931.92157077632</v>
      </c>
      <c r="K426" s="1065"/>
      <c r="L426" s="1087">
        <f t="shared" si="174"/>
        <v>-653.3816666667359</v>
      </c>
      <c r="M426" s="1082">
        <f t="shared" si="168"/>
        <v>-1308.8250000000648</v>
      </c>
      <c r="N426" s="1082">
        <f t="shared" si="169"/>
        <v>-1308.8250000000648</v>
      </c>
      <c r="O426" s="1082">
        <f t="shared" si="170"/>
        <v>0</v>
      </c>
      <c r="P426" s="1082">
        <f t="shared" si="165"/>
        <v>0</v>
      </c>
      <c r="Q426" s="1082">
        <f t="shared" si="171"/>
        <v>-236540.05157077636</v>
      </c>
    </row>
    <row r="427" spans="1:17">
      <c r="A427" s="1064">
        <f t="shared" si="162"/>
        <v>419</v>
      </c>
      <c r="B427" s="1084" t="s">
        <v>906</v>
      </c>
      <c r="C427" s="1079">
        <v>30</v>
      </c>
      <c r="D427" s="1085">
        <f t="shared" si="163"/>
        <v>93</v>
      </c>
      <c r="E427" s="1085">
        <f t="shared" si="172"/>
        <v>365</v>
      </c>
      <c r="F427" s="1086">
        <f t="shared" si="166"/>
        <v>0.25479452054794521</v>
      </c>
      <c r="G427" s="1078"/>
      <c r="H427" s="1087">
        <f t="shared" si="173"/>
        <v>655.44333333332906</v>
      </c>
      <c r="I427" s="1079">
        <f t="shared" si="167"/>
        <v>167.00336986301261</v>
      </c>
      <c r="J427" s="1079">
        <f t="shared" si="164"/>
        <v>-233764.91820091332</v>
      </c>
      <c r="K427" s="1065"/>
      <c r="L427" s="1087">
        <f t="shared" si="174"/>
        <v>-653.3816666667359</v>
      </c>
      <c r="M427" s="1082">
        <f t="shared" si="168"/>
        <v>-1308.8250000000648</v>
      </c>
      <c r="N427" s="1082">
        <f t="shared" si="169"/>
        <v>-1308.8250000000648</v>
      </c>
      <c r="O427" s="1082">
        <f t="shared" si="170"/>
        <v>0</v>
      </c>
      <c r="P427" s="1082">
        <f t="shared" si="165"/>
        <v>0</v>
      </c>
      <c r="Q427" s="1082">
        <f t="shared" si="171"/>
        <v>-237681.87320091343</v>
      </c>
    </row>
    <row r="428" spans="1:17">
      <c r="A428" s="1064">
        <f t="shared" si="162"/>
        <v>420</v>
      </c>
      <c r="B428" s="1084" t="s">
        <v>907</v>
      </c>
      <c r="C428" s="1079">
        <v>31</v>
      </c>
      <c r="D428" s="1085">
        <f>D429+C429</f>
        <v>62</v>
      </c>
      <c r="E428" s="1085">
        <f t="shared" si="172"/>
        <v>365</v>
      </c>
      <c r="F428" s="1086">
        <f t="shared" si="166"/>
        <v>0.16986301369863013</v>
      </c>
      <c r="G428" s="1078"/>
      <c r="H428" s="1087">
        <f t="shared" si="173"/>
        <v>655.44333333332906</v>
      </c>
      <c r="I428" s="1079">
        <f t="shared" si="167"/>
        <v>111.33557990867507</v>
      </c>
      <c r="J428" s="1079">
        <f t="shared" si="164"/>
        <v>-233653.58262100464</v>
      </c>
      <c r="K428" s="1065"/>
      <c r="L428" s="1087">
        <f t="shared" si="174"/>
        <v>-653.3816666667359</v>
      </c>
      <c r="M428" s="1082">
        <f t="shared" si="168"/>
        <v>-1308.8250000000648</v>
      </c>
      <c r="N428" s="1082">
        <f t="shared" si="169"/>
        <v>-1308.8250000000648</v>
      </c>
      <c r="O428" s="1082">
        <f t="shared" si="170"/>
        <v>0</v>
      </c>
      <c r="P428" s="1082">
        <f t="shared" si="165"/>
        <v>0</v>
      </c>
      <c r="Q428" s="1082">
        <f t="shared" si="171"/>
        <v>-238879.36262100481</v>
      </c>
    </row>
    <row r="429" spans="1:17">
      <c r="A429" s="1064">
        <f t="shared" si="162"/>
        <v>421</v>
      </c>
      <c r="B429" s="1084" t="s">
        <v>908</v>
      </c>
      <c r="C429" s="1079">
        <v>30</v>
      </c>
      <c r="D429" s="1085">
        <f>D430+C430</f>
        <v>32</v>
      </c>
      <c r="E429" s="1085">
        <f t="shared" si="172"/>
        <v>365</v>
      </c>
      <c r="F429" s="1086">
        <f t="shared" si="166"/>
        <v>8.7671232876712329E-2</v>
      </c>
      <c r="G429" s="1078"/>
      <c r="H429" s="1087">
        <f t="shared" si="173"/>
        <v>655.44333333332906</v>
      </c>
      <c r="I429" s="1079">
        <f t="shared" si="167"/>
        <v>57.463525114154876</v>
      </c>
      <c r="J429" s="1079">
        <f t="shared" si="164"/>
        <v>-233596.11909589049</v>
      </c>
      <c r="K429" s="1065"/>
      <c r="L429" s="1087">
        <f t="shared" si="174"/>
        <v>-653.3816666667359</v>
      </c>
      <c r="M429" s="1082">
        <f t="shared" si="168"/>
        <v>-1308.8250000000648</v>
      </c>
      <c r="N429" s="1082">
        <f t="shared" si="169"/>
        <v>-1308.8250000000648</v>
      </c>
      <c r="O429" s="1082">
        <f t="shared" si="170"/>
        <v>0</v>
      </c>
      <c r="P429" s="1082">
        <f t="shared" si="165"/>
        <v>0</v>
      </c>
      <c r="Q429" s="1082">
        <f t="shared" si="171"/>
        <v>-240130.72409589074</v>
      </c>
    </row>
    <row r="430" spans="1:17">
      <c r="A430" s="1064">
        <f t="shared" si="162"/>
        <v>422</v>
      </c>
      <c r="B430" s="1084" t="s">
        <v>909</v>
      </c>
      <c r="C430" s="1079">
        <v>31</v>
      </c>
      <c r="D430" s="1085">
        <v>1</v>
      </c>
      <c r="E430" s="1085">
        <f t="shared" si="172"/>
        <v>365</v>
      </c>
      <c r="F430" s="1086">
        <f t="shared" si="166"/>
        <v>2.7397260273972603E-3</v>
      </c>
      <c r="G430" s="1078"/>
      <c r="H430" s="1087">
        <f t="shared" si="173"/>
        <v>655.44333333332906</v>
      </c>
      <c r="I430" s="1079">
        <f t="shared" si="167"/>
        <v>1.7957351598173399</v>
      </c>
      <c r="J430" s="1079">
        <f t="shared" si="164"/>
        <v>-233594.32336073066</v>
      </c>
      <c r="K430" s="1065"/>
      <c r="L430" s="1087">
        <f t="shared" si="174"/>
        <v>-653.3816666667359</v>
      </c>
      <c r="M430" s="1082">
        <f t="shared" si="168"/>
        <v>-1308.8250000000648</v>
      </c>
      <c r="N430" s="1082">
        <f t="shared" si="169"/>
        <v>-1308.8250000000648</v>
      </c>
      <c r="O430" s="1082">
        <f t="shared" si="170"/>
        <v>0</v>
      </c>
      <c r="P430" s="1082">
        <f t="shared" si="165"/>
        <v>0</v>
      </c>
      <c r="Q430" s="1082">
        <f t="shared" si="171"/>
        <v>-241437.75336073097</v>
      </c>
    </row>
    <row r="431" spans="1:17">
      <c r="A431" s="1064">
        <f t="shared" si="162"/>
        <v>423</v>
      </c>
      <c r="B431" s="1088"/>
      <c r="C431" s="1088" t="s">
        <v>790</v>
      </c>
      <c r="D431" s="1089">
        <f>+SUM(D419:D430)</f>
        <v>2029</v>
      </c>
      <c r="E431" s="1089">
        <f>+SUM(E419:E430)</f>
        <v>4380</v>
      </c>
      <c r="F431" s="1090"/>
      <c r="G431" s="1078"/>
      <c r="H431" s="1091">
        <f>SUM(H419:H430)</f>
        <v>7865.3199999999488</v>
      </c>
      <c r="I431" s="1091">
        <f>SUM(I419:I430)</f>
        <v>3643.5466392693834</v>
      </c>
      <c r="J431" s="1090"/>
      <c r="K431" s="1065"/>
      <c r="L431" s="1092">
        <f>SUM(L419:L430)</f>
        <v>-7840.5800000008321</v>
      </c>
      <c r="M431" s="1092">
        <f>SUM(M419:M430)</f>
        <v>-15705.900000000775</v>
      </c>
      <c r="N431" s="1092">
        <f>SUM(N419:N430)</f>
        <v>-15705.900000000775</v>
      </c>
      <c r="O431" s="1092">
        <f>SUM(O419:O430)</f>
        <v>0</v>
      </c>
      <c r="P431" s="1092">
        <f>SUM(P419:P430)</f>
        <v>0</v>
      </c>
      <c r="Q431" s="1092"/>
    </row>
    <row r="432" spans="1:17">
      <c r="A432" s="1064">
        <f t="shared" si="162"/>
        <v>424</v>
      </c>
      <c r="B432" s="1094"/>
      <c r="C432" s="1094"/>
      <c r="D432" s="1095"/>
      <c r="E432" s="1095"/>
      <c r="F432" s="1096"/>
      <c r="G432" s="1078"/>
      <c r="H432" s="1079"/>
      <c r="I432" s="1079"/>
      <c r="J432" s="1096"/>
      <c r="K432" s="1065"/>
      <c r="L432" s="1098"/>
      <c r="M432" s="1098"/>
      <c r="N432" s="1098"/>
      <c r="O432" s="1098"/>
      <c r="P432" s="1098"/>
      <c r="Q432" s="1098"/>
    </row>
    <row r="433" spans="1:18">
      <c r="A433" s="1064">
        <f t="shared" si="162"/>
        <v>425</v>
      </c>
      <c r="B433" s="1065" t="s">
        <v>1682</v>
      </c>
      <c r="C433" s="1094"/>
      <c r="D433" s="1095"/>
      <c r="E433" s="1099">
        <f>1-(D431/E431)</f>
        <v>0.53675799086757991</v>
      </c>
      <c r="F433" s="1096"/>
      <c r="G433" s="1078"/>
      <c r="H433" s="1079"/>
      <c r="I433" s="1079"/>
      <c r="J433" s="1096"/>
      <c r="K433" s="1065"/>
      <c r="L433" s="1098"/>
      <c r="M433" s="1098"/>
      <c r="N433" s="1098"/>
      <c r="O433" s="1098"/>
      <c r="P433" s="1098"/>
      <c r="Q433" s="1098"/>
    </row>
    <row r="434" spans="1:18" s="1070" customFormat="1">
      <c r="A434" s="1064">
        <f t="shared" si="162"/>
        <v>426</v>
      </c>
      <c r="B434" s="1117"/>
      <c r="C434" s="1117"/>
      <c r="D434" s="1117"/>
      <c r="E434" s="1117"/>
      <c r="F434" s="1118"/>
      <c r="G434" s="1118"/>
      <c r="H434" s="1069"/>
      <c r="I434" s="1119"/>
      <c r="J434" s="1118"/>
      <c r="K434" s="1077"/>
      <c r="L434" s="1077"/>
      <c r="M434" s="1077"/>
      <c r="N434" s="1077"/>
      <c r="O434" s="1077"/>
      <c r="P434" s="1077"/>
      <c r="Q434" s="1077"/>
    </row>
    <row r="435" spans="1:18" s="1070" customFormat="1">
      <c r="A435" s="1064">
        <f t="shared" si="162"/>
        <v>427</v>
      </c>
      <c r="B435" s="1120"/>
      <c r="C435" s="1117"/>
      <c r="D435" s="1077"/>
      <c r="E435" s="1117"/>
      <c r="F435" s="1077"/>
      <c r="G435" s="1118"/>
      <c r="H435" s="1069"/>
      <c r="I435" s="1119"/>
      <c r="J435" s="1121"/>
      <c r="K435" s="1077"/>
      <c r="L435" s="1077"/>
      <c r="M435" s="1077"/>
      <c r="N435" s="1077"/>
      <c r="O435" s="1077"/>
      <c r="P435" s="1077"/>
      <c r="Q435" s="1121"/>
    </row>
    <row r="436" spans="1:18" s="110" customFormat="1">
      <c r="A436" s="1064">
        <f t="shared" si="162"/>
        <v>428</v>
      </c>
      <c r="B436" s="1104" t="s">
        <v>1683</v>
      </c>
      <c r="C436" s="1104"/>
      <c r="D436" s="1104"/>
      <c r="E436" s="1104"/>
      <c r="F436" s="1104" t="str">
        <f>"(Line "&amp;A418&amp;", Col H)"</f>
        <v>(Line 410, Col H)</v>
      </c>
      <c r="G436" s="1122"/>
      <c r="H436" s="1104"/>
      <c r="I436" s="1122"/>
      <c r="J436" s="1082">
        <f>J418</f>
        <v>-237237.87000000008</v>
      </c>
      <c r="K436" s="1104"/>
      <c r="L436" s="1104"/>
      <c r="M436" s="1104"/>
      <c r="N436" s="1104" t="str">
        <f>"(Line "&amp;A418&amp;", Col N)"</f>
        <v>(Line 410, Col N)</v>
      </c>
      <c r="O436" s="1104"/>
      <c r="P436" s="1104"/>
      <c r="Q436" s="1082">
        <f>Q418</f>
        <v>-229375.39999999956</v>
      </c>
    </row>
    <row r="437" spans="1:18" s="110" customFormat="1">
      <c r="A437" s="1064">
        <f t="shared" si="162"/>
        <v>429</v>
      </c>
      <c r="B437" s="1104" t="s">
        <v>1684</v>
      </c>
      <c r="C437" s="1104"/>
      <c r="D437" s="1104"/>
      <c r="E437" s="1104"/>
      <c r="F437" s="1104" t="str">
        <f>"(Line "&amp;A430&amp;", Col H)"</f>
        <v>(Line 422, Col H)</v>
      </c>
      <c r="G437" s="1122"/>
      <c r="H437" s="1104"/>
      <c r="I437" s="1122"/>
      <c r="J437" s="1082">
        <f>J430</f>
        <v>-233594.32336073066</v>
      </c>
      <c r="K437" s="1104"/>
      <c r="L437" s="1123"/>
      <c r="M437" s="1104"/>
      <c r="N437" s="1104" t="str">
        <f>"(Line "&amp;A430&amp;", Col N)"</f>
        <v>(Line 422, Col N)</v>
      </c>
      <c r="O437" s="1104"/>
      <c r="P437" s="1104"/>
      <c r="Q437" s="1082">
        <f>Q430</f>
        <v>-241437.75336073097</v>
      </c>
    </row>
    <row r="438" spans="1:18" s="110" customFormat="1">
      <c r="A438" s="1064">
        <f t="shared" si="162"/>
        <v>430</v>
      </c>
      <c r="B438" s="1104" t="s">
        <v>1685</v>
      </c>
      <c r="C438" s="1104"/>
      <c r="D438" s="1104"/>
      <c r="E438" s="1104"/>
      <c r="F438" s="1104" t="str">
        <f>"(Average of Line "&amp;A436&amp;" &amp; Line "&amp;A437&amp;")"</f>
        <v>(Average of Line 428 &amp; Line 429)</v>
      </c>
      <c r="G438" s="1122"/>
      <c r="H438" s="1104"/>
      <c r="I438" s="1124"/>
      <c r="J438" s="1108">
        <f>(J436+J437)/2</f>
        <v>-235416.09668036539</v>
      </c>
      <c r="K438" s="1104"/>
      <c r="L438" s="1125"/>
      <c r="M438" s="1104"/>
      <c r="N438" s="1104" t="str">
        <f>"(Average of Line "&amp;A436&amp;" &amp; Line "&amp;A437&amp;")"</f>
        <v>(Average of Line 428 &amp; Line 429)</v>
      </c>
      <c r="O438" s="1104"/>
      <c r="P438" s="1104"/>
      <c r="Q438" s="1108">
        <f>(Q436+Q437)/2</f>
        <v>-235406.57668036525</v>
      </c>
    </row>
    <row r="439" spans="1:18" s="110" customFormat="1" ht="13.5" customHeight="1">
      <c r="A439" s="1064">
        <f t="shared" si="162"/>
        <v>431</v>
      </c>
      <c r="B439" s="1104" t="s">
        <v>1686</v>
      </c>
      <c r="C439" s="1104"/>
      <c r="D439" s="1104"/>
      <c r="E439" s="1104"/>
      <c r="F439" s="1104" t="s">
        <v>1807</v>
      </c>
      <c r="G439" s="1104"/>
      <c r="H439" s="1104"/>
      <c r="I439" s="1104"/>
      <c r="J439" s="1126">
        <f>AVERAGE(J418, (SUM(H419:H430)+J418))</f>
        <v>-233305.21000000011</v>
      </c>
      <c r="K439" s="1104"/>
      <c r="L439" s="1104"/>
      <c r="M439" s="1104"/>
      <c r="N439" s="1104" t="s">
        <v>1807</v>
      </c>
      <c r="O439" s="1104"/>
      <c r="P439" s="1104"/>
      <c r="Q439" s="1126">
        <f>AVERAGE(Q418, (SUM(L419:L430)+Q418))</f>
        <v>-233295.68999999997</v>
      </c>
    </row>
    <row r="440" spans="1:18" s="110" customFormat="1" ht="13.5" customHeight="1">
      <c r="A440" s="1064">
        <f t="shared" si="162"/>
        <v>432</v>
      </c>
      <c r="B440" s="1104" t="s">
        <v>1687</v>
      </c>
      <c r="C440" s="1104"/>
      <c r="D440" s="1104"/>
      <c r="E440" s="1104"/>
      <c r="F440" s="1104"/>
      <c r="G440" s="1104"/>
      <c r="H440" s="1104"/>
      <c r="I440" s="1104"/>
      <c r="J440" s="1123">
        <f>J438-J439</f>
        <v>-2110.8866803652782</v>
      </c>
      <c r="K440" s="1104"/>
      <c r="L440" s="1104"/>
      <c r="M440" s="1104"/>
      <c r="N440" s="1104"/>
      <c r="O440" s="1104"/>
      <c r="P440" s="1104"/>
      <c r="Q440" s="1123">
        <f>Q438-Q439</f>
        <v>-2110.8866803652782</v>
      </c>
    </row>
    <row r="441" spans="1:18" s="1070" customFormat="1">
      <c r="A441" s="1064">
        <f t="shared" si="162"/>
        <v>433</v>
      </c>
      <c r="B441" s="1127"/>
      <c r="C441" s="1127"/>
      <c r="D441" s="1127"/>
      <c r="E441" s="1127"/>
      <c r="F441" s="1127"/>
      <c r="G441" s="1127"/>
      <c r="H441" s="1127"/>
      <c r="I441" s="1127"/>
      <c r="J441" s="1127"/>
      <c r="K441" s="1077"/>
      <c r="L441" s="1077"/>
      <c r="M441" s="1077"/>
      <c r="N441" s="1077"/>
      <c r="O441" s="1077"/>
      <c r="P441" s="1077"/>
      <c r="Q441" s="1127"/>
    </row>
    <row r="442" spans="1:18" s="1070" customFormat="1">
      <c r="A442" s="1064">
        <f t="shared" si="162"/>
        <v>434</v>
      </c>
      <c r="B442" s="1077"/>
      <c r="C442" s="1077"/>
      <c r="D442" s="1077"/>
      <c r="E442" s="1077"/>
      <c r="F442" s="1077"/>
      <c r="G442" s="1077"/>
      <c r="H442" s="1077"/>
      <c r="I442" s="1077"/>
      <c r="J442" s="1077"/>
      <c r="K442" s="1077"/>
      <c r="L442" s="1077"/>
      <c r="M442" s="1077"/>
      <c r="N442" s="1077"/>
      <c r="O442" s="1077"/>
      <c r="P442" s="1077"/>
      <c r="Q442" s="1077"/>
    </row>
    <row r="443" spans="1:18">
      <c r="A443" s="1064">
        <f t="shared" si="162"/>
        <v>435</v>
      </c>
      <c r="B443" s="1270" t="s">
        <v>1691</v>
      </c>
      <c r="C443" s="1270"/>
      <c r="D443" s="1270"/>
      <c r="E443" s="1270"/>
      <c r="F443" s="1065"/>
      <c r="G443" s="1065"/>
      <c r="H443" s="1112"/>
      <c r="I443" s="1112"/>
      <c r="J443" s="1112"/>
      <c r="K443" s="1065"/>
      <c r="L443" s="1113"/>
      <c r="M443" s="1114"/>
      <c r="N443" s="1114"/>
      <c r="O443" s="1114"/>
      <c r="P443" s="1114"/>
      <c r="Q443" s="1114"/>
      <c r="R443" s="1070"/>
    </row>
    <row r="444" spans="1:18">
      <c r="A444" s="1064">
        <f t="shared" si="162"/>
        <v>436</v>
      </c>
      <c r="B444" s="1262" t="s">
        <v>1697</v>
      </c>
      <c r="C444" s="1262"/>
      <c r="D444" s="1262"/>
      <c r="E444" s="1262"/>
      <c r="F444" s="1065"/>
      <c r="G444" s="1065"/>
      <c r="H444" s="1112"/>
      <c r="I444" s="1112"/>
      <c r="J444" s="1112"/>
      <c r="K444" s="1065"/>
      <c r="L444" s="1113"/>
      <c r="M444" s="1114"/>
      <c r="N444" s="1114"/>
      <c r="O444" s="1114"/>
      <c r="P444" s="1114"/>
      <c r="Q444" s="1114"/>
      <c r="R444" s="1070"/>
    </row>
    <row r="445" spans="1:18">
      <c r="A445" s="1064">
        <f t="shared" si="162"/>
        <v>437</v>
      </c>
      <c r="B445" s="1263" t="s">
        <v>1666</v>
      </c>
      <c r="C445" s="1264"/>
      <c r="D445" s="1264"/>
      <c r="E445" s="1264"/>
      <c r="F445" s="1265"/>
      <c r="G445" s="1071"/>
      <c r="H445" s="1266" t="s">
        <v>1667</v>
      </c>
      <c r="I445" s="1267"/>
      <c r="J445" s="1268"/>
      <c r="K445" s="1065"/>
      <c r="L445" s="1266" t="s">
        <v>1668</v>
      </c>
      <c r="M445" s="1267"/>
      <c r="N445" s="1267"/>
      <c r="O445" s="1267"/>
      <c r="P445" s="1267"/>
      <c r="Q445" s="1267"/>
    </row>
    <row r="446" spans="1:18">
      <c r="A446" s="1064">
        <f t="shared" si="162"/>
        <v>438</v>
      </c>
      <c r="B446" s="1072" t="s">
        <v>824</v>
      </c>
      <c r="C446" s="1072" t="s">
        <v>825</v>
      </c>
      <c r="D446" s="1072" t="s">
        <v>826</v>
      </c>
      <c r="E446" s="1072" t="s">
        <v>827</v>
      </c>
      <c r="F446" s="1072" t="s">
        <v>828</v>
      </c>
      <c r="G446" s="1071"/>
      <c r="H446" s="1072" t="s">
        <v>829</v>
      </c>
      <c r="I446" s="1072" t="s">
        <v>830</v>
      </c>
      <c r="J446" s="1072" t="s">
        <v>831</v>
      </c>
      <c r="K446" s="1065"/>
      <c r="L446" s="1072" t="s">
        <v>832</v>
      </c>
      <c r="M446" s="1072" t="s">
        <v>833</v>
      </c>
      <c r="N446" s="1072" t="s">
        <v>834</v>
      </c>
      <c r="O446" s="1072" t="s">
        <v>835</v>
      </c>
      <c r="P446" s="1072" t="s">
        <v>837</v>
      </c>
      <c r="Q446" s="1072" t="s">
        <v>836</v>
      </c>
    </row>
    <row r="447" spans="1:18" ht="45">
      <c r="A447" s="1064">
        <f t="shared" si="162"/>
        <v>439</v>
      </c>
      <c r="B447" s="1074" t="s">
        <v>1342</v>
      </c>
      <c r="C447" s="1074" t="s">
        <v>1577</v>
      </c>
      <c r="D447" s="1074" t="s">
        <v>1669</v>
      </c>
      <c r="E447" s="1074" t="s">
        <v>1670</v>
      </c>
      <c r="F447" s="1074" t="s">
        <v>1671</v>
      </c>
      <c r="G447" s="1075"/>
      <c r="H447" s="1074" t="s">
        <v>1672</v>
      </c>
      <c r="I447" s="1074" t="s">
        <v>1673</v>
      </c>
      <c r="J447" s="1074" t="s">
        <v>1674</v>
      </c>
      <c r="K447" s="1065"/>
      <c r="L447" s="1074" t="s">
        <v>1675</v>
      </c>
      <c r="M447" s="1074" t="s">
        <v>1676</v>
      </c>
      <c r="N447" s="1074" t="s">
        <v>1677</v>
      </c>
      <c r="O447" s="1074" t="s">
        <v>1678</v>
      </c>
      <c r="P447" s="1074" t="s">
        <v>1679</v>
      </c>
      <c r="Q447" s="1074" t="s">
        <v>1680</v>
      </c>
    </row>
    <row r="448" spans="1:18">
      <c r="A448" s="1064">
        <f t="shared" si="162"/>
        <v>440</v>
      </c>
      <c r="B448" s="1065"/>
      <c r="C448" s="1075"/>
      <c r="D448" s="1075"/>
      <c r="E448" s="1075"/>
      <c r="F448" s="1075"/>
      <c r="G448" s="1075"/>
      <c r="H448" s="1075"/>
      <c r="I448" s="1075"/>
      <c r="J448" s="1075"/>
      <c r="K448" s="1065"/>
      <c r="L448" s="1065"/>
      <c r="M448" s="1065"/>
      <c r="N448" s="1065"/>
      <c r="O448" s="1065"/>
      <c r="P448" s="1065"/>
      <c r="Q448" s="1065"/>
    </row>
    <row r="449" spans="1:17">
      <c r="A449" s="1064">
        <f t="shared" si="162"/>
        <v>441</v>
      </c>
      <c r="B449" s="1269" t="s">
        <v>1681</v>
      </c>
      <c r="C449" s="1269"/>
      <c r="D449" s="1269"/>
      <c r="E449" s="1269"/>
      <c r="F449" s="1078"/>
      <c r="G449" s="1078"/>
      <c r="H449" s="1079"/>
      <c r="I449" s="1079"/>
      <c r="J449" s="1080">
        <f>'WP_B-Inputs Est.'!I107</f>
        <v>739542.01</v>
      </c>
      <c r="K449" s="1081"/>
      <c r="L449" s="1079"/>
      <c r="M449" s="1082"/>
      <c r="N449" s="1082"/>
      <c r="O449" s="1082"/>
      <c r="P449" s="1082"/>
      <c r="Q449" s="1080">
        <f>'WP_B-Inputs Act.'!I106</f>
        <v>345447.87</v>
      </c>
    </row>
    <row r="450" spans="1:17">
      <c r="A450" s="1064">
        <f t="shared" si="162"/>
        <v>442</v>
      </c>
      <c r="B450" s="1084" t="s">
        <v>950</v>
      </c>
      <c r="C450" s="1079">
        <v>31</v>
      </c>
      <c r="D450" s="1085">
        <f t="shared" ref="D450:D458" si="175">D451+C451</f>
        <v>335</v>
      </c>
      <c r="E450" s="1085">
        <f>SUM(C450:C461)</f>
        <v>365</v>
      </c>
      <c r="F450" s="1086">
        <f>D450/E450</f>
        <v>0.9178082191780822</v>
      </c>
      <c r="G450" s="1078"/>
      <c r="H450" s="1087">
        <f>('WP_B-Inputs Est.'!I108-'WP_B-Inputs Est.'!I107)/12</f>
        <v>-10923.643333333332</v>
      </c>
      <c r="I450" s="1079">
        <f>+H450*F450</f>
        <v>-10025.809634703195</v>
      </c>
      <c r="J450" s="1079">
        <f t="shared" ref="J450:J461" si="176">+I450+J449</f>
        <v>729516.2003652968</v>
      </c>
      <c r="K450" s="1065"/>
      <c r="L450" s="1087">
        <f>('WP_B-Inputs Act.'!I107-'WP_B-Inputs Act.'!I106)/12</f>
        <v>-7044.6483333333335</v>
      </c>
      <c r="M450" s="1082">
        <f>L450-H450</f>
        <v>3878.9949999999981</v>
      </c>
      <c r="N450" s="1082">
        <f>IF(M450&lt;=0,+M450,0)</f>
        <v>0</v>
      </c>
      <c r="O450" s="1082">
        <f>IF(N450&lt;0,0,IF(L450&gt;0,0,(-(M450)*(D450/E450))))</f>
        <v>-3560.173493150683</v>
      </c>
      <c r="P450" s="1082">
        <f t="shared" ref="P450:P461" si="177">IF(L450&gt;0,L450,0)</f>
        <v>0</v>
      </c>
      <c r="Q450" s="1082">
        <f>IF(L450&gt;0,Q449+P450,Q449+I450+N450-O450)</f>
        <v>338982.23385844746</v>
      </c>
    </row>
    <row r="451" spans="1:17">
      <c r="A451" s="1064">
        <f t="shared" si="162"/>
        <v>443</v>
      </c>
      <c r="B451" s="1084" t="s">
        <v>899</v>
      </c>
      <c r="C451" s="1087">
        <v>28</v>
      </c>
      <c r="D451" s="1085">
        <f t="shared" si="175"/>
        <v>307</v>
      </c>
      <c r="E451" s="1085">
        <f>E450</f>
        <v>365</v>
      </c>
      <c r="F451" s="1086">
        <f t="shared" ref="F451:F461" si="178">D451/E451</f>
        <v>0.84109589041095889</v>
      </c>
      <c r="G451" s="1078"/>
      <c r="H451" s="1087">
        <f>$H$450</f>
        <v>-10923.643333333332</v>
      </c>
      <c r="I451" s="1079">
        <f t="shared" ref="I451:I461" si="179">+H451*F451</f>
        <v>-9187.8315159817339</v>
      </c>
      <c r="J451" s="1079">
        <f t="shared" si="176"/>
        <v>720328.3688493151</v>
      </c>
      <c r="K451" s="1065"/>
      <c r="L451" s="1087">
        <f>$L$450</f>
        <v>-7044.6483333333335</v>
      </c>
      <c r="M451" s="1082">
        <f t="shared" ref="M451:M461" si="180">L451-H451</f>
        <v>3878.9949999999981</v>
      </c>
      <c r="N451" s="1082">
        <f t="shared" ref="N451:N461" si="181">IF(M451&lt;=0,+M451,0)</f>
        <v>0</v>
      </c>
      <c r="O451" s="1082">
        <f t="shared" ref="O451:O461" si="182">IF(N451&lt;0,0,IF(L451&gt;0,0,(-(M451)*(D451/E451))))</f>
        <v>-3262.6067534246558</v>
      </c>
      <c r="P451" s="1082">
        <f t="shared" si="177"/>
        <v>0</v>
      </c>
      <c r="Q451" s="1082">
        <f t="shared" ref="Q451:Q461" si="183">IF(L451&gt;0,Q450+P451,Q450+I451+N451-O451)</f>
        <v>333057.00909589039</v>
      </c>
    </row>
    <row r="452" spans="1:17">
      <c r="A452" s="1064">
        <f t="shared" si="162"/>
        <v>444</v>
      </c>
      <c r="B452" s="1084" t="s">
        <v>900</v>
      </c>
      <c r="C452" s="1079">
        <v>31</v>
      </c>
      <c r="D452" s="1085">
        <f t="shared" si="175"/>
        <v>276</v>
      </c>
      <c r="E452" s="1085">
        <f t="shared" ref="E452:E461" si="184">E451</f>
        <v>365</v>
      </c>
      <c r="F452" s="1086">
        <f t="shared" si="178"/>
        <v>0.75616438356164384</v>
      </c>
      <c r="G452" s="1078"/>
      <c r="H452" s="1087">
        <f t="shared" ref="H452:H461" si="185">$H$450</f>
        <v>-10923.643333333332</v>
      </c>
      <c r="I452" s="1079">
        <f t="shared" si="179"/>
        <v>-8260.0700273972598</v>
      </c>
      <c r="J452" s="1079">
        <f t="shared" si="176"/>
        <v>712068.29882191785</v>
      </c>
      <c r="K452" s="1065"/>
      <c r="L452" s="1087">
        <f t="shared" ref="L452:L461" si="186">$L$450</f>
        <v>-7044.6483333333335</v>
      </c>
      <c r="M452" s="1082">
        <f t="shared" si="180"/>
        <v>3878.9949999999981</v>
      </c>
      <c r="N452" s="1082">
        <f t="shared" si="181"/>
        <v>0</v>
      </c>
      <c r="O452" s="1082">
        <f t="shared" si="182"/>
        <v>-2933.1578630136974</v>
      </c>
      <c r="P452" s="1082">
        <f t="shared" si="177"/>
        <v>0</v>
      </c>
      <c r="Q452" s="1082">
        <f t="shared" si="183"/>
        <v>327730.09693150682</v>
      </c>
    </row>
    <row r="453" spans="1:17">
      <c r="A453" s="1064">
        <f t="shared" si="162"/>
        <v>445</v>
      </c>
      <c r="B453" s="1084" t="s">
        <v>901</v>
      </c>
      <c r="C453" s="1079">
        <v>30</v>
      </c>
      <c r="D453" s="1085">
        <f t="shared" si="175"/>
        <v>246</v>
      </c>
      <c r="E453" s="1085">
        <f t="shared" si="184"/>
        <v>365</v>
      </c>
      <c r="F453" s="1086">
        <f t="shared" si="178"/>
        <v>0.67397260273972603</v>
      </c>
      <c r="G453" s="1078"/>
      <c r="H453" s="1087">
        <f t="shared" si="185"/>
        <v>-10923.643333333332</v>
      </c>
      <c r="I453" s="1079">
        <f t="shared" si="179"/>
        <v>-7362.2363287671224</v>
      </c>
      <c r="J453" s="1079">
        <f t="shared" si="176"/>
        <v>704706.0624931507</v>
      </c>
      <c r="K453" s="1065"/>
      <c r="L453" s="1087">
        <f t="shared" si="186"/>
        <v>-7044.6483333333335</v>
      </c>
      <c r="M453" s="1082">
        <f t="shared" si="180"/>
        <v>3878.9949999999981</v>
      </c>
      <c r="N453" s="1082">
        <f t="shared" si="181"/>
        <v>0</v>
      </c>
      <c r="O453" s="1082">
        <f t="shared" si="182"/>
        <v>-2614.3363561643823</v>
      </c>
      <c r="P453" s="1082">
        <f t="shared" si="177"/>
        <v>0</v>
      </c>
      <c r="Q453" s="1082">
        <f t="shared" si="183"/>
        <v>322982.19695890404</v>
      </c>
    </row>
    <row r="454" spans="1:17">
      <c r="A454" s="1064">
        <f t="shared" si="162"/>
        <v>446</v>
      </c>
      <c r="B454" s="1084" t="s">
        <v>902</v>
      </c>
      <c r="C454" s="1079">
        <v>31</v>
      </c>
      <c r="D454" s="1085">
        <f t="shared" si="175"/>
        <v>215</v>
      </c>
      <c r="E454" s="1085">
        <f t="shared" si="184"/>
        <v>365</v>
      </c>
      <c r="F454" s="1086">
        <f t="shared" si="178"/>
        <v>0.58904109589041098</v>
      </c>
      <c r="G454" s="1078"/>
      <c r="H454" s="1087">
        <f t="shared" si="185"/>
        <v>-10923.643333333332</v>
      </c>
      <c r="I454" s="1079">
        <f t="shared" si="179"/>
        <v>-6434.4748401826473</v>
      </c>
      <c r="J454" s="1079">
        <f t="shared" si="176"/>
        <v>698271.58765296801</v>
      </c>
      <c r="K454" s="1065"/>
      <c r="L454" s="1087">
        <f t="shared" si="186"/>
        <v>-7044.6483333333335</v>
      </c>
      <c r="M454" s="1082">
        <f t="shared" si="180"/>
        <v>3878.9949999999981</v>
      </c>
      <c r="N454" s="1082">
        <f t="shared" si="181"/>
        <v>0</v>
      </c>
      <c r="O454" s="1082">
        <f t="shared" si="182"/>
        <v>-2284.8874657534234</v>
      </c>
      <c r="P454" s="1082">
        <f t="shared" si="177"/>
        <v>0</v>
      </c>
      <c r="Q454" s="1082">
        <f t="shared" si="183"/>
        <v>318832.60958447482</v>
      </c>
    </row>
    <row r="455" spans="1:17">
      <c r="A455" s="1064">
        <f t="shared" si="162"/>
        <v>447</v>
      </c>
      <c r="B455" s="1084" t="s">
        <v>903</v>
      </c>
      <c r="C455" s="1079">
        <v>30</v>
      </c>
      <c r="D455" s="1085">
        <f t="shared" si="175"/>
        <v>185</v>
      </c>
      <c r="E455" s="1085">
        <f t="shared" si="184"/>
        <v>365</v>
      </c>
      <c r="F455" s="1086">
        <f t="shared" si="178"/>
        <v>0.50684931506849318</v>
      </c>
      <c r="G455" s="1078"/>
      <c r="H455" s="1087">
        <f t="shared" si="185"/>
        <v>-10923.643333333332</v>
      </c>
      <c r="I455" s="1079">
        <f t="shared" si="179"/>
        <v>-5536.6411415525108</v>
      </c>
      <c r="J455" s="1079">
        <f t="shared" si="176"/>
        <v>692734.94651141553</v>
      </c>
      <c r="K455" s="1065"/>
      <c r="L455" s="1087">
        <f t="shared" si="186"/>
        <v>-7044.6483333333335</v>
      </c>
      <c r="M455" s="1082">
        <f t="shared" si="180"/>
        <v>3878.9949999999981</v>
      </c>
      <c r="N455" s="1082">
        <f t="shared" si="181"/>
        <v>0</v>
      </c>
      <c r="O455" s="1082">
        <f t="shared" si="182"/>
        <v>-1966.0659589041088</v>
      </c>
      <c r="P455" s="1082">
        <f t="shared" si="177"/>
        <v>0</v>
      </c>
      <c r="Q455" s="1082">
        <f t="shared" si="183"/>
        <v>315262.03440182639</v>
      </c>
    </row>
    <row r="456" spans="1:17">
      <c r="A456" s="1064">
        <f t="shared" si="162"/>
        <v>448</v>
      </c>
      <c r="B456" s="1084" t="s">
        <v>904</v>
      </c>
      <c r="C456" s="1079">
        <v>31</v>
      </c>
      <c r="D456" s="1085">
        <f t="shared" si="175"/>
        <v>154</v>
      </c>
      <c r="E456" s="1085">
        <f t="shared" si="184"/>
        <v>365</v>
      </c>
      <c r="F456" s="1086">
        <f t="shared" si="178"/>
        <v>0.42191780821917807</v>
      </c>
      <c r="G456" s="1078"/>
      <c r="H456" s="1087">
        <f t="shared" si="185"/>
        <v>-10923.643333333332</v>
      </c>
      <c r="I456" s="1079">
        <f t="shared" si="179"/>
        <v>-4608.8796529680358</v>
      </c>
      <c r="J456" s="1079">
        <f t="shared" si="176"/>
        <v>688126.06685844751</v>
      </c>
      <c r="K456" s="1065"/>
      <c r="L456" s="1087">
        <f t="shared" si="186"/>
        <v>-7044.6483333333335</v>
      </c>
      <c r="M456" s="1082">
        <f t="shared" si="180"/>
        <v>3878.9949999999981</v>
      </c>
      <c r="N456" s="1082">
        <f t="shared" si="181"/>
        <v>0</v>
      </c>
      <c r="O456" s="1082">
        <f t="shared" si="182"/>
        <v>-1636.6170684931499</v>
      </c>
      <c r="P456" s="1082">
        <f t="shared" si="177"/>
        <v>0</v>
      </c>
      <c r="Q456" s="1082">
        <f t="shared" si="183"/>
        <v>312289.77181735152</v>
      </c>
    </row>
    <row r="457" spans="1:17">
      <c r="A457" s="1064">
        <f t="shared" si="162"/>
        <v>449</v>
      </c>
      <c r="B457" s="1084" t="s">
        <v>905</v>
      </c>
      <c r="C457" s="1079">
        <v>31</v>
      </c>
      <c r="D457" s="1085">
        <f t="shared" si="175"/>
        <v>123</v>
      </c>
      <c r="E457" s="1085">
        <f t="shared" si="184"/>
        <v>365</v>
      </c>
      <c r="F457" s="1086">
        <f t="shared" si="178"/>
        <v>0.33698630136986302</v>
      </c>
      <c r="G457" s="1078"/>
      <c r="H457" s="1087">
        <f t="shared" si="185"/>
        <v>-10923.643333333332</v>
      </c>
      <c r="I457" s="1079">
        <f t="shared" si="179"/>
        <v>-3681.1181643835612</v>
      </c>
      <c r="J457" s="1079">
        <f t="shared" si="176"/>
        <v>684444.94869406393</v>
      </c>
      <c r="K457" s="1065"/>
      <c r="L457" s="1087">
        <f t="shared" si="186"/>
        <v>-7044.6483333333335</v>
      </c>
      <c r="M457" s="1082">
        <f t="shared" si="180"/>
        <v>3878.9949999999981</v>
      </c>
      <c r="N457" s="1082">
        <f t="shared" si="181"/>
        <v>0</v>
      </c>
      <c r="O457" s="1082">
        <f t="shared" si="182"/>
        <v>-1307.1681780821912</v>
      </c>
      <c r="P457" s="1082">
        <f t="shared" si="177"/>
        <v>0</v>
      </c>
      <c r="Q457" s="1082">
        <f t="shared" si="183"/>
        <v>309915.82183105015</v>
      </c>
    </row>
    <row r="458" spans="1:17">
      <c r="A458" s="1064">
        <f t="shared" si="162"/>
        <v>450</v>
      </c>
      <c r="B458" s="1084" t="s">
        <v>906</v>
      </c>
      <c r="C458" s="1079">
        <v>30</v>
      </c>
      <c r="D458" s="1085">
        <f t="shared" si="175"/>
        <v>93</v>
      </c>
      <c r="E458" s="1085">
        <f t="shared" si="184"/>
        <v>365</v>
      </c>
      <c r="F458" s="1086">
        <f t="shared" si="178"/>
        <v>0.25479452054794521</v>
      </c>
      <c r="G458" s="1078"/>
      <c r="H458" s="1087">
        <f t="shared" si="185"/>
        <v>-10923.643333333332</v>
      </c>
      <c r="I458" s="1079">
        <f t="shared" si="179"/>
        <v>-2783.2844657534242</v>
      </c>
      <c r="J458" s="1079">
        <f t="shared" si="176"/>
        <v>681661.66422831046</v>
      </c>
      <c r="K458" s="1065"/>
      <c r="L458" s="1087">
        <f t="shared" si="186"/>
        <v>-7044.6483333333335</v>
      </c>
      <c r="M458" s="1082">
        <f t="shared" si="180"/>
        <v>3878.9949999999981</v>
      </c>
      <c r="N458" s="1082">
        <f t="shared" si="181"/>
        <v>0</v>
      </c>
      <c r="O458" s="1082">
        <f t="shared" si="182"/>
        <v>-988.34667123287625</v>
      </c>
      <c r="P458" s="1082">
        <f t="shared" si="177"/>
        <v>0</v>
      </c>
      <c r="Q458" s="1082">
        <f t="shared" si="183"/>
        <v>308120.88403652963</v>
      </c>
    </row>
    <row r="459" spans="1:17">
      <c r="A459" s="1064">
        <f t="shared" ref="A459:A522" si="187">+A458+1</f>
        <v>451</v>
      </c>
      <c r="B459" s="1084" t="s">
        <v>907</v>
      </c>
      <c r="C459" s="1079">
        <v>31</v>
      </c>
      <c r="D459" s="1085">
        <f>D460+C460</f>
        <v>62</v>
      </c>
      <c r="E459" s="1085">
        <f t="shared" si="184"/>
        <v>365</v>
      </c>
      <c r="F459" s="1086">
        <f t="shared" si="178"/>
        <v>0.16986301369863013</v>
      </c>
      <c r="G459" s="1078"/>
      <c r="H459" s="1087">
        <f t="shared" si="185"/>
        <v>-10923.643333333332</v>
      </c>
      <c r="I459" s="1079">
        <f t="shared" si="179"/>
        <v>-1855.5229771689494</v>
      </c>
      <c r="J459" s="1079">
        <f t="shared" si="176"/>
        <v>679806.14125114155</v>
      </c>
      <c r="K459" s="1065"/>
      <c r="L459" s="1087">
        <f t="shared" si="186"/>
        <v>-7044.6483333333335</v>
      </c>
      <c r="M459" s="1082">
        <f t="shared" si="180"/>
        <v>3878.9949999999981</v>
      </c>
      <c r="N459" s="1082">
        <f t="shared" si="181"/>
        <v>0</v>
      </c>
      <c r="O459" s="1082">
        <f t="shared" si="182"/>
        <v>-658.89778082191742</v>
      </c>
      <c r="P459" s="1082">
        <f t="shared" si="177"/>
        <v>0</v>
      </c>
      <c r="Q459" s="1082">
        <f t="shared" si="183"/>
        <v>306924.25884018256</v>
      </c>
    </row>
    <row r="460" spans="1:17">
      <c r="A460" s="1064">
        <f t="shared" si="187"/>
        <v>452</v>
      </c>
      <c r="B460" s="1084" t="s">
        <v>908</v>
      </c>
      <c r="C460" s="1079">
        <v>30</v>
      </c>
      <c r="D460" s="1085">
        <f>D461+C461</f>
        <v>32</v>
      </c>
      <c r="E460" s="1085">
        <f t="shared" si="184"/>
        <v>365</v>
      </c>
      <c r="F460" s="1086">
        <f t="shared" si="178"/>
        <v>8.7671232876712329E-2</v>
      </c>
      <c r="G460" s="1078"/>
      <c r="H460" s="1087">
        <f t="shared" si="185"/>
        <v>-10923.643333333332</v>
      </c>
      <c r="I460" s="1079">
        <f t="shared" si="179"/>
        <v>-957.68927853881269</v>
      </c>
      <c r="J460" s="1079">
        <f t="shared" si="176"/>
        <v>678848.45197260275</v>
      </c>
      <c r="K460" s="1065"/>
      <c r="L460" s="1087">
        <f t="shared" si="186"/>
        <v>-7044.6483333333335</v>
      </c>
      <c r="M460" s="1082">
        <f t="shared" si="180"/>
        <v>3878.9949999999981</v>
      </c>
      <c r="N460" s="1082">
        <f t="shared" si="181"/>
        <v>0</v>
      </c>
      <c r="O460" s="1082">
        <f t="shared" si="182"/>
        <v>-340.07627397260256</v>
      </c>
      <c r="P460" s="1082">
        <f t="shared" si="177"/>
        <v>0</v>
      </c>
      <c r="Q460" s="1082">
        <f t="shared" si="183"/>
        <v>306306.64583561633</v>
      </c>
    </row>
    <row r="461" spans="1:17">
      <c r="A461" s="1064">
        <f t="shared" si="187"/>
        <v>453</v>
      </c>
      <c r="B461" s="1084" t="s">
        <v>909</v>
      </c>
      <c r="C461" s="1079">
        <v>31</v>
      </c>
      <c r="D461" s="1085">
        <v>1</v>
      </c>
      <c r="E461" s="1085">
        <f t="shared" si="184"/>
        <v>365</v>
      </c>
      <c r="F461" s="1086">
        <f t="shared" si="178"/>
        <v>2.7397260273972603E-3</v>
      </c>
      <c r="G461" s="1078"/>
      <c r="H461" s="1087">
        <f t="shared" si="185"/>
        <v>-10923.643333333332</v>
      </c>
      <c r="I461" s="1079">
        <f t="shared" si="179"/>
        <v>-29.927789954337896</v>
      </c>
      <c r="J461" s="1079">
        <f t="shared" si="176"/>
        <v>678818.5241826484</v>
      </c>
      <c r="K461" s="1065"/>
      <c r="L461" s="1087">
        <f t="shared" si="186"/>
        <v>-7044.6483333333335</v>
      </c>
      <c r="M461" s="1082">
        <f t="shared" si="180"/>
        <v>3878.9949999999981</v>
      </c>
      <c r="N461" s="1082">
        <f t="shared" si="181"/>
        <v>0</v>
      </c>
      <c r="O461" s="1082">
        <f t="shared" si="182"/>
        <v>-10.62738356164383</v>
      </c>
      <c r="P461" s="1082">
        <f t="shared" si="177"/>
        <v>0</v>
      </c>
      <c r="Q461" s="1082">
        <f t="shared" si="183"/>
        <v>306287.34542922361</v>
      </c>
    </row>
    <row r="462" spans="1:17">
      <c r="A462" s="1064">
        <f t="shared" si="187"/>
        <v>454</v>
      </c>
      <c r="B462" s="1088"/>
      <c r="C462" s="1088" t="s">
        <v>790</v>
      </c>
      <c r="D462" s="1089">
        <f>+SUM(D450:D461)</f>
        <v>2029</v>
      </c>
      <c r="E462" s="1089">
        <f>+SUM(E450:E461)</f>
        <v>4380</v>
      </c>
      <c r="F462" s="1090"/>
      <c r="G462" s="1078"/>
      <c r="H462" s="1091">
        <f>SUM(H450:H461)</f>
        <v>-131083.71999999994</v>
      </c>
      <c r="I462" s="1091">
        <f>SUM(I450:I461)</f>
        <v>-60723.485817351575</v>
      </c>
      <c r="J462" s="1090"/>
      <c r="K462" s="1065"/>
      <c r="L462" s="1092">
        <f>SUM(L450:L461)</f>
        <v>-84535.779999999984</v>
      </c>
      <c r="M462" s="1092">
        <f>SUM(M450:M461)</f>
        <v>46547.939999999973</v>
      </c>
      <c r="N462" s="1092">
        <f>SUM(N450:N461)</f>
        <v>0</v>
      </c>
      <c r="O462" s="1092">
        <f>SUM(O450:O461)</f>
        <v>-21562.961246575334</v>
      </c>
      <c r="P462" s="1092">
        <f>SUM(P450:P461)</f>
        <v>0</v>
      </c>
      <c r="Q462" s="1092"/>
    </row>
    <row r="463" spans="1:17">
      <c r="A463" s="1064">
        <f t="shared" si="187"/>
        <v>455</v>
      </c>
      <c r="B463" s="1094"/>
      <c r="C463" s="1094"/>
      <c r="D463" s="1095"/>
      <c r="E463" s="1095"/>
      <c r="F463" s="1096"/>
      <c r="G463" s="1078"/>
      <c r="H463" s="1079"/>
      <c r="I463" s="1079"/>
      <c r="J463" s="1096"/>
      <c r="K463" s="1065"/>
      <c r="L463" s="1098"/>
      <c r="M463" s="1098"/>
      <c r="N463" s="1098"/>
      <c r="O463" s="1098"/>
      <c r="P463" s="1098"/>
      <c r="Q463" s="1098"/>
    </row>
    <row r="464" spans="1:17">
      <c r="A464" s="1064">
        <f t="shared" si="187"/>
        <v>456</v>
      </c>
      <c r="B464" s="1065" t="s">
        <v>1682</v>
      </c>
      <c r="C464" s="1094"/>
      <c r="D464" s="1095"/>
      <c r="E464" s="1099">
        <f>1-(D462/E462)</f>
        <v>0.53675799086757991</v>
      </c>
      <c r="F464" s="1096"/>
      <c r="G464" s="1078"/>
      <c r="H464" s="1079"/>
      <c r="I464" s="1079"/>
      <c r="J464" s="1096"/>
      <c r="K464" s="1065"/>
      <c r="L464" s="1098"/>
      <c r="M464" s="1098"/>
      <c r="N464" s="1098"/>
      <c r="O464" s="1098"/>
      <c r="P464" s="1098"/>
      <c r="Q464" s="1098"/>
    </row>
    <row r="465" spans="1:18" s="1070" customFormat="1">
      <c r="A465" s="1064">
        <f t="shared" si="187"/>
        <v>457</v>
      </c>
      <c r="B465" s="1117"/>
      <c r="C465" s="1117"/>
      <c r="D465" s="1117"/>
      <c r="E465" s="1117"/>
      <c r="F465" s="1118"/>
      <c r="G465" s="1118"/>
      <c r="H465" s="1069"/>
      <c r="I465" s="1119"/>
      <c r="J465" s="1118"/>
      <c r="K465" s="1077"/>
      <c r="L465" s="1077"/>
      <c r="M465" s="1077"/>
      <c r="N465" s="1077"/>
      <c r="O465" s="1077"/>
      <c r="P465" s="1077"/>
      <c r="Q465" s="1077"/>
    </row>
    <row r="466" spans="1:18" s="1070" customFormat="1">
      <c r="A466" s="1064">
        <f t="shared" si="187"/>
        <v>458</v>
      </c>
      <c r="B466" s="1120"/>
      <c r="C466" s="1117"/>
      <c r="D466" s="1077"/>
      <c r="E466" s="1117"/>
      <c r="F466" s="1077"/>
      <c r="G466" s="1118"/>
      <c r="H466" s="1069"/>
      <c r="I466" s="1119"/>
      <c r="J466" s="1121"/>
      <c r="K466" s="1077"/>
      <c r="L466" s="1077"/>
      <c r="M466" s="1077"/>
      <c r="N466" s="1077"/>
      <c r="O466" s="1077"/>
      <c r="P466" s="1077"/>
      <c r="Q466" s="1121"/>
    </row>
    <row r="467" spans="1:18" s="110" customFormat="1">
      <c r="A467" s="1064">
        <f t="shared" si="187"/>
        <v>459</v>
      </c>
      <c r="B467" s="1104" t="s">
        <v>1683</v>
      </c>
      <c r="C467" s="1104"/>
      <c r="D467" s="1104"/>
      <c r="E467" s="1104"/>
      <c r="F467" s="1104" t="str">
        <f>"(Line "&amp;A449&amp;", Col H)"</f>
        <v>(Line 441, Col H)</v>
      </c>
      <c r="G467" s="1122"/>
      <c r="H467" s="1104"/>
      <c r="I467" s="1122"/>
      <c r="J467" s="1082">
        <f>J449</f>
        <v>739542.01</v>
      </c>
      <c r="K467" s="1104"/>
      <c r="L467" s="1104"/>
      <c r="M467" s="1104"/>
      <c r="N467" s="1104" t="str">
        <f>"(Line "&amp;A449&amp;", Col N)"</f>
        <v>(Line 441, Col N)</v>
      </c>
      <c r="O467" s="1104"/>
      <c r="P467" s="1104"/>
      <c r="Q467" s="1082">
        <f>Q449</f>
        <v>345447.87</v>
      </c>
    </row>
    <row r="468" spans="1:18" s="110" customFormat="1">
      <c r="A468" s="1064">
        <f t="shared" si="187"/>
        <v>460</v>
      </c>
      <c r="B468" s="1104" t="s">
        <v>1684</v>
      </c>
      <c r="C468" s="1104"/>
      <c r="D468" s="1104"/>
      <c r="E468" s="1104"/>
      <c r="F468" s="1104" t="str">
        <f>"(Line "&amp;A461&amp;", Col H)"</f>
        <v>(Line 453, Col H)</v>
      </c>
      <c r="G468" s="1122"/>
      <c r="H468" s="1104"/>
      <c r="I468" s="1122"/>
      <c r="J468" s="1082">
        <f>J461</f>
        <v>678818.5241826484</v>
      </c>
      <c r="K468" s="1104"/>
      <c r="L468" s="1123"/>
      <c r="M468" s="1104"/>
      <c r="N468" s="1104" t="str">
        <f>"(Line "&amp;A461&amp;", Col N)"</f>
        <v>(Line 453, Col N)</v>
      </c>
      <c r="O468" s="1104"/>
      <c r="P468" s="1104"/>
      <c r="Q468" s="1082">
        <f>Q461</f>
        <v>306287.34542922361</v>
      </c>
    </row>
    <row r="469" spans="1:18" s="110" customFormat="1">
      <c r="A469" s="1064">
        <f t="shared" si="187"/>
        <v>461</v>
      </c>
      <c r="B469" s="1104" t="s">
        <v>1685</v>
      </c>
      <c r="C469" s="1104"/>
      <c r="D469" s="1104"/>
      <c r="E469" s="1104"/>
      <c r="F469" s="1104" t="str">
        <f>"(Average of Line "&amp;A467&amp;" &amp; Line "&amp;A468&amp;")"</f>
        <v>(Average of Line 459 &amp; Line 460)</v>
      </c>
      <c r="G469" s="1122"/>
      <c r="H469" s="1104"/>
      <c r="I469" s="1124"/>
      <c r="J469" s="1108">
        <f>(J467+J468)/2</f>
        <v>709180.2670913242</v>
      </c>
      <c r="K469" s="1104"/>
      <c r="L469" s="1125"/>
      <c r="M469" s="1104"/>
      <c r="N469" s="1104" t="str">
        <f>"(Average of Line "&amp;A467&amp;" &amp; Line "&amp;A468&amp;")"</f>
        <v>(Average of Line 459 &amp; Line 460)</v>
      </c>
      <c r="O469" s="1104"/>
      <c r="P469" s="1104"/>
      <c r="Q469" s="1108">
        <f>(Q467+Q468)/2</f>
        <v>325867.6077146118</v>
      </c>
    </row>
    <row r="470" spans="1:18" s="110" customFormat="1" ht="13.5" customHeight="1">
      <c r="A470" s="1064">
        <f t="shared" si="187"/>
        <v>462</v>
      </c>
      <c r="B470" s="1104" t="s">
        <v>1686</v>
      </c>
      <c r="C470" s="1104"/>
      <c r="D470" s="1104"/>
      <c r="E470" s="1104"/>
      <c r="F470" s="1104" t="s">
        <v>1807</v>
      </c>
      <c r="G470" s="1104"/>
      <c r="H470" s="1104"/>
      <c r="I470" s="1104"/>
      <c r="J470" s="1126">
        <f>AVERAGE(J449, (SUM(H450:H461)+J449))</f>
        <v>674000.15</v>
      </c>
      <c r="K470" s="1104"/>
      <c r="L470" s="1104"/>
      <c r="M470" s="1104"/>
      <c r="N470" s="1104" t="s">
        <v>1807</v>
      </c>
      <c r="O470" s="1104"/>
      <c r="P470" s="1104"/>
      <c r="Q470" s="1126">
        <f>AVERAGE(Q449, (SUM(L450:L461)+Q449))</f>
        <v>303179.98</v>
      </c>
    </row>
    <row r="471" spans="1:18" s="110" customFormat="1" ht="13.5" customHeight="1">
      <c r="A471" s="1064">
        <f t="shared" si="187"/>
        <v>463</v>
      </c>
      <c r="B471" s="1104" t="s">
        <v>1687</v>
      </c>
      <c r="C471" s="1104"/>
      <c r="D471" s="1104"/>
      <c r="E471" s="1104"/>
      <c r="F471" s="1104"/>
      <c r="G471" s="1104"/>
      <c r="H471" s="1104"/>
      <c r="I471" s="1104"/>
      <c r="J471" s="1123">
        <f>J469-J470</f>
        <v>35180.11709132418</v>
      </c>
      <c r="K471" s="1104"/>
      <c r="L471" s="1104"/>
      <c r="M471" s="1104"/>
      <c r="N471" s="1104"/>
      <c r="O471" s="1104"/>
      <c r="P471" s="1104"/>
      <c r="Q471" s="1123">
        <f>Q469-Q470</f>
        <v>22687.627714611823</v>
      </c>
    </row>
    <row r="472" spans="1:18" s="1070" customFormat="1">
      <c r="A472" s="1064">
        <f t="shared" si="187"/>
        <v>464</v>
      </c>
      <c r="B472" s="1127"/>
      <c r="C472" s="1127"/>
      <c r="D472" s="1127"/>
      <c r="E472" s="1127"/>
      <c r="F472" s="1127"/>
      <c r="G472" s="1127"/>
      <c r="H472" s="1127"/>
      <c r="I472" s="1127"/>
      <c r="J472" s="1127"/>
      <c r="K472" s="1077"/>
      <c r="L472" s="1077"/>
      <c r="M472" s="1077"/>
      <c r="N472" s="1077"/>
      <c r="O472" s="1077"/>
      <c r="P472" s="1077"/>
      <c r="Q472" s="1127"/>
    </row>
    <row r="473" spans="1:18" s="1070" customFormat="1">
      <c r="A473" s="1064">
        <f t="shared" si="187"/>
        <v>465</v>
      </c>
      <c r="B473" s="1077"/>
      <c r="C473" s="1077"/>
      <c r="D473" s="1077"/>
      <c r="E473" s="1077"/>
      <c r="F473" s="1077"/>
      <c r="G473" s="1077"/>
      <c r="H473" s="1077"/>
      <c r="I473" s="1077"/>
      <c r="J473" s="1077"/>
      <c r="K473" s="1077"/>
      <c r="L473" s="1077"/>
      <c r="M473" s="1077"/>
      <c r="N473" s="1077"/>
      <c r="O473" s="1077"/>
      <c r="P473" s="1077"/>
      <c r="Q473" s="1077"/>
    </row>
    <row r="474" spans="1:18">
      <c r="A474" s="1064">
        <f t="shared" si="187"/>
        <v>466</v>
      </c>
      <c r="B474" s="1270" t="s">
        <v>1691</v>
      </c>
      <c r="C474" s="1270"/>
      <c r="D474" s="1270"/>
      <c r="E474" s="1270"/>
      <c r="F474" s="1065"/>
      <c r="G474" s="1065"/>
      <c r="H474" s="1112"/>
      <c r="I474" s="1112"/>
      <c r="J474" s="1112"/>
      <c r="K474" s="1065"/>
      <c r="L474" s="1113"/>
      <c r="M474" s="1114"/>
      <c r="N474" s="1114"/>
      <c r="O474" s="1114"/>
      <c r="P474" s="1114"/>
      <c r="Q474" s="1114"/>
      <c r="R474" s="1070"/>
    </row>
    <row r="475" spans="1:18">
      <c r="A475" s="1064">
        <f t="shared" si="187"/>
        <v>467</v>
      </c>
      <c r="B475" s="1262" t="s">
        <v>1698</v>
      </c>
      <c r="C475" s="1262"/>
      <c r="D475" s="1262"/>
      <c r="E475" s="1262"/>
      <c r="F475" s="1065"/>
      <c r="G475" s="1065"/>
      <c r="H475" s="1112"/>
      <c r="I475" s="1112"/>
      <c r="J475" s="1112"/>
      <c r="K475" s="1065"/>
      <c r="L475" s="1113"/>
      <c r="M475" s="1114"/>
      <c r="N475" s="1114"/>
      <c r="O475" s="1114"/>
      <c r="P475" s="1114"/>
      <c r="Q475" s="1114"/>
      <c r="R475" s="1070"/>
    </row>
    <row r="476" spans="1:18">
      <c r="A476" s="1064">
        <f t="shared" si="187"/>
        <v>468</v>
      </c>
      <c r="B476" s="1263" t="s">
        <v>1666</v>
      </c>
      <c r="C476" s="1264"/>
      <c r="D476" s="1264"/>
      <c r="E476" s="1264"/>
      <c r="F476" s="1265"/>
      <c r="G476" s="1071"/>
      <c r="H476" s="1266" t="s">
        <v>1667</v>
      </c>
      <c r="I476" s="1267"/>
      <c r="J476" s="1268"/>
      <c r="K476" s="1065"/>
      <c r="L476" s="1266" t="s">
        <v>1668</v>
      </c>
      <c r="M476" s="1267"/>
      <c r="N476" s="1267"/>
      <c r="O476" s="1267"/>
      <c r="P476" s="1267"/>
      <c r="Q476" s="1267"/>
    </row>
    <row r="477" spans="1:18">
      <c r="A477" s="1064">
        <f t="shared" si="187"/>
        <v>469</v>
      </c>
      <c r="B477" s="1072" t="s">
        <v>824</v>
      </c>
      <c r="C477" s="1072" t="s">
        <v>825</v>
      </c>
      <c r="D477" s="1072" t="s">
        <v>826</v>
      </c>
      <c r="E477" s="1072" t="s">
        <v>827</v>
      </c>
      <c r="F477" s="1072" t="s">
        <v>828</v>
      </c>
      <c r="G477" s="1071"/>
      <c r="H477" s="1072" t="s">
        <v>829</v>
      </c>
      <c r="I477" s="1072" t="s">
        <v>830</v>
      </c>
      <c r="J477" s="1072" t="s">
        <v>831</v>
      </c>
      <c r="K477" s="1065"/>
      <c r="L477" s="1072" t="s">
        <v>832</v>
      </c>
      <c r="M477" s="1072" t="s">
        <v>833</v>
      </c>
      <c r="N477" s="1072" t="s">
        <v>834</v>
      </c>
      <c r="O477" s="1072" t="s">
        <v>835</v>
      </c>
      <c r="P477" s="1072" t="s">
        <v>837</v>
      </c>
      <c r="Q477" s="1072" t="s">
        <v>836</v>
      </c>
    </row>
    <row r="478" spans="1:18" ht="45">
      <c r="A478" s="1064">
        <f t="shared" si="187"/>
        <v>470</v>
      </c>
      <c r="B478" s="1074" t="s">
        <v>1342</v>
      </c>
      <c r="C478" s="1074" t="s">
        <v>1577</v>
      </c>
      <c r="D478" s="1074" t="s">
        <v>1669</v>
      </c>
      <c r="E478" s="1074" t="s">
        <v>1670</v>
      </c>
      <c r="F478" s="1074" t="s">
        <v>1671</v>
      </c>
      <c r="G478" s="1075"/>
      <c r="H478" s="1074" t="s">
        <v>1672</v>
      </c>
      <c r="I478" s="1074" t="s">
        <v>1673</v>
      </c>
      <c r="J478" s="1074" t="s">
        <v>1674</v>
      </c>
      <c r="K478" s="1065"/>
      <c r="L478" s="1074" t="s">
        <v>1675</v>
      </c>
      <c r="M478" s="1074" t="s">
        <v>1676</v>
      </c>
      <c r="N478" s="1074" t="s">
        <v>1677</v>
      </c>
      <c r="O478" s="1074" t="s">
        <v>1678</v>
      </c>
      <c r="P478" s="1074" t="s">
        <v>1679</v>
      </c>
      <c r="Q478" s="1074" t="s">
        <v>1680</v>
      </c>
    </row>
    <row r="479" spans="1:18">
      <c r="A479" s="1064">
        <f t="shared" si="187"/>
        <v>471</v>
      </c>
      <c r="B479" s="1065"/>
      <c r="C479" s="1075"/>
      <c r="D479" s="1075"/>
      <c r="E479" s="1075"/>
      <c r="F479" s="1075"/>
      <c r="G479" s="1075"/>
      <c r="H479" s="1075"/>
      <c r="I479" s="1075"/>
      <c r="J479" s="1075"/>
      <c r="K479" s="1065"/>
      <c r="L479" s="1065"/>
      <c r="M479" s="1065"/>
      <c r="N479" s="1065"/>
      <c r="O479" s="1065"/>
      <c r="P479" s="1065"/>
      <c r="Q479" s="1065"/>
    </row>
    <row r="480" spans="1:18">
      <c r="A480" s="1064">
        <f t="shared" si="187"/>
        <v>472</v>
      </c>
      <c r="B480" s="1269" t="s">
        <v>1681</v>
      </c>
      <c r="C480" s="1269"/>
      <c r="D480" s="1269"/>
      <c r="E480" s="1269"/>
      <c r="F480" s="1078"/>
      <c r="G480" s="1078"/>
      <c r="H480" s="1079"/>
      <c r="I480" s="1079"/>
      <c r="J480" s="1080">
        <f>'WP_B-Inputs Est.'!J107</f>
        <v>65097.472408088448</v>
      </c>
      <c r="K480" s="1081"/>
      <c r="L480" s="1079"/>
      <c r="M480" s="1082"/>
      <c r="N480" s="1082"/>
      <c r="O480" s="1082"/>
      <c r="P480" s="1082"/>
      <c r="Q480" s="1080">
        <f>'WP_B-Inputs Act.'!J106</f>
        <v>0</v>
      </c>
    </row>
    <row r="481" spans="1:17">
      <c r="A481" s="1064">
        <f t="shared" si="187"/>
        <v>473</v>
      </c>
      <c r="B481" s="1084" t="s">
        <v>950</v>
      </c>
      <c r="C481" s="1079">
        <v>31</v>
      </c>
      <c r="D481" s="1085">
        <f t="shared" ref="D481:D489" si="188">D482+C482</f>
        <v>335</v>
      </c>
      <c r="E481" s="1085">
        <f>SUM(C481:C492)</f>
        <v>365</v>
      </c>
      <c r="F481" s="1086">
        <f>D481/E481</f>
        <v>0.9178082191780822</v>
      </c>
      <c r="G481" s="1078"/>
      <c r="H481" s="1087">
        <f>('WP_B-Inputs Est.'!J108-'WP_B-Inputs Est.'!J107)/12</f>
        <v>-5424.7891666666674</v>
      </c>
      <c r="I481" s="1079">
        <f>+H481*F481</f>
        <v>-4978.9160844748867</v>
      </c>
      <c r="J481" s="1079">
        <f t="shared" ref="J481:J492" si="189">+I481+J480</f>
        <v>60118.556323613564</v>
      </c>
      <c r="K481" s="1065"/>
      <c r="L481" s="1087">
        <f>('WP_B-Inputs Act.'!J107-'WP_B-Inputs Act.'!J106)/12</f>
        <v>0</v>
      </c>
      <c r="M481" s="1082">
        <f>L481-H481</f>
        <v>5424.7891666666674</v>
      </c>
      <c r="N481" s="1082">
        <f>IF(M481&lt;=0,+M481,0)</f>
        <v>0</v>
      </c>
      <c r="O481" s="1082">
        <f>IF(N481&lt;0,0,IF(L481&gt;0,0,(-(M481)*(D481/E481))))</f>
        <v>-4978.9160844748867</v>
      </c>
      <c r="P481" s="1082">
        <f t="shared" ref="P481:P492" si="190">IF(L481&gt;0,L481,0)</f>
        <v>0</v>
      </c>
      <c r="Q481" s="1082">
        <f>IF(L481&gt;0,Q480+P481,Q480+I481+N481-O481)</f>
        <v>0</v>
      </c>
    </row>
    <row r="482" spans="1:17">
      <c r="A482" s="1064">
        <f t="shared" si="187"/>
        <v>474</v>
      </c>
      <c r="B482" s="1084" t="s">
        <v>899</v>
      </c>
      <c r="C482" s="1087">
        <v>28</v>
      </c>
      <c r="D482" s="1085">
        <f t="shared" si="188"/>
        <v>307</v>
      </c>
      <c r="E482" s="1085">
        <f>E481</f>
        <v>365</v>
      </c>
      <c r="F482" s="1086">
        <f t="shared" ref="F482:F492" si="191">D482/E482</f>
        <v>0.84109589041095889</v>
      </c>
      <c r="G482" s="1078"/>
      <c r="H482" s="1087">
        <f>$H$481</f>
        <v>-5424.7891666666674</v>
      </c>
      <c r="I482" s="1079">
        <f t="shared" ref="I482:I492" si="192">+H482*F482</f>
        <v>-4562.7678744292243</v>
      </c>
      <c r="J482" s="1079">
        <f t="shared" si="189"/>
        <v>55555.788449184343</v>
      </c>
      <c r="K482" s="1065"/>
      <c r="L482" s="1087">
        <f>$L$481</f>
        <v>0</v>
      </c>
      <c r="M482" s="1082">
        <f t="shared" ref="M482:M492" si="193">L482-H482</f>
        <v>5424.7891666666674</v>
      </c>
      <c r="N482" s="1082">
        <f t="shared" ref="N482:N492" si="194">IF(M482&lt;=0,+M482,0)</f>
        <v>0</v>
      </c>
      <c r="O482" s="1082">
        <f t="shared" ref="O482:O492" si="195">IF(N482&lt;0,0,IF(L482&gt;0,0,(-(M482)*(D482/E482))))</f>
        <v>-4562.7678744292243</v>
      </c>
      <c r="P482" s="1082">
        <f t="shared" si="190"/>
        <v>0</v>
      </c>
      <c r="Q482" s="1082">
        <f t="shared" ref="Q482:Q492" si="196">IF(L482&gt;0,Q481+P482,Q481+I482+N482-O482)</f>
        <v>0</v>
      </c>
    </row>
    <row r="483" spans="1:17">
      <c r="A483" s="1064">
        <f t="shared" si="187"/>
        <v>475</v>
      </c>
      <c r="B483" s="1084" t="s">
        <v>900</v>
      </c>
      <c r="C483" s="1079">
        <v>31</v>
      </c>
      <c r="D483" s="1085">
        <f t="shared" si="188"/>
        <v>276</v>
      </c>
      <c r="E483" s="1085">
        <f t="shared" ref="E483:E492" si="197">E482</f>
        <v>365</v>
      </c>
      <c r="F483" s="1086">
        <f t="shared" si="191"/>
        <v>0.75616438356164384</v>
      </c>
      <c r="G483" s="1078"/>
      <c r="H483" s="1087">
        <f t="shared" ref="H483:H492" si="198">$H$481</f>
        <v>-5424.7891666666674</v>
      </c>
      <c r="I483" s="1079">
        <f t="shared" si="192"/>
        <v>-4102.0323561643845</v>
      </c>
      <c r="J483" s="1079">
        <f t="shared" si="189"/>
        <v>51453.756093019962</v>
      </c>
      <c r="K483" s="1065"/>
      <c r="L483" s="1087">
        <f t="shared" ref="L483:L492" si="199">$L$481</f>
        <v>0</v>
      </c>
      <c r="M483" s="1082">
        <f t="shared" si="193"/>
        <v>5424.7891666666674</v>
      </c>
      <c r="N483" s="1082">
        <f t="shared" si="194"/>
        <v>0</v>
      </c>
      <c r="O483" s="1082">
        <f t="shared" si="195"/>
        <v>-4102.0323561643845</v>
      </c>
      <c r="P483" s="1082">
        <f t="shared" si="190"/>
        <v>0</v>
      </c>
      <c r="Q483" s="1082">
        <f t="shared" si="196"/>
        <v>0</v>
      </c>
    </row>
    <row r="484" spans="1:17">
      <c r="A484" s="1064">
        <f t="shared" si="187"/>
        <v>476</v>
      </c>
      <c r="B484" s="1084" t="s">
        <v>901</v>
      </c>
      <c r="C484" s="1079">
        <v>30</v>
      </c>
      <c r="D484" s="1085">
        <f t="shared" si="188"/>
        <v>246</v>
      </c>
      <c r="E484" s="1085">
        <f t="shared" si="197"/>
        <v>365</v>
      </c>
      <c r="F484" s="1086">
        <f t="shared" si="191"/>
        <v>0.67397260273972603</v>
      </c>
      <c r="G484" s="1078"/>
      <c r="H484" s="1087">
        <f t="shared" si="198"/>
        <v>-5424.7891666666674</v>
      </c>
      <c r="I484" s="1079">
        <f t="shared" si="192"/>
        <v>-3656.1592739726034</v>
      </c>
      <c r="J484" s="1079">
        <f t="shared" si="189"/>
        <v>47797.596819047358</v>
      </c>
      <c r="K484" s="1065"/>
      <c r="L484" s="1087">
        <f t="shared" si="199"/>
        <v>0</v>
      </c>
      <c r="M484" s="1082">
        <f t="shared" si="193"/>
        <v>5424.7891666666674</v>
      </c>
      <c r="N484" s="1082">
        <f t="shared" si="194"/>
        <v>0</v>
      </c>
      <c r="O484" s="1082">
        <f t="shared" si="195"/>
        <v>-3656.1592739726034</v>
      </c>
      <c r="P484" s="1082">
        <f t="shared" si="190"/>
        <v>0</v>
      </c>
      <c r="Q484" s="1082">
        <f t="shared" si="196"/>
        <v>0</v>
      </c>
    </row>
    <row r="485" spans="1:17">
      <c r="A485" s="1064">
        <f t="shared" si="187"/>
        <v>477</v>
      </c>
      <c r="B485" s="1084" t="s">
        <v>902</v>
      </c>
      <c r="C485" s="1079">
        <v>31</v>
      </c>
      <c r="D485" s="1085">
        <f t="shared" si="188"/>
        <v>215</v>
      </c>
      <c r="E485" s="1085">
        <f t="shared" si="197"/>
        <v>365</v>
      </c>
      <c r="F485" s="1086">
        <f t="shared" si="191"/>
        <v>0.58904109589041098</v>
      </c>
      <c r="G485" s="1078"/>
      <c r="H485" s="1087">
        <f t="shared" si="198"/>
        <v>-5424.7891666666674</v>
      </c>
      <c r="I485" s="1079">
        <f t="shared" si="192"/>
        <v>-3195.4237557077631</v>
      </c>
      <c r="J485" s="1079">
        <f t="shared" si="189"/>
        <v>44602.173063339593</v>
      </c>
      <c r="K485" s="1065"/>
      <c r="L485" s="1087">
        <f t="shared" si="199"/>
        <v>0</v>
      </c>
      <c r="M485" s="1082">
        <f t="shared" si="193"/>
        <v>5424.7891666666674</v>
      </c>
      <c r="N485" s="1082">
        <f t="shared" si="194"/>
        <v>0</v>
      </c>
      <c r="O485" s="1082">
        <f t="shared" si="195"/>
        <v>-3195.4237557077631</v>
      </c>
      <c r="P485" s="1082">
        <f t="shared" si="190"/>
        <v>0</v>
      </c>
      <c r="Q485" s="1082">
        <f t="shared" si="196"/>
        <v>0</v>
      </c>
    </row>
    <row r="486" spans="1:17">
      <c r="A486" s="1064">
        <f t="shared" si="187"/>
        <v>478</v>
      </c>
      <c r="B486" s="1084" t="s">
        <v>903</v>
      </c>
      <c r="C486" s="1079">
        <v>30</v>
      </c>
      <c r="D486" s="1085">
        <f t="shared" si="188"/>
        <v>185</v>
      </c>
      <c r="E486" s="1085">
        <f t="shared" si="197"/>
        <v>365</v>
      </c>
      <c r="F486" s="1086">
        <f t="shared" si="191"/>
        <v>0.50684931506849318</v>
      </c>
      <c r="G486" s="1078"/>
      <c r="H486" s="1087">
        <f t="shared" si="198"/>
        <v>-5424.7891666666674</v>
      </c>
      <c r="I486" s="1079">
        <f t="shared" si="192"/>
        <v>-2749.5506735159825</v>
      </c>
      <c r="J486" s="1079">
        <f t="shared" si="189"/>
        <v>41852.622389823613</v>
      </c>
      <c r="K486" s="1065"/>
      <c r="L486" s="1087">
        <f t="shared" si="199"/>
        <v>0</v>
      </c>
      <c r="M486" s="1082">
        <f t="shared" si="193"/>
        <v>5424.7891666666674</v>
      </c>
      <c r="N486" s="1082">
        <f t="shared" si="194"/>
        <v>0</v>
      </c>
      <c r="O486" s="1082">
        <f t="shared" si="195"/>
        <v>-2749.5506735159825</v>
      </c>
      <c r="P486" s="1082">
        <f t="shared" si="190"/>
        <v>0</v>
      </c>
      <c r="Q486" s="1082">
        <f t="shared" si="196"/>
        <v>0</v>
      </c>
    </row>
    <row r="487" spans="1:17">
      <c r="A487" s="1064">
        <f t="shared" si="187"/>
        <v>479</v>
      </c>
      <c r="B487" s="1084" t="s">
        <v>904</v>
      </c>
      <c r="C487" s="1079">
        <v>31</v>
      </c>
      <c r="D487" s="1085">
        <f t="shared" si="188"/>
        <v>154</v>
      </c>
      <c r="E487" s="1085">
        <f t="shared" si="197"/>
        <v>365</v>
      </c>
      <c r="F487" s="1086">
        <f t="shared" si="191"/>
        <v>0.42191780821917807</v>
      </c>
      <c r="G487" s="1078"/>
      <c r="H487" s="1087">
        <f t="shared" si="198"/>
        <v>-5424.7891666666674</v>
      </c>
      <c r="I487" s="1079">
        <f t="shared" si="192"/>
        <v>-2288.8151552511417</v>
      </c>
      <c r="J487" s="1079">
        <f t="shared" si="189"/>
        <v>39563.807234572472</v>
      </c>
      <c r="K487" s="1065"/>
      <c r="L487" s="1087">
        <f t="shared" si="199"/>
        <v>0</v>
      </c>
      <c r="M487" s="1082">
        <f t="shared" si="193"/>
        <v>5424.7891666666674</v>
      </c>
      <c r="N487" s="1082">
        <f t="shared" si="194"/>
        <v>0</v>
      </c>
      <c r="O487" s="1082">
        <f t="shared" si="195"/>
        <v>-2288.8151552511417</v>
      </c>
      <c r="P487" s="1082">
        <f t="shared" si="190"/>
        <v>0</v>
      </c>
      <c r="Q487" s="1082">
        <f t="shared" si="196"/>
        <v>0</v>
      </c>
    </row>
    <row r="488" spans="1:17">
      <c r="A488" s="1064">
        <f t="shared" si="187"/>
        <v>480</v>
      </c>
      <c r="B488" s="1084" t="s">
        <v>905</v>
      </c>
      <c r="C488" s="1079">
        <v>31</v>
      </c>
      <c r="D488" s="1085">
        <f t="shared" si="188"/>
        <v>123</v>
      </c>
      <c r="E488" s="1085">
        <f t="shared" si="197"/>
        <v>365</v>
      </c>
      <c r="F488" s="1086">
        <f t="shared" si="191"/>
        <v>0.33698630136986302</v>
      </c>
      <c r="G488" s="1078"/>
      <c r="H488" s="1087">
        <f t="shared" si="198"/>
        <v>-5424.7891666666674</v>
      </c>
      <c r="I488" s="1079">
        <f t="shared" si="192"/>
        <v>-1828.0796369863017</v>
      </c>
      <c r="J488" s="1079">
        <f t="shared" si="189"/>
        <v>37735.72759758617</v>
      </c>
      <c r="K488" s="1065"/>
      <c r="L488" s="1087">
        <f t="shared" si="199"/>
        <v>0</v>
      </c>
      <c r="M488" s="1082">
        <f t="shared" si="193"/>
        <v>5424.7891666666674</v>
      </c>
      <c r="N488" s="1082">
        <f t="shared" si="194"/>
        <v>0</v>
      </c>
      <c r="O488" s="1082">
        <f t="shared" si="195"/>
        <v>-1828.0796369863017</v>
      </c>
      <c r="P488" s="1082">
        <f t="shared" si="190"/>
        <v>0</v>
      </c>
      <c r="Q488" s="1082">
        <f t="shared" si="196"/>
        <v>0</v>
      </c>
    </row>
    <row r="489" spans="1:17">
      <c r="A489" s="1064">
        <f t="shared" si="187"/>
        <v>481</v>
      </c>
      <c r="B489" s="1084" t="s">
        <v>906</v>
      </c>
      <c r="C489" s="1079">
        <v>30</v>
      </c>
      <c r="D489" s="1085">
        <f t="shared" si="188"/>
        <v>93</v>
      </c>
      <c r="E489" s="1085">
        <f t="shared" si="197"/>
        <v>365</v>
      </c>
      <c r="F489" s="1086">
        <f t="shared" si="191"/>
        <v>0.25479452054794521</v>
      </c>
      <c r="G489" s="1078"/>
      <c r="H489" s="1087">
        <f t="shared" si="198"/>
        <v>-5424.7891666666674</v>
      </c>
      <c r="I489" s="1079">
        <f t="shared" si="192"/>
        <v>-1382.2065547945208</v>
      </c>
      <c r="J489" s="1079">
        <f t="shared" si="189"/>
        <v>36353.521042791646</v>
      </c>
      <c r="K489" s="1065"/>
      <c r="L489" s="1087">
        <f t="shared" si="199"/>
        <v>0</v>
      </c>
      <c r="M489" s="1082">
        <f t="shared" si="193"/>
        <v>5424.7891666666674</v>
      </c>
      <c r="N489" s="1082">
        <f t="shared" si="194"/>
        <v>0</v>
      </c>
      <c r="O489" s="1082">
        <f t="shared" si="195"/>
        <v>-1382.2065547945208</v>
      </c>
      <c r="P489" s="1082">
        <f t="shared" si="190"/>
        <v>0</v>
      </c>
      <c r="Q489" s="1082">
        <f t="shared" si="196"/>
        <v>0</v>
      </c>
    </row>
    <row r="490" spans="1:17">
      <c r="A490" s="1064">
        <f t="shared" si="187"/>
        <v>482</v>
      </c>
      <c r="B490" s="1084" t="s">
        <v>907</v>
      </c>
      <c r="C490" s="1079">
        <v>31</v>
      </c>
      <c r="D490" s="1085">
        <f>D491+C491</f>
        <v>62</v>
      </c>
      <c r="E490" s="1085">
        <f t="shared" si="197"/>
        <v>365</v>
      </c>
      <c r="F490" s="1086">
        <f t="shared" si="191"/>
        <v>0.16986301369863013</v>
      </c>
      <c r="G490" s="1078"/>
      <c r="H490" s="1087">
        <f t="shared" si="198"/>
        <v>-5424.7891666666674</v>
      </c>
      <c r="I490" s="1079">
        <f t="shared" si="192"/>
        <v>-921.47103652968042</v>
      </c>
      <c r="J490" s="1079">
        <f t="shared" si="189"/>
        <v>35432.050006261969</v>
      </c>
      <c r="K490" s="1065"/>
      <c r="L490" s="1087">
        <f t="shared" si="199"/>
        <v>0</v>
      </c>
      <c r="M490" s="1082">
        <f t="shared" si="193"/>
        <v>5424.7891666666674</v>
      </c>
      <c r="N490" s="1082">
        <f t="shared" si="194"/>
        <v>0</v>
      </c>
      <c r="O490" s="1082">
        <f t="shared" si="195"/>
        <v>-921.47103652968042</v>
      </c>
      <c r="P490" s="1082">
        <f t="shared" si="190"/>
        <v>0</v>
      </c>
      <c r="Q490" s="1082">
        <f t="shared" si="196"/>
        <v>0</v>
      </c>
    </row>
    <row r="491" spans="1:17">
      <c r="A491" s="1064">
        <f t="shared" si="187"/>
        <v>483</v>
      </c>
      <c r="B491" s="1084" t="s">
        <v>908</v>
      </c>
      <c r="C491" s="1079">
        <v>30</v>
      </c>
      <c r="D491" s="1085">
        <f>D492+C492</f>
        <v>32</v>
      </c>
      <c r="E491" s="1085">
        <f t="shared" si="197"/>
        <v>365</v>
      </c>
      <c r="F491" s="1086">
        <f t="shared" si="191"/>
        <v>8.7671232876712329E-2</v>
      </c>
      <c r="G491" s="1078"/>
      <c r="H491" s="1087">
        <f t="shared" si="198"/>
        <v>-5424.7891666666674</v>
      </c>
      <c r="I491" s="1079">
        <f t="shared" si="192"/>
        <v>-475.59795433789964</v>
      </c>
      <c r="J491" s="1079">
        <f t="shared" si="189"/>
        <v>34956.452051924069</v>
      </c>
      <c r="K491" s="1065"/>
      <c r="L491" s="1087">
        <f t="shared" si="199"/>
        <v>0</v>
      </c>
      <c r="M491" s="1082">
        <f t="shared" si="193"/>
        <v>5424.7891666666674</v>
      </c>
      <c r="N491" s="1082">
        <f t="shared" si="194"/>
        <v>0</v>
      </c>
      <c r="O491" s="1082">
        <f t="shared" si="195"/>
        <v>-475.59795433789964</v>
      </c>
      <c r="P491" s="1082">
        <f t="shared" si="190"/>
        <v>0</v>
      </c>
      <c r="Q491" s="1082">
        <f t="shared" si="196"/>
        <v>0</v>
      </c>
    </row>
    <row r="492" spans="1:17">
      <c r="A492" s="1064">
        <f t="shared" si="187"/>
        <v>484</v>
      </c>
      <c r="B492" s="1084" t="s">
        <v>909</v>
      </c>
      <c r="C492" s="1079">
        <v>31</v>
      </c>
      <c r="D492" s="1085">
        <v>1</v>
      </c>
      <c r="E492" s="1085">
        <f t="shared" si="197"/>
        <v>365</v>
      </c>
      <c r="F492" s="1086">
        <f t="shared" si="191"/>
        <v>2.7397260273972603E-3</v>
      </c>
      <c r="G492" s="1078"/>
      <c r="H492" s="1087">
        <f t="shared" si="198"/>
        <v>-5424.7891666666674</v>
      </c>
      <c r="I492" s="1079">
        <f t="shared" si="192"/>
        <v>-14.862436073059364</v>
      </c>
      <c r="J492" s="1079">
        <f t="shared" si="189"/>
        <v>34941.589615851008</v>
      </c>
      <c r="K492" s="1065"/>
      <c r="L492" s="1087">
        <f t="shared" si="199"/>
        <v>0</v>
      </c>
      <c r="M492" s="1082">
        <f t="shared" si="193"/>
        <v>5424.7891666666674</v>
      </c>
      <c r="N492" s="1082">
        <f t="shared" si="194"/>
        <v>0</v>
      </c>
      <c r="O492" s="1082">
        <f t="shared" si="195"/>
        <v>-14.862436073059364</v>
      </c>
      <c r="P492" s="1082">
        <f t="shared" si="190"/>
        <v>0</v>
      </c>
      <c r="Q492" s="1082">
        <f t="shared" si="196"/>
        <v>0</v>
      </c>
    </row>
    <row r="493" spans="1:17">
      <c r="A493" s="1064">
        <f t="shared" si="187"/>
        <v>485</v>
      </c>
      <c r="B493" s="1088"/>
      <c r="C493" s="1088" t="s">
        <v>790</v>
      </c>
      <c r="D493" s="1089">
        <f>+SUM(D481:D492)</f>
        <v>2029</v>
      </c>
      <c r="E493" s="1089">
        <f>+SUM(E481:E492)</f>
        <v>4380</v>
      </c>
      <c r="F493" s="1090"/>
      <c r="G493" s="1078"/>
      <c r="H493" s="1091">
        <f>SUM(H481:H492)</f>
        <v>-65097.470000000023</v>
      </c>
      <c r="I493" s="1091">
        <f>SUM(I481:I492)</f>
        <v>-30155.882792237451</v>
      </c>
      <c r="J493" s="1090"/>
      <c r="K493" s="1065"/>
      <c r="L493" s="1092">
        <f>SUM(L481:L492)</f>
        <v>0</v>
      </c>
      <c r="M493" s="1092">
        <f>SUM(M481:M492)</f>
        <v>65097.470000000023</v>
      </c>
      <c r="N493" s="1092">
        <f>SUM(N481:N492)</f>
        <v>0</v>
      </c>
      <c r="O493" s="1092">
        <f>SUM(O481:O492)</f>
        <v>-30155.882792237451</v>
      </c>
      <c r="P493" s="1092">
        <f>SUM(P481:P492)</f>
        <v>0</v>
      </c>
      <c r="Q493" s="1092"/>
    </row>
    <row r="494" spans="1:17">
      <c r="A494" s="1064">
        <f t="shared" si="187"/>
        <v>486</v>
      </c>
      <c r="B494" s="1094"/>
      <c r="C494" s="1094"/>
      <c r="D494" s="1095"/>
      <c r="E494" s="1095"/>
      <c r="F494" s="1096"/>
      <c r="G494" s="1078"/>
      <c r="H494" s="1079"/>
      <c r="I494" s="1079"/>
      <c r="J494" s="1096"/>
      <c r="K494" s="1065"/>
      <c r="L494" s="1098"/>
      <c r="M494" s="1098"/>
      <c r="N494" s="1098"/>
      <c r="O494" s="1098"/>
      <c r="P494" s="1098"/>
      <c r="Q494" s="1098"/>
    </row>
    <row r="495" spans="1:17">
      <c r="A495" s="1064">
        <f t="shared" si="187"/>
        <v>487</v>
      </c>
      <c r="B495" s="1065" t="s">
        <v>1682</v>
      </c>
      <c r="C495" s="1094"/>
      <c r="D495" s="1095"/>
      <c r="E495" s="1099">
        <f>1-(D493/E493)</f>
        <v>0.53675799086757991</v>
      </c>
      <c r="F495" s="1096"/>
      <c r="G495" s="1078"/>
      <c r="H495" s="1079"/>
      <c r="I495" s="1079"/>
      <c r="J495" s="1096"/>
      <c r="K495" s="1065"/>
      <c r="L495" s="1098"/>
      <c r="M495" s="1098"/>
      <c r="N495" s="1098"/>
      <c r="O495" s="1098"/>
      <c r="P495" s="1098"/>
      <c r="Q495" s="1098"/>
    </row>
    <row r="496" spans="1:17" s="1070" customFormat="1">
      <c r="A496" s="1064">
        <f t="shared" si="187"/>
        <v>488</v>
      </c>
      <c r="B496" s="1117"/>
      <c r="C496" s="1117"/>
      <c r="D496" s="1117"/>
      <c r="E496" s="1117"/>
      <c r="F496" s="1118"/>
      <c r="G496" s="1118"/>
      <c r="H496" s="1069"/>
      <c r="I496" s="1119"/>
      <c r="J496" s="1118"/>
      <c r="K496" s="1077"/>
      <c r="L496" s="1077"/>
      <c r="M496" s="1077"/>
      <c r="N496" s="1077"/>
      <c r="O496" s="1077"/>
      <c r="P496" s="1077"/>
      <c r="Q496" s="1077"/>
    </row>
    <row r="497" spans="1:18" s="1070" customFormat="1">
      <c r="A497" s="1064">
        <f t="shared" si="187"/>
        <v>489</v>
      </c>
      <c r="B497" s="1120"/>
      <c r="C497" s="1117"/>
      <c r="D497" s="1077"/>
      <c r="E497" s="1117"/>
      <c r="F497" s="1077"/>
      <c r="G497" s="1118"/>
      <c r="H497" s="1069"/>
      <c r="I497" s="1119"/>
      <c r="J497" s="1121"/>
      <c r="K497" s="1077"/>
      <c r="L497" s="1077"/>
      <c r="M497" s="1077"/>
      <c r="N497" s="1077"/>
      <c r="O497" s="1077"/>
      <c r="P497" s="1077"/>
      <c r="Q497" s="1121"/>
    </row>
    <row r="498" spans="1:18" s="110" customFormat="1">
      <c r="A498" s="1064">
        <f t="shared" si="187"/>
        <v>490</v>
      </c>
      <c r="B498" s="1104" t="s">
        <v>1683</v>
      </c>
      <c r="C498" s="1104"/>
      <c r="D498" s="1104"/>
      <c r="E498" s="1104"/>
      <c r="F498" s="1104" t="str">
        <f>"(Line "&amp;A480&amp;", Col H)"</f>
        <v>(Line 472, Col H)</v>
      </c>
      <c r="G498" s="1122"/>
      <c r="H498" s="1104"/>
      <c r="I498" s="1122"/>
      <c r="J498" s="1082">
        <f>J480</f>
        <v>65097.472408088448</v>
      </c>
      <c r="K498" s="1104"/>
      <c r="L498" s="1104"/>
      <c r="M498" s="1104"/>
      <c r="N498" s="1104" t="str">
        <f>"(Line "&amp;A480&amp;", Col N)"</f>
        <v>(Line 472, Col N)</v>
      </c>
      <c r="O498" s="1104"/>
      <c r="P498" s="1104"/>
      <c r="Q498" s="1082">
        <f>Q480</f>
        <v>0</v>
      </c>
    </row>
    <row r="499" spans="1:18" s="110" customFormat="1">
      <c r="A499" s="1064">
        <f t="shared" si="187"/>
        <v>491</v>
      </c>
      <c r="B499" s="1104" t="s">
        <v>1684</v>
      </c>
      <c r="C499" s="1104"/>
      <c r="D499" s="1104"/>
      <c r="E499" s="1104"/>
      <c r="F499" s="1104" t="str">
        <f>"(Line "&amp;A492&amp;", Col H)"</f>
        <v>(Line 484, Col H)</v>
      </c>
      <c r="G499" s="1122"/>
      <c r="H499" s="1104"/>
      <c r="I499" s="1122"/>
      <c r="J499" s="1082">
        <f>J492</f>
        <v>34941.589615851008</v>
      </c>
      <c r="K499" s="1104"/>
      <c r="L499" s="1123"/>
      <c r="M499" s="1104"/>
      <c r="N499" s="1104" t="str">
        <f>"(Line "&amp;A492&amp;", Col N)"</f>
        <v>(Line 484, Col N)</v>
      </c>
      <c r="O499" s="1104"/>
      <c r="P499" s="1104"/>
      <c r="Q499" s="1082">
        <f>Q492</f>
        <v>0</v>
      </c>
    </row>
    <row r="500" spans="1:18" s="110" customFormat="1">
      <c r="A500" s="1064">
        <f t="shared" si="187"/>
        <v>492</v>
      </c>
      <c r="B500" s="1104" t="s">
        <v>1685</v>
      </c>
      <c r="C500" s="1104"/>
      <c r="D500" s="1104"/>
      <c r="E500" s="1104"/>
      <c r="F500" s="1104" t="str">
        <f>"(Average of Line "&amp;A498&amp;" &amp; Line "&amp;A499&amp;")"</f>
        <v>(Average of Line 490 &amp; Line 491)</v>
      </c>
      <c r="G500" s="1122"/>
      <c r="H500" s="1104"/>
      <c r="I500" s="1124"/>
      <c r="J500" s="1108">
        <f>(J498+J499)/2</f>
        <v>50019.531011969724</v>
      </c>
      <c r="K500" s="1104"/>
      <c r="L500" s="1125"/>
      <c r="M500" s="1104"/>
      <c r="N500" s="1104" t="str">
        <f>"(Average of Line "&amp;A498&amp;" &amp; Line "&amp;A499&amp;")"</f>
        <v>(Average of Line 490 &amp; Line 491)</v>
      </c>
      <c r="O500" s="1104"/>
      <c r="P500" s="1104"/>
      <c r="Q500" s="1108">
        <f>(Q498+Q499)/2</f>
        <v>0</v>
      </c>
    </row>
    <row r="501" spans="1:18" s="110" customFormat="1" ht="13.5" customHeight="1">
      <c r="A501" s="1064">
        <f t="shared" si="187"/>
        <v>493</v>
      </c>
      <c r="B501" s="1104" t="s">
        <v>1686</v>
      </c>
      <c r="C501" s="1104"/>
      <c r="D501" s="1104"/>
      <c r="E501" s="1104"/>
      <c r="F501" s="1104" t="s">
        <v>1807</v>
      </c>
      <c r="G501" s="1104"/>
      <c r="H501" s="1104"/>
      <c r="I501" s="1104"/>
      <c r="J501" s="1126">
        <f>AVERAGE(J480, (SUM(H481:H492)+J480))</f>
        <v>32548.737408088436</v>
      </c>
      <c r="K501" s="1104"/>
      <c r="L501" s="1104"/>
      <c r="M501" s="1104"/>
      <c r="N501" s="1104" t="s">
        <v>1807</v>
      </c>
      <c r="O501" s="1104"/>
      <c r="P501" s="1104"/>
      <c r="Q501" s="1126">
        <f>AVERAGE(Q480, (SUM(L481:L492)+Q480))</f>
        <v>0</v>
      </c>
    </row>
    <row r="502" spans="1:18" s="110" customFormat="1" ht="13.5" customHeight="1">
      <c r="A502" s="1064">
        <f t="shared" si="187"/>
        <v>494</v>
      </c>
      <c r="B502" s="1104" t="s">
        <v>1687</v>
      </c>
      <c r="C502" s="1104"/>
      <c r="D502" s="1104"/>
      <c r="E502" s="1104"/>
      <c r="F502" s="1104"/>
      <c r="G502" s="1104"/>
      <c r="H502" s="1104"/>
      <c r="I502" s="1104"/>
      <c r="J502" s="1123">
        <f>J500-J501</f>
        <v>17470.793603881288</v>
      </c>
      <c r="K502" s="1104"/>
      <c r="L502" s="1104"/>
      <c r="M502" s="1104"/>
      <c r="N502" s="1104"/>
      <c r="O502" s="1104"/>
      <c r="P502" s="1104"/>
      <c r="Q502" s="1123">
        <f>Q500-Q501</f>
        <v>0</v>
      </c>
    </row>
    <row r="503" spans="1:18" s="1070" customFormat="1">
      <c r="A503" s="1064">
        <f t="shared" si="187"/>
        <v>495</v>
      </c>
      <c r="B503" s="1127"/>
      <c r="C503" s="1127"/>
      <c r="D503" s="1127"/>
      <c r="E503" s="1127"/>
      <c r="F503" s="1127"/>
      <c r="G503" s="1127"/>
      <c r="H503" s="1127"/>
      <c r="I503" s="1127"/>
      <c r="J503" s="1127"/>
      <c r="K503" s="1077"/>
      <c r="L503" s="1077"/>
      <c r="M503" s="1077"/>
      <c r="N503" s="1077"/>
      <c r="O503" s="1077"/>
      <c r="P503" s="1077"/>
      <c r="Q503" s="1127"/>
    </row>
    <row r="504" spans="1:18" s="1070" customFormat="1">
      <c r="A504" s="1064">
        <f t="shared" si="187"/>
        <v>496</v>
      </c>
      <c r="B504" s="1077"/>
      <c r="C504" s="1077"/>
      <c r="D504" s="1077"/>
      <c r="E504" s="1077"/>
      <c r="F504" s="1077"/>
      <c r="G504" s="1077"/>
      <c r="H504" s="1077"/>
      <c r="I504" s="1077"/>
      <c r="J504" s="1077"/>
      <c r="K504" s="1077"/>
      <c r="L504" s="1077"/>
      <c r="M504" s="1077"/>
      <c r="N504" s="1077"/>
      <c r="O504" s="1077"/>
      <c r="P504" s="1077"/>
      <c r="Q504" s="1077"/>
    </row>
    <row r="505" spans="1:18">
      <c r="A505" s="1064">
        <f t="shared" si="187"/>
        <v>497</v>
      </c>
      <c r="B505" s="1270" t="s">
        <v>1691</v>
      </c>
      <c r="C505" s="1270"/>
      <c r="D505" s="1270"/>
      <c r="E505" s="1270"/>
      <c r="F505" s="1065"/>
      <c r="G505" s="1065"/>
      <c r="H505" s="1112"/>
      <c r="I505" s="1112"/>
      <c r="J505" s="1112"/>
      <c r="K505" s="1065"/>
      <c r="L505" s="1113"/>
      <c r="M505" s="1114"/>
      <c r="N505" s="1114"/>
      <c r="O505" s="1114"/>
      <c r="P505" s="1114"/>
      <c r="Q505" s="1114"/>
      <c r="R505" s="1070"/>
    </row>
    <row r="506" spans="1:18">
      <c r="A506" s="1064">
        <f t="shared" si="187"/>
        <v>498</v>
      </c>
      <c r="B506" s="1262" t="s">
        <v>1699</v>
      </c>
      <c r="C506" s="1262"/>
      <c r="D506" s="1262"/>
      <c r="E506" s="1262"/>
      <c r="F506" s="1065"/>
      <c r="G506" s="1065"/>
      <c r="H506" s="1112"/>
      <c r="I506" s="1112"/>
      <c r="J506" s="1112"/>
      <c r="K506" s="1065"/>
      <c r="L506" s="1113"/>
      <c r="M506" s="1114"/>
      <c r="N506" s="1114"/>
      <c r="O506" s="1114"/>
      <c r="P506" s="1114"/>
      <c r="Q506" s="1114"/>
      <c r="R506" s="1070"/>
    </row>
    <row r="507" spans="1:18">
      <c r="A507" s="1064">
        <f t="shared" si="187"/>
        <v>499</v>
      </c>
      <c r="B507" s="1263" t="s">
        <v>1666</v>
      </c>
      <c r="C507" s="1264"/>
      <c r="D507" s="1264"/>
      <c r="E507" s="1264"/>
      <c r="F507" s="1265"/>
      <c r="G507" s="1071"/>
      <c r="H507" s="1266" t="s">
        <v>1667</v>
      </c>
      <c r="I507" s="1267"/>
      <c r="J507" s="1268"/>
      <c r="K507" s="1065"/>
      <c r="L507" s="1266" t="s">
        <v>1668</v>
      </c>
      <c r="M507" s="1267"/>
      <c r="N507" s="1267"/>
      <c r="O507" s="1267"/>
      <c r="P507" s="1267"/>
      <c r="Q507" s="1267"/>
    </row>
    <row r="508" spans="1:18">
      <c r="A508" s="1064">
        <f t="shared" si="187"/>
        <v>500</v>
      </c>
      <c r="B508" s="1072" t="s">
        <v>824</v>
      </c>
      <c r="C508" s="1072" t="s">
        <v>825</v>
      </c>
      <c r="D508" s="1072" t="s">
        <v>826</v>
      </c>
      <c r="E508" s="1072" t="s">
        <v>827</v>
      </c>
      <c r="F508" s="1072" t="s">
        <v>828</v>
      </c>
      <c r="G508" s="1071"/>
      <c r="H508" s="1072" t="s">
        <v>829</v>
      </c>
      <c r="I508" s="1072" t="s">
        <v>830</v>
      </c>
      <c r="J508" s="1072" t="s">
        <v>831</v>
      </c>
      <c r="K508" s="1065"/>
      <c r="L508" s="1072" t="s">
        <v>832</v>
      </c>
      <c r="M508" s="1072" t="s">
        <v>833</v>
      </c>
      <c r="N508" s="1072" t="s">
        <v>834</v>
      </c>
      <c r="O508" s="1072" t="s">
        <v>835</v>
      </c>
      <c r="P508" s="1072" t="s">
        <v>837</v>
      </c>
      <c r="Q508" s="1072" t="s">
        <v>836</v>
      </c>
    </row>
    <row r="509" spans="1:18" ht="45">
      <c r="A509" s="1064">
        <f t="shared" si="187"/>
        <v>501</v>
      </c>
      <c r="B509" s="1074" t="s">
        <v>1342</v>
      </c>
      <c r="C509" s="1074" t="s">
        <v>1577</v>
      </c>
      <c r="D509" s="1074" t="s">
        <v>1669</v>
      </c>
      <c r="E509" s="1074" t="s">
        <v>1670</v>
      </c>
      <c r="F509" s="1074" t="s">
        <v>1671</v>
      </c>
      <c r="G509" s="1075"/>
      <c r="H509" s="1074" t="s">
        <v>1672</v>
      </c>
      <c r="I509" s="1074" t="s">
        <v>1673</v>
      </c>
      <c r="J509" s="1074" t="s">
        <v>1674</v>
      </c>
      <c r="K509" s="1065"/>
      <c r="L509" s="1074" t="s">
        <v>1675</v>
      </c>
      <c r="M509" s="1074" t="s">
        <v>1676</v>
      </c>
      <c r="N509" s="1074" t="s">
        <v>1677</v>
      </c>
      <c r="O509" s="1074" t="s">
        <v>1678</v>
      </c>
      <c r="P509" s="1074" t="s">
        <v>1679</v>
      </c>
      <c r="Q509" s="1074" t="s">
        <v>1680</v>
      </c>
    </row>
    <row r="510" spans="1:18">
      <c r="A510" s="1064">
        <f t="shared" si="187"/>
        <v>502</v>
      </c>
      <c r="B510" s="1065"/>
      <c r="C510" s="1075"/>
      <c r="D510" s="1075"/>
      <c r="E510" s="1075"/>
      <c r="F510" s="1075"/>
      <c r="G510" s="1075"/>
      <c r="H510" s="1075"/>
      <c r="I510" s="1075"/>
      <c r="J510" s="1075"/>
      <c r="K510" s="1065"/>
      <c r="L510" s="1065"/>
      <c r="M510" s="1065"/>
      <c r="N510" s="1065"/>
      <c r="O510" s="1065"/>
      <c r="P510" s="1065"/>
      <c r="Q510" s="1065"/>
    </row>
    <row r="511" spans="1:18">
      <c r="A511" s="1064">
        <f t="shared" si="187"/>
        <v>503</v>
      </c>
      <c r="B511" s="1269" t="s">
        <v>1681</v>
      </c>
      <c r="C511" s="1269"/>
      <c r="D511" s="1269"/>
      <c r="E511" s="1269"/>
      <c r="F511" s="1078"/>
      <c r="G511" s="1078"/>
      <c r="H511" s="1079"/>
      <c r="I511" s="1079"/>
      <c r="J511" s="1080">
        <f>'WP_B-Inputs Est.'!L107</f>
        <v>-14606.050512939379</v>
      </c>
      <c r="K511" s="1081"/>
      <c r="L511" s="1079"/>
      <c r="M511" s="1082"/>
      <c r="N511" s="1082"/>
      <c r="O511" s="1082"/>
      <c r="P511" s="1082"/>
      <c r="Q511" s="1080">
        <f>'WP_B-Inputs Act.'!L106</f>
        <v>-25748.566755660078</v>
      </c>
    </row>
    <row r="512" spans="1:18">
      <c r="A512" s="1064">
        <f t="shared" si="187"/>
        <v>504</v>
      </c>
      <c r="B512" s="1084" t="s">
        <v>950</v>
      </c>
      <c r="C512" s="1079">
        <v>31</v>
      </c>
      <c r="D512" s="1085">
        <f t="shared" ref="D512:D520" si="200">D513+C513</f>
        <v>335</v>
      </c>
      <c r="E512" s="1085">
        <f>SUM(C512:C523)</f>
        <v>365</v>
      </c>
      <c r="F512" s="1086">
        <f>D512/E512</f>
        <v>0.9178082191780822</v>
      </c>
      <c r="G512" s="1078"/>
      <c r="H512" s="1087">
        <f>('WP_B-Inputs Est.'!L108-'WP_B-Inputs Est.'!L107)/12</f>
        <v>68.433309942256827</v>
      </c>
      <c r="I512" s="1079">
        <f>+H512*F512</f>
        <v>62.808654330564487</v>
      </c>
      <c r="J512" s="1079">
        <f t="shared" ref="J512:J523" si="201">+I512+J511</f>
        <v>-14543.241858608813</v>
      </c>
      <c r="K512" s="1065"/>
      <c r="L512" s="1087">
        <f>('WP_B-Inputs Act.'!L107-'WP_B-Inputs Act.'!L106)/12</f>
        <v>68.117901469999197</v>
      </c>
      <c r="M512" s="1082">
        <f>L512-H512</f>
        <v>-0.31540847225763002</v>
      </c>
      <c r="N512" s="1082">
        <f>IF(M512&lt;=0,+M512,0)</f>
        <v>-0.31540847225763002</v>
      </c>
      <c r="O512" s="1082">
        <f>IF(N512&lt;0,0,IF(L512&gt;0,0,(-(M512)*(D512/E512))))</f>
        <v>0</v>
      </c>
      <c r="P512" s="1082">
        <f t="shared" ref="P512:P523" si="202">IF(L512&gt;0,L512,0)</f>
        <v>68.117901469999197</v>
      </c>
      <c r="Q512" s="1082">
        <f>IF(L512&gt;0,Q511+P512,Q511+I512+N512-O512)</f>
        <v>-25680.448854190079</v>
      </c>
    </row>
    <row r="513" spans="1:17">
      <c r="A513" s="1064">
        <f t="shared" si="187"/>
        <v>505</v>
      </c>
      <c r="B513" s="1084" t="s">
        <v>899</v>
      </c>
      <c r="C513" s="1087">
        <v>28</v>
      </c>
      <c r="D513" s="1085">
        <f t="shared" si="200"/>
        <v>307</v>
      </c>
      <c r="E513" s="1085">
        <f>E512</f>
        <v>365</v>
      </c>
      <c r="F513" s="1086">
        <f t="shared" ref="F513:F523" si="203">D513/E513</f>
        <v>0.84109589041095889</v>
      </c>
      <c r="G513" s="1078"/>
      <c r="H513" s="1087">
        <f>$H$512</f>
        <v>68.433309942256827</v>
      </c>
      <c r="I513" s="1079">
        <f t="shared" ref="I513:I523" si="204">+H513*F513</f>
        <v>57.558975759651631</v>
      </c>
      <c r="J513" s="1079">
        <f t="shared" si="201"/>
        <v>-14485.682882849162</v>
      </c>
      <c r="K513" s="1065"/>
      <c r="L513" s="1087">
        <f>$L$512</f>
        <v>68.117901469999197</v>
      </c>
      <c r="M513" s="1082">
        <f t="shared" ref="M513:M523" si="205">L513-H513</f>
        <v>-0.31540847225763002</v>
      </c>
      <c r="N513" s="1082">
        <f t="shared" ref="N513:N523" si="206">IF(M513&lt;=0,+M513,0)</f>
        <v>-0.31540847225763002</v>
      </c>
      <c r="O513" s="1082">
        <f t="shared" ref="O513:O523" si="207">IF(N513&lt;0,0,IF(L513&gt;0,0,(-(M513)*(D513/E513))))</f>
        <v>0</v>
      </c>
      <c r="P513" s="1082">
        <f t="shared" si="202"/>
        <v>68.117901469999197</v>
      </c>
      <c r="Q513" s="1082">
        <f t="shared" ref="Q513:Q523" si="208">IF(L513&gt;0,Q512+P513,Q512+I513+N513-O513)</f>
        <v>-25612.33095272008</v>
      </c>
    </row>
    <row r="514" spans="1:17">
      <c r="A514" s="1064">
        <f t="shared" si="187"/>
        <v>506</v>
      </c>
      <c r="B514" s="1084" t="s">
        <v>900</v>
      </c>
      <c r="C514" s="1079">
        <v>31</v>
      </c>
      <c r="D514" s="1085">
        <f t="shared" si="200"/>
        <v>276</v>
      </c>
      <c r="E514" s="1085">
        <f t="shared" ref="E514:E523" si="209">E513</f>
        <v>365</v>
      </c>
      <c r="F514" s="1086">
        <f t="shared" si="203"/>
        <v>0.75616438356164384</v>
      </c>
      <c r="G514" s="1078"/>
      <c r="H514" s="1087">
        <f t="shared" ref="H514:H523" si="210">$H$512</f>
        <v>68.433309942256827</v>
      </c>
      <c r="I514" s="1079">
        <f t="shared" si="204"/>
        <v>51.746831627569549</v>
      </c>
      <c r="J514" s="1079">
        <f t="shared" si="201"/>
        <v>-14433.936051221592</v>
      </c>
      <c r="K514" s="1065"/>
      <c r="L514" s="1087">
        <f t="shared" ref="L514:L523" si="211">$L$512</f>
        <v>68.117901469999197</v>
      </c>
      <c r="M514" s="1082">
        <f t="shared" si="205"/>
        <v>-0.31540847225763002</v>
      </c>
      <c r="N514" s="1082">
        <f t="shared" si="206"/>
        <v>-0.31540847225763002</v>
      </c>
      <c r="O514" s="1082">
        <f t="shared" si="207"/>
        <v>0</v>
      </c>
      <c r="P514" s="1082">
        <f t="shared" si="202"/>
        <v>68.117901469999197</v>
      </c>
      <c r="Q514" s="1082">
        <f t="shared" si="208"/>
        <v>-25544.213051250081</v>
      </c>
    </row>
    <row r="515" spans="1:17">
      <c r="A515" s="1064">
        <f t="shared" si="187"/>
        <v>507</v>
      </c>
      <c r="B515" s="1084" t="s">
        <v>901</v>
      </c>
      <c r="C515" s="1079">
        <v>30</v>
      </c>
      <c r="D515" s="1085">
        <f t="shared" si="200"/>
        <v>246</v>
      </c>
      <c r="E515" s="1085">
        <f t="shared" si="209"/>
        <v>365</v>
      </c>
      <c r="F515" s="1086">
        <f t="shared" si="203"/>
        <v>0.67397260273972603</v>
      </c>
      <c r="G515" s="1078"/>
      <c r="H515" s="1087">
        <f t="shared" si="210"/>
        <v>68.433309942256827</v>
      </c>
      <c r="I515" s="1079">
        <f t="shared" si="204"/>
        <v>46.122176015877201</v>
      </c>
      <c r="J515" s="1079">
        <f t="shared" si="201"/>
        <v>-14387.813875205715</v>
      </c>
      <c r="K515" s="1065"/>
      <c r="L515" s="1087">
        <f t="shared" si="211"/>
        <v>68.117901469999197</v>
      </c>
      <c r="M515" s="1082">
        <f t="shared" si="205"/>
        <v>-0.31540847225763002</v>
      </c>
      <c r="N515" s="1082">
        <f t="shared" si="206"/>
        <v>-0.31540847225763002</v>
      </c>
      <c r="O515" s="1082">
        <f t="shared" si="207"/>
        <v>0</v>
      </c>
      <c r="P515" s="1082">
        <f t="shared" si="202"/>
        <v>68.117901469999197</v>
      </c>
      <c r="Q515" s="1082">
        <f t="shared" si="208"/>
        <v>-25476.095149780082</v>
      </c>
    </row>
    <row r="516" spans="1:17">
      <c r="A516" s="1064">
        <f t="shared" si="187"/>
        <v>508</v>
      </c>
      <c r="B516" s="1084" t="s">
        <v>902</v>
      </c>
      <c r="C516" s="1079">
        <v>31</v>
      </c>
      <c r="D516" s="1085">
        <f t="shared" si="200"/>
        <v>215</v>
      </c>
      <c r="E516" s="1085">
        <f t="shared" si="209"/>
        <v>365</v>
      </c>
      <c r="F516" s="1086">
        <f t="shared" si="203"/>
        <v>0.58904109589041098</v>
      </c>
      <c r="G516" s="1078"/>
      <c r="H516" s="1087">
        <f t="shared" si="210"/>
        <v>68.433309942256827</v>
      </c>
      <c r="I516" s="1079">
        <f t="shared" si="204"/>
        <v>40.310031883795119</v>
      </c>
      <c r="J516" s="1079">
        <f t="shared" si="201"/>
        <v>-14347.50384332192</v>
      </c>
      <c r="K516" s="1065"/>
      <c r="L516" s="1087">
        <f t="shared" si="211"/>
        <v>68.117901469999197</v>
      </c>
      <c r="M516" s="1082">
        <f t="shared" si="205"/>
        <v>-0.31540847225763002</v>
      </c>
      <c r="N516" s="1082">
        <f t="shared" si="206"/>
        <v>-0.31540847225763002</v>
      </c>
      <c r="O516" s="1082">
        <f t="shared" si="207"/>
        <v>0</v>
      </c>
      <c r="P516" s="1082">
        <f t="shared" si="202"/>
        <v>68.117901469999197</v>
      </c>
      <c r="Q516" s="1082">
        <f t="shared" si="208"/>
        <v>-25407.977248310082</v>
      </c>
    </row>
    <row r="517" spans="1:17">
      <c r="A517" s="1064">
        <f t="shared" si="187"/>
        <v>509</v>
      </c>
      <c r="B517" s="1084" t="s">
        <v>903</v>
      </c>
      <c r="C517" s="1079">
        <v>30</v>
      </c>
      <c r="D517" s="1085">
        <f t="shared" si="200"/>
        <v>185</v>
      </c>
      <c r="E517" s="1085">
        <f t="shared" si="209"/>
        <v>365</v>
      </c>
      <c r="F517" s="1086">
        <f t="shared" si="203"/>
        <v>0.50684931506849318</v>
      </c>
      <c r="G517" s="1078"/>
      <c r="H517" s="1087">
        <f t="shared" si="210"/>
        <v>68.433309942256827</v>
      </c>
      <c r="I517" s="1079">
        <f t="shared" si="204"/>
        <v>34.685376272102779</v>
      </c>
      <c r="J517" s="1079">
        <f t="shared" si="201"/>
        <v>-14312.818467049818</v>
      </c>
      <c r="K517" s="1065"/>
      <c r="L517" s="1087">
        <f t="shared" si="211"/>
        <v>68.117901469999197</v>
      </c>
      <c r="M517" s="1082">
        <f t="shared" si="205"/>
        <v>-0.31540847225763002</v>
      </c>
      <c r="N517" s="1082">
        <f t="shared" si="206"/>
        <v>-0.31540847225763002</v>
      </c>
      <c r="O517" s="1082">
        <f t="shared" si="207"/>
        <v>0</v>
      </c>
      <c r="P517" s="1082">
        <f t="shared" si="202"/>
        <v>68.117901469999197</v>
      </c>
      <c r="Q517" s="1082">
        <f t="shared" si="208"/>
        <v>-25339.859346840083</v>
      </c>
    </row>
    <row r="518" spans="1:17">
      <c r="A518" s="1064">
        <f t="shared" si="187"/>
        <v>510</v>
      </c>
      <c r="B518" s="1084" t="s">
        <v>904</v>
      </c>
      <c r="C518" s="1079">
        <v>31</v>
      </c>
      <c r="D518" s="1085">
        <f t="shared" si="200"/>
        <v>154</v>
      </c>
      <c r="E518" s="1085">
        <f t="shared" si="209"/>
        <v>365</v>
      </c>
      <c r="F518" s="1086">
        <f t="shared" si="203"/>
        <v>0.42191780821917807</v>
      </c>
      <c r="G518" s="1078"/>
      <c r="H518" s="1087">
        <f t="shared" si="210"/>
        <v>68.433309942256827</v>
      </c>
      <c r="I518" s="1079">
        <f t="shared" si="204"/>
        <v>28.873232140020686</v>
      </c>
      <c r="J518" s="1079">
        <f t="shared" si="201"/>
        <v>-14283.945234909797</v>
      </c>
      <c r="K518" s="1065"/>
      <c r="L518" s="1087">
        <f t="shared" si="211"/>
        <v>68.117901469999197</v>
      </c>
      <c r="M518" s="1082">
        <f t="shared" si="205"/>
        <v>-0.31540847225763002</v>
      </c>
      <c r="N518" s="1082">
        <f t="shared" si="206"/>
        <v>-0.31540847225763002</v>
      </c>
      <c r="O518" s="1082">
        <f t="shared" si="207"/>
        <v>0</v>
      </c>
      <c r="P518" s="1082">
        <f t="shared" si="202"/>
        <v>68.117901469999197</v>
      </c>
      <c r="Q518" s="1082">
        <f t="shared" si="208"/>
        <v>-25271.741445370084</v>
      </c>
    </row>
    <row r="519" spans="1:17">
      <c r="A519" s="1064">
        <f t="shared" si="187"/>
        <v>511</v>
      </c>
      <c r="B519" s="1084" t="s">
        <v>905</v>
      </c>
      <c r="C519" s="1079">
        <v>31</v>
      </c>
      <c r="D519" s="1085">
        <f t="shared" si="200"/>
        <v>123</v>
      </c>
      <c r="E519" s="1085">
        <f t="shared" si="209"/>
        <v>365</v>
      </c>
      <c r="F519" s="1086">
        <f t="shared" si="203"/>
        <v>0.33698630136986302</v>
      </c>
      <c r="G519" s="1078"/>
      <c r="H519" s="1087">
        <f t="shared" si="210"/>
        <v>68.433309942256827</v>
      </c>
      <c r="I519" s="1079">
        <f t="shared" si="204"/>
        <v>23.061088007938601</v>
      </c>
      <c r="J519" s="1079">
        <f t="shared" si="201"/>
        <v>-14260.884146901859</v>
      </c>
      <c r="K519" s="1065"/>
      <c r="L519" s="1087">
        <f t="shared" si="211"/>
        <v>68.117901469999197</v>
      </c>
      <c r="M519" s="1082">
        <f t="shared" si="205"/>
        <v>-0.31540847225763002</v>
      </c>
      <c r="N519" s="1082">
        <f t="shared" si="206"/>
        <v>-0.31540847225763002</v>
      </c>
      <c r="O519" s="1082">
        <f t="shared" si="207"/>
        <v>0</v>
      </c>
      <c r="P519" s="1082">
        <f t="shared" si="202"/>
        <v>68.117901469999197</v>
      </c>
      <c r="Q519" s="1082">
        <f t="shared" si="208"/>
        <v>-25203.623543900085</v>
      </c>
    </row>
    <row r="520" spans="1:17">
      <c r="A520" s="1064">
        <f t="shared" si="187"/>
        <v>512</v>
      </c>
      <c r="B520" s="1084" t="s">
        <v>906</v>
      </c>
      <c r="C520" s="1079">
        <v>30</v>
      </c>
      <c r="D520" s="1085">
        <f t="shared" si="200"/>
        <v>93</v>
      </c>
      <c r="E520" s="1085">
        <f t="shared" si="209"/>
        <v>365</v>
      </c>
      <c r="F520" s="1086">
        <f t="shared" si="203"/>
        <v>0.25479452054794521</v>
      </c>
      <c r="G520" s="1078"/>
      <c r="H520" s="1087">
        <f t="shared" si="210"/>
        <v>68.433309942256827</v>
      </c>
      <c r="I520" s="1079">
        <f t="shared" si="204"/>
        <v>17.436432396246261</v>
      </c>
      <c r="J520" s="1079">
        <f t="shared" si="201"/>
        <v>-14243.447714505613</v>
      </c>
      <c r="K520" s="1065"/>
      <c r="L520" s="1087">
        <f t="shared" si="211"/>
        <v>68.117901469999197</v>
      </c>
      <c r="M520" s="1082">
        <f t="shared" si="205"/>
        <v>-0.31540847225763002</v>
      </c>
      <c r="N520" s="1082">
        <f t="shared" si="206"/>
        <v>-0.31540847225763002</v>
      </c>
      <c r="O520" s="1082">
        <f t="shared" si="207"/>
        <v>0</v>
      </c>
      <c r="P520" s="1082">
        <f t="shared" si="202"/>
        <v>68.117901469999197</v>
      </c>
      <c r="Q520" s="1082">
        <f t="shared" si="208"/>
        <v>-25135.505642430086</v>
      </c>
    </row>
    <row r="521" spans="1:17">
      <c r="A521" s="1064">
        <f t="shared" si="187"/>
        <v>513</v>
      </c>
      <c r="B521" s="1084" t="s">
        <v>907</v>
      </c>
      <c r="C521" s="1079">
        <v>31</v>
      </c>
      <c r="D521" s="1085">
        <f>D522+C522</f>
        <v>62</v>
      </c>
      <c r="E521" s="1085">
        <f t="shared" si="209"/>
        <v>365</v>
      </c>
      <c r="F521" s="1086">
        <f t="shared" si="203"/>
        <v>0.16986301369863013</v>
      </c>
      <c r="G521" s="1078"/>
      <c r="H521" s="1087">
        <f t="shared" si="210"/>
        <v>68.433309942256827</v>
      </c>
      <c r="I521" s="1079">
        <f t="shared" si="204"/>
        <v>11.624288264164173</v>
      </c>
      <c r="J521" s="1079">
        <f t="shared" si="201"/>
        <v>-14231.82342624145</v>
      </c>
      <c r="K521" s="1065"/>
      <c r="L521" s="1087">
        <f t="shared" si="211"/>
        <v>68.117901469999197</v>
      </c>
      <c r="M521" s="1082">
        <f t="shared" si="205"/>
        <v>-0.31540847225763002</v>
      </c>
      <c r="N521" s="1082">
        <f t="shared" si="206"/>
        <v>-0.31540847225763002</v>
      </c>
      <c r="O521" s="1082">
        <f t="shared" si="207"/>
        <v>0</v>
      </c>
      <c r="P521" s="1082">
        <f t="shared" si="202"/>
        <v>68.117901469999197</v>
      </c>
      <c r="Q521" s="1082">
        <f t="shared" si="208"/>
        <v>-25067.387740960086</v>
      </c>
    </row>
    <row r="522" spans="1:17">
      <c r="A522" s="1064">
        <f t="shared" si="187"/>
        <v>514</v>
      </c>
      <c r="B522" s="1084" t="s">
        <v>908</v>
      </c>
      <c r="C522" s="1079">
        <v>30</v>
      </c>
      <c r="D522" s="1085">
        <f>D523+C523</f>
        <v>32</v>
      </c>
      <c r="E522" s="1085">
        <f t="shared" si="209"/>
        <v>365</v>
      </c>
      <c r="F522" s="1086">
        <f t="shared" si="203"/>
        <v>8.7671232876712329E-2</v>
      </c>
      <c r="G522" s="1078"/>
      <c r="H522" s="1087">
        <f t="shared" si="210"/>
        <v>68.433309942256827</v>
      </c>
      <c r="I522" s="1079">
        <f t="shared" si="204"/>
        <v>5.9996326524718313</v>
      </c>
      <c r="J522" s="1079">
        <f t="shared" si="201"/>
        <v>-14225.823793588977</v>
      </c>
      <c r="K522" s="1065"/>
      <c r="L522" s="1087">
        <f t="shared" si="211"/>
        <v>68.117901469999197</v>
      </c>
      <c r="M522" s="1082">
        <f t="shared" si="205"/>
        <v>-0.31540847225763002</v>
      </c>
      <c r="N522" s="1082">
        <f t="shared" si="206"/>
        <v>-0.31540847225763002</v>
      </c>
      <c r="O522" s="1082">
        <f t="shared" si="207"/>
        <v>0</v>
      </c>
      <c r="P522" s="1082">
        <f t="shared" si="202"/>
        <v>68.117901469999197</v>
      </c>
      <c r="Q522" s="1082">
        <f t="shared" si="208"/>
        <v>-24999.269839490087</v>
      </c>
    </row>
    <row r="523" spans="1:17">
      <c r="A523" s="1064">
        <f t="shared" ref="A523:A533" si="212">+A522+1</f>
        <v>515</v>
      </c>
      <c r="B523" s="1084" t="s">
        <v>909</v>
      </c>
      <c r="C523" s="1079">
        <v>31</v>
      </c>
      <c r="D523" s="1085">
        <v>1</v>
      </c>
      <c r="E523" s="1085">
        <f t="shared" si="209"/>
        <v>365</v>
      </c>
      <c r="F523" s="1086">
        <f t="shared" si="203"/>
        <v>2.7397260273972603E-3</v>
      </c>
      <c r="G523" s="1078"/>
      <c r="H523" s="1087">
        <f t="shared" si="210"/>
        <v>68.433309942256827</v>
      </c>
      <c r="I523" s="1079">
        <f t="shared" si="204"/>
        <v>0.18748852038974473</v>
      </c>
      <c r="J523" s="1079">
        <f t="shared" si="201"/>
        <v>-14225.636305068587</v>
      </c>
      <c r="K523" s="1065"/>
      <c r="L523" s="1087">
        <f t="shared" si="211"/>
        <v>68.117901469999197</v>
      </c>
      <c r="M523" s="1082">
        <f t="shared" si="205"/>
        <v>-0.31540847225763002</v>
      </c>
      <c r="N523" s="1082">
        <f t="shared" si="206"/>
        <v>-0.31540847225763002</v>
      </c>
      <c r="O523" s="1082">
        <f t="shared" si="207"/>
        <v>0</v>
      </c>
      <c r="P523" s="1082">
        <f t="shared" si="202"/>
        <v>68.117901469999197</v>
      </c>
      <c r="Q523" s="1082">
        <f t="shared" si="208"/>
        <v>-24931.151938020088</v>
      </c>
    </row>
    <row r="524" spans="1:17">
      <c r="A524" s="1064">
        <f t="shared" si="212"/>
        <v>516</v>
      </c>
      <c r="B524" s="1088"/>
      <c r="C524" s="1088" t="s">
        <v>790</v>
      </c>
      <c r="D524" s="1089">
        <f>+SUM(D512:D523)</f>
        <v>2029</v>
      </c>
      <c r="E524" s="1089">
        <f>+SUM(E512:E523)</f>
        <v>4380</v>
      </c>
      <c r="F524" s="1090"/>
      <c r="G524" s="1078"/>
      <c r="H524" s="1091">
        <f>SUM(H512:H523)</f>
        <v>821.19971930708209</v>
      </c>
      <c r="I524" s="1091">
        <f>SUM(I512:I523)</f>
        <v>380.41420787079204</v>
      </c>
      <c r="J524" s="1090"/>
      <c r="K524" s="1065"/>
      <c r="L524" s="1092">
        <f>SUM(L512:L523)</f>
        <v>817.41481763999036</v>
      </c>
      <c r="M524" s="1092">
        <f>SUM(M512:M523)</f>
        <v>-3.7849016670915603</v>
      </c>
      <c r="N524" s="1092">
        <f>SUM(N512:N523)</f>
        <v>-3.7849016670915603</v>
      </c>
      <c r="O524" s="1092">
        <f>SUM(O512:O523)</f>
        <v>0</v>
      </c>
      <c r="P524" s="1092">
        <f>SUM(P512:P523)</f>
        <v>817.41481763999036</v>
      </c>
      <c r="Q524" s="1092"/>
    </row>
    <row r="525" spans="1:17">
      <c r="A525" s="1064">
        <f t="shared" si="212"/>
        <v>517</v>
      </c>
      <c r="B525" s="1094"/>
      <c r="C525" s="1094"/>
      <c r="D525" s="1095"/>
      <c r="E525" s="1095"/>
      <c r="F525" s="1096"/>
      <c r="G525" s="1078"/>
      <c r="H525" s="1079"/>
      <c r="I525" s="1079"/>
      <c r="J525" s="1096"/>
      <c r="K525" s="1065"/>
      <c r="L525" s="1098"/>
      <c r="M525" s="1098"/>
      <c r="N525" s="1098"/>
      <c r="O525" s="1098"/>
      <c r="P525" s="1098"/>
      <c r="Q525" s="1098"/>
    </row>
    <row r="526" spans="1:17">
      <c r="A526" s="1064">
        <f t="shared" si="212"/>
        <v>518</v>
      </c>
      <c r="B526" s="1065" t="s">
        <v>1682</v>
      </c>
      <c r="C526" s="1094"/>
      <c r="D526" s="1095"/>
      <c r="E526" s="1099">
        <f>1-(D524/E524)</f>
        <v>0.53675799086757991</v>
      </c>
      <c r="F526" s="1096"/>
      <c r="G526" s="1078"/>
      <c r="H526" s="1079"/>
      <c r="I526" s="1079"/>
      <c r="J526" s="1096"/>
      <c r="K526" s="1065"/>
      <c r="L526" s="1098"/>
      <c r="M526" s="1098"/>
      <c r="N526" s="1098"/>
      <c r="O526" s="1098"/>
      <c r="P526" s="1098"/>
      <c r="Q526" s="1098"/>
    </row>
    <row r="527" spans="1:17" s="1070" customFormat="1">
      <c r="A527" s="1064">
        <f t="shared" si="212"/>
        <v>519</v>
      </c>
      <c r="B527" s="1117"/>
      <c r="C527" s="1117"/>
      <c r="D527" s="1117"/>
      <c r="E527" s="1117"/>
      <c r="F527" s="1118"/>
      <c r="G527" s="1118"/>
      <c r="H527" s="1069"/>
      <c r="I527" s="1119"/>
      <c r="J527" s="1118"/>
      <c r="K527" s="1077"/>
      <c r="L527" s="1077"/>
      <c r="M527" s="1077"/>
      <c r="N527" s="1077"/>
      <c r="O527" s="1077"/>
      <c r="P527" s="1077"/>
      <c r="Q527" s="1077"/>
    </row>
    <row r="528" spans="1:17" s="1070" customFormat="1">
      <c r="A528" s="1064">
        <f t="shared" si="212"/>
        <v>520</v>
      </c>
      <c r="B528" s="1120"/>
      <c r="C528" s="1117"/>
      <c r="D528" s="1077"/>
      <c r="E528" s="1117"/>
      <c r="F528" s="1077"/>
      <c r="G528" s="1118"/>
      <c r="H528" s="1069"/>
      <c r="I528" s="1119"/>
      <c r="J528" s="1121"/>
      <c r="K528" s="1077"/>
      <c r="L528" s="1077"/>
      <c r="M528" s="1077"/>
      <c r="N528" s="1077"/>
      <c r="O528" s="1077"/>
      <c r="P528" s="1077"/>
      <c r="Q528" s="1121"/>
    </row>
    <row r="529" spans="1:17" s="110" customFormat="1">
      <c r="A529" s="1064">
        <f t="shared" si="212"/>
        <v>521</v>
      </c>
      <c r="B529" s="1104" t="s">
        <v>1683</v>
      </c>
      <c r="C529" s="1104"/>
      <c r="D529" s="1104"/>
      <c r="E529" s="1104"/>
      <c r="F529" s="1104" t="str">
        <f>"(Line "&amp;A511&amp;", Col H)"</f>
        <v>(Line 503, Col H)</v>
      </c>
      <c r="G529" s="1122"/>
      <c r="H529" s="1104"/>
      <c r="I529" s="1122"/>
      <c r="J529" s="1082">
        <f>J511</f>
        <v>-14606.050512939379</v>
      </c>
      <c r="K529" s="1104"/>
      <c r="L529" s="1104"/>
      <c r="M529" s="1104"/>
      <c r="N529" s="1104" t="str">
        <f>"(Line "&amp;A511&amp;", Col N)"</f>
        <v>(Line 503, Col N)</v>
      </c>
      <c r="O529" s="1104"/>
      <c r="P529" s="1104"/>
      <c r="Q529" s="1082">
        <f>Q511</f>
        <v>-25748.566755660078</v>
      </c>
    </row>
    <row r="530" spans="1:17" s="110" customFormat="1">
      <c r="A530" s="1064">
        <f t="shared" si="212"/>
        <v>522</v>
      </c>
      <c r="B530" s="1104" t="s">
        <v>1684</v>
      </c>
      <c r="C530" s="1104"/>
      <c r="D530" s="1104"/>
      <c r="E530" s="1104"/>
      <c r="F530" s="1104" t="str">
        <f>"(Line "&amp;A523&amp;", Col H)"</f>
        <v>(Line 515, Col H)</v>
      </c>
      <c r="G530" s="1122"/>
      <c r="H530" s="1104"/>
      <c r="I530" s="1122"/>
      <c r="J530" s="1082">
        <f>J523</f>
        <v>-14225.636305068587</v>
      </c>
      <c r="K530" s="1104"/>
      <c r="L530" s="1123"/>
      <c r="M530" s="1104"/>
      <c r="N530" s="1104" t="str">
        <f>"(Line "&amp;A523&amp;", Col N)"</f>
        <v>(Line 515, Col N)</v>
      </c>
      <c r="O530" s="1104"/>
      <c r="P530" s="1104"/>
      <c r="Q530" s="1082">
        <f>Q523</f>
        <v>-24931.151938020088</v>
      </c>
    </row>
    <row r="531" spans="1:17" s="110" customFormat="1">
      <c r="A531" s="1064">
        <f t="shared" si="212"/>
        <v>523</v>
      </c>
      <c r="B531" s="1104" t="s">
        <v>1685</v>
      </c>
      <c r="C531" s="1104"/>
      <c r="D531" s="1104"/>
      <c r="E531" s="1104"/>
      <c r="F531" s="1104" t="str">
        <f>"(Average of Line "&amp;A529&amp;" &amp; Line "&amp;A530&amp;")"</f>
        <v>(Average of Line 521 &amp; Line 522)</v>
      </c>
      <c r="G531" s="1122"/>
      <c r="H531" s="1104"/>
      <c r="I531" s="1124"/>
      <c r="J531" s="1108">
        <f>(J529+J530)/2</f>
        <v>-14415.843409003983</v>
      </c>
      <c r="K531" s="1104"/>
      <c r="L531" s="1125"/>
      <c r="M531" s="1104"/>
      <c r="N531" s="1104" t="str">
        <f>"(Average of Line "&amp;A529&amp;" &amp; Line "&amp;A530&amp;")"</f>
        <v>(Average of Line 521 &amp; Line 522)</v>
      </c>
      <c r="O531" s="1104"/>
      <c r="P531" s="1104"/>
      <c r="Q531" s="1108">
        <f>(Q529+Q530)/2</f>
        <v>-25339.859346840083</v>
      </c>
    </row>
    <row r="532" spans="1:17" s="110" customFormat="1" ht="13.5" customHeight="1">
      <c r="A532" s="1064">
        <f t="shared" si="212"/>
        <v>524</v>
      </c>
      <c r="B532" s="1104" t="s">
        <v>1686</v>
      </c>
      <c r="C532" s="1104"/>
      <c r="D532" s="1104"/>
      <c r="E532" s="1104"/>
      <c r="F532" s="1104" t="s">
        <v>1807</v>
      </c>
      <c r="G532" s="1104"/>
      <c r="H532" s="1104"/>
      <c r="I532" s="1104"/>
      <c r="J532" s="1126">
        <f>AVERAGE(J511, (SUM(H512:H523)+J511))</f>
        <v>-14195.450653285838</v>
      </c>
      <c r="K532" s="1104"/>
      <c r="L532" s="1104"/>
      <c r="M532" s="1104"/>
      <c r="N532" s="1104" t="s">
        <v>1807</v>
      </c>
      <c r="O532" s="1104"/>
      <c r="P532" s="1104"/>
      <c r="Q532" s="1126">
        <f>AVERAGE(Q511, (SUM(L512:L523)+Q511))</f>
        <v>-25339.859346840083</v>
      </c>
    </row>
    <row r="533" spans="1:17" s="110" customFormat="1" ht="13.5" customHeight="1">
      <c r="A533" s="1064">
        <f t="shared" si="212"/>
        <v>525</v>
      </c>
      <c r="B533" s="1104" t="s">
        <v>1687</v>
      </c>
      <c r="C533" s="1104"/>
      <c r="D533" s="1104"/>
      <c r="E533" s="1104"/>
      <c r="F533" s="1104"/>
      <c r="G533" s="1104"/>
      <c r="H533" s="1104"/>
      <c r="I533" s="1104"/>
      <c r="J533" s="1123">
        <f>J531-J532</f>
        <v>-220.39275571814505</v>
      </c>
      <c r="K533" s="1104"/>
      <c r="L533" s="1104"/>
      <c r="M533" s="1104"/>
      <c r="N533" s="1104"/>
      <c r="O533" s="1104"/>
      <c r="P533" s="1104"/>
      <c r="Q533" s="1123">
        <f>Q531-Q532</f>
        <v>0</v>
      </c>
    </row>
    <row r="534" spans="1:17" s="1070" customFormat="1">
      <c r="A534" s="1128"/>
      <c r="B534" s="110"/>
      <c r="C534" s="110"/>
      <c r="D534" s="110"/>
      <c r="E534" s="110"/>
      <c r="F534" s="110"/>
      <c r="G534" s="110"/>
      <c r="H534" s="110"/>
      <c r="I534" s="110"/>
      <c r="J534" s="110"/>
      <c r="Q534" s="110"/>
    </row>
    <row r="535" spans="1:17" s="1070" customFormat="1">
      <c r="A535" s="1128"/>
    </row>
  </sheetData>
  <mergeCells count="101">
    <mergeCell ref="B9:E9"/>
    <mergeCell ref="B10:E10"/>
    <mergeCell ref="B11:F11"/>
    <mergeCell ref="H11:J11"/>
    <mergeCell ref="L11:Q11"/>
    <mergeCell ref="B15:E15"/>
    <mergeCell ref="B71:E71"/>
    <mergeCell ref="B72:E72"/>
    <mergeCell ref="B73:F73"/>
    <mergeCell ref="H73:J73"/>
    <mergeCell ref="L73:Q73"/>
    <mergeCell ref="B77:E77"/>
    <mergeCell ref="B40:E40"/>
    <mergeCell ref="B41:E41"/>
    <mergeCell ref="B42:F42"/>
    <mergeCell ref="H42:J42"/>
    <mergeCell ref="L42:Q42"/>
    <mergeCell ref="B46:E46"/>
    <mergeCell ref="B134:E134"/>
    <mergeCell ref="B135:F135"/>
    <mergeCell ref="H135:J135"/>
    <mergeCell ref="L135:Q135"/>
    <mergeCell ref="B139:E139"/>
    <mergeCell ref="B164:E164"/>
    <mergeCell ref="B103:F103"/>
    <mergeCell ref="B104:F104"/>
    <mergeCell ref="H104:J104"/>
    <mergeCell ref="L104:Q104"/>
    <mergeCell ref="B108:E108"/>
    <mergeCell ref="B133:E133"/>
    <mergeCell ref="B196:E196"/>
    <mergeCell ref="B197:F197"/>
    <mergeCell ref="H197:J197"/>
    <mergeCell ref="L197:Q197"/>
    <mergeCell ref="B201:E201"/>
    <mergeCell ref="B226:E226"/>
    <mergeCell ref="B165:E165"/>
    <mergeCell ref="B166:F166"/>
    <mergeCell ref="H166:J166"/>
    <mergeCell ref="L166:Q166"/>
    <mergeCell ref="B170:E170"/>
    <mergeCell ref="B195:E195"/>
    <mergeCell ref="B258:E258"/>
    <mergeCell ref="B259:F259"/>
    <mergeCell ref="H259:J259"/>
    <mergeCell ref="L259:Q259"/>
    <mergeCell ref="B263:E263"/>
    <mergeCell ref="B288:E288"/>
    <mergeCell ref="B227:E227"/>
    <mergeCell ref="B228:F228"/>
    <mergeCell ref="H228:J228"/>
    <mergeCell ref="L228:Q228"/>
    <mergeCell ref="B232:E232"/>
    <mergeCell ref="B257:E257"/>
    <mergeCell ref="B320:E320"/>
    <mergeCell ref="B321:F321"/>
    <mergeCell ref="H321:J321"/>
    <mergeCell ref="L321:Q321"/>
    <mergeCell ref="B325:E325"/>
    <mergeCell ref="B350:E350"/>
    <mergeCell ref="B289:E289"/>
    <mergeCell ref="B290:F290"/>
    <mergeCell ref="H290:J290"/>
    <mergeCell ref="L290:Q290"/>
    <mergeCell ref="B294:E294"/>
    <mergeCell ref="B319:E319"/>
    <mergeCell ref="B382:E382"/>
    <mergeCell ref="B383:F383"/>
    <mergeCell ref="H383:J383"/>
    <mergeCell ref="L383:Q383"/>
    <mergeCell ref="B387:E387"/>
    <mergeCell ref="B412:E412"/>
    <mergeCell ref="B351:E351"/>
    <mergeCell ref="B352:F352"/>
    <mergeCell ref="H352:J352"/>
    <mergeCell ref="L352:Q352"/>
    <mergeCell ref="B356:E356"/>
    <mergeCell ref="B381:E381"/>
    <mergeCell ref="B444:E444"/>
    <mergeCell ref="B445:F445"/>
    <mergeCell ref="H445:J445"/>
    <mergeCell ref="L445:Q445"/>
    <mergeCell ref="B449:E449"/>
    <mergeCell ref="B474:E474"/>
    <mergeCell ref="B413:E413"/>
    <mergeCell ref="B414:F414"/>
    <mergeCell ref="H414:J414"/>
    <mergeCell ref="L414:Q414"/>
    <mergeCell ref="B418:E418"/>
    <mergeCell ref="B443:E443"/>
    <mergeCell ref="B506:E506"/>
    <mergeCell ref="B507:F507"/>
    <mergeCell ref="H507:J507"/>
    <mergeCell ref="L507:Q507"/>
    <mergeCell ref="B511:E511"/>
    <mergeCell ref="B475:E475"/>
    <mergeCell ref="B476:F476"/>
    <mergeCell ref="H476:J476"/>
    <mergeCell ref="L476:Q476"/>
    <mergeCell ref="B480:E480"/>
    <mergeCell ref="B505:E505"/>
  </mergeCells>
  <pageMargins left="0.7" right="0.7" top="0.75" bottom="0.75" header="0.3" footer="0.3"/>
  <pageSetup scale="38" orientation="portrait" r:id="rId1"/>
  <rowBreaks count="4" manualBreakCount="4">
    <brk id="121" max="16" man="1"/>
    <brk id="254" max="16383" man="1"/>
    <brk id="380" max="16383" man="1"/>
    <brk id="5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121"/>
  <sheetViews>
    <sheetView view="pageBreakPreview" zoomScaleNormal="100" zoomScaleSheetLayoutView="100" workbookViewId="0">
      <selection activeCell="Z34" sqref="Z34"/>
    </sheetView>
  </sheetViews>
  <sheetFormatPr defaultRowHeight="12.75"/>
  <cols>
    <col min="1" max="1" width="9.28515625" bestFit="1" customWidth="1"/>
    <col min="2" max="2" width="39.85546875" customWidth="1"/>
    <col min="3" max="3" width="25.42578125" style="118" customWidth="1"/>
    <col min="4" max="4" width="2.7109375" customWidth="1"/>
    <col min="5" max="5" width="19" style="118" bestFit="1" customWidth="1"/>
    <col min="6" max="6" width="2.7109375" style="118" customWidth="1"/>
    <col min="7" max="7" width="19.85546875" bestFit="1" customWidth="1"/>
    <col min="8" max="8" width="2.7109375" customWidth="1"/>
    <col min="9" max="9" width="15.42578125" bestFit="1" customWidth="1"/>
    <col min="10" max="10" width="12.28515625" bestFit="1" customWidth="1"/>
    <col min="11" max="11" width="13.7109375" bestFit="1" customWidth="1"/>
    <col min="12" max="12" width="3.28515625" bestFit="1" customWidth="1"/>
    <col min="13" max="13" width="15.42578125" bestFit="1" customWidth="1"/>
    <col min="14" max="14" width="15" bestFit="1" customWidth="1"/>
  </cols>
  <sheetData>
    <row r="1" spans="1:14" ht="15">
      <c r="A1" s="99" t="str">
        <f>'Cover Page'!A5</f>
        <v>Public Service Company of Colorado</v>
      </c>
      <c r="I1" s="312"/>
      <c r="J1" s="577" t="str">
        <f>'Table of Contents'!A11</f>
        <v>Table 3</v>
      </c>
      <c r="L1" s="133"/>
    </row>
    <row r="2" spans="1:14">
      <c r="A2" s="99" t="str">
        <f>'Cover Page'!A6</f>
        <v>Transmission Formula Rate Template</v>
      </c>
      <c r="J2" s="577" t="str">
        <f ca="1">MID(CELL("filename",$A$1),FIND("]",CELL("filename",$A$1))+1,LEN(CELL("filename",$A$1))-FIND("]",CELL("filename",$A$1)))</f>
        <v>Actual Rates</v>
      </c>
      <c r="L2" s="133"/>
    </row>
    <row r="3" spans="1:14">
      <c r="A3" s="99" t="str">
        <f>'Cover Page'!A7</f>
        <v>Twelve Months Ended December 31, 2017</v>
      </c>
      <c r="J3" s="110"/>
      <c r="L3" s="133"/>
    </row>
    <row r="4" spans="1:14">
      <c r="A4" s="99" t="s">
        <v>856</v>
      </c>
      <c r="L4" s="133"/>
    </row>
    <row r="5" spans="1:14">
      <c r="A5" s="99"/>
      <c r="L5" s="133"/>
    </row>
    <row r="6" spans="1:14">
      <c r="D6" s="136"/>
    </row>
    <row r="7" spans="1:14">
      <c r="A7" s="106"/>
      <c r="C7"/>
      <c r="E7"/>
      <c r="F7"/>
      <c r="K7" s="113"/>
      <c r="N7" s="277"/>
    </row>
    <row r="8" spans="1:14" ht="38.25">
      <c r="A8" s="2" t="s">
        <v>862</v>
      </c>
      <c r="B8" s="2" t="s">
        <v>912</v>
      </c>
      <c r="C8" s="2" t="s">
        <v>864</v>
      </c>
      <c r="D8" s="2"/>
      <c r="E8" s="185" t="s">
        <v>848</v>
      </c>
      <c r="F8" s="146"/>
      <c r="G8" s="185" t="s">
        <v>1092</v>
      </c>
      <c r="H8" s="274"/>
      <c r="I8" s="185" t="s">
        <v>1093</v>
      </c>
      <c r="K8" s="113"/>
      <c r="N8" s="277"/>
    </row>
    <row r="9" spans="1:14">
      <c r="A9" s="79"/>
      <c r="B9" s="332" t="s">
        <v>352</v>
      </c>
      <c r="C9" s="332" t="s">
        <v>353</v>
      </c>
      <c r="D9" s="332"/>
      <c r="E9" s="332" t="s">
        <v>354</v>
      </c>
      <c r="F9" s="332"/>
      <c r="G9" s="332" t="s">
        <v>355</v>
      </c>
      <c r="H9" s="110"/>
      <c r="I9" s="332" t="s">
        <v>847</v>
      </c>
    </row>
    <row r="10" spans="1:14">
      <c r="A10" s="79"/>
      <c r="B10" s="332"/>
      <c r="C10" s="332"/>
      <c r="D10" s="332"/>
      <c r="E10" s="332"/>
      <c r="F10" s="332"/>
    </row>
    <row r="11" spans="1:14">
      <c r="A11" s="80">
        <v>1</v>
      </c>
      <c r="B11" s="174" t="s">
        <v>863</v>
      </c>
      <c r="C11" s="332" t="s">
        <v>1091</v>
      </c>
      <c r="D11" s="332"/>
      <c r="E11" s="738">
        <f>'ATRR Act'!G145</f>
        <v>241477936.52535427</v>
      </c>
      <c r="F11" s="738"/>
      <c r="G11" s="529">
        <f>'Est. Rates'!E8</f>
        <v>249558943.05226737</v>
      </c>
      <c r="H11" s="277"/>
      <c r="I11" s="529">
        <f>IF(E11=0,0,E11-G11)</f>
        <v>-8081006.5269131064</v>
      </c>
    </row>
    <row r="12" spans="1:14">
      <c r="A12" s="106">
        <f>A11+1</f>
        <v>2</v>
      </c>
    </row>
    <row r="13" spans="1:14">
      <c r="A13" s="106">
        <f t="shared" ref="A13:A35" si="0">A12+1</f>
        <v>3</v>
      </c>
      <c r="B13" s="99" t="s">
        <v>868</v>
      </c>
      <c r="C13" s="80"/>
      <c r="D13" s="332"/>
      <c r="E13" s="79"/>
      <c r="F13" s="79"/>
      <c r="G13" s="508"/>
      <c r="H13" s="508"/>
    </row>
    <row r="14" spans="1:14">
      <c r="A14" s="106">
        <f t="shared" si="0"/>
        <v>4</v>
      </c>
      <c r="B14" s="79" t="s">
        <v>866</v>
      </c>
      <c r="C14" s="332" t="str">
        <f ca="1">'WP_I-1'!S2&amp;" Line "&amp;'WP_I-1'!A56</f>
        <v>WP_I-1 Line 15</v>
      </c>
      <c r="D14" s="332"/>
      <c r="E14" s="465">
        <f>'WP_I-1'!M56</f>
        <v>5867958</v>
      </c>
      <c r="F14" s="465"/>
      <c r="G14" s="507">
        <f>'Est. Rates'!E16</f>
        <v>5935959</v>
      </c>
      <c r="H14" s="507"/>
      <c r="I14" s="135">
        <f>IF(E14=0,0,E14-G14)</f>
        <v>-68001</v>
      </c>
    </row>
    <row r="15" spans="1:14">
      <c r="A15" s="106">
        <f t="shared" si="0"/>
        <v>5</v>
      </c>
      <c r="B15" s="79"/>
      <c r="C15" s="80"/>
      <c r="D15" s="332"/>
      <c r="E15" s="79"/>
      <c r="F15" s="79"/>
      <c r="G15" s="79"/>
      <c r="H15" s="79"/>
    </row>
    <row r="16" spans="1:14">
      <c r="A16" s="106">
        <f t="shared" si="0"/>
        <v>6</v>
      </c>
      <c r="B16" s="99" t="s">
        <v>191</v>
      </c>
      <c r="C16" s="80"/>
      <c r="D16" s="332"/>
      <c r="E16" s="79"/>
      <c r="F16" s="79"/>
      <c r="G16" s="79"/>
      <c r="H16" s="79"/>
    </row>
    <row r="17" spans="1:10">
      <c r="A17" s="106">
        <f t="shared" si="0"/>
        <v>7</v>
      </c>
      <c r="B17" s="79" t="s">
        <v>392</v>
      </c>
      <c r="C17" s="332" t="str">
        <f>"Line "&amp;A11&amp;" / Line "&amp;A14</f>
        <v>Line 1 / Line 4</v>
      </c>
      <c r="D17" s="332"/>
      <c r="E17" s="473">
        <f>IF(E14=0,0,ROUND(E11/E14,3))</f>
        <v>41.152000000000001</v>
      </c>
      <c r="F17" s="473"/>
      <c r="G17" s="473">
        <f>IF(G14=0,0,ROUND(G11/G14,3))</f>
        <v>42.042000000000002</v>
      </c>
      <c r="I17" s="739">
        <f>IF(E17=0,0,E17-G17)</f>
        <v>-0.89000000000000057</v>
      </c>
      <c r="J17" s="79" t="s">
        <v>505</v>
      </c>
    </row>
    <row r="18" spans="1:10">
      <c r="A18" s="106">
        <f t="shared" si="0"/>
        <v>8</v>
      </c>
      <c r="B18" s="79"/>
      <c r="C18" s="332"/>
      <c r="D18" s="332"/>
      <c r="E18" s="473"/>
      <c r="F18" s="473"/>
      <c r="G18" s="473"/>
      <c r="I18" s="739"/>
      <c r="J18" s="79"/>
    </row>
    <row r="19" spans="1:10">
      <c r="A19" s="106">
        <f t="shared" si="0"/>
        <v>9</v>
      </c>
      <c r="B19" s="79" t="s">
        <v>393</v>
      </c>
      <c r="C19" s="332" t="str">
        <f>"Line "&amp;A17&amp;" / 12"</f>
        <v>Line 7 / 12</v>
      </c>
      <c r="D19" s="332"/>
      <c r="E19" s="473">
        <f>ROUND(E17/12,3)</f>
        <v>3.4289999999999998</v>
      </c>
      <c r="F19" s="473"/>
      <c r="G19" s="473">
        <f>ROUND(G17/12,3)</f>
        <v>3.504</v>
      </c>
      <c r="I19" s="760">
        <f>IF(E19=0,0,E19-G19)</f>
        <v>-7.5000000000000178E-2</v>
      </c>
      <c r="J19" s="79" t="s">
        <v>120</v>
      </c>
    </row>
    <row r="20" spans="1:10">
      <c r="A20" s="106">
        <f t="shared" si="0"/>
        <v>10</v>
      </c>
      <c r="B20" s="79"/>
      <c r="C20" s="332"/>
      <c r="D20" s="332"/>
      <c r="E20" s="332"/>
      <c r="F20" s="332"/>
      <c r="G20" s="332"/>
      <c r="I20" s="760"/>
      <c r="J20" s="79"/>
    </row>
    <row r="21" spans="1:10">
      <c r="A21" s="106">
        <f t="shared" si="0"/>
        <v>11</v>
      </c>
      <c r="B21" s="79" t="s">
        <v>106</v>
      </c>
      <c r="C21" s="332" t="str">
        <f>"Line "&amp;A17&amp;" / 52"</f>
        <v>Line 7 / 52</v>
      </c>
      <c r="D21" s="332"/>
      <c r="E21" s="473">
        <f>ROUND(E17/52,3)</f>
        <v>0.79100000000000004</v>
      </c>
      <c r="F21" s="473"/>
      <c r="G21" s="473">
        <f>ROUND(G17/52,3)</f>
        <v>0.80900000000000005</v>
      </c>
      <c r="I21" s="760">
        <f>IF(E21=0,0,E21-G21)</f>
        <v>-1.8000000000000016E-2</v>
      </c>
      <c r="J21" s="79" t="s">
        <v>121</v>
      </c>
    </row>
    <row r="22" spans="1:10">
      <c r="A22" s="106">
        <f t="shared" si="0"/>
        <v>12</v>
      </c>
      <c r="B22" s="79" t="s">
        <v>107</v>
      </c>
      <c r="C22" s="332" t="str">
        <f>"Line "&amp;A21&amp;" / 6"</f>
        <v>Line 11 / 6</v>
      </c>
      <c r="D22" s="332"/>
      <c r="E22" s="473">
        <f>ROUND(E21/6,3)</f>
        <v>0.13200000000000001</v>
      </c>
      <c r="F22" s="473"/>
      <c r="G22" s="473">
        <f>ROUND(G21/6,3)</f>
        <v>0.13500000000000001</v>
      </c>
      <c r="I22" s="760">
        <f>IF(E22=0,0,E22-G22)</f>
        <v>-3.0000000000000027E-3</v>
      </c>
      <c r="J22" s="79" t="s">
        <v>122</v>
      </c>
    </row>
    <row r="23" spans="1:10" ht="25.5">
      <c r="A23" s="106">
        <f t="shared" si="0"/>
        <v>13</v>
      </c>
      <c r="B23" s="727" t="s">
        <v>108</v>
      </c>
      <c r="C23" s="332" t="str">
        <f>"(Line "&amp;A22&amp;" / 16) X 1,000"</f>
        <v>(Line 12 / 16) X 1,000</v>
      </c>
      <c r="D23" s="332"/>
      <c r="E23" s="473">
        <f>ROUND(E22/16*1000,3)</f>
        <v>8.25</v>
      </c>
      <c r="F23" s="473"/>
      <c r="G23" s="473">
        <f>ROUND(G22/16*1000,3)</f>
        <v>8.4380000000000006</v>
      </c>
      <c r="I23" s="760">
        <f>IF(E23=0,0,E23-G23)</f>
        <v>-0.18800000000000061</v>
      </c>
      <c r="J23" s="79" t="s">
        <v>123</v>
      </c>
    </row>
    <row r="24" spans="1:10">
      <c r="A24" s="106">
        <f t="shared" si="0"/>
        <v>14</v>
      </c>
      <c r="B24" s="79" t="s">
        <v>109</v>
      </c>
      <c r="C24" s="332" t="str">
        <f>"((Line "&amp;A21&amp;" / 7) / 24) X 1,000"</f>
        <v>((Line 11 / 7) / 24) X 1,000</v>
      </c>
      <c r="D24" s="332"/>
      <c r="E24" s="473">
        <f>ROUND(((ROUND(E21/7,5)))/24*1000,2)</f>
        <v>4.71</v>
      </c>
      <c r="F24" s="473"/>
      <c r="G24" s="473">
        <f>ROUND(((ROUND(G21/7,5)))/24*1000,2)</f>
        <v>4.82</v>
      </c>
      <c r="I24" s="760">
        <f>IF(E24=0,0,E24-G24)</f>
        <v>-0.11000000000000032</v>
      </c>
      <c r="J24" s="79" t="s">
        <v>123</v>
      </c>
    </row>
    <row r="25" spans="1:10">
      <c r="A25" s="106">
        <f t="shared" si="0"/>
        <v>15</v>
      </c>
    </row>
    <row r="26" spans="1:10">
      <c r="A26" s="106">
        <f t="shared" si="0"/>
        <v>16</v>
      </c>
    </row>
    <row r="27" spans="1:10">
      <c r="A27" s="106">
        <f t="shared" si="0"/>
        <v>17</v>
      </c>
      <c r="B27" s="1211" t="s">
        <v>1094</v>
      </c>
      <c r="C27" s="1211"/>
      <c r="D27" s="1211"/>
      <c r="E27" s="1211"/>
      <c r="F27" s="1211"/>
      <c r="G27" s="1211"/>
      <c r="H27" s="1211"/>
      <c r="I27" s="1211"/>
    </row>
    <row r="28" spans="1:10">
      <c r="A28" s="106">
        <f t="shared" si="0"/>
        <v>18</v>
      </c>
    </row>
    <row r="29" spans="1:10">
      <c r="A29" s="106">
        <f t="shared" si="0"/>
        <v>19</v>
      </c>
      <c r="B29" s="131" t="s">
        <v>119</v>
      </c>
      <c r="C29" s="332"/>
    </row>
    <row r="30" spans="1:10">
      <c r="A30" s="106">
        <f t="shared" si="0"/>
        <v>20</v>
      </c>
      <c r="B30" s="307" t="s">
        <v>127</v>
      </c>
      <c r="C30" s="332" t="str">
        <f ca="1">'Schedule 1'!$D$2&amp;" Line "&amp;'Schedule 1'!A49&amp;" &amp; "&amp;'Schedule 1'!A26</f>
        <v>Schedule 1 Line 41 &amp; 18</v>
      </c>
      <c r="E30" s="755">
        <f>'Schedule 1'!D49</f>
        <v>5.5E-2</v>
      </c>
      <c r="G30" s="739">
        <f>'Est. Rates'!E34</f>
        <v>5.6000000000000001E-2</v>
      </c>
      <c r="H30" s="739"/>
      <c r="I30" s="739">
        <f t="shared" ref="I30:I35" si="1">IF(E30=0,0,E30-G30)</f>
        <v>-1.0000000000000009E-3</v>
      </c>
      <c r="J30" s="79" t="s">
        <v>120</v>
      </c>
    </row>
    <row r="31" spans="1:10">
      <c r="A31" s="106">
        <f t="shared" si="0"/>
        <v>21</v>
      </c>
      <c r="B31" s="307" t="s">
        <v>128</v>
      </c>
      <c r="C31" s="332" t="str">
        <f ca="1">'Schedule 1'!$D$2&amp;" Line "&amp;'Schedule 1'!A50&amp;" &amp; "&amp;'Schedule 1'!A27</f>
        <v>Schedule 1 Line 42 &amp; 19</v>
      </c>
      <c r="E31" s="755">
        <f>'Schedule 1'!D50</f>
        <v>1.2999999999999999E-2</v>
      </c>
      <c r="G31" s="739">
        <f>'Est. Rates'!E35</f>
        <v>1.2999999999999999E-2</v>
      </c>
      <c r="H31" s="739"/>
      <c r="I31" s="739">
        <f t="shared" si="1"/>
        <v>0</v>
      </c>
      <c r="J31" s="79" t="s">
        <v>121</v>
      </c>
    </row>
    <row r="32" spans="1:10">
      <c r="A32" s="106">
        <f t="shared" si="0"/>
        <v>22</v>
      </c>
      <c r="B32" s="307" t="s">
        <v>129</v>
      </c>
      <c r="C32" s="332" t="str">
        <f ca="1">'Schedule 1'!$D$2&amp;" Line "&amp;'Schedule 1'!A51&amp;" &amp; "&amp;'Schedule 1'!A28</f>
        <v>Schedule 1 Line 43 &amp; 20</v>
      </c>
      <c r="E32" s="755">
        <f>'Schedule 1'!D51</f>
        <v>2E-3</v>
      </c>
      <c r="G32" s="739">
        <f>'Est. Rates'!E36</f>
        <v>2E-3</v>
      </c>
      <c r="H32" s="739"/>
      <c r="I32" s="739">
        <f t="shared" si="1"/>
        <v>0</v>
      </c>
      <c r="J32" s="79" t="s">
        <v>122</v>
      </c>
    </row>
    <row r="33" spans="1:10">
      <c r="A33" s="106">
        <f t="shared" si="0"/>
        <v>23</v>
      </c>
      <c r="B33" s="307" t="s">
        <v>130</v>
      </c>
      <c r="C33" s="332" t="str">
        <f ca="1">'Schedule 1'!$D$2&amp;" Line "&amp;'Schedule 1'!A52&amp;" &amp; "&amp;'Schedule 1'!A29</f>
        <v>Schedule 1 Line 44 &amp; 21</v>
      </c>
      <c r="E33" s="755">
        <f>'Schedule 1'!D52</f>
        <v>7.4999999999999997E-2</v>
      </c>
      <c r="G33" s="739">
        <f>'Est. Rates'!E37</f>
        <v>7.6999999999999999E-2</v>
      </c>
      <c r="H33" s="739"/>
      <c r="I33" s="739">
        <f t="shared" si="1"/>
        <v>-2.0000000000000018E-3</v>
      </c>
      <c r="J33" s="79" t="s">
        <v>123</v>
      </c>
    </row>
    <row r="34" spans="1:10">
      <c r="A34" s="106">
        <f t="shared" si="0"/>
        <v>24</v>
      </c>
      <c r="B34" s="307" t="s">
        <v>131</v>
      </c>
      <c r="C34" s="332" t="str">
        <f ca="1">'Schedule 1'!$D$2&amp;" Line "&amp;'Schedule 1'!A49&amp;" &amp; "&amp;'Schedule 1'!A26</f>
        <v>Schedule 1 Line 41 &amp; 18</v>
      </c>
      <c r="E34" s="755">
        <f>'Schedule 1'!D49</f>
        <v>5.5E-2</v>
      </c>
      <c r="G34" s="739">
        <f>'Est. Rates'!E38</f>
        <v>5.6000000000000001E-2</v>
      </c>
      <c r="H34" s="739"/>
      <c r="I34" s="739">
        <f t="shared" si="1"/>
        <v>-1.0000000000000009E-3</v>
      </c>
      <c r="J34" s="79" t="s">
        <v>120</v>
      </c>
    </row>
    <row r="35" spans="1:10">
      <c r="A35" s="106">
        <f t="shared" si="0"/>
        <v>25</v>
      </c>
      <c r="B35" s="307" t="s">
        <v>1246</v>
      </c>
      <c r="C35" s="332" t="str">
        <f ca="1">'Schedule 1'!$D$2&amp;" Line "&amp;'Schedule 1'!A49&amp;" &amp; "&amp;'Schedule 1'!A26</f>
        <v>Schedule 1 Line 41 &amp; 18</v>
      </c>
      <c r="E35" s="755">
        <f>E30</f>
        <v>5.5E-2</v>
      </c>
      <c r="G35" s="739">
        <f>'Est. Rates'!E39</f>
        <v>5.6000000000000001E-2</v>
      </c>
      <c r="H35" s="739"/>
      <c r="I35" s="739">
        <f t="shared" si="1"/>
        <v>-1.0000000000000009E-3</v>
      </c>
      <c r="J35" s="79" t="s">
        <v>120</v>
      </c>
    </row>
    <row r="36" spans="1:10">
      <c r="C36" s="772"/>
    </row>
    <row r="38" spans="1:10" ht="27.75" customHeight="1">
      <c r="B38" s="1213" t="s">
        <v>556</v>
      </c>
      <c r="C38" s="1213"/>
      <c r="D38" s="1213"/>
      <c r="E38" s="1213"/>
      <c r="F38" s="1213"/>
      <c r="G38" s="1213"/>
      <c r="H38" s="1213"/>
      <c r="I38" s="1213"/>
    </row>
    <row r="39" spans="1:10">
      <c r="B39" t="s">
        <v>1095</v>
      </c>
    </row>
    <row r="121" spans="1:2">
      <c r="A121" s="110"/>
      <c r="B121" s="110"/>
    </row>
  </sheetData>
  <mergeCells count="2">
    <mergeCell ref="B27:I27"/>
    <mergeCell ref="B38:I38"/>
  </mergeCells>
  <phoneticPr fontId="0" type="noConversion"/>
  <pageMargins left="0.75" right="0.5" top="0.75" bottom="0.75" header="0.5" footer="0.5"/>
  <pageSetup scale="63" firstPageNumber="7" orientation="portrait" cellComments="atEnd" r:id="rId1"/>
  <headerFooter alignWithMargins="0">
    <oddHeader>&amp;RPage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50"/>
  <sheetViews>
    <sheetView view="pageBreakPreview" topLeftCell="A185" zoomScale="60" zoomScaleNormal="70" workbookViewId="0">
      <selection activeCell="Z34" sqref="Z34"/>
    </sheetView>
  </sheetViews>
  <sheetFormatPr defaultRowHeight="12.75"/>
  <cols>
    <col min="1" max="1" width="10.42578125" style="73" customWidth="1"/>
    <col min="2" max="2" width="53.140625" style="73" customWidth="1"/>
    <col min="3" max="3" width="36.28515625" style="73" customWidth="1"/>
    <col min="4" max="4" width="18" style="73" bestFit="1" customWidth="1"/>
    <col min="5" max="5" width="7.5703125" style="73" customWidth="1"/>
    <col min="6" max="6" width="9.42578125" style="73" customWidth="1"/>
    <col min="7" max="7" width="25.28515625" style="73" customWidth="1"/>
    <col min="8" max="16384" width="9.140625" style="73"/>
  </cols>
  <sheetData>
    <row r="1" spans="1:7">
      <c r="A1" s="74" t="str">
        <f>'Cover Page'!A5</f>
        <v>Public Service Company of Colorado</v>
      </c>
      <c r="B1" s="6"/>
      <c r="C1" s="6"/>
      <c r="D1" s="7"/>
      <c r="E1" s="8"/>
      <c r="F1" s="6"/>
      <c r="G1" s="364" t="str">
        <f>'Table of Contents'!A12</f>
        <v>Table 4</v>
      </c>
    </row>
    <row r="2" spans="1:7">
      <c r="A2" s="74" t="str">
        <f>'Cover Page'!A6</f>
        <v>Transmission Formula Rate Template</v>
      </c>
      <c r="B2" s="10"/>
      <c r="C2" s="11"/>
      <c r="D2" s="12"/>
      <c r="E2" s="8"/>
      <c r="F2" s="13"/>
      <c r="G2" s="133" t="str">
        <f ca="1">MID(CELL("filename",$A$1),FIND("]",CELL("filename",$A$1))+1,LEN(CELL("filename",$A$1))-FIND("]",CELL("filename",$A$1)))</f>
        <v>ATRR Est.</v>
      </c>
    </row>
    <row r="3" spans="1:7">
      <c r="A3" s="74" t="str">
        <f>'Cover Page'!A7</f>
        <v>Twelve Months Ended December 31, 2017</v>
      </c>
      <c r="B3" s="5"/>
      <c r="C3" s="8"/>
      <c r="D3" s="8"/>
      <c r="E3" s="14"/>
      <c r="F3" s="14"/>
      <c r="G3" s="9"/>
    </row>
    <row r="4" spans="1:7">
      <c r="A4" s="470" t="s">
        <v>504</v>
      </c>
      <c r="B4" s="15"/>
      <c r="C4" s="9"/>
      <c r="D4" s="16"/>
      <c r="E4" s="9"/>
      <c r="F4" s="9"/>
      <c r="G4" s="8"/>
    </row>
    <row r="5" spans="1:7">
      <c r="A5" s="470"/>
      <c r="B5" s="15"/>
      <c r="C5" s="9"/>
      <c r="D5" s="16"/>
      <c r="E5" s="9"/>
      <c r="F5" s="9"/>
      <c r="G5" s="8"/>
    </row>
    <row r="6" spans="1:7">
      <c r="A6" s="18"/>
      <c r="B6" s="15"/>
      <c r="C6" s="9"/>
      <c r="D6" s="16"/>
      <c r="E6" s="9"/>
      <c r="F6" s="9"/>
      <c r="G6" s="8"/>
    </row>
    <row r="7" spans="1:7">
      <c r="A7" s="86" t="s">
        <v>862</v>
      </c>
      <c r="B7" s="773" t="s">
        <v>537</v>
      </c>
      <c r="C7" s="774" t="s">
        <v>869</v>
      </c>
      <c r="D7" s="773" t="s">
        <v>790</v>
      </c>
      <c r="E7" s="1214" t="s">
        <v>1305</v>
      </c>
      <c r="F7" s="1215"/>
      <c r="G7" s="773" t="s">
        <v>789</v>
      </c>
    </row>
    <row r="8" spans="1:7">
      <c r="B8" s="76" t="s">
        <v>352</v>
      </c>
      <c r="C8" s="76" t="s">
        <v>353</v>
      </c>
      <c r="D8" s="76" t="s">
        <v>354</v>
      </c>
      <c r="E8" s="1216" t="s">
        <v>355</v>
      </c>
      <c r="F8" s="1217"/>
      <c r="G8" s="775" t="s">
        <v>356</v>
      </c>
    </row>
    <row r="9" spans="1:7">
      <c r="A9" s="18">
        <v>1</v>
      </c>
      <c r="B9" s="6" t="s">
        <v>692</v>
      </c>
      <c r="C9" s="19" t="s">
        <v>571</v>
      </c>
      <c r="D9" s="13"/>
      <c r="E9" s="13"/>
      <c r="F9" s="13"/>
      <c r="G9" s="13"/>
    </row>
    <row r="10" spans="1:7">
      <c r="A10" s="76">
        <f>A9+1</f>
        <v>2</v>
      </c>
      <c r="B10" s="20" t="s">
        <v>800</v>
      </c>
      <c r="C10" s="21" t="str">
        <f ca="1">'WP_B-1'!$G$2&amp;" Col. (d), Line "&amp;'WP_B-1'!A11</f>
        <v>WP_B-1 Col. (d), Line 2</v>
      </c>
      <c r="D10" s="22">
        <f>'WP_B-1'!G11</f>
        <v>5434693488.5123091</v>
      </c>
      <c r="E10" s="49" t="s">
        <v>801</v>
      </c>
      <c r="F10" s="87">
        <v>0</v>
      </c>
      <c r="G10" s="583">
        <f t="shared" ref="G10:G16" si="0">D10*F10</f>
        <v>0</v>
      </c>
    </row>
    <row r="11" spans="1:7">
      <c r="A11" s="76">
        <f t="shared" ref="A11:A76" si="1">A10+1</f>
        <v>3</v>
      </c>
      <c r="B11" s="24" t="s">
        <v>802</v>
      </c>
      <c r="C11" s="21" t="str">
        <f ca="1">'WP_B-1'!$G$2&amp;" Col. (d), Line "&amp;'WP_B-1'!A12</f>
        <v>WP_B-1 Col. (d), Line 3</v>
      </c>
      <c r="D11" s="25">
        <f>'WP_B-1'!G12</f>
        <v>2095671147.7146161</v>
      </c>
      <c r="E11" s="88" t="s">
        <v>803</v>
      </c>
      <c r="F11" s="89">
        <v>1</v>
      </c>
      <c r="G11" s="21">
        <f t="shared" si="0"/>
        <v>2095671147.7146161</v>
      </c>
    </row>
    <row r="12" spans="1:7">
      <c r="A12" s="76">
        <f t="shared" si="1"/>
        <v>4</v>
      </c>
      <c r="B12" s="26" t="s">
        <v>804</v>
      </c>
      <c r="C12" s="21" t="str">
        <f ca="1">'WP_B-1'!$G$2&amp;" Col. (d), Line "&amp;'WP_B-1'!A13</f>
        <v>WP_B-1 Col. (d), Line 4</v>
      </c>
      <c r="D12" s="22">
        <f>'WP_B-1'!G13</f>
        <v>4677585442.1253843</v>
      </c>
      <c r="E12" s="49" t="s">
        <v>801</v>
      </c>
      <c r="F12" s="87">
        <v>0</v>
      </c>
      <c r="G12" s="583">
        <f t="shared" si="0"/>
        <v>0</v>
      </c>
    </row>
    <row r="13" spans="1:7">
      <c r="A13" s="76">
        <f t="shared" si="1"/>
        <v>5</v>
      </c>
      <c r="B13" s="26" t="s">
        <v>805</v>
      </c>
      <c r="C13" s="21" t="str">
        <f ca="1">'WP_B-1'!$G$2&amp;" Col. (d), Line "&amp;'WP_B-1'!A14</f>
        <v>WP_B-1 Col. (d), Line 5</v>
      </c>
      <c r="D13" s="22">
        <f>'WP_B-1'!G14</f>
        <v>252449523.83076912</v>
      </c>
      <c r="E13" s="49" t="s">
        <v>806</v>
      </c>
      <c r="F13" s="87">
        <f>WS</f>
        <v>0.11383</v>
      </c>
      <c r="G13" s="21">
        <f t="shared" si="0"/>
        <v>28736329.29765645</v>
      </c>
    </row>
    <row r="14" spans="1:7">
      <c r="A14" s="76">
        <f t="shared" si="1"/>
        <v>6</v>
      </c>
      <c r="B14" s="26" t="s">
        <v>807</v>
      </c>
      <c r="C14" s="21" t="str">
        <f ca="1">'WP_B-1'!$G$2&amp;" Col. (d), Line "&amp;'WP_B-1'!A15&amp;""</f>
        <v>WP_B-1 Col. (d), Line 6</v>
      </c>
      <c r="D14" s="32">
        <f>'WP_B-1'!G15</f>
        <v>80467697.383580402</v>
      </c>
      <c r="E14" s="49" t="s">
        <v>806</v>
      </c>
      <c r="F14" s="87">
        <f>WS</f>
        <v>0.11383</v>
      </c>
      <c r="G14" s="59">
        <f t="shared" si="0"/>
        <v>9159637.9931729566</v>
      </c>
    </row>
    <row r="15" spans="1:7">
      <c r="A15" s="76">
        <f t="shared" si="1"/>
        <v>7</v>
      </c>
      <c r="B15" s="124" t="s">
        <v>915</v>
      </c>
      <c r="C15" s="21" t="str">
        <f ca="1">'WP_B-1'!$G$2&amp;" Col. (d), Line "&amp;'WP_B-1'!A16</f>
        <v>WP_B-1 Col. (d), Line 7</v>
      </c>
      <c r="D15" s="32">
        <f>'WP_B-1'!G16</f>
        <v>366693823.37846154</v>
      </c>
      <c r="E15" s="49" t="s">
        <v>916</v>
      </c>
      <c r="F15" s="87">
        <f>CE</f>
        <v>8.1738818739999997E-2</v>
      </c>
      <c r="G15" s="59">
        <f t="shared" si="0"/>
        <v>29973119.962209642</v>
      </c>
    </row>
    <row r="16" spans="1:7">
      <c r="A16" s="76">
        <f t="shared" si="1"/>
        <v>8</v>
      </c>
      <c r="B16" s="124" t="s">
        <v>914</v>
      </c>
      <c r="C16" s="21" t="str">
        <f ca="1">'WP_B-1'!$G$2&amp;" Col. (d), Line "&amp;'WP_B-1'!A17</f>
        <v>WP_B-1 Col. (d), Line 8</v>
      </c>
      <c r="D16" s="63">
        <f>'WP_B-1'!G17</f>
        <v>442903703.36230761</v>
      </c>
      <c r="E16" s="49" t="s">
        <v>916</v>
      </c>
      <c r="F16" s="87">
        <f>CE</f>
        <v>8.1738818739999997E-2</v>
      </c>
      <c r="G16" s="84">
        <f t="shared" si="0"/>
        <v>36202425.528406389</v>
      </c>
    </row>
    <row r="17" spans="1:7">
      <c r="A17" s="76">
        <f t="shared" si="1"/>
        <v>9</v>
      </c>
      <c r="B17" s="6" t="s">
        <v>784</v>
      </c>
      <c r="C17" s="26" t="str">
        <f>"Sum Lines "&amp;A10&amp;" through "&amp;A16</f>
        <v>Sum Lines 2 through 8</v>
      </c>
      <c r="D17" s="22">
        <f>SUM(D10:D16)</f>
        <v>13350464826.30743</v>
      </c>
      <c r="E17" s="308"/>
      <c r="F17" s="308"/>
      <c r="G17" s="22">
        <f>SUM(G10:G16)</f>
        <v>2199742660.4960618</v>
      </c>
    </row>
    <row r="18" spans="1:7">
      <c r="A18" s="76">
        <f t="shared" si="1"/>
        <v>10</v>
      </c>
      <c r="B18" s="6"/>
      <c r="C18" s="26" t="s">
        <v>1303</v>
      </c>
      <c r="D18" s="22"/>
      <c r="E18" s="776" t="s">
        <v>1213</v>
      </c>
      <c r="F18" s="90">
        <f>IF(G17=0,0,G17/D17)</f>
        <v>0.16476899412231796</v>
      </c>
      <c r="G18" s="22"/>
    </row>
    <row r="19" spans="1:7">
      <c r="A19" s="76">
        <f t="shared" si="1"/>
        <v>11</v>
      </c>
      <c r="B19" s="6"/>
      <c r="C19" s="21"/>
      <c r="D19" s="22"/>
      <c r="E19" s="330"/>
      <c r="F19" s="87"/>
      <c r="G19" s="22"/>
    </row>
    <row r="20" spans="1:7">
      <c r="A20" s="76">
        <f t="shared" si="1"/>
        <v>12</v>
      </c>
      <c r="B20" s="6" t="s">
        <v>693</v>
      </c>
      <c r="C20" s="19" t="s">
        <v>571</v>
      </c>
      <c r="D20" s="22"/>
      <c r="E20" s="49"/>
      <c r="F20" s="87"/>
      <c r="G20" s="22"/>
    </row>
    <row r="21" spans="1:7">
      <c r="A21" s="76">
        <f t="shared" si="1"/>
        <v>13</v>
      </c>
      <c r="B21" s="20" t="s">
        <v>800</v>
      </c>
      <c r="C21" s="21" t="str">
        <f ca="1">'WP_B-1'!$G$2&amp;" Col. (d), Line "&amp;'WP_B-1'!A21</f>
        <v>WP_B-1 Col. (d), Line 12</v>
      </c>
      <c r="D21" s="22">
        <f>'WP_B-1'!G21</f>
        <v>1743183834.547241</v>
      </c>
      <c r="E21" s="49" t="s">
        <v>801</v>
      </c>
      <c r="F21" s="87">
        <v>0</v>
      </c>
      <c r="G21" s="25">
        <f>D21*F21</f>
        <v>0</v>
      </c>
    </row>
    <row r="22" spans="1:7">
      <c r="A22" s="76">
        <f t="shared" si="1"/>
        <v>14</v>
      </c>
      <c r="B22" s="24" t="s">
        <v>802</v>
      </c>
      <c r="C22" s="21" t="str">
        <f ca="1">'WP_B-1'!$G$2&amp;" Col. (d), Line "&amp;'WP_B-1'!A22</f>
        <v>WP_B-1 Col. (d), Line 13</v>
      </c>
      <c r="D22" s="22">
        <f>'WP_B-1'!G22</f>
        <v>455513155.7812205</v>
      </c>
      <c r="E22" s="88" t="s">
        <v>803</v>
      </c>
      <c r="F22" s="89">
        <v>1</v>
      </c>
      <c r="G22" s="25">
        <f t="shared" ref="G22:G27" si="2">D22*F22</f>
        <v>455513155.7812205</v>
      </c>
    </row>
    <row r="23" spans="1:7">
      <c r="A23" s="76">
        <f t="shared" si="1"/>
        <v>15</v>
      </c>
      <c r="B23" s="26" t="s">
        <v>804</v>
      </c>
      <c r="C23" s="21" t="str">
        <f ca="1">'WP_B-1'!$G$2&amp;" Col. (d), Line "&amp;'WP_B-1'!A23</f>
        <v>WP_B-1 Col. (d), Line 14</v>
      </c>
      <c r="D23" s="22">
        <f>'WP_B-1'!G23</f>
        <v>1380715421.0853996</v>
      </c>
      <c r="E23" s="49" t="s">
        <v>801</v>
      </c>
      <c r="F23" s="87">
        <v>0</v>
      </c>
      <c r="G23" s="25">
        <f t="shared" si="2"/>
        <v>0</v>
      </c>
    </row>
    <row r="24" spans="1:7">
      <c r="A24" s="76">
        <f t="shared" si="1"/>
        <v>16</v>
      </c>
      <c r="B24" s="26" t="s">
        <v>805</v>
      </c>
      <c r="C24" s="21" t="str">
        <f ca="1">'WP_B-1'!$G$2&amp;" Col. (d), Line "&amp;'WP_B-1'!A24</f>
        <v>WP_B-1 Col. (d), Line 15</v>
      </c>
      <c r="D24" s="22">
        <f>'WP_B-1'!G24</f>
        <v>96520210.720844299</v>
      </c>
      <c r="E24" s="49" t="s">
        <v>806</v>
      </c>
      <c r="F24" s="87">
        <f>WS</f>
        <v>0.11383</v>
      </c>
      <c r="G24" s="25">
        <f t="shared" si="2"/>
        <v>10986895.586353706</v>
      </c>
    </row>
    <row r="25" spans="1:7">
      <c r="A25" s="76">
        <f t="shared" si="1"/>
        <v>17</v>
      </c>
      <c r="B25" s="26" t="s">
        <v>807</v>
      </c>
      <c r="C25" s="21" t="str">
        <f ca="1">'WP_B-1'!$G$2&amp;" Col. (d), Line "&amp;'WP_B-1'!A25</f>
        <v>WP_B-1 Col. (d), Line 16</v>
      </c>
      <c r="D25" s="22">
        <f>'WP_B-1'!G25</f>
        <v>46524046.494615391</v>
      </c>
      <c r="E25" s="49" t="s">
        <v>806</v>
      </c>
      <c r="F25" s="87">
        <f>WS</f>
        <v>0.11383</v>
      </c>
      <c r="G25" s="25">
        <f t="shared" si="2"/>
        <v>5295832.2124820696</v>
      </c>
    </row>
    <row r="26" spans="1:7">
      <c r="A26" s="76">
        <f t="shared" si="1"/>
        <v>18</v>
      </c>
      <c r="B26" s="124" t="s">
        <v>915</v>
      </c>
      <c r="C26" s="21" t="str">
        <f ca="1">'WP_B-1'!$G$2&amp;" Col. (d), Line "&amp;'WP_B-1'!A26</f>
        <v>WP_B-1 Col. (d), Line 17</v>
      </c>
      <c r="D26" s="32">
        <f>'WP_B-1'!G26</f>
        <v>201927632.3776924</v>
      </c>
      <c r="E26" s="49" t="s">
        <v>916</v>
      </c>
      <c r="F26" s="87">
        <f>CE</f>
        <v>8.1738818739999997E-2</v>
      </c>
      <c r="G26" s="25">
        <f t="shared" si="2"/>
        <v>16505326.141517553</v>
      </c>
    </row>
    <row r="27" spans="1:7">
      <c r="A27" s="76">
        <f t="shared" si="1"/>
        <v>19</v>
      </c>
      <c r="B27" s="124" t="s">
        <v>914</v>
      </c>
      <c r="C27" s="21" t="str">
        <f ca="1">'WP_B-1'!$G$2&amp;" Col. (d), Line "&amp;'WP_B-1'!A27</f>
        <v>WP_B-1 Col. (d), Line 18</v>
      </c>
      <c r="D27" s="63">
        <f>'WP_B-1'!G27</f>
        <v>202774915.35230771</v>
      </c>
      <c r="E27" s="49" t="s">
        <v>916</v>
      </c>
      <c r="F27" s="87">
        <f>CE</f>
        <v>8.1738818739999997E-2</v>
      </c>
      <c r="G27" s="81">
        <f t="shared" si="2"/>
        <v>16574582.051001122</v>
      </c>
    </row>
    <row r="28" spans="1:7">
      <c r="A28" s="76">
        <f t="shared" si="1"/>
        <v>20</v>
      </c>
      <c r="B28" s="6" t="s">
        <v>783</v>
      </c>
      <c r="C28" s="6" t="str">
        <f>"Sum Lines "&amp;A21&amp;" through "&amp;A27</f>
        <v>Sum Lines 13 through 19</v>
      </c>
      <c r="D28" s="22">
        <f>SUM(D21:D27)</f>
        <v>4127159216.3593211</v>
      </c>
      <c r="E28" s="49"/>
      <c r="F28" s="87"/>
      <c r="G28" s="22">
        <f>SUM(G21:G27)</f>
        <v>504875791.77257502</v>
      </c>
    </row>
    <row r="29" spans="1:7">
      <c r="A29" s="76">
        <f t="shared" si="1"/>
        <v>21</v>
      </c>
      <c r="B29" s="28"/>
      <c r="C29" s="21" t="s">
        <v>788</v>
      </c>
      <c r="D29" s="22"/>
      <c r="E29" s="49"/>
      <c r="F29" s="87"/>
      <c r="G29" s="22"/>
    </row>
    <row r="30" spans="1:7">
      <c r="A30" s="76">
        <f t="shared" si="1"/>
        <v>22</v>
      </c>
      <c r="B30" s="28" t="s">
        <v>350</v>
      </c>
      <c r="C30" s="19" t="s">
        <v>572</v>
      </c>
      <c r="D30" s="22"/>
      <c r="E30" s="49"/>
      <c r="F30" s="87"/>
      <c r="G30" s="22"/>
    </row>
    <row r="31" spans="1:7">
      <c r="A31" s="76">
        <f t="shared" si="1"/>
        <v>23</v>
      </c>
      <c r="B31" s="28" t="s">
        <v>1376</v>
      </c>
      <c r="C31" s="21" t="str">
        <f ca="1">'WP_B-4'!U2&amp;" Col.(i) Line "&amp;'WP_B-4'!A25</f>
        <v>WP_B-4 Col.(i) Line 15</v>
      </c>
      <c r="D31" s="22">
        <f>'WP_B-4'!M25</f>
        <v>175995926.64000005</v>
      </c>
      <c r="E31" s="49" t="s">
        <v>801</v>
      </c>
      <c r="F31" s="87">
        <v>0</v>
      </c>
      <c r="G31" s="22">
        <f>D31*F31</f>
        <v>0</v>
      </c>
    </row>
    <row r="32" spans="1:7">
      <c r="A32" s="76">
        <f t="shared" si="1"/>
        <v>24</v>
      </c>
      <c r="B32" s="28" t="s">
        <v>1377</v>
      </c>
      <c r="C32" s="21" t="str">
        <f ca="1">'WP_B-4'!U2&amp;" Col.(j) Line "&amp;'WP_B-4'!A25</f>
        <v>WP_B-4 Col.(j) Line 15</v>
      </c>
      <c r="D32" s="22">
        <f>'WP_B-4'!N25</f>
        <v>8910301.3599999994</v>
      </c>
      <c r="E32" s="49" t="s">
        <v>801</v>
      </c>
      <c r="F32" s="87">
        <v>0</v>
      </c>
      <c r="G32" s="22">
        <f>D32*F32</f>
        <v>0</v>
      </c>
    </row>
    <row r="33" spans="1:7">
      <c r="A33" s="76">
        <f t="shared" si="1"/>
        <v>25</v>
      </c>
      <c r="B33" s="28" t="s">
        <v>1378</v>
      </c>
      <c r="C33" s="21" t="str">
        <f ca="1">'WP_B-4'!U2&amp;" Col.(k) Line "&amp;'WP_B-4'!A25</f>
        <v>WP_B-4 Col.(k) Line 15</v>
      </c>
      <c r="D33" s="63">
        <f>'WP_B-4'!O25</f>
        <v>4680912.87</v>
      </c>
      <c r="E33" s="49" t="s">
        <v>803</v>
      </c>
      <c r="F33" s="87">
        <v>1</v>
      </c>
      <c r="G33" s="63">
        <f>D33*F33</f>
        <v>4680912.87</v>
      </c>
    </row>
    <row r="34" spans="1:7">
      <c r="A34" s="76">
        <f t="shared" si="1"/>
        <v>26</v>
      </c>
      <c r="B34" s="28" t="s">
        <v>394</v>
      </c>
      <c r="C34" s="6" t="str">
        <f>"Sum Lines "&amp;A31&amp;" through "&amp;A33</f>
        <v>Sum Lines 23 through 25</v>
      </c>
      <c r="D34" s="22">
        <f>SUM(D31:D33)</f>
        <v>189587140.87000006</v>
      </c>
      <c r="E34" s="49"/>
      <c r="F34" s="87"/>
      <c r="G34" s="22">
        <f>SUM(G31:G33)</f>
        <v>4680912.87</v>
      </c>
    </row>
    <row r="35" spans="1:7">
      <c r="A35" s="76">
        <f t="shared" si="1"/>
        <v>27</v>
      </c>
      <c r="B35" s="28"/>
      <c r="C35" s="21"/>
      <c r="D35" s="22"/>
      <c r="E35" s="49"/>
      <c r="F35" s="87"/>
      <c r="G35" s="22"/>
    </row>
    <row r="36" spans="1:7">
      <c r="A36" s="76">
        <f t="shared" si="1"/>
        <v>28</v>
      </c>
      <c r="B36" s="6" t="s">
        <v>694</v>
      </c>
      <c r="C36" s="19" t="s">
        <v>571</v>
      </c>
      <c r="D36" s="22"/>
      <c r="E36" s="49"/>
      <c r="F36" s="87"/>
      <c r="G36" s="22"/>
    </row>
    <row r="37" spans="1:7">
      <c r="A37" s="76">
        <f t="shared" si="1"/>
        <v>29</v>
      </c>
      <c r="B37" s="30" t="s">
        <v>800</v>
      </c>
      <c r="C37" s="21" t="str">
        <f>"Line "&amp;A10&amp; " minus "&amp;A21&amp;" plus "&amp;A31&amp;" plus "&amp;A32</f>
        <v>Line 2 minus 13 plus 23 plus 24</v>
      </c>
      <c r="D37" s="22">
        <f>D10-D21+D31+D32</f>
        <v>3876415881.9650679</v>
      </c>
      <c r="E37" s="49"/>
      <c r="F37" s="87"/>
      <c r="G37" s="22">
        <f>G10-G21+G31+G32</f>
        <v>0</v>
      </c>
    </row>
    <row r="38" spans="1:7">
      <c r="A38" s="76">
        <f t="shared" si="1"/>
        <v>30</v>
      </c>
      <c r="B38" s="30" t="s">
        <v>802</v>
      </c>
      <c r="C38" s="21" t="str">
        <f>"Line "&amp;A11&amp; " minus "&amp;A22&amp;" plus "&amp;A33</f>
        <v>Line 3 minus 14 plus 25</v>
      </c>
      <c r="D38" s="22">
        <f>D11-D22+D33</f>
        <v>1644838904.8033955</v>
      </c>
      <c r="E38" s="49"/>
      <c r="F38" s="87"/>
      <c r="G38" s="22">
        <f>G11-G22+G33</f>
        <v>1644838904.8033955</v>
      </c>
    </row>
    <row r="39" spans="1:7">
      <c r="A39" s="76">
        <f t="shared" si="1"/>
        <v>31</v>
      </c>
      <c r="B39" s="30" t="s">
        <v>804</v>
      </c>
      <c r="C39" s="21" t="str">
        <f>"Line "&amp;A12&amp; " minus "&amp;A23</f>
        <v>Line 4 minus 15</v>
      </c>
      <c r="D39" s="22">
        <f>D12-D23</f>
        <v>3296870021.0399847</v>
      </c>
      <c r="E39" s="49"/>
      <c r="F39" s="87"/>
      <c r="G39" s="22">
        <f>G12-G23</f>
        <v>0</v>
      </c>
    </row>
    <row r="40" spans="1:7">
      <c r="A40" s="76">
        <f t="shared" si="1"/>
        <v>32</v>
      </c>
      <c r="B40" s="30" t="s">
        <v>805</v>
      </c>
      <c r="C40" s="21" t="str">
        <f>"Line "&amp;A13&amp; " minus "&amp;A24</f>
        <v>Line 5 minus 16</v>
      </c>
      <c r="D40" s="22">
        <f>D13-D24</f>
        <v>155929313.10992482</v>
      </c>
      <c r="E40" s="49"/>
      <c r="F40" s="87"/>
      <c r="G40" s="22">
        <f>G13-G24</f>
        <v>17749433.711302742</v>
      </c>
    </row>
    <row r="41" spans="1:7">
      <c r="A41" s="76">
        <f t="shared" si="1"/>
        <v>33</v>
      </c>
      <c r="B41" s="30" t="s">
        <v>807</v>
      </c>
      <c r="C41" s="21" t="str">
        <f>"Line "&amp;A14&amp; " minus "&amp;A25</f>
        <v>Line 6 minus 17</v>
      </c>
      <c r="D41" s="22">
        <f>D14-D25</f>
        <v>33943650.888965011</v>
      </c>
      <c r="E41" s="49"/>
      <c r="F41" s="87"/>
      <c r="G41" s="22">
        <f>G14-G25</f>
        <v>3863805.780690887</v>
      </c>
    </row>
    <row r="42" spans="1:7">
      <c r="A42" s="76">
        <f t="shared" si="1"/>
        <v>34</v>
      </c>
      <c r="B42" s="124" t="s">
        <v>915</v>
      </c>
      <c r="C42" s="21" t="str">
        <f>"Line "&amp;A15&amp; " minus "&amp;A26</f>
        <v>Line 7 minus 18</v>
      </c>
      <c r="D42" s="22">
        <f>D15-D26</f>
        <v>164766191.00076914</v>
      </c>
      <c r="E42" s="49"/>
      <c r="F42" s="87"/>
      <c r="G42" s="22">
        <f>G15-G26</f>
        <v>13467793.820692088</v>
      </c>
    </row>
    <row r="43" spans="1:7">
      <c r="A43" s="76">
        <f t="shared" si="1"/>
        <v>35</v>
      </c>
      <c r="B43" s="124" t="s">
        <v>914</v>
      </c>
      <c r="C43" s="21" t="str">
        <f>"Line "&amp;A16&amp; " minus "&amp;A27</f>
        <v>Line 8 minus 19</v>
      </c>
      <c r="D43" s="63">
        <f>D16-D27</f>
        <v>240128788.0099999</v>
      </c>
      <c r="E43" s="49"/>
      <c r="F43" s="87"/>
      <c r="G43" s="63">
        <f>G16-G27</f>
        <v>19627843.477405265</v>
      </c>
    </row>
    <row r="44" spans="1:7">
      <c r="A44" s="76">
        <f t="shared" si="1"/>
        <v>36</v>
      </c>
      <c r="B44" s="30" t="s">
        <v>782</v>
      </c>
      <c r="C44" s="6" t="str">
        <f>"Sum Lines "&amp;A37&amp;" through "&amp;A43</f>
        <v>Sum Lines 29 through 35</v>
      </c>
      <c r="D44" s="22">
        <f>SUM(D37:D43)</f>
        <v>9412892750.8181076</v>
      </c>
      <c r="G44" s="22">
        <f>SUM(G37:G43)</f>
        <v>1699547781.5934865</v>
      </c>
    </row>
    <row r="45" spans="1:7">
      <c r="A45" s="76">
        <f t="shared" si="1"/>
        <v>37</v>
      </c>
      <c r="B45" s="6"/>
      <c r="C45" s="26" t="s">
        <v>1290</v>
      </c>
      <c r="D45" s="22"/>
      <c r="E45" s="490" t="s">
        <v>808</v>
      </c>
      <c r="F45" s="90">
        <f>IF(G44=0,0,G44/D44)</f>
        <v>0.18055531137819167</v>
      </c>
      <c r="G45" s="22"/>
    </row>
    <row r="46" spans="1:7">
      <c r="A46" s="76">
        <f t="shared" si="1"/>
        <v>38</v>
      </c>
      <c r="B46" s="28"/>
      <c r="C46" s="21"/>
      <c r="D46" s="22"/>
      <c r="E46" s="491"/>
      <c r="F46" s="87"/>
      <c r="G46" s="492"/>
    </row>
    <row r="47" spans="1:7">
      <c r="A47" s="76">
        <f t="shared" si="1"/>
        <v>39</v>
      </c>
      <c r="B47" s="6" t="s">
        <v>511</v>
      </c>
      <c r="C47" s="49" t="s">
        <v>1074</v>
      </c>
      <c r="D47" s="22"/>
      <c r="E47" s="49"/>
      <c r="F47" s="87"/>
      <c r="G47" s="22"/>
    </row>
    <row r="48" spans="1:7">
      <c r="A48" s="76">
        <f t="shared" si="1"/>
        <v>40</v>
      </c>
      <c r="B48" s="30" t="s">
        <v>538</v>
      </c>
      <c r="C48" s="21" t="str">
        <f>'WP_B-2'!G2&amp;" Col (c) &amp; (e), Line "&amp;'WP_B-2'!A13</f>
        <v>WP_B-2 Col (c) &amp; (e), Line 4</v>
      </c>
      <c r="D48" s="22">
        <f>'WP_B-2'!E13</f>
        <v>-127682947.55381393</v>
      </c>
      <c r="E48" s="49" t="s">
        <v>803</v>
      </c>
      <c r="F48" s="87">
        <v>0</v>
      </c>
      <c r="G48" s="1200">
        <f>'WP_B-2'!G13</f>
        <v>892841.44118607044</v>
      </c>
    </row>
    <row r="49" spans="1:7">
      <c r="A49" s="76">
        <f t="shared" si="1"/>
        <v>41</v>
      </c>
      <c r="B49" s="30" t="s">
        <v>539</v>
      </c>
      <c r="C49" s="21" t="str">
        <f>'WP_B-2'!G2&amp;" Col (c) &amp; (e), Line "&amp;'WP_B-2'!A42</f>
        <v>WP_B-2 Col (c) &amp; (e), Line 33</v>
      </c>
      <c r="D49" s="22">
        <f>'WP_B-2'!E42</f>
        <v>-2509735274.5550151</v>
      </c>
      <c r="E49" s="49" t="s">
        <v>803</v>
      </c>
      <c r="F49" s="87"/>
      <c r="G49" s="22">
        <f>'WP_B-2'!G42</f>
        <v>-471453765.86341065</v>
      </c>
    </row>
    <row r="50" spans="1:7">
      <c r="A50" s="76">
        <f t="shared" si="1"/>
        <v>42</v>
      </c>
      <c r="B50" s="30" t="s">
        <v>540</v>
      </c>
      <c r="C50" s="21" t="str">
        <f>'WP_B-2'!G2&amp;" Col (c) &amp; (e), Line "&amp;'WP_B-2'!A98</f>
        <v>WP_B-2 Col (c) &amp; (e), Line 89</v>
      </c>
      <c r="D50" s="32">
        <f>'WP_B-2'!E98</f>
        <v>-120544034.97743493</v>
      </c>
      <c r="E50" s="49" t="s">
        <v>803</v>
      </c>
      <c r="F50" s="87"/>
      <c r="G50" s="22">
        <f>'WP_B-2'!G98</f>
        <v>-4442604.7360522598</v>
      </c>
    </row>
    <row r="51" spans="1:7">
      <c r="A51" s="76">
        <f t="shared" si="1"/>
        <v>43</v>
      </c>
      <c r="B51" s="30" t="s">
        <v>810</v>
      </c>
      <c r="C51" s="21" t="str">
        <f>'WP_B-3'!G2&amp;" Col (c) &amp; (e), Line "&amp;'WP_B-3'!A95</f>
        <v>WP_B-3 Col (c) &amp; (e), Line 86</v>
      </c>
      <c r="D51" s="32">
        <f>'WP_B-3'!E95</f>
        <v>474866570.3719306</v>
      </c>
      <c r="E51" s="49" t="s">
        <v>803</v>
      </c>
      <c r="F51" s="87"/>
      <c r="G51" s="22">
        <f>'WP_B-3'!G95</f>
        <v>53430333.874596961</v>
      </c>
    </row>
    <row r="52" spans="1:7">
      <c r="A52" s="76">
        <f t="shared" si="1"/>
        <v>44</v>
      </c>
      <c r="B52" s="623" t="s">
        <v>585</v>
      </c>
      <c r="C52" s="21" t="str">
        <f ca="1">'WP_B-7'!F2&amp;" Col (e), Line "&amp;'WP_B-7'!A25</f>
        <v>WP_B-7 Col (e), Line 14</v>
      </c>
      <c r="D52" s="32">
        <f>'WP_B-7'!F25</f>
        <v>0</v>
      </c>
      <c r="E52" s="49" t="s">
        <v>806</v>
      </c>
      <c r="F52" s="87">
        <f>WS</f>
        <v>0.11383</v>
      </c>
      <c r="G52" s="22">
        <f>D52*F52</f>
        <v>0</v>
      </c>
    </row>
    <row r="53" spans="1:7">
      <c r="A53" s="76">
        <f t="shared" si="1"/>
        <v>45</v>
      </c>
      <c r="B53" s="35" t="s">
        <v>541</v>
      </c>
      <c r="C53" s="34" t="s">
        <v>777</v>
      </c>
      <c r="D53" s="235">
        <v>27205035</v>
      </c>
      <c r="E53" s="65" t="s">
        <v>803</v>
      </c>
      <c r="F53" s="83">
        <v>1</v>
      </c>
      <c r="G53" s="27">
        <v>0</v>
      </c>
    </row>
    <row r="54" spans="1:7">
      <c r="A54" s="76">
        <f t="shared" si="1"/>
        <v>46</v>
      </c>
      <c r="B54" s="35" t="s">
        <v>573</v>
      </c>
      <c r="C54" s="21" t="str">
        <f ca="1">'WP_B-8'!L2&amp;" Col (a), Line "&amp;'WP_B-8'!A25</f>
        <v>WP_B-8 Col (a), Line 16</v>
      </c>
      <c r="D54" s="32">
        <f>'WP_B-8'!F25</f>
        <v>0</v>
      </c>
      <c r="E54" s="49" t="s">
        <v>803</v>
      </c>
      <c r="F54" s="89">
        <v>1</v>
      </c>
      <c r="G54" s="22">
        <f>D54*F54</f>
        <v>0</v>
      </c>
    </row>
    <row r="55" spans="1:7">
      <c r="A55" s="76">
        <f t="shared" si="1"/>
        <v>47</v>
      </c>
      <c r="B55" s="595" t="s">
        <v>574</v>
      </c>
      <c r="C55" s="319" t="str">
        <f ca="1">'WP_B-8'!L2&amp;" Col (d), Line "&amp;'WP_B-8'!A25</f>
        <v>WP_B-8 Col (d), Line 16</v>
      </c>
      <c r="D55" s="36">
        <f>'WP_B-8'!J25</f>
        <v>0</v>
      </c>
      <c r="E55" s="91" t="s">
        <v>803</v>
      </c>
      <c r="F55" s="89">
        <v>1</v>
      </c>
      <c r="G55" s="22">
        <f>D55*F55</f>
        <v>0</v>
      </c>
    </row>
    <row r="56" spans="1:7">
      <c r="A56" s="76">
        <f>A55+1</f>
        <v>48</v>
      </c>
      <c r="B56" s="20" t="s">
        <v>575</v>
      </c>
      <c r="C56" s="59" t="str">
        <f>'WP_B-Inputs Est.'!L2&amp;" Line "&amp;'WP_B-Inputs Est.'!A154</f>
        <v>WP_B-Inputs Est. Line 144</v>
      </c>
      <c r="D56" s="32">
        <f>'WP_B-Inputs Est.'!E154</f>
        <v>0</v>
      </c>
      <c r="E56" s="65" t="s">
        <v>803</v>
      </c>
      <c r="F56" s="89">
        <v>1</v>
      </c>
      <c r="G56" s="22">
        <f>D56*F56</f>
        <v>0</v>
      </c>
    </row>
    <row r="57" spans="1:7">
      <c r="A57" s="76">
        <f t="shared" si="1"/>
        <v>49</v>
      </c>
      <c r="B57" s="20" t="s">
        <v>576</v>
      </c>
      <c r="C57" s="21" t="str">
        <f>'WP_B-Inputs Est.'!L2&amp;" Line "&amp;'WP_B-Inputs Est.'!A154</f>
        <v>WP_B-Inputs Est. Line 144</v>
      </c>
      <c r="D57" s="63">
        <f>'WP_B-Inputs Est.'!I154</f>
        <v>0</v>
      </c>
      <c r="E57" s="65" t="s">
        <v>803</v>
      </c>
      <c r="F57" s="89">
        <v>1</v>
      </c>
      <c r="G57" s="63">
        <f>D57*F57</f>
        <v>0</v>
      </c>
    </row>
    <row r="58" spans="1:7">
      <c r="A58" s="76">
        <f t="shared" si="1"/>
        <v>50</v>
      </c>
      <c r="B58" s="30" t="s">
        <v>512</v>
      </c>
      <c r="C58" s="20" t="str">
        <f>"Sum Lines "&amp;A48&amp;" through "&amp;A57</f>
        <v>Sum Lines 40 through 49</v>
      </c>
      <c r="D58" s="27">
        <f>SUM(D48:D57)</f>
        <v>-2255890651.7143335</v>
      </c>
      <c r="E58" s="65"/>
      <c r="F58" s="83"/>
      <c r="G58" s="27">
        <f>SUM(G48:G57)</f>
        <v>-421573195.2836799</v>
      </c>
    </row>
    <row r="59" spans="1:7">
      <c r="A59" s="76">
        <f t="shared" si="1"/>
        <v>51</v>
      </c>
      <c r="B59" s="28"/>
      <c r="C59" s="21"/>
      <c r="D59" s="27"/>
      <c r="E59" s="65"/>
      <c r="F59" s="83"/>
      <c r="G59" s="27"/>
    </row>
    <row r="60" spans="1:7">
      <c r="A60" s="76">
        <f t="shared" si="1"/>
        <v>52</v>
      </c>
      <c r="B60" s="30" t="s">
        <v>577</v>
      </c>
      <c r="C60" s="21" t="str">
        <f>'WP_B-Inputs Est.'!L2&amp;" Line "&amp;'WP_B-Inputs Est.'!A154</f>
        <v>WP_B-Inputs Est. Line 144</v>
      </c>
      <c r="D60" s="32">
        <f>'WP_B-Inputs Est.'!K154</f>
        <v>0</v>
      </c>
      <c r="E60" s="65" t="s">
        <v>791</v>
      </c>
      <c r="F60" s="89">
        <f>TP</f>
        <v>0.97270000000000001</v>
      </c>
      <c r="G60" s="27">
        <f>D60*F60</f>
        <v>0</v>
      </c>
    </row>
    <row r="61" spans="1:7">
      <c r="A61" s="76">
        <f t="shared" si="1"/>
        <v>53</v>
      </c>
      <c r="B61" s="30"/>
      <c r="C61" s="21"/>
      <c r="D61" s="22"/>
      <c r="E61" s="65"/>
      <c r="F61" s="89"/>
      <c r="G61" s="27"/>
    </row>
    <row r="62" spans="1:7">
      <c r="A62" s="76">
        <f t="shared" si="1"/>
        <v>54</v>
      </c>
      <c r="B62" s="30" t="s">
        <v>859</v>
      </c>
      <c r="C62" s="21"/>
      <c r="D62" s="27"/>
      <c r="E62" s="65"/>
      <c r="F62" s="83"/>
      <c r="G62" s="27"/>
    </row>
    <row r="63" spans="1:7">
      <c r="A63" s="76">
        <f t="shared" si="1"/>
        <v>55</v>
      </c>
      <c r="B63" s="30" t="s">
        <v>542</v>
      </c>
      <c r="C63" s="330" t="s">
        <v>578</v>
      </c>
      <c r="D63" s="22">
        <v>0</v>
      </c>
      <c r="E63" s="49"/>
      <c r="F63" s="87"/>
      <c r="G63" s="22">
        <v>0</v>
      </c>
    </row>
    <row r="64" spans="1:7">
      <c r="A64" s="76">
        <f t="shared" si="1"/>
        <v>56</v>
      </c>
      <c r="B64" s="30" t="s">
        <v>844</v>
      </c>
      <c r="C64" s="21" t="str">
        <f ca="1">'WP_B-6'!E2&amp;" Line "&amp;'WP_B-6'!A39</f>
        <v>WP_B-6 Line 29</v>
      </c>
      <c r="D64" s="22">
        <f>'WP_B-6'!E39</f>
        <v>1050996.2797885947</v>
      </c>
      <c r="E64" s="49" t="s">
        <v>791</v>
      </c>
      <c r="F64" s="89">
        <f>TP</f>
        <v>0.97270000000000001</v>
      </c>
      <c r="G64" s="22">
        <f t="shared" ref="G64:G69" si="3">D64*F64</f>
        <v>1022304.0813503661</v>
      </c>
    </row>
    <row r="65" spans="1:7">
      <c r="A65" s="76">
        <f t="shared" si="1"/>
        <v>57</v>
      </c>
      <c r="B65" s="30" t="s">
        <v>845</v>
      </c>
      <c r="C65" s="21" t="str">
        <f ca="1">'WP_B-6'!E2&amp;" Line "&amp;'WP_B-6'!A41</f>
        <v>WP_B-6 Line 31</v>
      </c>
      <c r="D65" s="22">
        <f>'WP_B-6'!E41</f>
        <v>-1427075.5590518424</v>
      </c>
      <c r="E65" s="49" t="s">
        <v>809</v>
      </c>
      <c r="F65" s="87">
        <f>NP</f>
        <v>0.18055531137819167</v>
      </c>
      <c r="G65" s="22">
        <f t="shared" si="3"/>
        <v>-257666.07192481236</v>
      </c>
    </row>
    <row r="66" spans="1:7">
      <c r="A66" s="76">
        <f t="shared" si="1"/>
        <v>58</v>
      </c>
      <c r="B66" s="30" t="s">
        <v>757</v>
      </c>
      <c r="C66" s="21" t="str">
        <f ca="1">'WP_B-5'!R2&amp;" Line "&amp;'WP_B-5'!A21</f>
        <v>WP_B-5 Line 10</v>
      </c>
      <c r="D66" s="32">
        <f>'WP_B-5'!R21</f>
        <v>7429245.6743104719</v>
      </c>
      <c r="E66" s="49" t="s">
        <v>809</v>
      </c>
      <c r="F66" s="87">
        <f>NP</f>
        <v>0.18055531137819167</v>
      </c>
      <c r="G66" s="22">
        <f t="shared" si="3"/>
        <v>1341389.7660302108</v>
      </c>
    </row>
    <row r="67" spans="1:7">
      <c r="A67" s="76">
        <f t="shared" si="1"/>
        <v>59</v>
      </c>
      <c r="B67" s="30" t="s">
        <v>758</v>
      </c>
      <c r="C67" s="21" t="str">
        <f ca="1">'WP_B-5'!R2&amp;" Line "&amp;'WP_B-5'!A29</f>
        <v>WP_B-5 Line 18</v>
      </c>
      <c r="D67" s="32">
        <f>'WP_B-5'!R29</f>
        <v>802744.08430417499</v>
      </c>
      <c r="E67" s="49" t="s">
        <v>806</v>
      </c>
      <c r="F67" s="87">
        <f>WS</f>
        <v>0.11383</v>
      </c>
      <c r="G67" s="22">
        <f t="shared" si="3"/>
        <v>91376.359116344232</v>
      </c>
    </row>
    <row r="68" spans="1:7">
      <c r="A68" s="76">
        <f t="shared" si="1"/>
        <v>60</v>
      </c>
      <c r="B68" s="30" t="s">
        <v>759</v>
      </c>
      <c r="C68" s="21" t="str">
        <f ca="1">'WP_B-5'!R2&amp;" Line "&amp;'WP_B-5'!A33</f>
        <v>WP_B-5 Line 22</v>
      </c>
      <c r="D68" s="32">
        <f>'WP_B-5'!R33</f>
        <v>1535007.7830769233</v>
      </c>
      <c r="E68" s="49" t="s">
        <v>791</v>
      </c>
      <c r="F68" s="89">
        <f>TP</f>
        <v>0.97270000000000001</v>
      </c>
      <c r="G68" s="22">
        <f t="shared" si="3"/>
        <v>1493102.0705989234</v>
      </c>
    </row>
    <row r="69" spans="1:7">
      <c r="A69" s="76">
        <f t="shared" si="1"/>
        <v>61</v>
      </c>
      <c r="B69" s="30" t="s">
        <v>785</v>
      </c>
      <c r="C69" s="21" t="str">
        <f ca="1">'WP_B-5'!R2&amp;" Line "&amp;'WP_B-5'!A51</f>
        <v>WP_B-5 Line 40</v>
      </c>
      <c r="D69" s="63">
        <f>'WP_B-5'!R51</f>
        <v>4283647.2539085131</v>
      </c>
      <c r="E69" s="49" t="s">
        <v>801</v>
      </c>
      <c r="F69" s="87">
        <v>0</v>
      </c>
      <c r="G69" s="63">
        <f t="shared" si="3"/>
        <v>0</v>
      </c>
    </row>
    <row r="70" spans="1:7">
      <c r="A70" s="76">
        <f t="shared" si="1"/>
        <v>62</v>
      </c>
      <c r="B70" s="30" t="s">
        <v>781</v>
      </c>
      <c r="C70" s="20" t="str">
        <f>"Sum Lines "&amp;A63&amp;" through "&amp;A69</f>
        <v>Sum Lines 55 through 61</v>
      </c>
      <c r="D70" s="27">
        <f>SUM(D63:D69)</f>
        <v>13674565.516336836</v>
      </c>
      <c r="E70" s="18"/>
      <c r="F70" s="83"/>
      <c r="G70" s="27">
        <f>SUM(G63:G69)</f>
        <v>3690506.2051710319</v>
      </c>
    </row>
    <row r="71" spans="1:7">
      <c r="A71" s="76">
        <f t="shared" si="1"/>
        <v>63</v>
      </c>
      <c r="B71" s="30"/>
      <c r="C71" s="9"/>
      <c r="D71" s="27"/>
      <c r="E71" s="18"/>
      <c r="F71" s="83"/>
      <c r="G71" s="27"/>
    </row>
    <row r="72" spans="1:7">
      <c r="A72" s="76">
        <f t="shared" si="1"/>
        <v>64</v>
      </c>
      <c r="B72" s="6" t="s">
        <v>1382</v>
      </c>
      <c r="C72" s="21" t="str">
        <f>"Line "&amp;A44&amp;" plus "&amp;A58&amp;" plus "&amp;A60&amp;" plus "&amp;A70</f>
        <v>Line 36 plus 50 plus 52 plus 62</v>
      </c>
      <c r="D72" s="85">
        <f>D44+D58+D60+D70</f>
        <v>7170676664.6201105</v>
      </c>
      <c r="E72" s="13"/>
      <c r="F72" s="29"/>
      <c r="G72" s="85">
        <f>G44+G58+G60+G70</f>
        <v>1281665092.5149777</v>
      </c>
    </row>
    <row r="73" spans="1:7">
      <c r="A73" s="76">
        <f t="shared" si="1"/>
        <v>65</v>
      </c>
      <c r="B73" s="6"/>
      <c r="C73" s="21"/>
      <c r="D73" s="37"/>
      <c r="E73" s="13"/>
      <c r="F73" s="29"/>
      <c r="G73" s="37"/>
    </row>
    <row r="74" spans="1:7">
      <c r="A74" s="76">
        <f t="shared" si="1"/>
        <v>66</v>
      </c>
      <c r="B74" s="6" t="s">
        <v>88</v>
      </c>
      <c r="C74" s="21" t="str">
        <f>"Line "&amp;A179</f>
        <v>Line 158</v>
      </c>
      <c r="D74" s="300">
        <f>ROR</f>
        <v>7.4300000000000005E-2</v>
      </c>
      <c r="E74" s="13"/>
      <c r="F74" s="29"/>
      <c r="G74" s="300">
        <f>ROR</f>
        <v>7.4300000000000005E-2</v>
      </c>
    </row>
    <row r="75" spans="1:7">
      <c r="A75" s="76">
        <f t="shared" si="1"/>
        <v>67</v>
      </c>
      <c r="B75" s="6"/>
      <c r="C75" s="13"/>
      <c r="D75" s="37"/>
      <c r="E75" s="13"/>
      <c r="F75" s="29"/>
      <c r="G75" s="37"/>
    </row>
    <row r="76" spans="1:7" ht="13.5" thickBot="1">
      <c r="A76" s="76">
        <f t="shared" si="1"/>
        <v>68</v>
      </c>
      <c r="B76" s="40" t="s">
        <v>775</v>
      </c>
      <c r="C76" s="40" t="str">
        <f>"Line "&amp;A72&amp;" times Line "&amp;A74</f>
        <v>Line 64 times Line 66</v>
      </c>
      <c r="D76" s="39">
        <f>D72*D74</f>
        <v>532781276.18127424</v>
      </c>
      <c r="E76" s="27"/>
      <c r="F76" s="41"/>
      <c r="G76" s="39">
        <f>G72*G74</f>
        <v>95227716.373862848</v>
      </c>
    </row>
    <row r="77" spans="1:7" ht="13.5" thickTop="1">
      <c r="A77" s="18"/>
      <c r="B77" s="40"/>
      <c r="C77" s="40"/>
      <c r="D77" s="27"/>
      <c r="E77" s="27"/>
      <c r="F77" s="41"/>
      <c r="G77" s="27"/>
    </row>
    <row r="78" spans="1:7">
      <c r="A78" s="18"/>
      <c r="B78" s="15"/>
      <c r="C78" s="9"/>
      <c r="D78" s="16"/>
      <c r="E78" s="9"/>
      <c r="F78" s="9"/>
      <c r="G78" s="8"/>
    </row>
    <row r="79" spans="1:7">
      <c r="A79" s="77"/>
      <c r="B79" s="42" t="s">
        <v>543</v>
      </c>
      <c r="C79" s="43"/>
      <c r="D79" s="13"/>
      <c r="E79" s="1273" t="s">
        <v>1305</v>
      </c>
      <c r="F79" s="1273"/>
      <c r="G79" s="43" t="s">
        <v>790</v>
      </c>
    </row>
    <row r="80" spans="1:7" ht="12.75" customHeight="1">
      <c r="A80" s="86" t="s">
        <v>862</v>
      </c>
      <c r="B80" s="773" t="s">
        <v>764</v>
      </c>
      <c r="C80" s="774" t="s">
        <v>869</v>
      </c>
      <c r="D80" s="777" t="s">
        <v>790</v>
      </c>
      <c r="E80" s="1272"/>
      <c r="F80" s="1272"/>
      <c r="G80" s="777" t="s">
        <v>789</v>
      </c>
    </row>
    <row r="81" spans="1:7">
      <c r="B81" s="76" t="s">
        <v>352</v>
      </c>
      <c r="C81" s="76" t="s">
        <v>353</v>
      </c>
      <c r="D81" s="76" t="s">
        <v>354</v>
      </c>
      <c r="E81" s="1216" t="s">
        <v>355</v>
      </c>
      <c r="F81" s="1217"/>
      <c r="G81" s="775" t="s">
        <v>356</v>
      </c>
    </row>
    <row r="82" spans="1:7">
      <c r="B82" s="6"/>
      <c r="C82" s="13"/>
      <c r="D82" s="17"/>
      <c r="E82" s="42"/>
      <c r="F82" s="28"/>
      <c r="G82" s="17"/>
    </row>
    <row r="83" spans="1:7">
      <c r="A83" s="18">
        <f>A76+1</f>
        <v>69</v>
      </c>
      <c r="B83" s="6" t="s">
        <v>765</v>
      </c>
      <c r="C83" s="13"/>
      <c r="D83" s="13"/>
      <c r="E83" s="13"/>
      <c r="F83" s="13"/>
      <c r="G83" s="13"/>
    </row>
    <row r="84" spans="1:7">
      <c r="A84" s="18">
        <f>A83+1</f>
        <v>70</v>
      </c>
      <c r="B84" s="6" t="s">
        <v>802</v>
      </c>
      <c r="C84" s="21" t="str">
        <f ca="1">'WP_C-1'!M2&amp;" Line "&amp;'WP_C-1'!A41</f>
        <v>WP_C-1 Line 31</v>
      </c>
      <c r="D84" s="22">
        <f>'WP_C-1'!H41</f>
        <v>53481735.9582</v>
      </c>
      <c r="E84" s="13"/>
      <c r="F84" s="44"/>
      <c r="G84" s="27"/>
    </row>
    <row r="85" spans="1:7">
      <c r="A85" s="18">
        <f t="shared" ref="A85:A96" si="4">A84+1</f>
        <v>71</v>
      </c>
      <c r="B85" s="26" t="s">
        <v>843</v>
      </c>
      <c r="C85" s="21" t="str">
        <f ca="1">'WP_C-1'!M2&amp;" Line "&amp;'WP_C-1'!A46</f>
        <v>WP_C-1 Line 36</v>
      </c>
      <c r="D85" s="22">
        <f>-'WP_C-1'!H46</f>
        <v>-8120350.3685999988</v>
      </c>
      <c r="E85" s="21"/>
      <c r="F85" s="45"/>
      <c r="G85" s="22"/>
    </row>
    <row r="86" spans="1:7">
      <c r="A86" s="18">
        <f t="shared" si="4"/>
        <v>72</v>
      </c>
      <c r="B86" s="26" t="s">
        <v>534</v>
      </c>
      <c r="C86" s="21" t="str">
        <f ca="1">'WP_C-1'!M2&amp;" Line "&amp;'WP_C-1'!A15</f>
        <v>WP_C-1 Line 5</v>
      </c>
      <c r="D86" s="22">
        <f>'WP_C-1'!H15</f>
        <v>0</v>
      </c>
      <c r="E86" s="21"/>
      <c r="F86" s="45"/>
      <c r="G86" s="22"/>
    </row>
    <row r="87" spans="1:7">
      <c r="A87" s="18">
        <f t="shared" si="4"/>
        <v>73</v>
      </c>
      <c r="B87" s="26" t="s">
        <v>599</v>
      </c>
      <c r="C87" s="21" t="str">
        <f ca="1">'WP_C-1'!M2&amp;" Line "&amp;'WP_C-1'!A16</f>
        <v>WP_C-1 Line 6</v>
      </c>
      <c r="D87" s="22">
        <f>'WP_C-1'!H16</f>
        <v>73437.190900000001</v>
      </c>
      <c r="E87" s="21"/>
      <c r="F87" s="45"/>
      <c r="G87" s="22"/>
    </row>
    <row r="88" spans="1:7">
      <c r="A88" s="18">
        <f t="shared" si="4"/>
        <v>74</v>
      </c>
      <c r="B88" s="26" t="s">
        <v>772</v>
      </c>
      <c r="C88" s="21" t="str">
        <f ca="1">'WP_C-1'!M2&amp;" Line "&amp;'WP_C-1'!A17</f>
        <v>WP_C-1 Line 7</v>
      </c>
      <c r="D88" s="22">
        <f>'WP_C-1'!H17</f>
        <v>85640.717900000003</v>
      </c>
      <c r="E88" s="21"/>
      <c r="F88" s="45"/>
      <c r="G88" s="22"/>
    </row>
    <row r="89" spans="1:7">
      <c r="A89" s="18">
        <f t="shared" si="4"/>
        <v>75</v>
      </c>
      <c r="B89" s="26" t="s">
        <v>773</v>
      </c>
      <c r="C89" s="21" t="str">
        <f ca="1">'WP_C-1'!M2&amp;" Line "&amp;'WP_C-1'!A18</f>
        <v>WP_C-1 Line 8</v>
      </c>
      <c r="D89" s="22">
        <f>'WP_C-1'!H18</f>
        <v>-28058.062599999976</v>
      </c>
      <c r="E89" s="21"/>
      <c r="F89" s="45"/>
      <c r="G89" s="22"/>
    </row>
    <row r="90" spans="1:7">
      <c r="A90" s="18">
        <f t="shared" si="4"/>
        <v>76</v>
      </c>
      <c r="B90" s="26" t="s">
        <v>600</v>
      </c>
      <c r="C90" s="21" t="str">
        <f ca="1">'WP_C-1'!M2&amp;" Line "&amp;'WP_C-1'!A19</f>
        <v>WP_C-1 Line 9</v>
      </c>
      <c r="D90" s="22">
        <f>'WP_C-1'!H19</f>
        <v>3278774.7766000004</v>
      </c>
      <c r="E90" s="21"/>
      <c r="F90" s="45"/>
      <c r="G90" s="22"/>
    </row>
    <row r="91" spans="1:7">
      <c r="A91" s="18">
        <f t="shared" si="4"/>
        <v>77</v>
      </c>
      <c r="B91" s="26" t="s">
        <v>579</v>
      </c>
      <c r="C91" s="21" t="str">
        <f ca="1">'WP_C-1'!M2&amp;" Line "&amp;'WP_C-1'!A23</f>
        <v>WP_C-1 Line 13</v>
      </c>
      <c r="D91" s="32">
        <f>-'WP_C-1'!H23</f>
        <v>-14228419.399600001</v>
      </c>
      <c r="E91" s="21"/>
      <c r="F91" s="23"/>
      <c r="G91" s="32"/>
    </row>
    <row r="92" spans="1:7">
      <c r="A92" s="18">
        <f t="shared" si="4"/>
        <v>78</v>
      </c>
      <c r="B92" s="124" t="s">
        <v>96</v>
      </c>
      <c r="C92" s="21" t="str">
        <f ca="1">'WP_C-1'!M2&amp;" Line "&amp;'WP_C-1'!A44</f>
        <v>WP_C-1 Line 34</v>
      </c>
      <c r="D92" s="63">
        <f>'WP_C-1'!H44</f>
        <v>-2317922.73</v>
      </c>
      <c r="E92" s="21"/>
      <c r="F92" s="23"/>
      <c r="G92" s="63"/>
    </row>
    <row r="93" spans="1:7" ht="12.75" customHeight="1">
      <c r="A93" s="18">
        <f t="shared" si="4"/>
        <v>79</v>
      </c>
      <c r="B93" s="46" t="s">
        <v>766</v>
      </c>
      <c r="C93" s="20" t="str">
        <f>"Sum Lines "&amp;A84&amp;" through "&amp;A92</f>
        <v>Sum Lines 70 through 78</v>
      </c>
      <c r="D93" s="47">
        <f>SUM(D84:D92)</f>
        <v>32224838.082800005</v>
      </c>
      <c r="E93" s="92" t="s">
        <v>791</v>
      </c>
      <c r="F93" s="89">
        <f>TP</f>
        <v>0.97270000000000001</v>
      </c>
      <c r="G93" s="47">
        <f>D93*F93</f>
        <v>31345100.003139567</v>
      </c>
    </row>
    <row r="94" spans="1:7">
      <c r="A94" s="18">
        <f t="shared" si="4"/>
        <v>80</v>
      </c>
      <c r="B94" s="6"/>
      <c r="C94" s="6"/>
      <c r="D94" s="27"/>
      <c r="E94" s="65"/>
      <c r="F94" s="83"/>
      <c r="G94" s="27"/>
    </row>
    <row r="95" spans="1:7">
      <c r="A95" s="18">
        <f t="shared" si="4"/>
        <v>81</v>
      </c>
      <c r="B95" s="6" t="s">
        <v>580</v>
      </c>
      <c r="C95" s="21" t="str">
        <f ca="1">'WP_C-2'!G2&amp;" Line "&amp;'WP_C-2'!A25</f>
        <v>WP_C-2 Line 15</v>
      </c>
      <c r="D95" s="22">
        <f>'WP_C-2'!G25</f>
        <v>156761370.76989999</v>
      </c>
      <c r="E95" s="65"/>
      <c r="F95" s="83"/>
      <c r="G95" s="27"/>
    </row>
    <row r="96" spans="1:7">
      <c r="A96" s="18">
        <f t="shared" si="4"/>
        <v>82</v>
      </c>
      <c r="B96" s="26" t="s">
        <v>66</v>
      </c>
      <c r="C96" s="21" t="str">
        <f ca="1">'WP_C-2'!G2&amp;" Line "&amp;'WP_C-2'!A15</f>
        <v>WP_C-2 Line 5</v>
      </c>
      <c r="D96" s="63">
        <f>-'WP_C-2'!E15</f>
        <v>-4878452.6816999996</v>
      </c>
      <c r="E96" s="65"/>
      <c r="F96" s="83"/>
      <c r="G96" s="27"/>
    </row>
    <row r="97" spans="1:7">
      <c r="A97" s="18">
        <f t="shared" ref="A97:A144" si="5">A96+1</f>
        <v>83</v>
      </c>
      <c r="B97" s="6" t="s">
        <v>767</v>
      </c>
      <c r="C97" s="20" t="str">
        <f>"Sum Lines "&amp;A95&amp;" through "&amp;A96</f>
        <v>Sum Lines 81 through 82</v>
      </c>
      <c r="D97" s="22">
        <f>SUM(D95:D96)</f>
        <v>151882918.0882</v>
      </c>
      <c r="E97" s="65" t="s">
        <v>806</v>
      </c>
      <c r="F97" s="87">
        <f>WS</f>
        <v>0.11383</v>
      </c>
      <c r="G97" s="47">
        <f>D97*F97</f>
        <v>17288832.565979805</v>
      </c>
    </row>
    <row r="98" spans="1:7">
      <c r="A98" s="18">
        <f t="shared" si="5"/>
        <v>84</v>
      </c>
      <c r="B98" s="26" t="s">
        <v>545</v>
      </c>
      <c r="C98" s="21" t="str">
        <f>"Line "&amp;A96</f>
        <v>Line 82</v>
      </c>
      <c r="D98" s="22">
        <f>-D96</f>
        <v>4878452.6816999996</v>
      </c>
      <c r="E98" s="65" t="s">
        <v>809</v>
      </c>
      <c r="F98" s="83">
        <f>NP</f>
        <v>0.18055531137819167</v>
      </c>
      <c r="G98" s="27">
        <f>D98*F98</f>
        <v>880830.54298811755</v>
      </c>
    </row>
    <row r="99" spans="1:7">
      <c r="A99" s="18">
        <f t="shared" si="5"/>
        <v>85</v>
      </c>
      <c r="B99" s="26" t="s">
        <v>544</v>
      </c>
      <c r="C99" s="21" t="str">
        <f ca="1">'WP_C-4'!F2&amp;" Line "&amp;'WP_C-4'!A27</f>
        <v>WP_C-4 Line 17</v>
      </c>
      <c r="D99" s="63">
        <f>'WP_C-4'!D27</f>
        <v>760924.91</v>
      </c>
      <c r="E99" s="49" t="s">
        <v>803</v>
      </c>
      <c r="F99" s="87">
        <v>1</v>
      </c>
      <c r="G99" s="85">
        <f>D99*F99</f>
        <v>760924.91</v>
      </c>
    </row>
    <row r="100" spans="1:7">
      <c r="A100" s="18">
        <f t="shared" si="5"/>
        <v>86</v>
      </c>
      <c r="B100" s="6" t="s">
        <v>768</v>
      </c>
      <c r="C100" s="20" t="str">
        <f>"Sum Lines "&amp;A97&amp;" through "&amp;A99</f>
        <v>Sum Lines 83 through 85</v>
      </c>
      <c r="D100" s="27">
        <f>SUM(D97:D99)</f>
        <v>157522295.67989999</v>
      </c>
      <c r="E100" s="13"/>
      <c r="F100" s="31"/>
      <c r="G100" s="27">
        <f>SUM(G97:G99)</f>
        <v>18930588.018967923</v>
      </c>
    </row>
    <row r="101" spans="1:7">
      <c r="A101" s="18">
        <f t="shared" si="5"/>
        <v>87</v>
      </c>
      <c r="B101" s="26"/>
      <c r="C101" s="21"/>
      <c r="D101" s="22"/>
      <c r="E101" s="13"/>
      <c r="F101" s="31"/>
      <c r="G101" s="27"/>
    </row>
    <row r="102" spans="1:7">
      <c r="A102" s="18">
        <f t="shared" si="5"/>
        <v>88</v>
      </c>
      <c r="B102" s="6" t="s">
        <v>769</v>
      </c>
      <c r="C102" s="21" t="str">
        <f>"Line "&amp;A93&amp;" plus Line "&amp;A100</f>
        <v>Line 79 plus Line 86</v>
      </c>
      <c r="D102" s="27">
        <f>D93+D100</f>
        <v>189747133.76269999</v>
      </c>
      <c r="E102" s="13"/>
      <c r="F102" s="13"/>
      <c r="G102" s="27">
        <f>G93+G100</f>
        <v>50275688.022107489</v>
      </c>
    </row>
    <row r="103" spans="1:7">
      <c r="A103" s="18">
        <f t="shared" si="5"/>
        <v>89</v>
      </c>
      <c r="B103" s="33"/>
      <c r="C103" s="21"/>
      <c r="D103" s="27"/>
      <c r="E103" s="13"/>
      <c r="F103" s="13"/>
      <c r="G103" s="27"/>
    </row>
    <row r="104" spans="1:7">
      <c r="A104" s="18">
        <f t="shared" si="5"/>
        <v>90</v>
      </c>
      <c r="B104" s="8"/>
      <c r="C104" s="34"/>
      <c r="D104" s="27"/>
      <c r="E104" s="11"/>
      <c r="F104" s="28"/>
      <c r="G104" s="48"/>
    </row>
    <row r="105" spans="1:7">
      <c r="A105" s="18">
        <f t="shared" si="5"/>
        <v>91</v>
      </c>
      <c r="B105" s="30" t="s">
        <v>787</v>
      </c>
      <c r="C105" s="49"/>
      <c r="D105" s="27"/>
      <c r="E105" s="13"/>
      <c r="F105" s="13"/>
      <c r="G105" s="27"/>
    </row>
    <row r="106" spans="1:7">
      <c r="A106" s="18">
        <f t="shared" si="5"/>
        <v>92</v>
      </c>
      <c r="B106" s="50" t="s">
        <v>802</v>
      </c>
      <c r="C106" s="21" t="str">
        <f ca="1">'WP_B-1'!G2&amp;" Line "&amp;'WP_B-1'!A33&amp;" "&amp;'WP_B-1'!G9</f>
        <v>WP_B-1 Line 24 Col. (d)</v>
      </c>
      <c r="D106" s="25">
        <f>'WP_B-1'!G33</f>
        <v>34545037.393573627</v>
      </c>
      <c r="E106" s="88" t="s">
        <v>803</v>
      </c>
      <c r="F106" s="89">
        <v>1</v>
      </c>
      <c r="G106" s="25">
        <f t="shared" ref="G106:G113" si="6">D106*F106</f>
        <v>34545037.393573627</v>
      </c>
    </row>
    <row r="107" spans="1:7">
      <c r="A107" s="18">
        <f t="shared" si="5"/>
        <v>93</v>
      </c>
      <c r="B107" s="24" t="s">
        <v>1080</v>
      </c>
      <c r="C107" s="34" t="str">
        <f ca="1">'WP_B-8'!L2&amp;" Col (f), Line "&amp;'WP_B-8'!A27</f>
        <v>WP_B-8 Col (f), Line 18</v>
      </c>
      <c r="D107" s="25">
        <f>'WP_B-8'!L27</f>
        <v>0</v>
      </c>
      <c r="E107" s="88" t="s">
        <v>803</v>
      </c>
      <c r="F107" s="89">
        <v>1</v>
      </c>
      <c r="G107" s="25">
        <f t="shared" si="6"/>
        <v>0</v>
      </c>
    </row>
    <row r="108" spans="1:7">
      <c r="A108" s="18">
        <f t="shared" si="5"/>
        <v>94</v>
      </c>
      <c r="B108" s="24" t="s">
        <v>1081</v>
      </c>
      <c r="C108" s="21" t="str">
        <f>'WP_B-Inputs Est.'!L2&amp;" Line "&amp;'WP_B-Inputs Est.'!A154</f>
        <v>WP_B-Inputs Est. Line 144</v>
      </c>
      <c r="D108" s="22">
        <f>'WP_B-Inputs Est.'!D154</f>
        <v>0</v>
      </c>
      <c r="E108" s="49" t="s">
        <v>803</v>
      </c>
      <c r="F108" s="89">
        <v>1</v>
      </c>
      <c r="G108" s="25">
        <f t="shared" si="6"/>
        <v>0</v>
      </c>
    </row>
    <row r="109" spans="1:7">
      <c r="A109" s="18">
        <f t="shared" si="5"/>
        <v>95</v>
      </c>
      <c r="B109" s="24" t="s">
        <v>1082</v>
      </c>
      <c r="C109" s="21" t="str">
        <f>'WP_B-Inputs Est.'!L2&amp;" Line "&amp;'WP_B-Inputs Est.'!A154</f>
        <v>WP_B-Inputs Est. Line 144</v>
      </c>
      <c r="D109" s="22">
        <f>'WP_B-Inputs Est.'!H154</f>
        <v>0</v>
      </c>
      <c r="E109" s="49" t="s">
        <v>803</v>
      </c>
      <c r="F109" s="89">
        <v>1</v>
      </c>
      <c r="G109" s="25">
        <f t="shared" si="6"/>
        <v>0</v>
      </c>
    </row>
    <row r="110" spans="1:7">
      <c r="A110" s="18">
        <f t="shared" si="5"/>
        <v>96</v>
      </c>
      <c r="B110" s="30" t="s">
        <v>811</v>
      </c>
      <c r="C110" s="21" t="str">
        <f ca="1">'WP_B-1'!G2&amp;" Line "&amp;'WP_B-1'!A35&amp;" "&amp;'WP_B-1'!G9</f>
        <v>WP_B-1 Line 26 Col. (d)</v>
      </c>
      <c r="D110" s="22">
        <f>'WP_B-1'!G35</f>
        <v>10804920.704099989</v>
      </c>
      <c r="E110" s="49" t="s">
        <v>806</v>
      </c>
      <c r="F110" s="87">
        <f>WS</f>
        <v>0.11383</v>
      </c>
      <c r="G110" s="25">
        <f t="shared" si="6"/>
        <v>1229924.1237477018</v>
      </c>
    </row>
    <row r="111" spans="1:7">
      <c r="A111" s="18">
        <f t="shared" si="5"/>
        <v>97</v>
      </c>
      <c r="B111" s="30" t="s">
        <v>812</v>
      </c>
      <c r="C111" s="21" t="str">
        <f ca="1">'WP_B-1'!G2&amp;" Line "&amp;'WP_B-1'!A36&amp;" "&amp;'WP_B-1'!G9</f>
        <v>WP_B-1 Line 27 Col. (d)</v>
      </c>
      <c r="D111" s="32">
        <f>'WP_B-1'!G36</f>
        <v>9736230.8400000054</v>
      </c>
      <c r="E111" s="49" t="s">
        <v>806</v>
      </c>
      <c r="F111" s="87">
        <f>WS</f>
        <v>0.11383</v>
      </c>
      <c r="G111" s="328">
        <f t="shared" si="6"/>
        <v>1108275.1565172006</v>
      </c>
    </row>
    <row r="112" spans="1:7">
      <c r="A112" s="18">
        <f t="shared" si="5"/>
        <v>98</v>
      </c>
      <c r="B112" s="124" t="s">
        <v>915</v>
      </c>
      <c r="C112" s="21" t="str">
        <f ca="1">'WP_B-1'!G2&amp;" Line "&amp;'WP_B-1'!A37&amp;" "&amp;'WP_B-1'!G9</f>
        <v>WP_B-1 Line 28 Col. (d)</v>
      </c>
      <c r="D112" s="32">
        <f>'WP_B-1'!G37</f>
        <v>30307670.331000008</v>
      </c>
      <c r="E112" s="49" t="s">
        <v>916</v>
      </c>
      <c r="F112" s="87">
        <f>CE</f>
        <v>8.1738818739999997E-2</v>
      </c>
      <c r="G112" s="328">
        <f t="shared" si="6"/>
        <v>2477313.1716172853</v>
      </c>
    </row>
    <row r="113" spans="1:7">
      <c r="A113" s="18">
        <f t="shared" si="5"/>
        <v>99</v>
      </c>
      <c r="B113" s="124" t="s">
        <v>914</v>
      </c>
      <c r="C113" s="21" t="str">
        <f ca="1">'WP_B-1'!G2&amp;" Line "&amp;'WP_B-1'!A38&amp;" "&amp;'WP_B-1'!G9</f>
        <v>WP_B-1 Line 29 Col. (d)</v>
      </c>
      <c r="D113" s="32">
        <f>'WP_B-1'!G38</f>
        <v>32179517.079999998</v>
      </c>
      <c r="E113" s="49" t="s">
        <v>916</v>
      </c>
      <c r="F113" s="87">
        <f>CE</f>
        <v>8.1738818739999997E-2</v>
      </c>
      <c r="G113" s="328">
        <f t="shared" si="6"/>
        <v>2630315.7137428536</v>
      </c>
    </row>
    <row r="114" spans="1:7">
      <c r="A114" s="18">
        <f t="shared" si="5"/>
        <v>100</v>
      </c>
      <c r="B114" s="124" t="s">
        <v>1258</v>
      </c>
      <c r="C114" s="21" t="str">
        <f ca="1">'WP_B-4'!U2&amp;" Line "&amp;'WP_B-4'!A25&amp;" Col. "&amp;'WP_B-4'!T9</f>
        <v>WP_B-4 Line 15 Col. Col. (o)</v>
      </c>
      <c r="D114" s="63">
        <f>'WP_B-4'!T25</f>
        <v>96514.680000000008</v>
      </c>
      <c r="E114" s="49" t="s">
        <v>803</v>
      </c>
      <c r="F114" s="89">
        <v>1</v>
      </c>
      <c r="G114" s="63">
        <f>D114*F114</f>
        <v>96514.680000000008</v>
      </c>
    </row>
    <row r="115" spans="1:7">
      <c r="A115" s="18">
        <f t="shared" si="5"/>
        <v>101</v>
      </c>
      <c r="B115" s="30" t="s">
        <v>691</v>
      </c>
      <c r="C115" s="20" t="str">
        <f>"Sum Lines "&amp;A106&amp;" through "&amp;A114</f>
        <v>Sum Lines 92 through 100</v>
      </c>
      <c r="D115" s="27">
        <f>SUM(D106:D114)</f>
        <v>117669891.02867363</v>
      </c>
      <c r="E115" s="13"/>
      <c r="F115" s="13"/>
      <c r="G115" s="27">
        <f>SUM(G106:G114)</f>
        <v>42087380.239198662</v>
      </c>
    </row>
    <row r="116" spans="1:7">
      <c r="A116" s="18">
        <f t="shared" si="5"/>
        <v>102</v>
      </c>
      <c r="B116" s="30"/>
      <c r="C116" s="21"/>
      <c r="D116" s="27"/>
      <c r="E116" s="13"/>
      <c r="F116" s="13"/>
      <c r="G116" s="27"/>
    </row>
    <row r="117" spans="1:7">
      <c r="A117" s="18">
        <f t="shared" si="5"/>
        <v>103</v>
      </c>
      <c r="B117" s="30" t="s">
        <v>687</v>
      </c>
      <c r="C117" s="330" t="s">
        <v>581</v>
      </c>
      <c r="D117" s="27"/>
      <c r="E117" s="13"/>
      <c r="F117" s="13"/>
      <c r="G117" s="27"/>
    </row>
    <row r="118" spans="1:7">
      <c r="A118" s="18">
        <f t="shared" si="5"/>
        <v>104</v>
      </c>
      <c r="B118" s="30" t="s">
        <v>813</v>
      </c>
      <c r="C118" s="21" t="str">
        <f ca="1">'WP_D-1'!G2&amp;" Line "&amp;'WP_D-1'!A14</f>
        <v>WP_D-1 Line 5</v>
      </c>
      <c r="D118" s="22">
        <f>'WP_D-1'!D14</f>
        <v>13060546.571717001</v>
      </c>
      <c r="E118" s="65" t="s">
        <v>806</v>
      </c>
      <c r="F118" s="87">
        <f>WS</f>
        <v>0.11383</v>
      </c>
      <c r="G118" s="27">
        <f>D118*F118</f>
        <v>1486682.0162585464</v>
      </c>
    </row>
    <row r="119" spans="1:7">
      <c r="A119" s="18">
        <f t="shared" si="5"/>
        <v>105</v>
      </c>
      <c r="B119" s="30" t="s">
        <v>814</v>
      </c>
      <c r="C119" s="21" t="str">
        <f ca="1">'WP_D-1'!G2&amp;" Line "&amp;'WP_D-1'!A18</f>
        <v>WP_D-1 Line 9</v>
      </c>
      <c r="D119" s="22">
        <f>'WP_D-1'!D18</f>
        <v>135560000</v>
      </c>
      <c r="E119" s="49" t="s">
        <v>809</v>
      </c>
      <c r="F119" s="87">
        <f>NP</f>
        <v>0.18055531137819167</v>
      </c>
      <c r="G119" s="27">
        <f>D119*F119</f>
        <v>24476078.010427661</v>
      </c>
    </row>
    <row r="120" spans="1:7">
      <c r="A120" s="18">
        <f t="shared" si="5"/>
        <v>106</v>
      </c>
      <c r="B120" s="102" t="s">
        <v>85</v>
      </c>
      <c r="C120" s="21" t="str">
        <f ca="1">'WP_D-1'!G2&amp;" Line "&amp;'WP_D-1'!A21</f>
        <v>WP_D-1 Line 12</v>
      </c>
      <c r="D120" s="63">
        <f>'WP_D-1'!D21</f>
        <v>0</v>
      </c>
      <c r="E120" s="65" t="s">
        <v>801</v>
      </c>
      <c r="F120" s="83">
        <v>0</v>
      </c>
      <c r="G120" s="85">
        <f>D120*F120</f>
        <v>0</v>
      </c>
    </row>
    <row r="121" spans="1:7">
      <c r="A121" s="18">
        <f t="shared" si="5"/>
        <v>107</v>
      </c>
      <c r="B121" s="30" t="s">
        <v>688</v>
      </c>
      <c r="C121" s="20" t="str">
        <f>"Sum Lines "&amp;A118&amp;" through "&amp;A120</f>
        <v>Sum Lines 104 through 106</v>
      </c>
      <c r="D121" s="27">
        <f>SUM(D118:D120)</f>
        <v>148620546.57171699</v>
      </c>
      <c r="E121" s="13"/>
      <c r="F121" s="51"/>
      <c r="G121" s="27">
        <f>SUM(G118:G120)</f>
        <v>25962760.026686206</v>
      </c>
    </row>
    <row r="122" spans="1:7">
      <c r="A122" s="18">
        <f t="shared" si="5"/>
        <v>108</v>
      </c>
      <c r="B122" s="30"/>
      <c r="C122" s="21"/>
      <c r="D122" s="13"/>
      <c r="E122" s="13"/>
      <c r="F122" s="51"/>
      <c r="G122" s="13"/>
    </row>
    <row r="123" spans="1:7">
      <c r="A123" s="18">
        <f t="shared" si="5"/>
        <v>109</v>
      </c>
      <c r="B123" s="30" t="s">
        <v>689</v>
      </c>
      <c r="C123" s="65" t="s">
        <v>582</v>
      </c>
      <c r="D123" s="13"/>
      <c r="E123" s="28"/>
      <c r="F123" s="28"/>
      <c r="G123" s="28"/>
    </row>
    <row r="124" spans="1:7">
      <c r="A124" s="18">
        <f t="shared" si="5"/>
        <v>110</v>
      </c>
      <c r="B124" s="52" t="s">
        <v>815</v>
      </c>
      <c r="C124" s="13"/>
      <c r="D124" s="130">
        <f>ROUND(IF(D226&gt;0,1-(((1-D227)*(1-D226))/(1-D226*D227*D228)),0),4)</f>
        <v>0.38009999999999999</v>
      </c>
      <c r="F124" s="579"/>
      <c r="G124" s="28"/>
    </row>
    <row r="125" spans="1:7">
      <c r="A125" s="18">
        <f t="shared" si="5"/>
        <v>111</v>
      </c>
      <c r="B125" s="33" t="s">
        <v>816</v>
      </c>
      <c r="C125" s="13"/>
      <c r="D125" s="129">
        <f>ROUND(IF(G179&gt;0,(D124/(1-D124))*(1-(G176/G179)),0),4)</f>
        <v>0.45219999999999999</v>
      </c>
      <c r="F125" s="581"/>
      <c r="G125" s="28"/>
    </row>
    <row r="126" spans="1:7">
      <c r="A126" s="18">
        <f t="shared" si="5"/>
        <v>112</v>
      </c>
      <c r="B126" s="20" t="s">
        <v>932</v>
      </c>
      <c r="C126" s="21"/>
      <c r="D126" s="13"/>
      <c r="E126" s="28"/>
      <c r="F126" s="580"/>
      <c r="G126" s="28"/>
    </row>
    <row r="127" spans="1:7">
      <c r="A127" s="18">
        <f t="shared" si="5"/>
        <v>113</v>
      </c>
      <c r="B127" s="20" t="s">
        <v>583</v>
      </c>
      <c r="C127" s="13"/>
      <c r="D127" s="13"/>
      <c r="E127" s="28"/>
      <c r="F127" s="53"/>
      <c r="G127" s="28"/>
    </row>
    <row r="128" spans="1:7">
      <c r="A128" s="18">
        <f t="shared" si="5"/>
        <v>114</v>
      </c>
      <c r="B128" s="40" t="s">
        <v>933</v>
      </c>
      <c r="C128" s="13"/>
      <c r="D128" s="622">
        <f>ROUND(IF(D124&gt;0,1/(1-D124),0),4)</f>
        <v>1.6132</v>
      </c>
      <c r="E128" s="27"/>
      <c r="F128" s="41"/>
      <c r="G128" s="27"/>
    </row>
    <row r="129" spans="1:7">
      <c r="A129" s="18">
        <f t="shared" si="5"/>
        <v>115</v>
      </c>
      <c r="B129" s="30" t="s">
        <v>858</v>
      </c>
      <c r="C129" s="21" t="s">
        <v>1335</v>
      </c>
      <c r="D129" s="235">
        <f>-2284050-514075-8773</f>
        <v>-2806898</v>
      </c>
      <c r="E129" s="27"/>
      <c r="F129" s="41"/>
      <c r="G129" s="41"/>
    </row>
    <row r="130" spans="1:7">
      <c r="A130" s="18">
        <f t="shared" si="5"/>
        <v>116</v>
      </c>
      <c r="B130" s="30"/>
      <c r="C130" s="13"/>
      <c r="D130" s="27"/>
      <c r="E130" s="27"/>
      <c r="F130" s="41"/>
      <c r="G130" s="27"/>
    </row>
    <row r="131" spans="1:7">
      <c r="A131" s="18">
        <f t="shared" si="5"/>
        <v>117</v>
      </c>
      <c r="B131" s="52" t="s">
        <v>817</v>
      </c>
      <c r="C131" s="302" t="str">
        <f>"Line "&amp;A76&amp;" times Line "&amp;A125</f>
        <v>Line 68 times Line 111</v>
      </c>
      <c r="D131" s="27">
        <f>ROUND(D76*D125,0)</f>
        <v>240923693</v>
      </c>
      <c r="E131" s="27"/>
      <c r="F131" s="27"/>
      <c r="G131" s="27">
        <f>ROUND(G76*D125,0)</f>
        <v>43061973</v>
      </c>
    </row>
    <row r="132" spans="1:7">
      <c r="A132" s="18">
        <f t="shared" si="5"/>
        <v>118</v>
      </c>
      <c r="B132" s="33" t="s">
        <v>780</v>
      </c>
      <c r="C132" s="302" t="str">
        <f>"Line "&amp;A128&amp;" times Line "&amp;A129</f>
        <v>Line 114 times Line 115</v>
      </c>
      <c r="D132" s="85">
        <f>ROUND(D128*D129,0)</f>
        <v>-4528088</v>
      </c>
      <c r="E132" s="41" t="s">
        <v>809</v>
      </c>
      <c r="F132" s="83">
        <f>NP</f>
        <v>0.18055531137819167</v>
      </c>
      <c r="G132" s="85">
        <f>D132*F132</f>
        <v>-817570.33878785314</v>
      </c>
    </row>
    <row r="133" spans="1:7">
      <c r="A133" s="18">
        <f t="shared" si="5"/>
        <v>119</v>
      </c>
      <c r="B133" s="52" t="s">
        <v>690</v>
      </c>
      <c r="C133" s="20" t="str">
        <f>"Sum Lines "&amp;A131&amp;" through "&amp;A132</f>
        <v>Sum Lines 117 through 118</v>
      </c>
      <c r="D133" s="55">
        <f>SUM(D131:D132)</f>
        <v>236395605</v>
      </c>
      <c r="E133" s="27" t="s">
        <v>788</v>
      </c>
      <c r="F133" s="27" t="s">
        <v>788</v>
      </c>
      <c r="G133" s="55">
        <f>SUM(G131:G132)</f>
        <v>42244402.661212146</v>
      </c>
    </row>
    <row r="134" spans="1:7">
      <c r="A134" s="18">
        <f t="shared" si="5"/>
        <v>120</v>
      </c>
      <c r="B134" s="33"/>
      <c r="C134" s="56"/>
      <c r="D134" s="27"/>
      <c r="E134" s="27"/>
      <c r="F134" s="27"/>
      <c r="G134" s="27"/>
    </row>
    <row r="135" spans="1:7">
      <c r="A135" s="18">
        <f t="shared" si="5"/>
        <v>121</v>
      </c>
      <c r="B135" s="52"/>
      <c r="C135" s="28"/>
      <c r="D135" s="27"/>
      <c r="E135" s="27"/>
      <c r="F135" s="41"/>
      <c r="G135" s="27"/>
    </row>
    <row r="136" spans="1:7">
      <c r="A136" s="18">
        <f t="shared" si="5"/>
        <v>122</v>
      </c>
      <c r="B136" s="73" t="s">
        <v>771</v>
      </c>
      <c r="C136" s="75" t="s">
        <v>584</v>
      </c>
    </row>
    <row r="137" spans="1:7">
      <c r="A137" s="18">
        <f t="shared" si="5"/>
        <v>123</v>
      </c>
      <c r="B137" s="308" t="s">
        <v>210</v>
      </c>
      <c r="C137" s="308" t="str">
        <f ca="1">'WP_E-1'!F2&amp;" Line "&amp;'WP_E-1'!A13</f>
        <v>WP_E-1 Line 4</v>
      </c>
      <c r="D137" s="165">
        <f>'WP_E-1'!F13</f>
        <v>2946787</v>
      </c>
      <c r="E137" s="75" t="s">
        <v>803</v>
      </c>
      <c r="F137" s="93">
        <v>1</v>
      </c>
      <c r="G137" s="94">
        <f>D137*F137</f>
        <v>2946787</v>
      </c>
    </row>
    <row r="138" spans="1:7">
      <c r="A138" s="18">
        <f t="shared" si="5"/>
        <v>124</v>
      </c>
      <c r="B138" s="308" t="s">
        <v>513</v>
      </c>
      <c r="C138" s="308" t="str">
        <f ca="1">'WP_E-1'!F2&amp;" Line "&amp;'WP_E-1'!A18</f>
        <v>WP_E-1 Line 9</v>
      </c>
      <c r="D138" s="165">
        <f>'WP_E-1'!F18</f>
        <v>0</v>
      </c>
      <c r="E138" s="75" t="s">
        <v>652</v>
      </c>
      <c r="F138" s="283">
        <f>WS</f>
        <v>0.11383</v>
      </c>
      <c r="G138" s="94">
        <f>D138*F138</f>
        <v>0</v>
      </c>
    </row>
    <row r="139" spans="1:7">
      <c r="A139" s="76">
        <f t="shared" si="5"/>
        <v>125</v>
      </c>
      <c r="B139" s="308" t="s">
        <v>91</v>
      </c>
      <c r="C139" s="308" t="str">
        <f ca="1">'WP_F-1'!R2&amp;" Line "&amp;'WP_F-1'!A54&amp;" Col. (b)"</f>
        <v>WP_F-1 Line 42 Col. (b)</v>
      </c>
      <c r="D139" s="165">
        <f>'WP_F-1'!F54</f>
        <v>2340912.2708000001</v>
      </c>
      <c r="E139" s="450" t="s">
        <v>803</v>
      </c>
      <c r="F139" s="778">
        <v>1</v>
      </c>
      <c r="G139" s="729">
        <f>D139*F139</f>
        <v>2340912.2708000001</v>
      </c>
    </row>
    <row r="140" spans="1:7">
      <c r="A140" s="76">
        <f t="shared" si="5"/>
        <v>126</v>
      </c>
      <c r="B140" s="308" t="s">
        <v>91</v>
      </c>
      <c r="C140" s="308" t="str">
        <f ca="1">'WP_F-1'!R2&amp;" Line "&amp;'WP_F-1'!A54&amp;" Col. (c)"</f>
        <v>WP_F-1 Line 42 Col. (c)</v>
      </c>
      <c r="D140" s="166">
        <f>'WP_F-1'!G54</f>
        <v>224400</v>
      </c>
      <c r="E140" s="450" t="s">
        <v>803</v>
      </c>
      <c r="F140" s="778">
        <v>1</v>
      </c>
      <c r="G140" s="779">
        <f>D140*F140</f>
        <v>224400</v>
      </c>
    </row>
    <row r="141" spans="1:7">
      <c r="A141" s="76">
        <f t="shared" si="5"/>
        <v>127</v>
      </c>
      <c r="B141" s="623" t="s">
        <v>330</v>
      </c>
      <c r="C141" s="308" t="s">
        <v>1214</v>
      </c>
      <c r="D141" s="284">
        <v>726905</v>
      </c>
      <c r="E141" s="450" t="s">
        <v>803</v>
      </c>
      <c r="F141" s="778">
        <v>1</v>
      </c>
      <c r="G141" s="780">
        <f>D141*F141</f>
        <v>726905</v>
      </c>
    </row>
    <row r="142" spans="1:7">
      <c r="A142" s="18">
        <f t="shared" si="5"/>
        <v>128</v>
      </c>
      <c r="B142" s="73" t="s">
        <v>792</v>
      </c>
      <c r="C142" s="20"/>
      <c r="D142" s="94">
        <f>SUM(D137:D141)</f>
        <v>6239004.2708000001</v>
      </c>
      <c r="G142" s="94">
        <f>SUM(G137:G141)</f>
        <v>6239004.2708000001</v>
      </c>
    </row>
    <row r="143" spans="1:7" ht="13.5" thickBot="1">
      <c r="A143" s="18">
        <f t="shared" si="5"/>
        <v>129</v>
      </c>
      <c r="B143" s="30"/>
      <c r="C143" s="28"/>
      <c r="D143" s="37"/>
      <c r="E143" s="27"/>
      <c r="F143" s="41"/>
      <c r="G143" s="37"/>
    </row>
    <row r="144" spans="1:7" ht="13.5" thickBot="1">
      <c r="A144" s="18">
        <f t="shared" si="5"/>
        <v>130</v>
      </c>
      <c r="B144" s="6" t="s">
        <v>195</v>
      </c>
      <c r="C144" s="57"/>
      <c r="D144" s="314">
        <f>D76+D102+D115+D121+D133-D142</f>
        <v>1218975448.2735648</v>
      </c>
      <c r="E144" s="27"/>
      <c r="F144" s="27"/>
      <c r="G144" s="578">
        <f>G76+G102+G115+G121+G133-G142</f>
        <v>249558943.05226737</v>
      </c>
    </row>
    <row r="145" spans="1:7" ht="13.5" thickTop="1">
      <c r="A145" s="18"/>
      <c r="B145" s="6"/>
      <c r="C145" s="57"/>
      <c r="D145" s="37"/>
      <c r="E145" s="27"/>
      <c r="F145" s="27"/>
      <c r="G145" s="37"/>
    </row>
    <row r="146" spans="1:7">
      <c r="A146" s="18"/>
      <c r="B146" s="6"/>
      <c r="C146" s="57"/>
      <c r="D146" s="37"/>
      <c r="E146" s="27"/>
      <c r="F146" s="27"/>
      <c r="G146" s="37"/>
    </row>
    <row r="147" spans="1:7">
      <c r="A147" s="18"/>
      <c r="B147" s="6"/>
      <c r="C147" s="57"/>
      <c r="D147" s="37"/>
      <c r="E147" s="27"/>
      <c r="F147" s="27"/>
      <c r="G147" s="37"/>
    </row>
    <row r="148" spans="1:7">
      <c r="A148" s="18"/>
      <c r="B148" s="15"/>
      <c r="C148" s="9"/>
      <c r="D148" s="13"/>
      <c r="E148" s="1273" t="s">
        <v>1305</v>
      </c>
      <c r="F148" s="1273"/>
      <c r="G148" s="43" t="s">
        <v>790</v>
      </c>
    </row>
    <row r="149" spans="1:7">
      <c r="A149" s="86" t="s">
        <v>862</v>
      </c>
      <c r="B149" s="773" t="s">
        <v>776</v>
      </c>
      <c r="C149" s="774" t="s">
        <v>869</v>
      </c>
      <c r="D149" s="777" t="s">
        <v>790</v>
      </c>
      <c r="E149" s="1272"/>
      <c r="F149" s="1272"/>
      <c r="G149" s="777" t="s">
        <v>789</v>
      </c>
    </row>
    <row r="150" spans="1:7">
      <c r="B150" s="76" t="s">
        <v>352</v>
      </c>
      <c r="C150" s="76" t="s">
        <v>353</v>
      </c>
      <c r="D150" s="76" t="s">
        <v>354</v>
      </c>
      <c r="E150" s="1216" t="s">
        <v>355</v>
      </c>
      <c r="F150" s="1217"/>
      <c r="G150" s="775" t="s">
        <v>356</v>
      </c>
    </row>
    <row r="151" spans="1:7">
      <c r="B151" s="10"/>
      <c r="C151" s="9"/>
      <c r="D151" s="9"/>
      <c r="E151" s="9"/>
      <c r="F151" s="9"/>
      <c r="G151" s="9"/>
    </row>
    <row r="152" spans="1:7">
      <c r="A152" s="18">
        <f>A144+1</f>
        <v>131</v>
      </c>
      <c r="B152" s="26" t="s">
        <v>546</v>
      </c>
      <c r="C152" s="76" t="s">
        <v>1086</v>
      </c>
      <c r="D152" s="38"/>
      <c r="E152" s="38"/>
      <c r="F152" s="38"/>
      <c r="G152" s="28"/>
    </row>
    <row r="153" spans="1:7">
      <c r="A153" s="18">
        <f>A152+1</f>
        <v>132</v>
      </c>
      <c r="B153" s="38" t="s">
        <v>547</v>
      </c>
      <c r="C153" s="623" t="str">
        <f ca="1">'WP_B-1'!G2&amp;" Col. (a), Line "&amp;'WP_B-1'!A12</f>
        <v>WP_B-1 Col. (a), Line 3</v>
      </c>
      <c r="D153" s="624"/>
      <c r="E153" s="59"/>
      <c r="F153" s="59"/>
      <c r="G153" s="22">
        <f>'WP_B-1'!D12</f>
        <v>2154635332.074616</v>
      </c>
    </row>
    <row r="154" spans="1:7">
      <c r="A154" s="18">
        <f>A153+1</f>
        <v>133</v>
      </c>
      <c r="B154" s="38" t="s">
        <v>880</v>
      </c>
      <c r="C154" s="623" t="str">
        <f ca="1">'WP_B-4'!U2&amp;" Col. (c), Line "&amp;'WP_B-4'!A25</f>
        <v>WP_B-4 Col. (c), Line 15</v>
      </c>
      <c r="D154" s="624"/>
      <c r="E154" s="59"/>
      <c r="F154" s="59"/>
      <c r="G154" s="63">
        <f>'WP_B-4'!E25</f>
        <v>5308256.9099999983</v>
      </c>
    </row>
    <row r="155" spans="1:7">
      <c r="A155" s="18">
        <f t="shared" ref="A155:A161" si="7">A154+1</f>
        <v>134</v>
      </c>
      <c r="B155" s="38" t="s">
        <v>548</v>
      </c>
      <c r="C155" s="20" t="str">
        <f>"Sum Lines "&amp;A152&amp;" through "&amp;A153</f>
        <v>Sum Lines 131 through 132</v>
      </c>
      <c r="D155" s="624"/>
      <c r="E155" s="59"/>
      <c r="F155" s="59"/>
      <c r="G155" s="22">
        <f>SUM(G153:G154)</f>
        <v>2159943588.9846158</v>
      </c>
    </row>
    <row r="156" spans="1:7">
      <c r="A156" s="18">
        <f t="shared" si="7"/>
        <v>135</v>
      </c>
      <c r="B156" s="38" t="s">
        <v>1227</v>
      </c>
      <c r="C156" s="21" t="str">
        <f>'WP_B-Inputs Est.'!L2&amp;" Line "&amp;'WP_B-Inputs Est.'!A129</f>
        <v>WP_B-Inputs Est. Line 119</v>
      </c>
      <c r="D156" s="60"/>
      <c r="E156" s="35"/>
      <c r="F156" s="35"/>
      <c r="G156" s="63">
        <f>-'WP_B-Inputs Est.'!C129</f>
        <v>-58964184.360000007</v>
      </c>
    </row>
    <row r="157" spans="1:7">
      <c r="A157" s="18">
        <f t="shared" si="7"/>
        <v>136</v>
      </c>
      <c r="B157" s="38" t="s">
        <v>685</v>
      </c>
      <c r="C157" s="20" t="str">
        <f>"Sum Lines "&amp;A154&amp;" through "&amp;A155</f>
        <v>Sum Lines 133 through 134</v>
      </c>
      <c r="D157" s="624"/>
      <c r="E157" s="59"/>
      <c r="F157" s="19"/>
      <c r="G157" s="22">
        <f>SUM(G155:G156)</f>
        <v>2100979404.6246159</v>
      </c>
    </row>
    <row r="158" spans="1:7">
      <c r="A158" s="18">
        <f t="shared" si="7"/>
        <v>137</v>
      </c>
      <c r="B158" s="38" t="s">
        <v>555</v>
      </c>
      <c r="C158" s="303" t="str">
        <f>"Line "&amp;A157&amp;" divided by Line "&amp;A155</f>
        <v>Line 136 divided by Line 134</v>
      </c>
      <c r="D158" s="8"/>
      <c r="E158" s="61"/>
      <c r="F158" s="96" t="s">
        <v>818</v>
      </c>
      <c r="G158" s="95">
        <f>IF(G157=0,0,ROUND(G157/SUM(G155),5))</f>
        <v>0.97270000000000001</v>
      </c>
    </row>
    <row r="159" spans="1:7">
      <c r="A159" s="18">
        <f t="shared" si="7"/>
        <v>138</v>
      </c>
      <c r="B159" s="62"/>
      <c r="C159" s="38"/>
      <c r="D159" s="38"/>
      <c r="E159" s="38"/>
      <c r="F159" s="38"/>
      <c r="G159" s="9"/>
    </row>
    <row r="160" spans="1:7">
      <c r="A160" s="18">
        <f t="shared" si="7"/>
        <v>139</v>
      </c>
      <c r="B160" s="6" t="s">
        <v>778</v>
      </c>
      <c r="C160" s="301"/>
      <c r="D160" s="13"/>
      <c r="E160" s="13"/>
      <c r="F160" s="13"/>
      <c r="G160" s="13"/>
    </row>
    <row r="161" spans="1:7">
      <c r="A161" s="18">
        <f t="shared" si="7"/>
        <v>140</v>
      </c>
      <c r="B161" s="6" t="s">
        <v>800</v>
      </c>
      <c r="C161" s="21" t="s">
        <v>1383</v>
      </c>
      <c r="D161" s="235">
        <v>72449712</v>
      </c>
      <c r="E161" s="65" t="s">
        <v>801</v>
      </c>
      <c r="F161" s="83">
        <v>0</v>
      </c>
      <c r="G161" s="27">
        <f>D161*F161</f>
        <v>0</v>
      </c>
    </row>
    <row r="162" spans="1:7">
      <c r="A162" s="18">
        <f t="shared" ref="A162:A192" si="8">A161+1</f>
        <v>141</v>
      </c>
      <c r="B162" s="30" t="s">
        <v>802</v>
      </c>
      <c r="C162" s="21" t="str">
        <f ca="1">'WP_C-1'!M2&amp;" Line "&amp;'WP_C-1'!A41&amp;" Col. (b)"</f>
        <v>WP_C-1 Line 31 Col. (b)</v>
      </c>
      <c r="D162" s="285">
        <f>'WP_C-1'!G41</f>
        <v>17161188.568099998</v>
      </c>
      <c r="E162" s="76" t="s">
        <v>791</v>
      </c>
      <c r="F162" s="89">
        <f>TP</f>
        <v>0.97270000000000001</v>
      </c>
      <c r="G162" s="27">
        <f>D162*F162</f>
        <v>16692688.120190868</v>
      </c>
    </row>
    <row r="163" spans="1:7">
      <c r="A163" s="18">
        <f t="shared" si="8"/>
        <v>142</v>
      </c>
      <c r="B163" s="30" t="s">
        <v>860</v>
      </c>
      <c r="C163" s="21" t="s">
        <v>1383</v>
      </c>
      <c r="D163" s="235">
        <v>253776</v>
      </c>
      <c r="E163" s="76" t="s">
        <v>801</v>
      </c>
      <c r="F163" s="83">
        <v>0</v>
      </c>
      <c r="G163" s="27">
        <f>D163*F163</f>
        <v>0</v>
      </c>
    </row>
    <row r="164" spans="1:7">
      <c r="A164" s="18">
        <f t="shared" si="8"/>
        <v>143</v>
      </c>
      <c r="B164" s="30" t="s">
        <v>804</v>
      </c>
      <c r="C164" s="21" t="s">
        <v>1383</v>
      </c>
      <c r="D164" s="235">
        <v>43146955</v>
      </c>
      <c r="E164" s="65" t="s">
        <v>801</v>
      </c>
      <c r="F164" s="83">
        <v>0</v>
      </c>
      <c r="G164" s="27">
        <f>D164*F164</f>
        <v>0</v>
      </c>
    </row>
    <row r="165" spans="1:7">
      <c r="A165" s="18">
        <f t="shared" si="8"/>
        <v>144</v>
      </c>
      <c r="B165" s="30" t="s">
        <v>820</v>
      </c>
      <c r="C165" s="21" t="s">
        <v>1383</v>
      </c>
      <c r="D165" s="284">
        <v>13639370</v>
      </c>
      <c r="E165" s="65" t="s">
        <v>801</v>
      </c>
      <c r="F165" s="83">
        <v>0</v>
      </c>
      <c r="G165" s="85">
        <f>D165*F165</f>
        <v>0</v>
      </c>
    </row>
    <row r="166" spans="1:7">
      <c r="A166" s="18">
        <f t="shared" si="8"/>
        <v>145</v>
      </c>
      <c r="B166" s="20" t="s">
        <v>790</v>
      </c>
      <c r="C166" s="20" t="str">
        <f>"Sum Lines "&amp;A161&amp;" through "&amp;A165</f>
        <v>Sum Lines 140 through 144</v>
      </c>
      <c r="D166" s="27">
        <f>SUM(D161:D165)</f>
        <v>146651001.56810001</v>
      </c>
      <c r="E166" s="13"/>
      <c r="F166" s="13"/>
      <c r="G166" s="27">
        <f>SUM(G161:G165)</f>
        <v>16692688.120190868</v>
      </c>
    </row>
    <row r="167" spans="1:7">
      <c r="A167" s="18">
        <f t="shared" si="8"/>
        <v>146</v>
      </c>
      <c r="B167" s="30" t="s">
        <v>788</v>
      </c>
      <c r="C167" s="13" t="s">
        <v>788</v>
      </c>
      <c r="D167" s="28"/>
      <c r="E167" s="8"/>
      <c r="F167" s="8"/>
      <c r="G167" s="8"/>
    </row>
    <row r="168" spans="1:7">
      <c r="A168" s="18">
        <f t="shared" si="8"/>
        <v>147</v>
      </c>
      <c r="B168" s="30" t="s">
        <v>786</v>
      </c>
      <c r="C168" s="13" t="str">
        <f>"Line "&amp;A166&amp;", Col. "&amp;G150&amp;" divided by Col. "&amp;D150</f>
        <v>Line 145, Col. Col. (5) divided by Col. Col. (3)</v>
      </c>
      <c r="D168" s="28"/>
      <c r="E168" s="8"/>
      <c r="F168" s="64" t="s">
        <v>779</v>
      </c>
      <c r="G168" s="97">
        <f>IF(G166=0,0,ROUND(G166/D166,5))</f>
        <v>0.11383</v>
      </c>
    </row>
    <row r="169" spans="1:7">
      <c r="A169" s="18">
        <f t="shared" si="8"/>
        <v>148</v>
      </c>
      <c r="B169" s="30"/>
      <c r="C169" s="13"/>
      <c r="D169" s="28"/>
      <c r="E169" s="8"/>
      <c r="F169" s="64"/>
      <c r="G169" s="97"/>
    </row>
    <row r="170" spans="1:7">
      <c r="A170" s="18">
        <f t="shared" si="8"/>
        <v>149</v>
      </c>
      <c r="B170" s="13" t="s">
        <v>936</v>
      </c>
      <c r="C170" s="13" t="s">
        <v>924</v>
      </c>
      <c r="D170" s="28"/>
      <c r="E170" s="8"/>
      <c r="F170" s="64"/>
      <c r="G170" s="1142">
        <v>0.71807799999999999</v>
      </c>
    </row>
    <row r="171" spans="1:7">
      <c r="A171" s="18">
        <f t="shared" si="8"/>
        <v>150</v>
      </c>
      <c r="B171" s="30"/>
      <c r="C171" s="30" t="str">
        <f>"W/S Allocator, Line "&amp;A168</f>
        <v>W/S Allocator, Line 147</v>
      </c>
      <c r="D171" s="28"/>
      <c r="E171" s="8"/>
      <c r="F171" s="64"/>
      <c r="G171" s="125">
        <f>WS</f>
        <v>0.11383</v>
      </c>
    </row>
    <row r="172" spans="1:7">
      <c r="A172" s="18">
        <f t="shared" si="8"/>
        <v>151</v>
      </c>
      <c r="B172" s="13"/>
      <c r="C172" s="73" t="str">
        <f>"Line "&amp;A170&amp;" times Line "&amp;A171</f>
        <v>Line 149 times Line 150</v>
      </c>
      <c r="D172" s="28"/>
      <c r="E172" s="8"/>
      <c r="F172" s="64" t="s">
        <v>917</v>
      </c>
      <c r="G172" s="97">
        <f>G170*G171</f>
        <v>8.1738818739999997E-2</v>
      </c>
    </row>
    <row r="173" spans="1:7">
      <c r="A173" s="18">
        <f t="shared" si="8"/>
        <v>152</v>
      </c>
      <c r="B173" s="30"/>
      <c r="C173" s="13"/>
      <c r="D173" s="13"/>
      <c r="E173" s="13"/>
      <c r="F173" s="13"/>
      <c r="G173" s="13"/>
    </row>
    <row r="174" spans="1:7">
      <c r="A174" s="18">
        <f t="shared" si="8"/>
        <v>153</v>
      </c>
      <c r="C174" s="13"/>
      <c r="D174" s="13"/>
      <c r="E174" s="13"/>
      <c r="F174" s="65"/>
      <c r="G174" s="13"/>
    </row>
    <row r="175" spans="1:7">
      <c r="A175" s="18">
        <f t="shared" si="8"/>
        <v>154</v>
      </c>
      <c r="B175" s="30" t="s">
        <v>1182</v>
      </c>
      <c r="C175" s="65" t="s">
        <v>1181</v>
      </c>
      <c r="D175" s="127" t="s">
        <v>819</v>
      </c>
      <c r="E175" s="127" t="s">
        <v>822</v>
      </c>
      <c r="F175" s="128" t="s">
        <v>821</v>
      </c>
      <c r="G175" s="127" t="s">
        <v>823</v>
      </c>
    </row>
    <row r="176" spans="1:7">
      <c r="A176" s="18">
        <f t="shared" si="8"/>
        <v>155</v>
      </c>
      <c r="B176" s="21" t="s">
        <v>681</v>
      </c>
      <c r="C176" s="21" t="str">
        <f ca="1">'WP_G-1'!Q2&amp;" Col (n), Line "&amp;'WP_G-1'!A16</f>
        <v>WP_G-1 Col (n), Line 6</v>
      </c>
      <c r="D176" s="22">
        <f>'WP_G-1'!Q16</f>
        <v>4253846153.8461537</v>
      </c>
      <c r="E176" s="82">
        <f>IF(D179=0,0,ROUND(D176/$D$179,4))</f>
        <v>0.43619999999999998</v>
      </c>
      <c r="F176" s="82">
        <f>'WP_G-1'!P37</f>
        <v>4.4696691681735984E-2</v>
      </c>
      <c r="G176" s="66">
        <f>ROUND(E176*F176,4)</f>
        <v>1.95E-2</v>
      </c>
    </row>
    <row r="177" spans="1:7">
      <c r="A177" s="18">
        <f t="shared" si="8"/>
        <v>156</v>
      </c>
      <c r="B177" s="21" t="s">
        <v>660</v>
      </c>
      <c r="C177" s="34" t="str">
        <f ca="1">'WP_G-1'!Q2&amp;" Col (n), Line "&amp;'WP_G-1'!A18</f>
        <v>WP_G-1 Col (n), Line 8</v>
      </c>
      <c r="D177" s="22">
        <f>'WP_G-1'!Q18</f>
        <v>0</v>
      </c>
      <c r="E177" s="82">
        <f>IF(D179=0,0,ROUND(D177/$D$179,4))</f>
        <v>0</v>
      </c>
      <c r="F177" s="82">
        <v>0</v>
      </c>
      <c r="G177" s="66">
        <f>ROUND(E177*F177,4)</f>
        <v>0</v>
      </c>
    </row>
    <row r="178" spans="1:7">
      <c r="A178" s="18">
        <f t="shared" si="8"/>
        <v>157</v>
      </c>
      <c r="B178" s="21" t="s">
        <v>682</v>
      </c>
      <c r="C178" s="34" t="str">
        <f ca="1">'WP_G-1'!Q2&amp;" Col (n), Line "&amp;'WP_G-1'!A24</f>
        <v>WP_G-1 Col (n), Line 14</v>
      </c>
      <c r="D178" s="63">
        <f>'WP_G-1'!Q24</f>
        <v>5497254052.7662878</v>
      </c>
      <c r="E178" s="82">
        <f>IF(D179=0,0,ROUND(D178/$D$179,4))</f>
        <v>0.56379999999999997</v>
      </c>
      <c r="F178" s="82">
        <v>9.7199999999999995E-2</v>
      </c>
      <c r="G178" s="126">
        <f>ROUND(E178*F178,4)</f>
        <v>5.4800000000000001E-2</v>
      </c>
    </row>
    <row r="179" spans="1:7">
      <c r="A179" s="18">
        <f t="shared" si="8"/>
        <v>158</v>
      </c>
      <c r="B179" s="20" t="s">
        <v>683</v>
      </c>
      <c r="C179" s="20" t="str">
        <f>"Sum Lines "&amp;A176&amp;" through "&amp;A178</f>
        <v>Sum Lines 155 through 157</v>
      </c>
      <c r="D179" s="22">
        <f>SUM(D176:D178)</f>
        <v>9751100206.612442</v>
      </c>
      <c r="E179" s="21"/>
      <c r="F179" s="67" t="s">
        <v>1398</v>
      </c>
      <c r="G179" s="68">
        <f>SUM(G176:G178)</f>
        <v>7.4300000000000005E-2</v>
      </c>
    </row>
    <row r="180" spans="1:7">
      <c r="A180" s="18">
        <f t="shared" si="8"/>
        <v>159</v>
      </c>
      <c r="B180" s="15"/>
      <c r="C180" s="9"/>
      <c r="D180" s="16"/>
      <c r="E180" s="9"/>
      <c r="F180" s="9"/>
      <c r="G180" s="8"/>
    </row>
    <row r="181" spans="1:7">
      <c r="A181" s="18">
        <f t="shared" si="8"/>
        <v>160</v>
      </c>
      <c r="C181" s="9"/>
      <c r="D181" s="14"/>
      <c r="E181" s="9"/>
      <c r="F181" s="9"/>
      <c r="G181" s="229"/>
    </row>
    <row r="182" spans="1:7">
      <c r="A182" s="18">
        <f t="shared" si="8"/>
        <v>161</v>
      </c>
      <c r="B182" s="9" t="s">
        <v>1397</v>
      </c>
      <c r="C182" s="9"/>
      <c r="D182" s="235" t="s">
        <v>1723</v>
      </c>
      <c r="E182" s="9"/>
      <c r="G182" s="230"/>
    </row>
    <row r="183" spans="1:7">
      <c r="A183" s="18">
        <f t="shared" si="8"/>
        <v>162</v>
      </c>
      <c r="B183" s="226"/>
      <c r="C183" s="9"/>
      <c r="D183" s="16"/>
      <c r="E183" s="9"/>
      <c r="G183" s="231"/>
    </row>
    <row r="184" spans="1:7">
      <c r="A184" s="18">
        <f t="shared" si="8"/>
        <v>163</v>
      </c>
      <c r="B184" s="226" t="s">
        <v>1388</v>
      </c>
      <c r="C184" s="9" t="s">
        <v>558</v>
      </c>
      <c r="D184" s="235">
        <v>11918749273</v>
      </c>
      <c r="E184" s="9"/>
      <c r="G184" s="232"/>
    </row>
    <row r="185" spans="1:7">
      <c r="A185" s="18">
        <f t="shared" si="8"/>
        <v>164</v>
      </c>
      <c r="B185" s="226" t="s">
        <v>1389</v>
      </c>
      <c r="C185" s="625">
        <v>356</v>
      </c>
      <c r="D185" s="235">
        <v>512956178</v>
      </c>
      <c r="E185" s="9"/>
      <c r="G185" s="232"/>
    </row>
    <row r="186" spans="1:7">
      <c r="A186" s="18">
        <f t="shared" si="8"/>
        <v>165</v>
      </c>
      <c r="B186" s="226" t="s">
        <v>1390</v>
      </c>
      <c r="C186" s="9" t="s">
        <v>559</v>
      </c>
      <c r="D186" s="235">
        <v>26270332</v>
      </c>
      <c r="E186" s="9"/>
      <c r="G186" s="232"/>
    </row>
    <row r="187" spans="1:7">
      <c r="A187" s="18">
        <f t="shared" si="8"/>
        <v>166</v>
      </c>
      <c r="B187" s="226" t="s">
        <v>1391</v>
      </c>
      <c r="C187" s="9" t="s">
        <v>560</v>
      </c>
      <c r="D187" s="235">
        <v>250651192</v>
      </c>
      <c r="E187" s="9"/>
      <c r="G187" s="232"/>
    </row>
    <row r="188" spans="1:7">
      <c r="A188" s="18">
        <f t="shared" si="8"/>
        <v>167</v>
      </c>
      <c r="B188" s="226" t="s">
        <v>1393</v>
      </c>
      <c r="C188" s="625">
        <v>356</v>
      </c>
      <c r="D188" s="284">
        <v>54976629</v>
      </c>
      <c r="E188" s="9"/>
      <c r="G188" s="232"/>
    </row>
    <row r="189" spans="1:7">
      <c r="A189" s="18">
        <f t="shared" si="8"/>
        <v>168</v>
      </c>
      <c r="B189" s="226" t="s">
        <v>1394</v>
      </c>
      <c r="C189" s="20" t="str">
        <f>"Sum Lines "&amp;A184&amp;" through "&amp;A188</f>
        <v>Sum Lines 163 through 167</v>
      </c>
      <c r="D189" s="222">
        <f>SUM(D184:D188)</f>
        <v>12763603604</v>
      </c>
      <c r="E189" s="9"/>
      <c r="G189" s="232"/>
    </row>
    <row r="190" spans="1:7">
      <c r="A190" s="18">
        <f t="shared" si="8"/>
        <v>169</v>
      </c>
      <c r="B190" s="226" t="s">
        <v>1395</v>
      </c>
      <c r="C190" s="225" t="s">
        <v>561</v>
      </c>
      <c r="D190" s="235">
        <f>16746073728+9174894</f>
        <v>16755248622</v>
      </c>
      <c r="E190" s="9"/>
      <c r="G190" s="232"/>
    </row>
    <row r="191" spans="1:7">
      <c r="A191" s="18">
        <f t="shared" si="8"/>
        <v>170</v>
      </c>
      <c r="B191" s="9"/>
      <c r="C191" s="9"/>
      <c r="D191" s="222"/>
      <c r="E191" s="9"/>
      <c r="G191" s="232"/>
    </row>
    <row r="192" spans="1:7">
      <c r="A192" s="18">
        <f t="shared" si="8"/>
        <v>171</v>
      </c>
      <c r="B192" s="226" t="s">
        <v>1396</v>
      </c>
      <c r="C192" s="9" t="str">
        <f>"Line "&amp;A189&amp;" divided by Line "&amp;A190</f>
        <v>Line 168 divided by Line 169</v>
      </c>
      <c r="D192" s="692">
        <f>IF(D189=0,0,D189/D190)</f>
        <v>0.76176748503994829</v>
      </c>
      <c r="E192" s="228"/>
      <c r="G192" s="233"/>
    </row>
    <row r="193" spans="1:7">
      <c r="A193" s="18"/>
      <c r="B193" s="15"/>
      <c r="C193" s="9"/>
      <c r="D193" s="16"/>
      <c r="E193" s="9"/>
      <c r="F193" s="9"/>
      <c r="G193" s="8"/>
    </row>
    <row r="194" spans="1:7">
      <c r="A194" s="18"/>
      <c r="B194" s="15"/>
      <c r="C194" s="9"/>
      <c r="D194" s="16"/>
      <c r="E194" s="9"/>
      <c r="F194" s="9"/>
      <c r="G194" s="8"/>
    </row>
    <row r="195" spans="1:7">
      <c r="A195" s="10" t="s">
        <v>371</v>
      </c>
      <c r="B195" s="69"/>
      <c r="C195" s="70"/>
      <c r="D195" s="70"/>
      <c r="E195" s="8"/>
      <c r="F195" s="8"/>
      <c r="G195" s="71"/>
    </row>
    <row r="196" spans="1:7">
      <c r="A196" s="10"/>
      <c r="B196" s="69"/>
      <c r="C196" s="70"/>
      <c r="D196" s="70"/>
      <c r="E196" s="8"/>
      <c r="F196" s="8"/>
      <c r="G196" s="71"/>
    </row>
    <row r="197" spans="1:7">
      <c r="A197" s="78"/>
      <c r="B197" s="26"/>
      <c r="C197" s="38"/>
      <c r="D197" s="21"/>
      <c r="E197" s="21"/>
      <c r="F197" s="21"/>
      <c r="G197" s="21"/>
    </row>
    <row r="198" spans="1:7">
      <c r="A198" s="329" t="s">
        <v>89</v>
      </c>
      <c r="B198" s="26"/>
      <c r="C198" s="38"/>
      <c r="D198" s="21"/>
      <c r="E198" s="21"/>
      <c r="F198" s="21"/>
      <c r="G198" s="21"/>
    </row>
    <row r="199" spans="1:7">
      <c r="A199" s="329" t="s">
        <v>824</v>
      </c>
      <c r="B199" s="26" t="s">
        <v>1075</v>
      </c>
      <c r="C199" s="38"/>
      <c r="D199" s="21"/>
      <c r="E199" s="21"/>
      <c r="F199" s="21"/>
      <c r="G199" s="21"/>
    </row>
    <row r="200" spans="1:7">
      <c r="A200" s="329" t="s">
        <v>825</v>
      </c>
      <c r="B200" s="26" t="s">
        <v>166</v>
      </c>
      <c r="C200" s="38"/>
      <c r="D200" s="21"/>
      <c r="E200" s="21"/>
      <c r="F200" s="21"/>
      <c r="G200" s="21"/>
    </row>
    <row r="201" spans="1:7">
      <c r="A201" s="329"/>
      <c r="B201" s="26" t="s">
        <v>351</v>
      </c>
      <c r="C201" s="38"/>
      <c r="D201" s="21"/>
      <c r="E201" s="21"/>
      <c r="F201" s="21"/>
      <c r="G201" s="21"/>
    </row>
    <row r="202" spans="1:7">
      <c r="A202" s="329"/>
      <c r="B202" s="26" t="s">
        <v>557</v>
      </c>
      <c r="C202" s="38"/>
      <c r="D202" s="21"/>
      <c r="E202" s="21"/>
      <c r="F202" s="21"/>
      <c r="G202" s="21"/>
    </row>
    <row r="203" spans="1:7" ht="21" customHeight="1">
      <c r="A203" s="1131" t="s">
        <v>826</v>
      </c>
      <c r="B203" s="1218" t="s">
        <v>1700</v>
      </c>
      <c r="C203" s="1218"/>
      <c r="D203" s="1218"/>
      <c r="E203" s="1218"/>
      <c r="F203" s="1218"/>
      <c r="G203" s="1218"/>
    </row>
    <row r="204" spans="1:7" ht="23.25" customHeight="1">
      <c r="A204" s="76"/>
      <c r="B204" s="1218"/>
      <c r="C204" s="1218"/>
      <c r="D204" s="1218"/>
      <c r="E204" s="1218"/>
      <c r="F204" s="1218"/>
      <c r="G204" s="1218"/>
    </row>
    <row r="205" spans="1:7" ht="45" customHeight="1">
      <c r="A205" s="76"/>
      <c r="B205" s="1218"/>
      <c r="C205" s="1218"/>
      <c r="D205" s="1218"/>
      <c r="E205" s="1218"/>
      <c r="F205" s="1218"/>
      <c r="G205" s="1218"/>
    </row>
    <row r="206" spans="1:7">
      <c r="A206" s="76" t="s">
        <v>827</v>
      </c>
      <c r="B206" s="26" t="s">
        <v>570</v>
      </c>
      <c r="C206" s="38"/>
      <c r="D206" s="38"/>
      <c r="E206" s="38"/>
      <c r="F206" s="38"/>
      <c r="G206" s="38"/>
    </row>
    <row r="207" spans="1:7">
      <c r="A207" s="76"/>
      <c r="B207" s="26" t="s">
        <v>562</v>
      </c>
      <c r="C207" s="38"/>
      <c r="D207" s="38"/>
      <c r="E207" s="38"/>
      <c r="F207" s="38"/>
      <c r="G207" s="38"/>
    </row>
    <row r="208" spans="1:7">
      <c r="A208" s="76" t="s">
        <v>828</v>
      </c>
      <c r="B208" s="26" t="s">
        <v>486</v>
      </c>
      <c r="C208" s="38"/>
      <c r="D208" s="38"/>
      <c r="E208" s="38"/>
      <c r="F208" s="38"/>
      <c r="G208" s="38"/>
    </row>
    <row r="209" spans="1:7">
      <c r="A209" s="76"/>
      <c r="B209" s="26" t="s">
        <v>770</v>
      </c>
      <c r="C209" s="38"/>
      <c r="D209" s="38"/>
      <c r="E209" s="38"/>
      <c r="F209" s="38"/>
      <c r="G209" s="38"/>
    </row>
    <row r="210" spans="1:7">
      <c r="A210" s="76"/>
      <c r="B210" s="26" t="s">
        <v>196</v>
      </c>
      <c r="C210" s="38"/>
      <c r="D210" s="38"/>
      <c r="E210" s="38"/>
      <c r="F210" s="38"/>
      <c r="G210" s="38"/>
    </row>
    <row r="211" spans="1:7">
      <c r="A211" s="76" t="s">
        <v>829</v>
      </c>
      <c r="B211" s="26" t="s">
        <v>686</v>
      </c>
      <c r="C211" s="38"/>
      <c r="D211" s="38"/>
      <c r="E211" s="38"/>
      <c r="F211" s="38"/>
      <c r="G211" s="20"/>
    </row>
    <row r="212" spans="1:7">
      <c r="A212" s="76" t="s">
        <v>830</v>
      </c>
      <c r="B212" s="26" t="s">
        <v>1399</v>
      </c>
      <c r="C212" s="38"/>
      <c r="D212" s="38"/>
      <c r="E212" s="38"/>
      <c r="F212" s="38"/>
      <c r="G212" s="38"/>
    </row>
    <row r="213" spans="1:7">
      <c r="A213" s="76" t="s">
        <v>831</v>
      </c>
      <c r="B213" s="26" t="s">
        <v>487</v>
      </c>
      <c r="C213" s="38"/>
      <c r="D213" s="38"/>
      <c r="E213" s="38"/>
      <c r="F213" s="38"/>
      <c r="G213" s="38"/>
    </row>
    <row r="214" spans="1:7">
      <c r="A214" s="76" t="s">
        <v>832</v>
      </c>
      <c r="B214" s="26" t="s">
        <v>1076</v>
      </c>
      <c r="C214" s="38"/>
      <c r="D214" s="38"/>
      <c r="E214" s="38"/>
      <c r="F214" s="38"/>
      <c r="G214" s="38"/>
    </row>
    <row r="215" spans="1:7">
      <c r="A215" s="76"/>
      <c r="B215" s="26" t="s">
        <v>1077</v>
      </c>
      <c r="C215" s="38"/>
      <c r="D215" s="38"/>
      <c r="E215" s="38"/>
      <c r="F215" s="38"/>
      <c r="G215" s="38"/>
    </row>
    <row r="216" spans="1:7">
      <c r="A216" s="76"/>
      <c r="B216" s="26" t="s">
        <v>197</v>
      </c>
      <c r="C216" s="38"/>
      <c r="D216" s="38"/>
      <c r="E216" s="38"/>
      <c r="F216" s="38"/>
      <c r="G216" s="38"/>
    </row>
    <row r="217" spans="1:7">
      <c r="A217" s="329"/>
      <c r="B217" s="26" t="s">
        <v>1079</v>
      </c>
      <c r="C217" s="38"/>
      <c r="D217" s="21"/>
      <c r="E217" s="21"/>
      <c r="F217" s="21"/>
      <c r="G217" s="21"/>
    </row>
    <row r="218" spans="1:7">
      <c r="A218" s="102"/>
      <c r="B218" s="26" t="s">
        <v>498</v>
      </c>
      <c r="C218" s="38"/>
      <c r="D218" s="21"/>
      <c r="E218" s="21"/>
      <c r="F218" s="21"/>
      <c r="G218" s="21"/>
    </row>
    <row r="219" spans="1:7">
      <c r="A219" s="329" t="s">
        <v>833</v>
      </c>
      <c r="B219" s="26" t="s">
        <v>501</v>
      </c>
      <c r="C219" s="38"/>
      <c r="D219" s="21"/>
      <c r="E219" s="21"/>
      <c r="F219" s="21"/>
      <c r="G219" s="21"/>
    </row>
    <row r="220" spans="1:7">
      <c r="A220" s="102"/>
      <c r="B220" s="26" t="s">
        <v>1083</v>
      </c>
      <c r="C220" s="38"/>
      <c r="D220" s="21"/>
      <c r="E220" s="21"/>
      <c r="F220" s="21"/>
      <c r="G220" s="21"/>
    </row>
    <row r="221" spans="1:7">
      <c r="A221" s="76" t="s">
        <v>834</v>
      </c>
      <c r="B221" s="26" t="s">
        <v>838</v>
      </c>
      <c r="C221" s="38"/>
      <c r="D221" s="38"/>
      <c r="E221" s="38"/>
      <c r="F221" s="38"/>
      <c r="G221" s="38"/>
    </row>
    <row r="222" spans="1:7">
      <c r="A222" s="104"/>
      <c r="B222" s="26" t="s">
        <v>748</v>
      </c>
      <c r="C222" s="38"/>
      <c r="D222" s="38"/>
      <c r="E222" s="38"/>
      <c r="F222" s="38"/>
      <c r="G222" s="38"/>
    </row>
    <row r="223" spans="1:7">
      <c r="A223" s="104"/>
      <c r="B223" s="26" t="s">
        <v>749</v>
      </c>
      <c r="C223" s="38"/>
      <c r="D223" s="38"/>
      <c r="E223" s="38"/>
      <c r="F223" s="38"/>
      <c r="G223" s="38"/>
    </row>
    <row r="224" spans="1:7">
      <c r="A224" s="104"/>
      <c r="B224" s="26" t="s">
        <v>1084</v>
      </c>
      <c r="C224" s="38"/>
      <c r="D224" s="38"/>
      <c r="E224" s="38"/>
      <c r="F224" s="38"/>
      <c r="G224" s="38"/>
    </row>
    <row r="225" spans="1:7">
      <c r="A225" s="104"/>
      <c r="B225" s="26" t="s">
        <v>1085</v>
      </c>
      <c r="C225" s="38"/>
      <c r="D225" s="38"/>
      <c r="E225" s="38"/>
      <c r="F225" s="38"/>
      <c r="G225" s="38"/>
    </row>
    <row r="226" spans="1:7">
      <c r="A226" s="104" t="s">
        <v>788</v>
      </c>
      <c r="B226" s="26" t="s">
        <v>839</v>
      </c>
      <c r="C226" s="38" t="s">
        <v>840</v>
      </c>
      <c r="D226" s="313">
        <v>0.35</v>
      </c>
      <c r="E226" s="38"/>
      <c r="F226" s="38"/>
      <c r="G226" s="38"/>
    </row>
    <row r="227" spans="1:7">
      <c r="A227" s="104"/>
      <c r="B227" s="103"/>
      <c r="C227" s="38" t="s">
        <v>509</v>
      </c>
      <c r="D227" s="313">
        <v>4.6300000000000001E-2</v>
      </c>
      <c r="E227" s="38" t="s">
        <v>841</v>
      </c>
      <c r="F227" s="38"/>
      <c r="G227" s="38"/>
    </row>
    <row r="228" spans="1:7">
      <c r="A228" s="104"/>
      <c r="B228" s="103"/>
      <c r="C228" s="38" t="s">
        <v>842</v>
      </c>
      <c r="D228" s="313">
        <v>0</v>
      </c>
      <c r="E228" s="38" t="s">
        <v>861</v>
      </c>
      <c r="F228" s="38"/>
      <c r="G228" s="38"/>
    </row>
    <row r="229" spans="1:7" ht="42.75" customHeight="1">
      <c r="A229" s="104"/>
      <c r="B229" s="1218" t="s">
        <v>514</v>
      </c>
      <c r="C229" s="1218"/>
      <c r="D229" s="1218"/>
      <c r="E229" s="1218"/>
      <c r="F229" s="1218"/>
      <c r="G229" s="1218"/>
    </row>
    <row r="230" spans="1:7">
      <c r="A230" s="76" t="s">
        <v>835</v>
      </c>
      <c r="B230" s="26" t="s">
        <v>1180</v>
      </c>
      <c r="C230" s="38"/>
      <c r="D230" s="331"/>
      <c r="E230" s="38"/>
      <c r="F230" s="38"/>
      <c r="G230" s="38"/>
    </row>
    <row r="231" spans="1:7">
      <c r="A231" s="76"/>
      <c r="B231" s="26" t="s">
        <v>335</v>
      </c>
      <c r="C231" s="38"/>
      <c r="D231" s="331"/>
      <c r="E231" s="38"/>
      <c r="F231" s="38"/>
      <c r="G231" s="38"/>
    </row>
    <row r="232" spans="1:7">
      <c r="A232" s="76"/>
      <c r="B232" s="26" t="s">
        <v>1185</v>
      </c>
      <c r="C232" s="38"/>
      <c r="D232" s="331"/>
      <c r="E232" s="38"/>
      <c r="F232" s="38"/>
      <c r="G232" s="38"/>
    </row>
    <row r="233" spans="1:7">
      <c r="A233" s="76" t="s">
        <v>837</v>
      </c>
      <c r="B233" s="26" t="s">
        <v>756</v>
      </c>
      <c r="C233" s="34"/>
      <c r="D233" s="34"/>
      <c r="E233" s="34"/>
      <c r="F233" s="34"/>
      <c r="G233" s="34"/>
    </row>
    <row r="234" spans="1:7">
      <c r="A234" s="8"/>
      <c r="B234" s="26" t="s">
        <v>755</v>
      </c>
      <c r="C234" s="34"/>
      <c r="D234" s="34"/>
      <c r="E234" s="34"/>
      <c r="F234" s="34"/>
      <c r="G234" s="34"/>
    </row>
    <row r="235" spans="1:7">
      <c r="A235" s="8"/>
      <c r="B235" s="26" t="s">
        <v>684</v>
      </c>
      <c r="C235" s="34"/>
      <c r="D235" s="34"/>
      <c r="E235" s="34"/>
      <c r="F235" s="34"/>
      <c r="G235" s="34"/>
    </row>
    <row r="236" spans="1:7">
      <c r="A236" s="76" t="s">
        <v>836</v>
      </c>
      <c r="B236" s="26" t="s">
        <v>1183</v>
      </c>
      <c r="C236" s="38"/>
      <c r="D236" s="331"/>
      <c r="E236" s="38"/>
      <c r="F236" s="38"/>
      <c r="G236" s="38"/>
    </row>
    <row r="237" spans="1:7">
      <c r="A237" s="76"/>
      <c r="B237" s="26" t="s">
        <v>1184</v>
      </c>
      <c r="C237" s="38"/>
      <c r="D237" s="331"/>
      <c r="E237" s="38"/>
      <c r="F237" s="38"/>
      <c r="G237" s="38"/>
    </row>
    <row r="238" spans="1:7">
      <c r="A238" s="76" t="s">
        <v>1304</v>
      </c>
      <c r="B238" s="26" t="s">
        <v>381</v>
      </c>
      <c r="C238" s="38"/>
      <c r="D238" s="331"/>
      <c r="E238" s="38"/>
      <c r="F238" s="38"/>
      <c r="G238" s="38"/>
    </row>
    <row r="239" spans="1:7">
      <c r="A239" s="308"/>
      <c r="B239" s="26" t="s">
        <v>382</v>
      </c>
      <c r="C239" s="308"/>
      <c r="D239" s="308"/>
      <c r="E239" s="308"/>
      <c r="F239" s="308"/>
      <c r="G239" s="308"/>
    </row>
    <row r="240" spans="1:7">
      <c r="A240" s="308"/>
      <c r="B240" s="26" t="s">
        <v>1372</v>
      </c>
      <c r="C240" s="308"/>
      <c r="D240" s="308"/>
      <c r="E240" s="308"/>
      <c r="F240" s="308"/>
      <c r="G240" s="308"/>
    </row>
    <row r="241" spans="1:7">
      <c r="A241" s="308"/>
      <c r="B241" s="26" t="s">
        <v>1215</v>
      </c>
      <c r="C241" s="308"/>
      <c r="D241" s="308"/>
      <c r="E241" s="308"/>
      <c r="F241" s="308"/>
      <c r="G241" s="308"/>
    </row>
    <row r="242" spans="1:7">
      <c r="A242" s="308"/>
      <c r="B242" s="26" t="s">
        <v>1026</v>
      </c>
      <c r="C242" s="308"/>
      <c r="D242" s="308"/>
      <c r="E242" s="308"/>
      <c r="F242" s="308"/>
      <c r="G242" s="308"/>
    </row>
    <row r="243" spans="1:7">
      <c r="A243" s="450" t="s">
        <v>1216</v>
      </c>
      <c r="B243" s="26" t="s">
        <v>1392</v>
      </c>
      <c r="C243" s="308"/>
      <c r="D243" s="308"/>
      <c r="E243" s="308"/>
      <c r="F243" s="308"/>
      <c r="G243" s="308"/>
    </row>
    <row r="244" spans="1:7">
      <c r="A244" s="308"/>
      <c r="B244" s="26" t="s">
        <v>612</v>
      </c>
      <c r="C244" s="308"/>
      <c r="D244" s="308"/>
      <c r="E244" s="308"/>
      <c r="F244" s="308"/>
      <c r="G244" s="308"/>
    </row>
    <row r="245" spans="1:7">
      <c r="A245" s="308"/>
      <c r="B245" s="308"/>
      <c r="C245" s="308"/>
      <c r="D245" s="308"/>
      <c r="E245" s="308"/>
      <c r="F245" s="308"/>
      <c r="G245" s="308"/>
    </row>
    <row r="250" spans="1:7">
      <c r="C250" s="761"/>
    </row>
  </sheetData>
  <mergeCells count="8">
    <mergeCell ref="E7:F7"/>
    <mergeCell ref="E8:F8"/>
    <mergeCell ref="B229:G229"/>
    <mergeCell ref="E81:F81"/>
    <mergeCell ref="E150:F150"/>
    <mergeCell ref="B203:G205"/>
    <mergeCell ref="E79:F80"/>
    <mergeCell ref="E148:F149"/>
  </mergeCells>
  <phoneticPr fontId="2" type="noConversion"/>
  <printOptions horizontalCentered="1"/>
  <pageMargins left="0.75" right="0.75" top="1" bottom="1" header="0.5" footer="0.5"/>
  <pageSetup scale="56" fitToHeight="16" orientation="portrait" r:id="rId1"/>
  <headerFooter alignWithMargins="0">
    <oddHeader>&amp;RPage &amp;P of &amp;N</oddHeader>
  </headerFooter>
  <rowBreaks count="3" manualBreakCount="3">
    <brk id="77" max="6" man="1"/>
    <brk id="146" max="6" man="1"/>
    <brk id="193" max="6" man="1"/>
  </rowBreaks>
  <ignoredErrors>
    <ignoredError sqref="A1:A3 G10 A10 D162 G11:G14 G21 D130 G171:G202 G1 E11:F17 G15:G20 C130:C155 C10:D10 D11:D47 A11:B202 C11:C47 G22:G47 D167:D181 D189 D191 D183 D229:D257 E179:F202 D116:D128 C58:C59 D58:D59 C61:C99 D61:D99 C110:C128 D110:D114 C157:C189 G157 C52:C55 D52 G52:G57 G169 D132:D140 D54:D55 D193:D202 G167 G159:G165 F177 F176 G132:G143 G77:G130 G73:G75 G59:G71 E46:F78 E45 E19:F44 E18 C101:C107 D101:D107 A206:B257 A203 A204 A205 G206:G257 E206:F257 C206:C257 D206:D225 G145:G155 D142:D160 C191:C202 E81:F147 E150:F17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49"/>
  <sheetViews>
    <sheetView view="pageBreakPreview" topLeftCell="A7" zoomScale="60" zoomScaleNormal="90" workbookViewId="0">
      <selection activeCell="Z34" sqref="Z34"/>
    </sheetView>
  </sheetViews>
  <sheetFormatPr defaultRowHeight="12.75"/>
  <cols>
    <col min="1" max="1" width="10.42578125" style="73" customWidth="1"/>
    <col min="2" max="2" width="53.140625" style="73" customWidth="1"/>
    <col min="3" max="3" width="36.28515625" style="73" customWidth="1"/>
    <col min="4" max="4" width="18" style="73" bestFit="1" customWidth="1"/>
    <col min="5" max="5" width="11.28515625" style="73" customWidth="1"/>
    <col min="6" max="6" width="15.85546875" style="73" customWidth="1"/>
    <col min="7" max="7" width="23.28515625" style="308" customWidth="1"/>
    <col min="8" max="8" width="9.140625" style="73"/>
    <col min="9" max="10" width="11.140625" style="73" bestFit="1" customWidth="1"/>
    <col min="11" max="16384" width="9.140625" style="73"/>
  </cols>
  <sheetData>
    <row r="1" spans="1:7">
      <c r="A1" s="74" t="str">
        <f>'Cover Page'!A5</f>
        <v>Public Service Company of Colorado</v>
      </c>
      <c r="B1" s="6"/>
      <c r="C1" s="6"/>
      <c r="D1" s="7"/>
      <c r="E1" s="8"/>
      <c r="F1" s="6"/>
      <c r="G1" s="1172" t="str">
        <f>'Table of Contents'!A13</f>
        <v>Table 5</v>
      </c>
    </row>
    <row r="2" spans="1:7">
      <c r="A2" s="74" t="str">
        <f>'Cover Page'!A6</f>
        <v>Transmission Formula Rate Template</v>
      </c>
      <c r="B2" s="10"/>
      <c r="C2" s="11"/>
      <c r="D2" s="12"/>
      <c r="E2" s="8"/>
      <c r="F2" s="13"/>
      <c r="G2" s="577" t="str">
        <f ca="1">MID(CELL("filename",$A$1),FIND("]",CELL("filename",$A$1))+1,LEN(CELL("filename",$A$1))-FIND("]",CELL("filename",$A$1)))</f>
        <v>ATRR Act</v>
      </c>
    </row>
    <row r="3" spans="1:7">
      <c r="A3" s="74" t="str">
        <f>'Cover Page'!A7</f>
        <v>Twelve Months Ended December 31, 2017</v>
      </c>
      <c r="B3" s="5"/>
      <c r="C3" s="8"/>
      <c r="D3" s="8"/>
      <c r="E3" s="14"/>
      <c r="F3" s="14"/>
      <c r="G3" s="38"/>
    </row>
    <row r="4" spans="1:7">
      <c r="A4" s="470" t="s">
        <v>503</v>
      </c>
      <c r="B4" s="15"/>
      <c r="C4" s="9"/>
      <c r="D4" s="16"/>
      <c r="E4" s="9"/>
      <c r="F4" s="9"/>
      <c r="G4" s="624"/>
    </row>
    <row r="5" spans="1:7">
      <c r="A5" s="470"/>
      <c r="B5" s="15"/>
      <c r="C5" s="9"/>
      <c r="D5" s="16"/>
      <c r="E5" s="9"/>
      <c r="F5" s="9"/>
      <c r="G5" s="624"/>
    </row>
    <row r="6" spans="1:7">
      <c r="A6" s="18"/>
      <c r="B6" s="15"/>
      <c r="C6" s="9"/>
      <c r="D6" s="16"/>
      <c r="E6" s="9"/>
      <c r="F6" s="9"/>
      <c r="G6" s="624"/>
    </row>
    <row r="7" spans="1:7">
      <c r="A7" s="86" t="s">
        <v>862</v>
      </c>
      <c r="B7" s="773" t="s">
        <v>537</v>
      </c>
      <c r="C7" s="774" t="s">
        <v>869</v>
      </c>
      <c r="D7" s="773" t="s">
        <v>790</v>
      </c>
      <c r="E7" s="1214" t="s">
        <v>1305</v>
      </c>
      <c r="F7" s="1215"/>
      <c r="G7" s="773" t="s">
        <v>789</v>
      </c>
    </row>
    <row r="8" spans="1:7">
      <c r="B8" s="76" t="s">
        <v>352</v>
      </c>
      <c r="C8" s="76" t="s">
        <v>353</v>
      </c>
      <c r="D8" s="76" t="s">
        <v>354</v>
      </c>
      <c r="E8" s="1216" t="s">
        <v>355</v>
      </c>
      <c r="F8" s="1217"/>
      <c r="G8" s="775" t="s">
        <v>356</v>
      </c>
    </row>
    <row r="9" spans="1:7">
      <c r="A9" s="18">
        <v>1</v>
      </c>
      <c r="B9" s="26" t="s">
        <v>692</v>
      </c>
      <c r="C9" s="19" t="s">
        <v>571</v>
      </c>
      <c r="D9" s="21"/>
      <c r="E9" s="21"/>
      <c r="F9" s="21"/>
      <c r="G9" s="21"/>
    </row>
    <row r="10" spans="1:7">
      <c r="A10" s="76">
        <f t="shared" ref="A10:A48" si="0">A9+1</f>
        <v>2</v>
      </c>
      <c r="B10" s="20" t="s">
        <v>800</v>
      </c>
      <c r="C10" s="21" t="str">
        <f ca="1">'WP_B-1'!$G$2&amp;" Col. (d), Line "&amp;'WP_B-1'!A54</f>
        <v>WP_B-1 Col. (d), Line 2</v>
      </c>
      <c r="D10" s="22">
        <f>'WP_B-1'!G54</f>
        <v>5336477824.4746151</v>
      </c>
      <c r="E10" s="49" t="s">
        <v>801</v>
      </c>
      <c r="F10" s="87">
        <v>0</v>
      </c>
      <c r="G10" s="25">
        <f t="shared" ref="G10:G16" si="1">D10*F10</f>
        <v>0</v>
      </c>
    </row>
    <row r="11" spans="1:7">
      <c r="A11" s="76">
        <f t="shared" si="0"/>
        <v>3</v>
      </c>
      <c r="B11" s="24" t="s">
        <v>802</v>
      </c>
      <c r="C11" s="21" t="str">
        <f ca="1">'WP_B-1'!$G$2&amp;" Col. (d), Line "&amp;'WP_B-1'!A55</f>
        <v>WP_B-1 Col. (d), Line 3</v>
      </c>
      <c r="D11" s="22">
        <f>'WP_B-1'!G55</f>
        <v>2029211870.8130774</v>
      </c>
      <c r="E11" s="88" t="s">
        <v>803</v>
      </c>
      <c r="F11" s="614">
        <v>1</v>
      </c>
      <c r="G11" s="25">
        <f t="shared" si="1"/>
        <v>2029211870.8130774</v>
      </c>
    </row>
    <row r="12" spans="1:7">
      <c r="A12" s="76">
        <f t="shared" si="0"/>
        <v>4</v>
      </c>
      <c r="B12" s="26" t="s">
        <v>804</v>
      </c>
      <c r="C12" s="21" t="str">
        <f ca="1">'WP_B-1'!$G$2&amp;" Col. (d), Line "&amp;'WP_B-1'!A56</f>
        <v>WP_B-1 Col. (d), Line 4</v>
      </c>
      <c r="D12" s="22">
        <f>'WP_B-1'!G56</f>
        <v>4696738596.1623058</v>
      </c>
      <c r="E12" s="49" t="s">
        <v>801</v>
      </c>
      <c r="F12" s="87">
        <v>0</v>
      </c>
      <c r="G12" s="25">
        <f t="shared" si="1"/>
        <v>0</v>
      </c>
    </row>
    <row r="13" spans="1:7">
      <c r="A13" s="76">
        <f t="shared" si="0"/>
        <v>5</v>
      </c>
      <c r="B13" s="26" t="s">
        <v>805</v>
      </c>
      <c r="C13" s="21" t="str">
        <f ca="1">'WP_B-1'!$G$2&amp;" Col. (d), Line "&amp;'WP_B-1'!A57</f>
        <v>WP_B-1 Col. (d), Line 5</v>
      </c>
      <c r="D13" s="22">
        <f>'WP_B-1'!G57</f>
        <v>231543977.85230765</v>
      </c>
      <c r="E13" s="49" t="s">
        <v>806</v>
      </c>
      <c r="F13" s="87">
        <f>WSA</f>
        <v>0.12237000000000001</v>
      </c>
      <c r="G13" s="25">
        <f t="shared" si="1"/>
        <v>28334036.569786888</v>
      </c>
    </row>
    <row r="14" spans="1:7">
      <c r="A14" s="76">
        <f t="shared" si="0"/>
        <v>6</v>
      </c>
      <c r="B14" s="26" t="s">
        <v>807</v>
      </c>
      <c r="C14" s="21" t="str">
        <f ca="1">'WP_B-1'!$G$2&amp;" Col. (d), Line "&amp;'WP_B-1'!A58</f>
        <v>WP_B-1 Col. (d), Line 6</v>
      </c>
      <c r="D14" s="22">
        <f>'WP_B-1'!G58</f>
        <v>81176153.174615383</v>
      </c>
      <c r="E14" s="49" t="s">
        <v>806</v>
      </c>
      <c r="F14" s="87">
        <f>WSA</f>
        <v>0.12237000000000001</v>
      </c>
      <c r="G14" s="25">
        <f t="shared" si="1"/>
        <v>9933525.8639776856</v>
      </c>
    </row>
    <row r="15" spans="1:7">
      <c r="A15" s="76">
        <f t="shared" si="0"/>
        <v>7</v>
      </c>
      <c r="B15" s="124" t="s">
        <v>915</v>
      </c>
      <c r="C15" s="21" t="str">
        <f ca="1">'WP_B-1'!$G$2&amp;" Col. (d), Line "&amp;'WP_B-1'!A59</f>
        <v>WP_B-1 Col. (d), Line 7</v>
      </c>
      <c r="D15" s="22">
        <f>'WP_B-1'!G59</f>
        <v>305845319.45461547</v>
      </c>
      <c r="E15" s="49" t="s">
        <v>916</v>
      </c>
      <c r="F15" s="87">
        <f>CEA</f>
        <v>8.6792268570000011E-2</v>
      </c>
      <c r="G15" s="25">
        <f>D15*F15</f>
        <v>26545009.106982436</v>
      </c>
    </row>
    <row r="16" spans="1:7">
      <c r="A16" s="76">
        <f t="shared" si="0"/>
        <v>8</v>
      </c>
      <c r="B16" s="124" t="s">
        <v>914</v>
      </c>
      <c r="C16" s="21" t="str">
        <f ca="1">'WP_B-1'!$G$2&amp;" Col. (d), Line "&amp;'WP_B-1'!A60</f>
        <v>WP_B-1 Col. (d), Line 8</v>
      </c>
      <c r="D16" s="63">
        <f>'WP_B-1'!G60</f>
        <v>397612475.96769243</v>
      </c>
      <c r="E16" s="49" t="s">
        <v>916</v>
      </c>
      <c r="F16" s="87">
        <f>CEA</f>
        <v>8.6792268570000011E-2</v>
      </c>
      <c r="G16" s="81">
        <f t="shared" si="1"/>
        <v>34509688.800970636</v>
      </c>
    </row>
    <row r="17" spans="1:7">
      <c r="A17" s="76">
        <f t="shared" si="0"/>
        <v>9</v>
      </c>
      <c r="B17" s="6" t="s">
        <v>784</v>
      </c>
      <c r="C17" s="26" t="str">
        <f>"Sum Lines "&amp;A10&amp;" through "&amp;A16</f>
        <v>Sum Lines 2 through 8</v>
      </c>
      <c r="D17" s="22">
        <f>SUM(D10:D16)</f>
        <v>13078606217.899231</v>
      </c>
      <c r="E17" s="308"/>
      <c r="F17" s="308"/>
      <c r="G17" s="22">
        <f>SUM(G10:G16)</f>
        <v>2128534131.1547949</v>
      </c>
    </row>
    <row r="18" spans="1:7">
      <c r="A18" s="76">
        <f t="shared" si="0"/>
        <v>10</v>
      </c>
      <c r="B18" s="6"/>
      <c r="C18" s="26" t="s">
        <v>857</v>
      </c>
      <c r="D18" s="22"/>
      <c r="E18" s="776" t="s">
        <v>1213</v>
      </c>
      <c r="F18" s="90">
        <f>IF(D17=0,0,G17/D17)</f>
        <v>0.16274930949765179</v>
      </c>
      <c r="G18" s="22"/>
    </row>
    <row r="19" spans="1:7">
      <c r="A19" s="76">
        <f t="shared" si="0"/>
        <v>11</v>
      </c>
      <c r="B19" s="6"/>
      <c r="C19" s="21"/>
      <c r="D19" s="22"/>
      <c r="E19" s="330"/>
      <c r="F19" s="87"/>
      <c r="G19" s="22"/>
    </row>
    <row r="20" spans="1:7">
      <c r="A20" s="76">
        <f t="shared" si="0"/>
        <v>12</v>
      </c>
      <c r="B20" s="6" t="s">
        <v>693</v>
      </c>
      <c r="C20" s="19" t="s">
        <v>571</v>
      </c>
      <c r="D20" s="22"/>
      <c r="E20" s="65"/>
      <c r="F20" s="83"/>
      <c r="G20" s="22"/>
    </row>
    <row r="21" spans="1:7">
      <c r="A21" s="76">
        <f t="shared" si="0"/>
        <v>13</v>
      </c>
      <c r="B21" s="20" t="s">
        <v>800</v>
      </c>
      <c r="C21" s="21" t="str">
        <f ca="1">'WP_B-1'!$G$2&amp;" Col. (d), Line "&amp;'WP_B-1'!A21</f>
        <v>WP_B-1 Col. (d), Line 12</v>
      </c>
      <c r="D21" s="22">
        <f>'WP_B-1'!G64</f>
        <v>1644706338.8892303</v>
      </c>
      <c r="E21" s="49" t="s">
        <v>801</v>
      </c>
      <c r="F21" s="87">
        <v>0</v>
      </c>
      <c r="G21" s="25">
        <f t="shared" ref="G21:G27" si="2">D21*F21</f>
        <v>0</v>
      </c>
    </row>
    <row r="22" spans="1:7">
      <c r="A22" s="76">
        <f t="shared" si="0"/>
        <v>14</v>
      </c>
      <c r="B22" s="24" t="s">
        <v>802</v>
      </c>
      <c r="C22" s="21" t="str">
        <f ca="1">'WP_B-1'!$G$2&amp;" Col. (d), Line "&amp;'WP_B-1'!A22</f>
        <v>WP_B-1 Col. (d), Line 13</v>
      </c>
      <c r="D22" s="22">
        <f>'WP_B-1'!G65</f>
        <v>448568119.07923073</v>
      </c>
      <c r="E22" s="88" t="s">
        <v>803</v>
      </c>
      <c r="F22" s="614">
        <v>1</v>
      </c>
      <c r="G22" s="25">
        <f t="shared" si="2"/>
        <v>448568119.07923073</v>
      </c>
    </row>
    <row r="23" spans="1:7">
      <c r="A23" s="76">
        <f t="shared" si="0"/>
        <v>15</v>
      </c>
      <c r="B23" s="26" t="s">
        <v>804</v>
      </c>
      <c r="C23" s="21" t="str">
        <f ca="1">'WP_B-1'!$G$2&amp;" Col. (d), Line "&amp;'WP_B-1'!A23</f>
        <v>WP_B-1 Col. (d), Line 14</v>
      </c>
      <c r="D23" s="22">
        <f>'WP_B-1'!G66</f>
        <v>1358252758.4307849</v>
      </c>
      <c r="E23" s="49" t="s">
        <v>801</v>
      </c>
      <c r="F23" s="87">
        <v>0</v>
      </c>
      <c r="G23" s="25">
        <f t="shared" si="2"/>
        <v>0</v>
      </c>
    </row>
    <row r="24" spans="1:7">
      <c r="A24" s="76">
        <f t="shared" si="0"/>
        <v>16</v>
      </c>
      <c r="B24" s="26" t="s">
        <v>805</v>
      </c>
      <c r="C24" s="21" t="str">
        <f ca="1">'WP_B-1'!$G$2&amp;" Col. (d), Line "&amp;'WP_B-1'!A24</f>
        <v>WP_B-1 Col. (d), Line 15</v>
      </c>
      <c r="D24" s="22">
        <f>'WP_B-1'!G67</f>
        <v>90639942.402382791</v>
      </c>
      <c r="E24" s="49" t="s">
        <v>806</v>
      </c>
      <c r="F24" s="87">
        <f>WSA</f>
        <v>0.12237000000000001</v>
      </c>
      <c r="G24" s="25">
        <f t="shared" si="2"/>
        <v>11091609.751779582</v>
      </c>
    </row>
    <row r="25" spans="1:7">
      <c r="A25" s="76">
        <f t="shared" si="0"/>
        <v>17</v>
      </c>
      <c r="B25" s="26" t="s">
        <v>807</v>
      </c>
      <c r="C25" s="21" t="str">
        <f ca="1">'WP_B-1'!$G$2&amp;" Col. (d), Line "&amp;'WP_B-1'!A25</f>
        <v>WP_B-1 Col. (d), Line 16</v>
      </c>
      <c r="D25" s="22">
        <f>'WP_B-1'!G68</f>
        <v>43278573.634615384</v>
      </c>
      <c r="E25" s="49" t="s">
        <v>806</v>
      </c>
      <c r="F25" s="87">
        <f>WSA</f>
        <v>0.12237000000000001</v>
      </c>
      <c r="G25" s="25">
        <f t="shared" si="2"/>
        <v>5295999.0556678846</v>
      </c>
    </row>
    <row r="26" spans="1:7">
      <c r="A26" s="76">
        <f t="shared" si="0"/>
        <v>18</v>
      </c>
      <c r="B26" s="124" t="s">
        <v>915</v>
      </c>
      <c r="C26" s="21" t="str">
        <f ca="1">'WP_B-1'!$G$2&amp;" Col. (d), Line "&amp;'WP_B-1'!A26</f>
        <v>WP_B-1 Col. (d), Line 17</v>
      </c>
      <c r="D26" s="32">
        <f>'WP_B-1'!G69</f>
        <v>159691886.2630769</v>
      </c>
      <c r="E26" s="49" t="s">
        <v>916</v>
      </c>
      <c r="F26" s="87">
        <f>CEA</f>
        <v>8.6792268570000011E-2</v>
      </c>
      <c r="G26" s="25">
        <f t="shared" si="2"/>
        <v>13860021.080994867</v>
      </c>
    </row>
    <row r="27" spans="1:7">
      <c r="A27" s="76">
        <f t="shared" si="0"/>
        <v>19</v>
      </c>
      <c r="B27" s="124" t="s">
        <v>914</v>
      </c>
      <c r="C27" s="21" t="str">
        <f ca="1">'WP_B-1'!$G$2&amp;" Col. (d), Line "&amp;'WP_B-1'!A27</f>
        <v>WP_B-1 Col. (d), Line 18</v>
      </c>
      <c r="D27" s="63">
        <f>'WP_B-1'!G70</f>
        <v>172163804.96846154</v>
      </c>
      <c r="E27" s="49" t="s">
        <v>916</v>
      </c>
      <c r="F27" s="87">
        <f>CEA</f>
        <v>8.6792268570000011E-2</v>
      </c>
      <c r="G27" s="81">
        <f t="shared" si="2"/>
        <v>14942487.198855817</v>
      </c>
    </row>
    <row r="28" spans="1:7">
      <c r="A28" s="76">
        <f t="shared" si="0"/>
        <v>20</v>
      </c>
      <c r="B28" s="6" t="s">
        <v>783</v>
      </c>
      <c r="C28" s="6" t="str">
        <f>"Sum Lines "&amp;A21&amp;" through "&amp;A27</f>
        <v>Sum Lines 13 through 19</v>
      </c>
      <c r="D28" s="22">
        <f>SUM(D21:D27)</f>
        <v>3917301423.6677828</v>
      </c>
      <c r="E28" s="65"/>
      <c r="F28" s="83"/>
      <c r="G28" s="22">
        <f>SUM(G21:G27)</f>
        <v>493758236.16652882</v>
      </c>
    </row>
    <row r="29" spans="1:7">
      <c r="A29" s="76">
        <f t="shared" si="0"/>
        <v>21</v>
      </c>
      <c r="B29" s="6"/>
      <c r="C29" s="6"/>
      <c r="D29" s="22"/>
      <c r="E29" s="65"/>
      <c r="F29" s="83"/>
      <c r="G29" s="22"/>
    </row>
    <row r="30" spans="1:7">
      <c r="A30" s="76">
        <f t="shared" si="0"/>
        <v>22</v>
      </c>
      <c r="B30" s="28" t="s">
        <v>350</v>
      </c>
      <c r="C30" s="19" t="s">
        <v>572</v>
      </c>
      <c r="D30" s="22"/>
      <c r="E30" s="65"/>
      <c r="F30" s="83"/>
      <c r="G30" s="22"/>
    </row>
    <row r="31" spans="1:7">
      <c r="A31" s="76">
        <f t="shared" si="0"/>
        <v>23</v>
      </c>
      <c r="B31" s="28" t="s">
        <v>1376</v>
      </c>
      <c r="C31" s="21" t="str">
        <f ca="1">'WP_B-4'!U2&amp;" Col.(i) Line "&amp;'WP_B-4'!A25</f>
        <v>WP_B-4 Col.(i) Line 15</v>
      </c>
      <c r="D31" s="22">
        <f>'WP_B-4'!M58</f>
        <v>175995926.64000005</v>
      </c>
      <c r="E31" s="49" t="s">
        <v>801</v>
      </c>
      <c r="F31" s="87">
        <v>0</v>
      </c>
      <c r="G31" s="22">
        <f>D31*F31</f>
        <v>0</v>
      </c>
    </row>
    <row r="32" spans="1:7">
      <c r="A32" s="76">
        <f t="shared" si="0"/>
        <v>24</v>
      </c>
      <c r="B32" s="28" t="s">
        <v>1377</v>
      </c>
      <c r="C32" s="21" t="str">
        <f ca="1">'WP_B-4'!U2&amp;" Col.(j) Line "&amp;'WP_B-4'!A25</f>
        <v>WP_B-4 Col.(j) Line 15</v>
      </c>
      <c r="D32" s="22">
        <f>'WP_B-4'!N58</f>
        <v>8910301.3599999994</v>
      </c>
      <c r="E32" s="49" t="s">
        <v>801</v>
      </c>
      <c r="F32" s="87">
        <v>0</v>
      </c>
      <c r="G32" s="22">
        <f>D32*F32</f>
        <v>0</v>
      </c>
    </row>
    <row r="33" spans="1:7">
      <c r="A33" s="76">
        <f t="shared" si="0"/>
        <v>25</v>
      </c>
      <c r="B33" s="28" t="s">
        <v>1378</v>
      </c>
      <c r="C33" s="21" t="str">
        <f ca="1">'WP_B-4'!U2&amp;" Col.(k) Line "&amp;'WP_B-4'!A25</f>
        <v>WP_B-4 Col.(k) Line 15</v>
      </c>
      <c r="D33" s="63">
        <f>'WP_B-4'!O58</f>
        <v>4680912.87</v>
      </c>
      <c r="E33" s="65" t="s">
        <v>803</v>
      </c>
      <c r="F33" s="83">
        <v>1</v>
      </c>
      <c r="G33" s="63">
        <f>D33*F33</f>
        <v>4680912.87</v>
      </c>
    </row>
    <row r="34" spans="1:7">
      <c r="A34" s="76">
        <f t="shared" si="0"/>
        <v>26</v>
      </c>
      <c r="B34" s="28" t="s">
        <v>394</v>
      </c>
      <c r="C34" s="26" t="str">
        <f>"Sum Lines "&amp;A31&amp;" through "&amp;A33</f>
        <v>Sum Lines 23 through 25</v>
      </c>
      <c r="D34" s="22">
        <f>SUM(D31:D33)</f>
        <v>189587140.87000006</v>
      </c>
      <c r="E34" s="65"/>
      <c r="F34" s="83"/>
      <c r="G34" s="22">
        <f>SUM(G31:G33)</f>
        <v>4680912.87</v>
      </c>
    </row>
    <row r="35" spans="1:7">
      <c r="A35" s="76">
        <f t="shared" si="0"/>
        <v>27</v>
      </c>
      <c r="B35" s="28"/>
      <c r="C35" s="21" t="s">
        <v>788</v>
      </c>
      <c r="D35" s="22"/>
      <c r="E35" s="65"/>
      <c r="F35" s="83"/>
      <c r="G35" s="22"/>
    </row>
    <row r="36" spans="1:7">
      <c r="A36" s="76">
        <f t="shared" si="0"/>
        <v>28</v>
      </c>
      <c r="B36" s="6" t="s">
        <v>694</v>
      </c>
      <c r="C36" s="19" t="s">
        <v>571</v>
      </c>
      <c r="D36" s="22"/>
      <c r="E36" s="65"/>
      <c r="F36" s="83"/>
      <c r="G36" s="22"/>
    </row>
    <row r="37" spans="1:7">
      <c r="A37" s="76">
        <f t="shared" si="0"/>
        <v>29</v>
      </c>
      <c r="B37" s="30" t="s">
        <v>800</v>
      </c>
      <c r="C37" s="21" t="str">
        <f>"Line "&amp;A10&amp; " minus "&amp;A21&amp;" plus "&amp;A31&amp;" plus "&amp;A32</f>
        <v>Line 2 minus 13 plus 23 plus 24</v>
      </c>
      <c r="D37" s="22">
        <f>D10-D21+D31+D32</f>
        <v>3876677713.5853848</v>
      </c>
      <c r="E37" s="65"/>
      <c r="F37" s="83"/>
      <c r="G37" s="22">
        <f>G10-G21+G31+G32</f>
        <v>0</v>
      </c>
    </row>
    <row r="38" spans="1:7">
      <c r="A38" s="76">
        <f t="shared" si="0"/>
        <v>30</v>
      </c>
      <c r="B38" s="30" t="s">
        <v>802</v>
      </c>
      <c r="C38" s="21" t="str">
        <f>"Line "&amp;A11&amp; " minus "&amp;A22&amp;" plus "&amp;A33</f>
        <v>Line 3 minus 14 plus 25</v>
      </c>
      <c r="D38" s="22">
        <f>D11-D22+D33</f>
        <v>1585324664.6038465</v>
      </c>
      <c r="E38" s="65"/>
      <c r="F38" s="83"/>
      <c r="G38" s="22">
        <f>G11-G22+G33</f>
        <v>1585324664.6038465</v>
      </c>
    </row>
    <row r="39" spans="1:7">
      <c r="A39" s="76">
        <f t="shared" si="0"/>
        <v>31</v>
      </c>
      <c r="B39" s="30" t="s">
        <v>804</v>
      </c>
      <c r="C39" s="21" t="str">
        <f>"Line "&amp;A12&amp; " minus "&amp;A23</f>
        <v>Line 4 minus 15</v>
      </c>
      <c r="D39" s="22">
        <f>D12-D23</f>
        <v>3338485837.7315207</v>
      </c>
      <c r="E39" s="65"/>
      <c r="F39" s="83"/>
      <c r="G39" s="22">
        <f>G12-G23</f>
        <v>0</v>
      </c>
    </row>
    <row r="40" spans="1:7">
      <c r="A40" s="76">
        <f t="shared" si="0"/>
        <v>32</v>
      </c>
      <c r="B40" s="30" t="s">
        <v>805</v>
      </c>
      <c r="C40" s="21" t="str">
        <f>"Line "&amp;A13&amp; " minus "&amp;A24</f>
        <v>Line 5 minus 16</v>
      </c>
      <c r="D40" s="22">
        <f>D13-D24</f>
        <v>140904035.44992486</v>
      </c>
      <c r="E40" s="65"/>
      <c r="F40" s="83"/>
      <c r="G40" s="22">
        <f>G13-G24</f>
        <v>17242426.818007305</v>
      </c>
    </row>
    <row r="41" spans="1:7">
      <c r="A41" s="76">
        <f t="shared" si="0"/>
        <v>33</v>
      </c>
      <c r="B41" s="30" t="s">
        <v>807</v>
      </c>
      <c r="C41" s="21" t="str">
        <f>"Line "&amp;A14&amp; " minus "&amp;A25</f>
        <v>Line 6 minus 17</v>
      </c>
      <c r="D41" s="22">
        <f>D14-D25</f>
        <v>37897579.539999999</v>
      </c>
      <c r="E41" s="65"/>
      <c r="F41" s="83"/>
      <c r="G41" s="22">
        <f>G14-G25</f>
        <v>4637526.8083098009</v>
      </c>
    </row>
    <row r="42" spans="1:7">
      <c r="A42" s="76">
        <f t="shared" si="0"/>
        <v>34</v>
      </c>
      <c r="B42" s="124" t="s">
        <v>915</v>
      </c>
      <c r="C42" s="21" t="str">
        <f>"Line "&amp;A15&amp; " minus "&amp;A26</f>
        <v>Line 7 minus 18</v>
      </c>
      <c r="D42" s="22">
        <f>D15-D26</f>
        <v>146153433.19153857</v>
      </c>
      <c r="E42" s="65"/>
      <c r="F42" s="83"/>
      <c r="G42" s="22">
        <f>G15-G26</f>
        <v>12684988.025987569</v>
      </c>
    </row>
    <row r="43" spans="1:7">
      <c r="A43" s="76">
        <f t="shared" si="0"/>
        <v>35</v>
      </c>
      <c r="B43" s="124" t="s">
        <v>914</v>
      </c>
      <c r="C43" s="21" t="str">
        <f>"Line "&amp;A16&amp; " minus "&amp;A27</f>
        <v>Line 8 minus 19</v>
      </c>
      <c r="D43" s="63">
        <f>D16-D27</f>
        <v>225448670.99923089</v>
      </c>
      <c r="E43" s="65"/>
      <c r="F43" s="83"/>
      <c r="G43" s="63">
        <f>G16-G27</f>
        <v>19567201.602114819</v>
      </c>
    </row>
    <row r="44" spans="1:7">
      <c r="A44" s="76">
        <f t="shared" si="0"/>
        <v>36</v>
      </c>
      <c r="B44" s="30" t="s">
        <v>782</v>
      </c>
      <c r="C44" s="6" t="str">
        <f>"Sum Lines "&amp;A37&amp;" through "&amp;A43</f>
        <v>Sum Lines 29 through 35</v>
      </c>
      <c r="D44" s="27">
        <f>SUM(D37:D43)</f>
        <v>9350891935.1014481</v>
      </c>
      <c r="G44" s="22">
        <f>SUM(G37:G43)</f>
        <v>1639456807.8582661</v>
      </c>
    </row>
    <row r="45" spans="1:7">
      <c r="A45" s="76">
        <f t="shared" si="0"/>
        <v>37</v>
      </c>
      <c r="B45" s="30"/>
      <c r="C45" s="26" t="s">
        <v>1290</v>
      </c>
      <c r="D45" s="27"/>
      <c r="E45" s="43" t="s">
        <v>808</v>
      </c>
      <c r="F45" s="90">
        <f>IF(D44=0,0,G44/D44)</f>
        <v>0.17532624900776159</v>
      </c>
      <c r="G45" s="22"/>
    </row>
    <row r="46" spans="1:7">
      <c r="A46" s="76">
        <f t="shared" si="0"/>
        <v>38</v>
      </c>
      <c r="B46" s="6"/>
      <c r="C46" s="21"/>
      <c r="D46" s="27"/>
      <c r="E46" s="77"/>
      <c r="F46" s="83"/>
      <c r="G46" s="22"/>
    </row>
    <row r="47" spans="1:7">
      <c r="A47" s="76">
        <f t="shared" si="0"/>
        <v>39</v>
      </c>
      <c r="B47" s="6" t="s">
        <v>511</v>
      </c>
      <c r="C47" s="49" t="s">
        <v>1074</v>
      </c>
      <c r="D47" s="27"/>
      <c r="E47" s="65"/>
      <c r="F47" s="83"/>
      <c r="G47" s="22"/>
    </row>
    <row r="48" spans="1:7">
      <c r="A48" s="76">
        <f t="shared" si="0"/>
        <v>40</v>
      </c>
      <c r="B48" s="30" t="s">
        <v>538</v>
      </c>
      <c r="C48" s="21" t="str">
        <f>'WP_B-2'!G2&amp;" Col. (c) &amp; (e), Line "&amp;'WP_B-2'!A118</f>
        <v>WP_B-2 Col. (c) &amp; (e), Line 4</v>
      </c>
      <c r="D48" s="22">
        <f>'WP_B-2'!E118</f>
        <v>-133804112.45381397</v>
      </c>
      <c r="E48" s="49" t="s">
        <v>803</v>
      </c>
      <c r="F48" s="87">
        <v>0</v>
      </c>
      <c r="G48" s="22">
        <f>'WP_B-2'!G118</f>
        <v>0</v>
      </c>
    </row>
    <row r="49" spans="1:7">
      <c r="A49" s="76">
        <f t="shared" ref="A49:A76" si="3">A48+1</f>
        <v>41</v>
      </c>
      <c r="B49" s="30" t="s">
        <v>539</v>
      </c>
      <c r="C49" s="21" t="str">
        <f>'WP_B-2'!G2&amp;" Col. (c) &amp; (e), Line "&amp;'WP_B-2'!A147</f>
        <v>WP_B-2 Col. (c) &amp; (e), Line 33</v>
      </c>
      <c r="D49" s="22">
        <f>'WP_B-2'!E147</f>
        <v>-1946228866.9367771</v>
      </c>
      <c r="E49" s="49" t="s">
        <v>803</v>
      </c>
      <c r="F49" s="87"/>
      <c r="G49" s="22">
        <f>'WP_B-2'!G147</f>
        <v>-461215811.37386316</v>
      </c>
    </row>
    <row r="50" spans="1:7">
      <c r="A50" s="76">
        <f t="shared" si="3"/>
        <v>42</v>
      </c>
      <c r="B50" s="30" t="s">
        <v>540</v>
      </c>
      <c r="C50" s="21" t="str">
        <f>'WP_B-2'!G2&amp;" Col. (c) &amp; (e), Line "&amp;'WP_B-2'!A205</f>
        <v>WP_B-2 Col. (c) &amp; (e), Line 91</v>
      </c>
      <c r="D50" s="32">
        <f>'WP_B-2'!E205</f>
        <v>-117677463.74122457</v>
      </c>
      <c r="E50" s="49" t="s">
        <v>803</v>
      </c>
      <c r="F50" s="87"/>
      <c r="G50" s="22">
        <f>'WP_B-2'!G205</f>
        <v>-4408180.5290423771</v>
      </c>
    </row>
    <row r="51" spans="1:7">
      <c r="A51" s="76">
        <f t="shared" si="3"/>
        <v>43</v>
      </c>
      <c r="B51" s="30" t="s">
        <v>810</v>
      </c>
      <c r="C51" s="21" t="str">
        <f>'WP_B-3'!G2&amp;" Col. (c) &amp; (e), Line "&amp;'WP_B-3'!A201</f>
        <v>WP_B-3 Col. (c) &amp; (e), Line 93</v>
      </c>
      <c r="D51" s="32">
        <f>'WP_B-3'!E201</f>
        <v>422604221.93146318</v>
      </c>
      <c r="E51" s="49" t="s">
        <v>803</v>
      </c>
      <c r="F51" s="87"/>
      <c r="G51" s="22">
        <f>'WP_B-3'!G201</f>
        <v>50660307.942794576</v>
      </c>
    </row>
    <row r="52" spans="1:7">
      <c r="A52" s="76">
        <f t="shared" si="3"/>
        <v>44</v>
      </c>
      <c r="B52" s="58" t="s">
        <v>585</v>
      </c>
      <c r="C52" s="21" t="str">
        <f ca="1">'WP_B-7'!F2&amp;" Line "&amp;'WP_B-7'!A25</f>
        <v>WP_B-7 Line 14</v>
      </c>
      <c r="D52" s="32">
        <f>-'WP_B-7'!F49</f>
        <v>0</v>
      </c>
      <c r="E52" s="49" t="s">
        <v>806</v>
      </c>
      <c r="F52" s="87">
        <f>WSA</f>
        <v>0.12237000000000001</v>
      </c>
      <c r="G52" s="22">
        <f>D52*F52</f>
        <v>0</v>
      </c>
    </row>
    <row r="53" spans="1:7">
      <c r="A53" s="76">
        <f t="shared" si="3"/>
        <v>45</v>
      </c>
      <c r="B53" s="33" t="s">
        <v>541</v>
      </c>
      <c r="C53" s="34" t="s">
        <v>777</v>
      </c>
      <c r="D53" s="235">
        <v>22638160</v>
      </c>
      <c r="E53" s="65" t="s">
        <v>803</v>
      </c>
      <c r="F53" s="83">
        <v>1</v>
      </c>
      <c r="G53" s="22">
        <v>0</v>
      </c>
    </row>
    <row r="54" spans="1:7">
      <c r="A54" s="76">
        <f t="shared" si="3"/>
        <v>46</v>
      </c>
      <c r="B54" s="35" t="s">
        <v>573</v>
      </c>
      <c r="C54" s="21" t="str">
        <f ca="1">'WP_B-8'!L2&amp;" Col. (a), Line "&amp;'WP_B-8'!A55</f>
        <v>WP_B-8 Col. (a), Line 16</v>
      </c>
      <c r="D54" s="32">
        <f>'WP_B-8'!F55</f>
        <v>0</v>
      </c>
      <c r="E54" s="49" t="s">
        <v>803</v>
      </c>
      <c r="F54" s="89">
        <v>1</v>
      </c>
      <c r="G54" s="22">
        <f>D54*F54</f>
        <v>0</v>
      </c>
    </row>
    <row r="55" spans="1:7">
      <c r="A55" s="76">
        <f t="shared" si="3"/>
        <v>47</v>
      </c>
      <c r="B55" s="595" t="s">
        <v>574</v>
      </c>
      <c r="C55" s="319" t="str">
        <f ca="1">'WP_B-8'!L2&amp;" Col. (d), Line "&amp;'WP_B-8'!A55</f>
        <v>WP_B-8 Col. (d), Line 16</v>
      </c>
      <c r="D55" s="36">
        <f>'WP_B-8'!J55</f>
        <v>0</v>
      </c>
      <c r="E55" s="91" t="s">
        <v>803</v>
      </c>
      <c r="F55" s="89">
        <v>1</v>
      </c>
      <c r="G55" s="22">
        <f>D55*F55</f>
        <v>0</v>
      </c>
    </row>
    <row r="56" spans="1:7">
      <c r="A56" s="76">
        <f t="shared" si="3"/>
        <v>48</v>
      </c>
      <c r="B56" s="20" t="s">
        <v>575</v>
      </c>
      <c r="C56" s="59" t="str">
        <f>'WP_B-Inputs Act.'!L2&amp;" Line "&amp;'WP_B-Inputs Act.'!A153</f>
        <v>WP_B-Inputs Act. Line 143</v>
      </c>
      <c r="D56" s="32">
        <f>'WP_B-Inputs Act.'!E153</f>
        <v>0</v>
      </c>
      <c r="E56" s="65" t="s">
        <v>803</v>
      </c>
      <c r="F56" s="89">
        <v>1</v>
      </c>
      <c r="G56" s="22">
        <f>D56*F56</f>
        <v>0</v>
      </c>
    </row>
    <row r="57" spans="1:7">
      <c r="A57" s="76">
        <f t="shared" si="3"/>
        <v>49</v>
      </c>
      <c r="B57" s="20" t="s">
        <v>576</v>
      </c>
      <c r="C57" s="21" t="str">
        <f>'WP_B-Inputs Act.'!L2&amp;" Line "&amp;'WP_B-Inputs Act.'!A153</f>
        <v>WP_B-Inputs Act. Line 143</v>
      </c>
      <c r="D57" s="63">
        <f>'WP_B-Inputs Act.'!I153</f>
        <v>0</v>
      </c>
      <c r="E57" s="65" t="s">
        <v>803</v>
      </c>
      <c r="F57" s="89">
        <v>1</v>
      </c>
      <c r="G57" s="63">
        <f>D57*F57</f>
        <v>0</v>
      </c>
    </row>
    <row r="58" spans="1:7">
      <c r="A58" s="76">
        <f t="shared" si="3"/>
        <v>50</v>
      </c>
      <c r="B58" s="30" t="s">
        <v>512</v>
      </c>
      <c r="C58" s="20" t="str">
        <f>"Sum Lines "&amp;A48&amp;" through "&amp;A57</f>
        <v>Sum Lines 40 through 49</v>
      </c>
      <c r="D58" s="27">
        <f>SUM(D48:D57)</f>
        <v>-1752468061.2003527</v>
      </c>
      <c r="E58" s="65"/>
      <c r="F58" s="83"/>
      <c r="G58" s="22">
        <f>SUM(G48:G57)</f>
        <v>-414963683.96011096</v>
      </c>
    </row>
    <row r="59" spans="1:7">
      <c r="A59" s="76">
        <f t="shared" si="3"/>
        <v>51</v>
      </c>
      <c r="B59" s="28"/>
      <c r="C59" s="21"/>
      <c r="D59" s="27"/>
      <c r="E59" s="65"/>
      <c r="F59" s="83"/>
      <c r="G59" s="22"/>
    </row>
    <row r="60" spans="1:7">
      <c r="A60" s="76">
        <f t="shared" si="3"/>
        <v>52</v>
      </c>
      <c r="B60" s="30" t="s">
        <v>577</v>
      </c>
      <c r="C60" s="21" t="str">
        <f>'WP_B-Inputs Act.'!L2&amp;" Line "&amp;'WP_B-Inputs Act.'!A153</f>
        <v>WP_B-Inputs Act. Line 143</v>
      </c>
      <c r="D60" s="32">
        <f>'WP_B-Inputs Act.'!K153</f>
        <v>0</v>
      </c>
      <c r="E60" s="65" t="s">
        <v>791</v>
      </c>
      <c r="F60" s="89">
        <f>TPA</f>
        <v>0.97275999999999996</v>
      </c>
      <c r="G60" s="22">
        <f>D60*F60</f>
        <v>0</v>
      </c>
    </row>
    <row r="61" spans="1:7">
      <c r="A61" s="76">
        <f t="shared" si="3"/>
        <v>53</v>
      </c>
      <c r="B61" s="30"/>
      <c r="C61" s="21"/>
      <c r="D61" s="22"/>
      <c r="E61" s="65"/>
      <c r="F61" s="89"/>
      <c r="G61" s="22"/>
    </row>
    <row r="62" spans="1:7">
      <c r="A62" s="76">
        <f t="shared" si="3"/>
        <v>54</v>
      </c>
      <c r="B62" s="30" t="s">
        <v>859</v>
      </c>
      <c r="C62" s="21"/>
      <c r="D62" s="27"/>
      <c r="E62" s="65"/>
      <c r="F62" s="83"/>
      <c r="G62" s="22"/>
    </row>
    <row r="63" spans="1:7">
      <c r="A63" s="76">
        <f t="shared" si="3"/>
        <v>55</v>
      </c>
      <c r="B63" s="30" t="s">
        <v>542</v>
      </c>
      <c r="C63" s="330" t="s">
        <v>578</v>
      </c>
      <c r="D63" s="22">
        <v>0</v>
      </c>
      <c r="E63" s="49"/>
      <c r="F63" s="87"/>
      <c r="G63" s="22">
        <v>0</v>
      </c>
    </row>
    <row r="64" spans="1:7">
      <c r="A64" s="76">
        <f t="shared" si="3"/>
        <v>56</v>
      </c>
      <c r="B64" s="30" t="s">
        <v>844</v>
      </c>
      <c r="C64" s="21" t="str">
        <f ca="1">'WP_B-6'!E2&amp;" Line "&amp;'WP_B-6'!A81</f>
        <v>WP_B-6 Line 29</v>
      </c>
      <c r="D64" s="22">
        <f>'WP_B-6'!E81</f>
        <v>3562641.6559193186</v>
      </c>
      <c r="E64" s="49" t="s">
        <v>791</v>
      </c>
      <c r="F64" s="89">
        <f>TPA</f>
        <v>0.97275999999999996</v>
      </c>
      <c r="G64" s="22">
        <f t="shared" ref="G64:G69" si="4">D64*F64</f>
        <v>3465595.2972120764</v>
      </c>
    </row>
    <row r="65" spans="1:7">
      <c r="A65" s="76">
        <f t="shared" si="3"/>
        <v>57</v>
      </c>
      <c r="B65" s="30" t="s">
        <v>845</v>
      </c>
      <c r="C65" s="21" t="str">
        <f ca="1">'WP_B-6'!E2&amp;" Line "&amp;'WP_B-6'!A83</f>
        <v>WP_B-6 Line 31</v>
      </c>
      <c r="D65" s="22">
        <f>'WP_B-6'!E83</f>
        <v>-1224441.9423811608</v>
      </c>
      <c r="E65" s="49" t="s">
        <v>809</v>
      </c>
      <c r="F65" s="87">
        <f>NPA</f>
        <v>0.17532624900776159</v>
      </c>
      <c r="G65" s="22">
        <f t="shared" si="4"/>
        <v>-214676.81288546667</v>
      </c>
    </row>
    <row r="66" spans="1:7">
      <c r="A66" s="76">
        <f t="shared" si="3"/>
        <v>58</v>
      </c>
      <c r="B66" s="30" t="s">
        <v>757</v>
      </c>
      <c r="C66" s="21" t="str">
        <f ca="1">'WP_B-5'!R2&amp;" Line "&amp;'WP_B-5'!A21</f>
        <v>WP_B-5 Line 10</v>
      </c>
      <c r="D66" s="32">
        <f>'WP_B-5'!R77</f>
        <v>5380618.6611827482</v>
      </c>
      <c r="E66" s="49" t="s">
        <v>809</v>
      </c>
      <c r="F66" s="87">
        <f>NPA</f>
        <v>0.17532624900776159</v>
      </c>
      <c r="G66" s="22">
        <f t="shared" si="4"/>
        <v>943363.68720633525</v>
      </c>
    </row>
    <row r="67" spans="1:7">
      <c r="A67" s="76">
        <f t="shared" si="3"/>
        <v>59</v>
      </c>
      <c r="B67" s="30" t="s">
        <v>758</v>
      </c>
      <c r="C67" s="21" t="str">
        <f ca="1">'WP_B-5'!R2&amp;" Line "&amp;'WP_B-5'!A85</f>
        <v>WP_B-5 Line 16</v>
      </c>
      <c r="D67" s="32">
        <f>'WP_B-5'!R85</f>
        <v>635963.32606500771</v>
      </c>
      <c r="E67" s="49" t="s">
        <v>806</v>
      </c>
      <c r="F67" s="87">
        <f>WSA</f>
        <v>0.12237000000000001</v>
      </c>
      <c r="G67" s="22">
        <f t="shared" si="4"/>
        <v>77822.832210574998</v>
      </c>
    </row>
    <row r="68" spans="1:7">
      <c r="A68" s="76">
        <f t="shared" si="3"/>
        <v>60</v>
      </c>
      <c r="B68" s="30" t="s">
        <v>759</v>
      </c>
      <c r="C68" s="21" t="str">
        <f ca="1">'WP_B-5'!R2&amp;" Line "&amp;'WP_B-5'!A89</f>
        <v>WP_B-5 Line 20</v>
      </c>
      <c r="D68" s="32">
        <f>'WP_B-5'!R89</f>
        <v>2074948.0530769229</v>
      </c>
      <c r="E68" s="49" t="s">
        <v>791</v>
      </c>
      <c r="F68" s="89">
        <f>TPA</f>
        <v>0.97275999999999996</v>
      </c>
      <c r="G68" s="22">
        <f t="shared" si="4"/>
        <v>2018426.4681111074</v>
      </c>
    </row>
    <row r="69" spans="1:7">
      <c r="A69" s="76">
        <f t="shared" si="3"/>
        <v>61</v>
      </c>
      <c r="B69" s="30" t="s">
        <v>785</v>
      </c>
      <c r="C69" s="21" t="str">
        <f ca="1">'WP_B-5'!R2&amp;" Line "&amp;'WP_B-5'!A111</f>
        <v>WP_B-5 Line 41</v>
      </c>
      <c r="D69" s="63">
        <f>'WP_B-5'!R111</f>
        <v>8029910.1584514501</v>
      </c>
      <c r="E69" s="49" t="s">
        <v>801</v>
      </c>
      <c r="F69" s="87">
        <v>0</v>
      </c>
      <c r="G69" s="63">
        <f t="shared" si="4"/>
        <v>0</v>
      </c>
    </row>
    <row r="70" spans="1:7">
      <c r="A70" s="76">
        <f t="shared" si="3"/>
        <v>62</v>
      </c>
      <c r="B70" s="30" t="s">
        <v>781</v>
      </c>
      <c r="C70" s="20" t="str">
        <f>"Sum Lines "&amp;A63&amp;" through "&amp;A69</f>
        <v>Sum Lines 55 through 61</v>
      </c>
      <c r="D70" s="27">
        <f>SUM(D63:D69)</f>
        <v>18459639.912314285</v>
      </c>
      <c r="E70" s="18"/>
      <c r="F70" s="83"/>
      <c r="G70" s="22">
        <f>SUM(G63:G69)</f>
        <v>6290531.4718546271</v>
      </c>
    </row>
    <row r="71" spans="1:7">
      <c r="A71" s="76">
        <f t="shared" si="3"/>
        <v>63</v>
      </c>
      <c r="B71" s="30"/>
      <c r="C71" s="9"/>
      <c r="D71" s="27"/>
      <c r="E71" s="18"/>
      <c r="F71" s="83"/>
      <c r="G71" s="22"/>
    </row>
    <row r="72" spans="1:7">
      <c r="A72" s="76">
        <f t="shared" si="3"/>
        <v>64</v>
      </c>
      <c r="B72" s="6" t="s">
        <v>1382</v>
      </c>
      <c r="C72" s="21" t="str">
        <f>"Line "&amp;A44&amp;" plus "&amp;A58&amp;" plus "&amp;A60&amp;" plus "&amp;A70</f>
        <v>Line 36 plus 50 plus 52 plus 62</v>
      </c>
      <c r="D72" s="85">
        <f>D44+D58+D60+D70</f>
        <v>7616883513.8134098</v>
      </c>
      <c r="E72" s="13"/>
      <c r="F72" s="29"/>
      <c r="G72" s="63">
        <f>G44+G58+G60+G70</f>
        <v>1230783655.3700099</v>
      </c>
    </row>
    <row r="73" spans="1:7">
      <c r="A73" s="76">
        <f t="shared" si="3"/>
        <v>65</v>
      </c>
      <c r="B73" s="6"/>
      <c r="C73" s="21"/>
      <c r="D73" s="37"/>
      <c r="E73" s="13"/>
      <c r="F73" s="29"/>
      <c r="G73" s="32"/>
    </row>
    <row r="74" spans="1:7">
      <c r="A74" s="76">
        <f t="shared" si="3"/>
        <v>66</v>
      </c>
      <c r="B74" s="6" t="s">
        <v>88</v>
      </c>
      <c r="C74" s="21" t="str">
        <f>"Line "&amp;A180</f>
        <v>Line 158</v>
      </c>
      <c r="D74" s="300">
        <f>G180</f>
        <v>7.3800000000000004E-2</v>
      </c>
      <c r="E74" s="13"/>
      <c r="F74" s="29"/>
      <c r="G74" s="1173">
        <f>G180</f>
        <v>7.3800000000000004E-2</v>
      </c>
    </row>
    <row r="75" spans="1:7">
      <c r="A75" s="76">
        <f t="shared" si="3"/>
        <v>67</v>
      </c>
      <c r="B75" s="6"/>
      <c r="C75" s="13"/>
      <c r="D75" s="37"/>
      <c r="E75" s="13"/>
      <c r="F75" s="29"/>
      <c r="G75" s="32"/>
    </row>
    <row r="76" spans="1:7" ht="13.5" thickBot="1">
      <c r="A76" s="76">
        <f t="shared" si="3"/>
        <v>68</v>
      </c>
      <c r="B76" s="40" t="s">
        <v>775</v>
      </c>
      <c r="C76" s="40" t="str">
        <f>"Line "&amp;A72&amp;" times Line "&amp;A74</f>
        <v>Line 64 times Line 66</v>
      </c>
      <c r="D76" s="39">
        <f>D72*D74</f>
        <v>562126003.31942964</v>
      </c>
      <c r="E76" s="27"/>
      <c r="F76" s="41"/>
      <c r="G76" s="1174">
        <f>IF(G72=0,0,G72*G74)</f>
        <v>90831833.766306743</v>
      </c>
    </row>
    <row r="77" spans="1:7" ht="13.5" thickTop="1">
      <c r="A77" s="18"/>
      <c r="B77" s="40"/>
      <c r="C77" s="40"/>
      <c r="D77" s="27"/>
      <c r="E77" s="27"/>
      <c r="F77" s="41"/>
      <c r="G77" s="22"/>
    </row>
    <row r="78" spans="1:7">
      <c r="A78" s="18"/>
      <c r="B78" s="15"/>
      <c r="C78" s="9"/>
      <c r="D78" s="16"/>
      <c r="E78" s="9"/>
      <c r="F78" s="9"/>
      <c r="G78" s="624"/>
    </row>
    <row r="79" spans="1:7">
      <c r="A79" s="77"/>
      <c r="B79" s="781" t="s">
        <v>543</v>
      </c>
      <c r="C79" s="490"/>
      <c r="D79" s="21"/>
      <c r="E79" s="21"/>
      <c r="F79" s="76"/>
      <c r="G79" s="490" t="s">
        <v>790</v>
      </c>
    </row>
    <row r="80" spans="1:7">
      <c r="A80" s="86" t="s">
        <v>862</v>
      </c>
      <c r="B80" s="773" t="s">
        <v>764</v>
      </c>
      <c r="C80" s="774" t="s">
        <v>869</v>
      </c>
      <c r="D80" s="777" t="s">
        <v>790</v>
      </c>
      <c r="E80" s="1214" t="s">
        <v>1305</v>
      </c>
      <c r="F80" s="1215"/>
      <c r="G80" s="777" t="s">
        <v>789</v>
      </c>
    </row>
    <row r="81" spans="1:7">
      <c r="B81" s="76" t="s">
        <v>352</v>
      </c>
      <c r="C81" s="76" t="s">
        <v>353</v>
      </c>
      <c r="D81" s="76" t="s">
        <v>354</v>
      </c>
      <c r="E81" s="1216" t="s">
        <v>355</v>
      </c>
      <c r="F81" s="1217"/>
      <c r="G81" s="775" t="s">
        <v>356</v>
      </c>
    </row>
    <row r="82" spans="1:7">
      <c r="B82" s="26"/>
      <c r="C82" s="21"/>
      <c r="D82" s="782"/>
      <c r="E82" s="781"/>
      <c r="F82" s="34"/>
      <c r="G82" s="782"/>
    </row>
    <row r="83" spans="1:7">
      <c r="A83" s="18">
        <f>A76+1</f>
        <v>69</v>
      </c>
      <c r="B83" s="6" t="s">
        <v>765</v>
      </c>
      <c r="C83" s="13"/>
      <c r="D83" s="13"/>
      <c r="E83" s="13"/>
      <c r="F83" s="13"/>
      <c r="G83" s="21"/>
    </row>
    <row r="84" spans="1:7">
      <c r="A84" s="18">
        <f t="shared" ref="A84:A117" si="5">A83+1</f>
        <v>70</v>
      </c>
      <c r="B84" s="6" t="s">
        <v>802</v>
      </c>
      <c r="C84" s="21" t="str">
        <f ca="1">'WP_C-1'!M2&amp;" Line "&amp;'WP_C-1'!A41</f>
        <v>WP_C-1 Line 31</v>
      </c>
      <c r="D84" s="22">
        <f>'WP_C-1'!M41</f>
        <v>54762780</v>
      </c>
      <c r="E84" s="13"/>
      <c r="F84" s="582"/>
      <c r="G84" s="22"/>
    </row>
    <row r="85" spans="1:7">
      <c r="A85" s="18">
        <f t="shared" si="5"/>
        <v>71</v>
      </c>
      <c r="B85" s="26" t="s">
        <v>843</v>
      </c>
      <c r="C85" s="21" t="str">
        <f ca="1">'WP_C-1'!M2&amp;" Line "&amp;'WP_C-1'!A46</f>
        <v>WP_C-1 Line 36</v>
      </c>
      <c r="D85" s="22">
        <f>-'WP_C-1'!M46</f>
        <v>-8546604</v>
      </c>
      <c r="E85" s="21"/>
      <c r="F85" s="582"/>
      <c r="G85" s="22"/>
    </row>
    <row r="86" spans="1:7">
      <c r="A86" s="18">
        <f t="shared" si="5"/>
        <v>72</v>
      </c>
      <c r="B86" s="26" t="s">
        <v>534</v>
      </c>
      <c r="C86" s="21" t="str">
        <f ca="1">'WP_C-1'!M2&amp;" Line "&amp;'WP_C-1'!A15</f>
        <v>WP_C-1 Line 5</v>
      </c>
      <c r="D86" s="22">
        <f>'WP_C-1'!M15</f>
        <v>220</v>
      </c>
      <c r="E86" s="21"/>
      <c r="F86" s="582"/>
      <c r="G86" s="22"/>
    </row>
    <row r="87" spans="1:7">
      <c r="A87" s="18">
        <f t="shared" si="5"/>
        <v>73</v>
      </c>
      <c r="B87" s="26" t="s">
        <v>599</v>
      </c>
      <c r="C87" s="21" t="str">
        <f ca="1">'WP_C-1'!M2&amp;" Line "&amp;'WP_C-1'!A16</f>
        <v>WP_C-1 Line 6</v>
      </c>
      <c r="D87" s="22">
        <f>'WP_C-1'!M16</f>
        <v>180</v>
      </c>
      <c r="E87" s="21"/>
      <c r="F87" s="582"/>
      <c r="G87" s="22"/>
    </row>
    <row r="88" spans="1:7">
      <c r="A88" s="18">
        <f t="shared" si="5"/>
        <v>74</v>
      </c>
      <c r="B88" s="26" t="s">
        <v>772</v>
      </c>
      <c r="C88" s="21" t="str">
        <f ca="1">'WP_C-1'!M2&amp;" Line "&amp;'WP_C-1'!A17</f>
        <v>WP_C-1 Line 7</v>
      </c>
      <c r="D88" s="22">
        <f>'WP_C-1'!M17</f>
        <v>0</v>
      </c>
      <c r="E88" s="21"/>
      <c r="F88" s="582"/>
      <c r="G88" s="22"/>
    </row>
    <row r="89" spans="1:7">
      <c r="A89" s="18">
        <f t="shared" si="5"/>
        <v>75</v>
      </c>
      <c r="B89" s="26" t="s">
        <v>773</v>
      </c>
      <c r="C89" s="21" t="str">
        <f ca="1">'WP_C-1'!M2&amp;" Line "&amp;'WP_C-1'!A18</f>
        <v>WP_C-1 Line 8</v>
      </c>
      <c r="D89" s="22">
        <f>'WP_C-1'!M18</f>
        <v>-141759</v>
      </c>
      <c r="E89" s="21"/>
      <c r="F89" s="582"/>
      <c r="G89" s="22"/>
    </row>
    <row r="90" spans="1:7">
      <c r="A90" s="18">
        <f t="shared" si="5"/>
        <v>76</v>
      </c>
      <c r="B90" s="26" t="s">
        <v>600</v>
      </c>
      <c r="C90" s="21" t="str">
        <f ca="1">'WP_C-1'!M2&amp;" Line "&amp;'WP_C-1'!A19</f>
        <v>WP_C-1 Line 9</v>
      </c>
      <c r="D90" s="22">
        <f>'WP_C-1'!M19</f>
        <v>4212233</v>
      </c>
      <c r="E90" s="21"/>
      <c r="F90" s="582"/>
      <c r="G90" s="22"/>
    </row>
    <row r="91" spans="1:7">
      <c r="A91" s="18">
        <f t="shared" si="5"/>
        <v>77</v>
      </c>
      <c r="B91" s="26" t="s">
        <v>579</v>
      </c>
      <c r="C91" s="21" t="str">
        <f ca="1">'WP_C-1'!M2&amp;" Line "&amp;'WP_C-1'!A23</f>
        <v>WP_C-1 Line 13</v>
      </c>
      <c r="D91" s="32">
        <f>-'WP_C-1'!M23</f>
        <v>-17303911</v>
      </c>
      <c r="E91" s="21"/>
      <c r="F91" s="1182"/>
      <c r="G91" s="32"/>
    </row>
    <row r="92" spans="1:7">
      <c r="A92" s="18">
        <f t="shared" si="5"/>
        <v>78</v>
      </c>
      <c r="B92" s="124" t="s">
        <v>96</v>
      </c>
      <c r="C92" s="21" t="str">
        <f ca="1">'WP_C-1'!M2&amp;" Line "&amp;'WP_C-1'!A44</f>
        <v>WP_C-1 Line 34</v>
      </c>
      <c r="D92" s="63">
        <f>'WP_C-1'!M44</f>
        <v>-1737719.9</v>
      </c>
      <c r="E92" s="21"/>
      <c r="F92" s="1182"/>
      <c r="G92" s="63"/>
    </row>
    <row r="93" spans="1:7" ht="12.75" customHeight="1">
      <c r="A93" s="18">
        <f t="shared" si="5"/>
        <v>79</v>
      </c>
      <c r="B93" s="46" t="s">
        <v>766</v>
      </c>
      <c r="C93" s="20" t="str">
        <f>"Sum Lines "&amp;A84&amp;" through "&amp;A92</f>
        <v>Sum Lines 70 through 78</v>
      </c>
      <c r="D93" s="47">
        <f>SUM(D84:D92)</f>
        <v>31245419.100000001</v>
      </c>
      <c r="E93" s="92" t="s">
        <v>791</v>
      </c>
      <c r="F93" s="89">
        <f>TPA</f>
        <v>0.97275999999999996</v>
      </c>
      <c r="G93" s="47">
        <f>D93*F93</f>
        <v>30394293.883715998</v>
      </c>
    </row>
    <row r="94" spans="1:7">
      <c r="A94" s="18">
        <f t="shared" si="5"/>
        <v>80</v>
      </c>
      <c r="B94" s="6"/>
      <c r="C94" s="26"/>
      <c r="D94" s="27"/>
      <c r="E94" s="65"/>
      <c r="F94" s="83"/>
      <c r="G94" s="22"/>
    </row>
    <row r="95" spans="1:7">
      <c r="A95" s="18">
        <f t="shared" si="5"/>
        <v>81</v>
      </c>
      <c r="B95" s="6" t="s">
        <v>580</v>
      </c>
      <c r="C95" s="21" t="str">
        <f ca="1">'WP_C-2'!G2&amp;" Line "&amp;'WP_C-2'!A25</f>
        <v>WP_C-2 Line 15</v>
      </c>
      <c r="D95" s="22">
        <f>'WP_C-2'!G56</f>
        <v>166143329.52746055</v>
      </c>
      <c r="E95" s="65"/>
      <c r="F95" s="83"/>
      <c r="G95" s="22"/>
    </row>
    <row r="96" spans="1:7">
      <c r="A96" s="18">
        <f t="shared" si="5"/>
        <v>82</v>
      </c>
      <c r="B96" s="26" t="s">
        <v>66</v>
      </c>
      <c r="C96" s="21" t="str">
        <f ca="1">'WP_C-2'!G2&amp;" Line "&amp;'WP_C-2'!A15</f>
        <v>WP_C-2 Line 5</v>
      </c>
      <c r="D96" s="63">
        <f>-'WP_C-2'!E46</f>
        <v>-1938336</v>
      </c>
      <c r="E96" s="65"/>
      <c r="F96" s="83"/>
      <c r="G96" s="22"/>
    </row>
    <row r="97" spans="1:10">
      <c r="A97" s="18">
        <f t="shared" si="5"/>
        <v>83</v>
      </c>
      <c r="B97" s="6" t="s">
        <v>767</v>
      </c>
      <c r="C97" s="20" t="str">
        <f>"Sum Lines "&amp;A95&amp;" through "&amp;A96</f>
        <v>Sum Lines 81 through 82</v>
      </c>
      <c r="D97" s="22">
        <f>SUM(D95:D96)</f>
        <v>164204993.52746055</v>
      </c>
      <c r="E97" s="65" t="s">
        <v>806</v>
      </c>
      <c r="F97" s="87">
        <f>WSA</f>
        <v>0.12237000000000001</v>
      </c>
      <c r="G97" s="47">
        <f>D97*F97</f>
        <v>20093765.057955347</v>
      </c>
    </row>
    <row r="98" spans="1:10">
      <c r="A98" s="18">
        <f t="shared" si="5"/>
        <v>84</v>
      </c>
      <c r="B98" s="26" t="s">
        <v>545</v>
      </c>
      <c r="C98" s="21" t="str">
        <f>"Line "&amp;A96</f>
        <v>Line 82</v>
      </c>
      <c r="D98" s="22">
        <f>-D96</f>
        <v>1938336</v>
      </c>
      <c r="E98" s="65" t="s">
        <v>809</v>
      </c>
      <c r="F98" s="83">
        <f>NPA</f>
        <v>0.17532624900776159</v>
      </c>
      <c r="G98" s="22">
        <f>D98*F98</f>
        <v>339841.18019670853</v>
      </c>
    </row>
    <row r="99" spans="1:10">
      <c r="A99" s="18">
        <f t="shared" si="5"/>
        <v>85</v>
      </c>
      <c r="B99" s="26" t="s">
        <v>544</v>
      </c>
      <c r="C99" s="21" t="str">
        <f ca="1">'WP_C-4'!F2&amp;" Line "&amp;'WP_C-4'!A48</f>
        <v>WP_C-4 Line 12</v>
      </c>
      <c r="D99" s="63">
        <f>'WP_C-4'!D48</f>
        <v>0</v>
      </c>
      <c r="E99" s="65" t="s">
        <v>803</v>
      </c>
      <c r="F99" s="83">
        <v>1</v>
      </c>
      <c r="G99" s="63">
        <f>D99*F99</f>
        <v>0</v>
      </c>
    </row>
    <row r="100" spans="1:10">
      <c r="A100" s="18">
        <f t="shared" si="5"/>
        <v>86</v>
      </c>
      <c r="B100" s="6" t="s">
        <v>768</v>
      </c>
      <c r="C100" s="20" t="str">
        <f>"Sum Lines "&amp;A97&amp;" through "&amp;A99</f>
        <v>Sum Lines 83 through 85</v>
      </c>
      <c r="D100" s="27">
        <f>SUM(D97:D99)</f>
        <v>166143329.52746055</v>
      </c>
      <c r="E100" s="13"/>
      <c r="F100" s="31"/>
      <c r="G100" s="22">
        <f>SUM(G97:G99)</f>
        <v>20433606.238152057</v>
      </c>
      <c r="I100" s="1207"/>
      <c r="J100" s="1207"/>
    </row>
    <row r="101" spans="1:10">
      <c r="A101" s="18">
        <f t="shared" si="5"/>
        <v>87</v>
      </c>
      <c r="B101" s="26"/>
      <c r="C101" s="21"/>
      <c r="D101" s="22"/>
      <c r="E101" s="13"/>
      <c r="F101" s="31"/>
      <c r="G101" s="22"/>
    </row>
    <row r="102" spans="1:10">
      <c r="A102" s="18">
        <f t="shared" si="5"/>
        <v>88</v>
      </c>
      <c r="B102" s="6" t="s">
        <v>769</v>
      </c>
      <c r="C102" s="21" t="str">
        <f>"Line "&amp;A93&amp;" plus Line "&amp;A100</f>
        <v>Line 79 plus Line 86</v>
      </c>
      <c r="D102" s="27">
        <f>D93+D100</f>
        <v>197388748.62746054</v>
      </c>
      <c r="E102" s="13"/>
      <c r="F102" s="13"/>
      <c r="G102" s="22">
        <f>G93+G100</f>
        <v>50827900.121868059</v>
      </c>
    </row>
    <row r="103" spans="1:10">
      <c r="A103" s="18">
        <f t="shared" si="5"/>
        <v>89</v>
      </c>
      <c r="B103" s="33"/>
      <c r="C103" s="21"/>
      <c r="D103" s="27"/>
      <c r="E103" s="13"/>
      <c r="F103" s="13"/>
      <c r="G103" s="22"/>
    </row>
    <row r="104" spans="1:10">
      <c r="A104" s="18">
        <f t="shared" si="5"/>
        <v>90</v>
      </c>
      <c r="B104" s="8"/>
      <c r="C104" s="34"/>
      <c r="D104" s="27"/>
      <c r="E104" s="11"/>
      <c r="F104" s="28"/>
      <c r="G104" s="1175"/>
    </row>
    <row r="105" spans="1:10">
      <c r="A105" s="18">
        <f t="shared" si="5"/>
        <v>91</v>
      </c>
      <c r="B105" s="30" t="s">
        <v>787</v>
      </c>
      <c r="C105" s="49"/>
      <c r="D105" s="27"/>
      <c r="E105" s="13"/>
      <c r="F105" s="13"/>
      <c r="G105" s="22"/>
    </row>
    <row r="106" spans="1:10">
      <c r="A106" s="18">
        <f t="shared" si="5"/>
        <v>92</v>
      </c>
      <c r="B106" s="50" t="s">
        <v>802</v>
      </c>
      <c r="C106" s="21" t="str">
        <f ca="1">'WP_B-1'!G2&amp;" Line "&amp;'WP_B-1'!A76&amp;" "&amp;'WP_B-1'!G52</f>
        <v>WP_B-1 Line 24 Col. (d)</v>
      </c>
      <c r="D106" s="25">
        <f>'WP_B-1'!G76</f>
        <v>33453590.890000001</v>
      </c>
      <c r="E106" s="88" t="s">
        <v>803</v>
      </c>
      <c r="F106" s="89">
        <v>1</v>
      </c>
      <c r="G106" s="25">
        <f t="shared" ref="G106:G114" si="6">D106*F106</f>
        <v>33453590.890000001</v>
      </c>
    </row>
    <row r="107" spans="1:10">
      <c r="A107" s="18">
        <f t="shared" si="5"/>
        <v>93</v>
      </c>
      <c r="B107" s="24" t="s">
        <v>1080</v>
      </c>
      <c r="C107" s="34" t="str">
        <f ca="1">'WP_B-8'!L2&amp;" Col (f), Line "&amp;'WP_B-8'!A57</f>
        <v>WP_B-8 Col (f), Line 18</v>
      </c>
      <c r="D107" s="25">
        <f>'WP_B-8'!L57</f>
        <v>0</v>
      </c>
      <c r="E107" s="88" t="s">
        <v>803</v>
      </c>
      <c r="F107" s="89">
        <v>1</v>
      </c>
      <c r="G107" s="25">
        <f t="shared" si="6"/>
        <v>0</v>
      </c>
    </row>
    <row r="108" spans="1:10">
      <c r="A108" s="18">
        <f t="shared" si="5"/>
        <v>94</v>
      </c>
      <c r="B108" s="24" t="s">
        <v>1081</v>
      </c>
      <c r="C108" s="21" t="str">
        <f>'WP_B-Inputs Act.'!L2&amp;" Line "&amp;'WP_B-Inputs Act.'!A153</f>
        <v>WP_B-Inputs Act. Line 143</v>
      </c>
      <c r="D108" s="22">
        <f>'WP_B-Inputs Act.'!D153</f>
        <v>0</v>
      </c>
      <c r="E108" s="49" t="s">
        <v>803</v>
      </c>
      <c r="F108" s="89">
        <v>1</v>
      </c>
      <c r="G108" s="25">
        <f t="shared" si="6"/>
        <v>0</v>
      </c>
    </row>
    <row r="109" spans="1:10">
      <c r="A109" s="18">
        <f t="shared" si="5"/>
        <v>95</v>
      </c>
      <c r="B109" s="24" t="s">
        <v>1082</v>
      </c>
      <c r="C109" s="21" t="str">
        <f>'WP_B-Inputs Act.'!L2&amp;" Line "&amp;'WP_B-Inputs Act.'!A153</f>
        <v>WP_B-Inputs Act. Line 143</v>
      </c>
      <c r="D109" s="22">
        <f>'WP_B-Inputs Act.'!H153</f>
        <v>0</v>
      </c>
      <c r="E109" s="49" t="s">
        <v>803</v>
      </c>
      <c r="F109" s="89">
        <v>1</v>
      </c>
      <c r="G109" s="25">
        <f t="shared" si="6"/>
        <v>0</v>
      </c>
    </row>
    <row r="110" spans="1:10">
      <c r="A110" s="18">
        <f t="shared" si="5"/>
        <v>96</v>
      </c>
      <c r="B110" s="30" t="s">
        <v>811</v>
      </c>
      <c r="C110" s="21" t="str">
        <f ca="1">'WP_B-1'!G2&amp;" Line "&amp;'WP_B-1'!A35&amp;" "&amp;'WP_B-1'!G52</f>
        <v>WP_B-1 Line 26 Col. (d)</v>
      </c>
      <c r="D110" s="22">
        <f>'WP_B-1'!G78</f>
        <v>9150098.1440999974</v>
      </c>
      <c r="E110" s="49" t="s">
        <v>806</v>
      </c>
      <c r="F110" s="87">
        <f>WSA</f>
        <v>0.12237000000000001</v>
      </c>
      <c r="G110" s="25">
        <f t="shared" si="6"/>
        <v>1119697.5098935168</v>
      </c>
    </row>
    <row r="111" spans="1:10">
      <c r="A111" s="18">
        <f t="shared" si="5"/>
        <v>97</v>
      </c>
      <c r="B111" s="30" t="s">
        <v>812</v>
      </c>
      <c r="C111" s="21" t="str">
        <f ca="1">'WP_B-1'!G2&amp;" Line "&amp;'WP_B-1'!A36&amp;" "&amp;'WP_B-1'!G52</f>
        <v>WP_B-1 Line 27 Col. (d)</v>
      </c>
      <c r="D111" s="32">
        <f>'WP_B-1'!G79</f>
        <v>9879416.1500000022</v>
      </c>
      <c r="E111" s="49" t="s">
        <v>806</v>
      </c>
      <c r="F111" s="87">
        <f>WSA</f>
        <v>0.12237000000000001</v>
      </c>
      <c r="G111" s="328">
        <f t="shared" si="6"/>
        <v>1208944.1542755004</v>
      </c>
    </row>
    <row r="112" spans="1:10">
      <c r="A112" s="18">
        <f t="shared" si="5"/>
        <v>98</v>
      </c>
      <c r="B112" s="124" t="s">
        <v>915</v>
      </c>
      <c r="C112" s="21" t="str">
        <f ca="1">'WP_B-1'!G2&amp;" Line "&amp;'WP_B-1'!A37&amp;" "&amp;'WP_B-1'!G52</f>
        <v>WP_B-1 Line 28 Col. (d)</v>
      </c>
      <c r="D112" s="32">
        <f>'WP_B-1'!G80</f>
        <v>27549232.359999999</v>
      </c>
      <c r="E112" s="49" t="s">
        <v>916</v>
      </c>
      <c r="F112" s="87">
        <f>CEA</f>
        <v>8.6792268570000011E-2</v>
      </c>
      <c r="G112" s="328">
        <f t="shared" si="6"/>
        <v>2391060.3738864553</v>
      </c>
    </row>
    <row r="113" spans="1:7">
      <c r="A113" s="18">
        <f t="shared" si="5"/>
        <v>99</v>
      </c>
      <c r="B113" s="124" t="s">
        <v>914</v>
      </c>
      <c r="C113" s="21" t="str">
        <f ca="1">'WP_B-1'!G2&amp;" Line "&amp;'WP_B-1'!A38&amp;" "&amp;'WP_B-1'!G52</f>
        <v>WP_B-1 Line 29 Col. (d)</v>
      </c>
      <c r="D113" s="32">
        <f>'WP_B-1'!G81</f>
        <v>28137477.030000005</v>
      </c>
      <c r="E113" s="49" t="s">
        <v>916</v>
      </c>
      <c r="F113" s="87">
        <f>CEA</f>
        <v>8.6792268570000011E-2</v>
      </c>
      <c r="G113" s="328">
        <f t="shared" si="6"/>
        <v>2442115.4632699667</v>
      </c>
    </row>
    <row r="114" spans="1:7">
      <c r="A114" s="18">
        <f t="shared" si="5"/>
        <v>100</v>
      </c>
      <c r="B114" s="124" t="s">
        <v>1258</v>
      </c>
      <c r="C114" s="21" t="str">
        <f ca="1">'WP_B-4'!U2&amp;" Line "&amp;'WP_B-4'!A25&amp;" Col. "&amp;'WP_B-4'!T9</f>
        <v>WP_B-4 Line 15 Col. Col. (o)</v>
      </c>
      <c r="D114" s="63">
        <f>'WP_B-4'!T58</f>
        <v>96514.680000000008</v>
      </c>
      <c r="E114" s="49" t="s">
        <v>803</v>
      </c>
      <c r="F114" s="89">
        <v>1</v>
      </c>
      <c r="G114" s="63">
        <f t="shared" si="6"/>
        <v>96514.680000000008</v>
      </c>
    </row>
    <row r="115" spans="1:7">
      <c r="A115" s="18">
        <f t="shared" si="5"/>
        <v>101</v>
      </c>
      <c r="B115" s="30" t="s">
        <v>691</v>
      </c>
      <c r="C115" s="20" t="str">
        <f>"Sum Lines "&amp;A106&amp;" through "&amp;A114</f>
        <v>Sum Lines 92 through 100</v>
      </c>
      <c r="D115" s="27">
        <f>SUM(D106:D114)</f>
        <v>108266329.25410001</v>
      </c>
      <c r="E115" s="13"/>
      <c r="F115" s="13"/>
      <c r="G115" s="22">
        <f>SUM(G106:G114)</f>
        <v>40711923.071325436</v>
      </c>
    </row>
    <row r="116" spans="1:7">
      <c r="A116" s="18">
        <f t="shared" si="5"/>
        <v>102</v>
      </c>
      <c r="B116" s="30"/>
      <c r="C116" s="21"/>
      <c r="D116" s="27"/>
      <c r="E116" s="13"/>
      <c r="F116" s="13"/>
      <c r="G116" s="22"/>
    </row>
    <row r="117" spans="1:7">
      <c r="A117" s="18">
        <f t="shared" si="5"/>
        <v>103</v>
      </c>
      <c r="B117" s="30" t="s">
        <v>687</v>
      </c>
      <c r="C117" s="330" t="s">
        <v>581</v>
      </c>
      <c r="D117" s="27"/>
      <c r="E117" s="13"/>
      <c r="F117" s="13"/>
      <c r="G117" s="22"/>
    </row>
    <row r="118" spans="1:7">
      <c r="A118" s="18">
        <f t="shared" ref="A118:A145" si="7">A117+1</f>
        <v>104</v>
      </c>
      <c r="B118" s="30" t="s">
        <v>813</v>
      </c>
      <c r="C118" s="21" t="str">
        <f ca="1">'WP_D-1'!G2&amp;" Line "&amp;'WP_D-1'!A14</f>
        <v>WP_D-1 Line 5</v>
      </c>
      <c r="D118" s="22">
        <f>'WP_D-1'!G14</f>
        <v>13310765</v>
      </c>
      <c r="E118" s="65" t="s">
        <v>806</v>
      </c>
      <c r="F118" s="87">
        <f>WSA</f>
        <v>0.12237000000000001</v>
      </c>
      <c r="G118" s="22">
        <f>D118*F118</f>
        <v>1628838.31305</v>
      </c>
    </row>
    <row r="119" spans="1:7">
      <c r="A119" s="18">
        <f t="shared" si="7"/>
        <v>105</v>
      </c>
      <c r="B119" s="30" t="s">
        <v>814</v>
      </c>
      <c r="C119" s="21" t="str">
        <f ca="1">'WP_D-1'!G2&amp;" Line "&amp;'WP_D-1'!A18</f>
        <v>WP_D-1 Line 9</v>
      </c>
      <c r="D119" s="22">
        <f>'WP_D-1'!G18</f>
        <v>138713358</v>
      </c>
      <c r="E119" s="49" t="s">
        <v>809</v>
      </c>
      <c r="F119" s="87">
        <f>NPA</f>
        <v>0.17532624900776159</v>
      </c>
      <c r="G119" s="22">
        <f>D119*F119</f>
        <v>24320092.745410778</v>
      </c>
    </row>
    <row r="120" spans="1:7">
      <c r="A120" s="18">
        <f t="shared" si="7"/>
        <v>106</v>
      </c>
      <c r="B120" s="102" t="s">
        <v>85</v>
      </c>
      <c r="C120" s="21" t="str">
        <f ca="1">'WP_D-1'!G2&amp;" Line "&amp;'WP_D-1'!A21</f>
        <v>WP_D-1 Line 12</v>
      </c>
      <c r="D120" s="63">
        <f>'WP_D-1'!G21</f>
        <v>0</v>
      </c>
      <c r="E120" s="65" t="s">
        <v>801</v>
      </c>
      <c r="F120" s="83">
        <v>0</v>
      </c>
      <c r="G120" s="63">
        <f>D120*F120</f>
        <v>0</v>
      </c>
    </row>
    <row r="121" spans="1:7">
      <c r="A121" s="18">
        <f t="shared" si="7"/>
        <v>107</v>
      </c>
      <c r="B121" s="30" t="s">
        <v>688</v>
      </c>
      <c r="C121" s="20" t="str">
        <f>"Sum Lines "&amp;A118&amp;" through "&amp;A120</f>
        <v>Sum Lines 104 through 106</v>
      </c>
      <c r="D121" s="27">
        <f>SUM(D118:D120)</f>
        <v>152024123</v>
      </c>
      <c r="E121" s="13"/>
      <c r="F121" s="51"/>
      <c r="G121" s="22">
        <f>SUM(G118:G120)</f>
        <v>25948931.058460779</v>
      </c>
    </row>
    <row r="122" spans="1:7">
      <c r="A122" s="18">
        <f t="shared" si="7"/>
        <v>108</v>
      </c>
      <c r="B122" s="30"/>
      <c r="C122" s="13"/>
      <c r="D122" s="13"/>
      <c r="E122" s="13"/>
      <c r="F122" s="51"/>
      <c r="G122" s="21"/>
    </row>
    <row r="123" spans="1:7">
      <c r="A123" s="18">
        <f t="shared" si="7"/>
        <v>109</v>
      </c>
      <c r="B123" s="30" t="s">
        <v>689</v>
      </c>
      <c r="C123" s="65" t="s">
        <v>582</v>
      </c>
      <c r="D123" s="13"/>
      <c r="E123" s="28"/>
      <c r="F123" s="28"/>
      <c r="G123" s="34"/>
    </row>
    <row r="124" spans="1:7">
      <c r="A124" s="18">
        <f t="shared" si="7"/>
        <v>110</v>
      </c>
      <c r="B124" s="52" t="s">
        <v>815</v>
      </c>
      <c r="C124" s="13"/>
      <c r="D124" s="130">
        <f>ROUND(IF(D227&gt;0,1-(((1-D228)*(1-D227))/(1-D227*D228*D229)),0),4)</f>
        <v>0.38009999999999999</v>
      </c>
      <c r="E124" s="28"/>
      <c r="F124" s="28"/>
      <c r="G124" s="34"/>
    </row>
    <row r="125" spans="1:7">
      <c r="A125" s="18">
        <f t="shared" si="7"/>
        <v>111</v>
      </c>
      <c r="B125" s="33" t="s">
        <v>816</v>
      </c>
      <c r="C125" s="13"/>
      <c r="D125" s="129">
        <f>ROUND(IF(G180&gt;0,(D124/(1-D124))*(1-G177/G180),0),4)</f>
        <v>0.45450000000000002</v>
      </c>
      <c r="E125" s="28"/>
      <c r="F125" s="28"/>
      <c r="G125" s="34"/>
    </row>
    <row r="126" spans="1:7">
      <c r="A126" s="18">
        <f t="shared" si="7"/>
        <v>112</v>
      </c>
      <c r="B126" s="20" t="s">
        <v>932</v>
      </c>
      <c r="C126" s="21"/>
      <c r="D126" s="13"/>
      <c r="E126" s="28"/>
      <c r="F126" s="53"/>
      <c r="G126" s="34"/>
    </row>
    <row r="127" spans="1:7">
      <c r="A127" s="18">
        <f t="shared" si="7"/>
        <v>113</v>
      </c>
      <c r="B127" s="20" t="s">
        <v>583</v>
      </c>
      <c r="C127" s="13"/>
      <c r="D127" s="13"/>
      <c r="E127" s="28"/>
      <c r="F127" s="53"/>
      <c r="G127" s="34"/>
    </row>
    <row r="128" spans="1:7">
      <c r="A128" s="18">
        <f t="shared" si="7"/>
        <v>114</v>
      </c>
      <c r="B128" s="40" t="s">
        <v>933</v>
      </c>
      <c r="C128" s="13"/>
      <c r="D128" s="54">
        <f>ROUND(IF(D124&gt;0,1/(1-D124),0),4)</f>
        <v>1.6132</v>
      </c>
      <c r="E128" s="27"/>
      <c r="F128" s="41"/>
      <c r="G128" s="22"/>
    </row>
    <row r="129" spans="1:7">
      <c r="A129" s="18">
        <f t="shared" si="7"/>
        <v>115</v>
      </c>
      <c r="B129" s="30" t="s">
        <v>858</v>
      </c>
      <c r="C129" s="21" t="s">
        <v>99</v>
      </c>
      <c r="D129" s="235">
        <v>-2283083</v>
      </c>
      <c r="E129" s="27"/>
      <c r="F129" s="41"/>
      <c r="G129" s="1176"/>
    </row>
    <row r="130" spans="1:7">
      <c r="A130" s="18">
        <f t="shared" si="7"/>
        <v>116</v>
      </c>
      <c r="B130" s="30"/>
      <c r="C130" s="13"/>
      <c r="D130" s="27"/>
      <c r="E130" s="27"/>
      <c r="F130" s="41"/>
      <c r="G130" s="22"/>
    </row>
    <row r="131" spans="1:7">
      <c r="A131" s="18">
        <f t="shared" si="7"/>
        <v>117</v>
      </c>
      <c r="B131" s="52" t="s">
        <v>817</v>
      </c>
      <c r="C131" s="302" t="str">
        <f>"Line "&amp;A76&amp;" times Line "&amp;A125</f>
        <v>Line 68 times Line 111</v>
      </c>
      <c r="D131" s="27">
        <f>ROUND(D76*D125,0)</f>
        <v>255486269</v>
      </c>
      <c r="E131" s="27"/>
      <c r="F131" s="27"/>
      <c r="G131" s="22">
        <f>IF(G76=0,0,ROUND(G76*D125,0))</f>
        <v>41283068</v>
      </c>
    </row>
    <row r="132" spans="1:7">
      <c r="A132" s="18">
        <f t="shared" si="7"/>
        <v>118</v>
      </c>
      <c r="B132" s="33" t="s">
        <v>780</v>
      </c>
      <c r="C132" s="302" t="str">
        <f>"Line "&amp;A128&amp;" times Line "&amp;A129</f>
        <v>Line 114 times Line 115</v>
      </c>
      <c r="D132" s="85">
        <f>ROUND(D128*D129,0)</f>
        <v>-3683069</v>
      </c>
      <c r="E132" s="41" t="s">
        <v>809</v>
      </c>
      <c r="F132" s="83">
        <f>NPA</f>
        <v>0.17532624900776159</v>
      </c>
      <c r="G132" s="63">
        <f>D132*F132</f>
        <v>-645738.6726067675</v>
      </c>
    </row>
    <row r="133" spans="1:7">
      <c r="A133" s="18">
        <f t="shared" si="7"/>
        <v>119</v>
      </c>
      <c r="B133" s="52" t="s">
        <v>690</v>
      </c>
      <c r="C133" s="20" t="str">
        <f>"Sum Lines "&amp;A131&amp;" through "&amp;A132</f>
        <v>Sum Lines 117 through 118</v>
      </c>
      <c r="D133" s="55">
        <f>SUM(D131:D132)</f>
        <v>251803200</v>
      </c>
      <c r="E133" s="27" t="s">
        <v>788</v>
      </c>
      <c r="F133" s="27" t="s">
        <v>788</v>
      </c>
      <c r="G133" s="55">
        <f>SUM(G131:G132)</f>
        <v>40637329.327393234</v>
      </c>
    </row>
    <row r="134" spans="1:7">
      <c r="A134" s="18">
        <f t="shared" si="7"/>
        <v>120</v>
      </c>
      <c r="B134" s="33"/>
      <c r="C134" s="56"/>
      <c r="D134" s="27"/>
      <c r="E134" s="27"/>
      <c r="F134" s="27"/>
      <c r="G134" s="22"/>
    </row>
    <row r="135" spans="1:7">
      <c r="A135" s="18">
        <f t="shared" si="7"/>
        <v>121</v>
      </c>
      <c r="B135" s="52"/>
      <c r="C135" s="28"/>
      <c r="D135" s="27"/>
      <c r="E135" s="27"/>
      <c r="F135" s="41"/>
      <c r="G135" s="22"/>
    </row>
    <row r="136" spans="1:7">
      <c r="A136" s="18">
        <f t="shared" si="7"/>
        <v>122</v>
      </c>
      <c r="B136" s="73" t="s">
        <v>771</v>
      </c>
      <c r="C136" s="75" t="s">
        <v>584</v>
      </c>
    </row>
    <row r="137" spans="1:7">
      <c r="A137" s="18">
        <f t="shared" si="7"/>
        <v>123</v>
      </c>
      <c r="B137" s="308" t="s">
        <v>210</v>
      </c>
      <c r="C137" s="308" t="str">
        <f ca="1">'WP_E-1'!F2&amp;" Line "&amp;'WP_E-1'!A31</f>
        <v>WP_E-1 Line 4</v>
      </c>
      <c r="D137" s="165">
        <f>'WP_E-1'!F31</f>
        <v>3519198.94</v>
      </c>
      <c r="E137" s="75" t="s">
        <v>803</v>
      </c>
      <c r="F137" s="93">
        <v>1</v>
      </c>
      <c r="G137" s="729">
        <f>D137*F137</f>
        <v>3519198.94</v>
      </c>
    </row>
    <row r="138" spans="1:7">
      <c r="A138" s="18">
        <f t="shared" si="7"/>
        <v>124</v>
      </c>
      <c r="B138" s="308" t="s">
        <v>513</v>
      </c>
      <c r="C138" s="308" t="str">
        <f ca="1">'WP_E-1'!F2&amp;" Line "&amp;'WP_E-1'!A41</f>
        <v>WP_E-1 Line 14</v>
      </c>
      <c r="D138" s="165">
        <f>'WP_E-1'!F41</f>
        <v>0</v>
      </c>
      <c r="E138" s="75" t="s">
        <v>652</v>
      </c>
      <c r="F138" s="283">
        <f>WSA</f>
        <v>0.12237000000000001</v>
      </c>
      <c r="G138" s="729">
        <f>D138*F138</f>
        <v>0</v>
      </c>
    </row>
    <row r="139" spans="1:7" s="79" customFormat="1">
      <c r="A139" s="1197">
        <f>A138+1</f>
        <v>125</v>
      </c>
      <c r="B139" s="769" t="s">
        <v>1844</v>
      </c>
      <c r="C139" s="769" t="str">
        <f ca="1">'WP_E-1'!F2&amp;" Line "&amp;'WP_E-1'!A36</f>
        <v>WP_E-1 Line 9</v>
      </c>
      <c r="D139" s="465">
        <f>'WP_E-1'!F36</f>
        <v>571364.87999999989</v>
      </c>
      <c r="E139" s="80" t="s">
        <v>803</v>
      </c>
      <c r="F139" s="1198">
        <v>1</v>
      </c>
      <c r="G139" s="1199">
        <f>D139*F139</f>
        <v>571364.87999999989</v>
      </c>
    </row>
    <row r="140" spans="1:7">
      <c r="A140" s="76">
        <f>A138+1</f>
        <v>125</v>
      </c>
      <c r="B140" s="308" t="s">
        <v>91</v>
      </c>
      <c r="C140" s="308" t="str">
        <f ca="1">'WP_F-1'!R2&amp;" Line "&amp;'WP_F-1'!A114&amp;" Col. (b)"</f>
        <v>WP_F-1 Line 42 Col. (b)</v>
      </c>
      <c r="D140" s="165">
        <f>'WP_F-1'!F114</f>
        <v>2438112</v>
      </c>
      <c r="E140" s="450" t="s">
        <v>803</v>
      </c>
      <c r="F140" s="778">
        <v>1</v>
      </c>
      <c r="G140" s="729">
        <f>D140*F140</f>
        <v>2438112</v>
      </c>
    </row>
    <row r="141" spans="1:7">
      <c r="A141" s="76">
        <f>A140+1</f>
        <v>126</v>
      </c>
      <c r="B141" s="308" t="s">
        <v>91</v>
      </c>
      <c r="C141" s="308" t="str">
        <f ca="1">'WP_F-1'!R2&amp;" Line "&amp;'WP_F-1'!A114&amp;" Col. (c)"</f>
        <v>WP_F-1 Line 42 Col. (c)</v>
      </c>
      <c r="D141" s="166">
        <f>'WP_F-1'!G114</f>
        <v>224400</v>
      </c>
      <c r="E141" s="450" t="s">
        <v>803</v>
      </c>
      <c r="F141" s="778">
        <v>1</v>
      </c>
      <c r="G141" s="779">
        <f>D141*F141</f>
        <v>224400</v>
      </c>
    </row>
    <row r="142" spans="1:7">
      <c r="A142" s="76">
        <f t="shared" si="7"/>
        <v>127</v>
      </c>
      <c r="B142" s="783" t="s">
        <v>329</v>
      </c>
      <c r="C142" s="308" t="s">
        <v>1214</v>
      </c>
      <c r="D142" s="284">
        <v>726905</v>
      </c>
      <c r="E142" s="450" t="s">
        <v>803</v>
      </c>
      <c r="F142" s="778">
        <v>1</v>
      </c>
      <c r="G142" s="780">
        <f>IF(D137=0,0,D142*F142)</f>
        <v>726905</v>
      </c>
    </row>
    <row r="143" spans="1:7">
      <c r="A143" s="18">
        <f t="shared" si="7"/>
        <v>128</v>
      </c>
      <c r="B143" s="308" t="s">
        <v>792</v>
      </c>
      <c r="C143" s="20"/>
      <c r="D143" s="729">
        <f>SUM(D137:D142)</f>
        <v>7479980.8200000003</v>
      </c>
      <c r="E143" s="308"/>
      <c r="F143" s="308"/>
      <c r="G143" s="729">
        <f>SUM(G137:G142)</f>
        <v>7479980.8200000003</v>
      </c>
    </row>
    <row r="144" spans="1:7" ht="13.5" thickBot="1">
      <c r="A144" s="18">
        <f t="shared" si="7"/>
        <v>129</v>
      </c>
      <c r="B144" s="30"/>
      <c r="C144" s="28"/>
      <c r="D144" s="37"/>
      <c r="E144" s="27"/>
      <c r="F144" s="41"/>
      <c r="G144" s="32"/>
    </row>
    <row r="145" spans="1:7" ht="13.5" thickBot="1">
      <c r="A145" s="18">
        <f t="shared" si="7"/>
        <v>130</v>
      </c>
      <c r="B145" s="6" t="s">
        <v>195</v>
      </c>
      <c r="C145" s="57"/>
      <c r="D145" s="314">
        <f>D76+D102+D115+D121+D133-D143</f>
        <v>1264128423.3809903</v>
      </c>
      <c r="E145" s="27"/>
      <c r="F145" s="27"/>
      <c r="G145" s="1177">
        <f>G76+G102+G115+G121+G133-G143</f>
        <v>241477936.52535427</v>
      </c>
    </row>
    <row r="146" spans="1:7" ht="13.5" thickTop="1">
      <c r="A146" s="18"/>
      <c r="B146" s="6"/>
      <c r="C146" s="57"/>
      <c r="D146" s="37"/>
      <c r="E146" s="27"/>
      <c r="F146" s="27"/>
      <c r="G146" s="32"/>
    </row>
    <row r="147" spans="1:7">
      <c r="A147" s="18"/>
      <c r="B147" s="6"/>
      <c r="C147" s="57"/>
      <c r="D147" s="37"/>
      <c r="E147" s="27"/>
      <c r="F147" s="27"/>
      <c r="G147" s="32"/>
    </row>
    <row r="148" spans="1:7">
      <c r="A148" s="18"/>
      <c r="B148" s="6"/>
      <c r="C148" s="57"/>
      <c r="D148" s="37"/>
      <c r="E148" s="27"/>
      <c r="F148" s="27"/>
      <c r="G148" s="32"/>
    </row>
    <row r="149" spans="1:7">
      <c r="A149" s="18"/>
      <c r="B149" s="15"/>
      <c r="C149" s="9"/>
      <c r="D149" s="13"/>
      <c r="E149" s="13"/>
      <c r="F149" s="18"/>
      <c r="G149" s="490" t="s">
        <v>790</v>
      </c>
    </row>
    <row r="150" spans="1:7">
      <c r="A150" s="86" t="s">
        <v>862</v>
      </c>
      <c r="B150" s="773" t="s">
        <v>776</v>
      </c>
      <c r="C150" s="774" t="s">
        <v>869</v>
      </c>
      <c r="D150" s="777" t="s">
        <v>790</v>
      </c>
      <c r="E150" s="1214" t="s">
        <v>1305</v>
      </c>
      <c r="F150" s="1215"/>
      <c r="G150" s="777" t="s">
        <v>789</v>
      </c>
    </row>
    <row r="151" spans="1:7">
      <c r="B151" s="76" t="s">
        <v>352</v>
      </c>
      <c r="C151" s="76" t="s">
        <v>353</v>
      </c>
      <c r="D151" s="76" t="s">
        <v>354</v>
      </c>
      <c r="E151" s="1216" t="s">
        <v>355</v>
      </c>
      <c r="F151" s="1217"/>
      <c r="G151" s="775" t="s">
        <v>356</v>
      </c>
    </row>
    <row r="152" spans="1:7">
      <c r="B152" s="10"/>
      <c r="C152" s="9"/>
      <c r="D152" s="9"/>
      <c r="E152" s="9"/>
      <c r="F152" s="9"/>
      <c r="G152" s="38"/>
    </row>
    <row r="153" spans="1:7">
      <c r="A153" s="18">
        <f>A145+1</f>
        <v>131</v>
      </c>
      <c r="B153" s="26" t="s">
        <v>546</v>
      </c>
      <c r="C153" s="76" t="s">
        <v>1086</v>
      </c>
      <c r="D153" s="38"/>
      <c r="E153" s="38"/>
      <c r="F153" s="38"/>
      <c r="G153" s="34"/>
    </row>
    <row r="154" spans="1:7">
      <c r="A154" s="18">
        <f t="shared" ref="A154:A193" si="8">A153+1</f>
        <v>132</v>
      </c>
      <c r="B154" s="38" t="s">
        <v>547</v>
      </c>
      <c r="C154" s="58" t="str">
        <f ca="1">'WP_B-1'!G2&amp;" Col (a), Line "&amp;'WP_B-1'!A55</f>
        <v>WP_B-1 Col (a), Line 3</v>
      </c>
      <c r="D154" s="8"/>
      <c r="E154" s="59"/>
      <c r="F154" s="59"/>
      <c r="G154" s="22">
        <f>'WP_B-1'!D55</f>
        <v>2086174606.6730773</v>
      </c>
    </row>
    <row r="155" spans="1:7">
      <c r="A155" s="18">
        <f t="shared" si="8"/>
        <v>133</v>
      </c>
      <c r="B155" s="38" t="s">
        <v>880</v>
      </c>
      <c r="C155" s="58" t="str">
        <f ca="1">'WP_B-4'!U2&amp;" Col. (c), Line "&amp;'WP_B-4'!A58</f>
        <v>WP_B-4 Col. (c), Line 15</v>
      </c>
      <c r="D155" s="8"/>
      <c r="E155" s="59"/>
      <c r="F155" s="59"/>
      <c r="G155" s="63">
        <f>'WP_B-4'!E58</f>
        <v>5308256.9099999983</v>
      </c>
    </row>
    <row r="156" spans="1:7">
      <c r="A156" s="18">
        <f t="shared" si="8"/>
        <v>134</v>
      </c>
      <c r="B156" s="38" t="s">
        <v>548</v>
      </c>
      <c r="C156" s="20" t="str">
        <f>"Sum Lines "&amp;A153&amp;" through "&amp;A154</f>
        <v>Sum Lines 131 through 132</v>
      </c>
      <c r="D156" s="8"/>
      <c r="E156" s="59"/>
      <c r="F156" s="59"/>
      <c r="G156" s="22">
        <f>SUM(G154:G155)</f>
        <v>2091482863.5830774</v>
      </c>
    </row>
    <row r="157" spans="1:7">
      <c r="A157" s="18">
        <f t="shared" si="8"/>
        <v>135</v>
      </c>
      <c r="B157" s="38" t="s">
        <v>549</v>
      </c>
      <c r="C157" s="21" t="str">
        <f>'WP_B-Inputs Act.'!L2&amp;" Line "&amp;'WP_B-Inputs Act.'!A128</f>
        <v>WP_B-Inputs Act. Line 118</v>
      </c>
      <c r="D157" s="60"/>
      <c r="E157" s="35"/>
      <c r="F157" s="35"/>
      <c r="G157" s="63">
        <f>-'WP_B-Inputs Act.'!C128</f>
        <v>-56962735.859999985</v>
      </c>
    </row>
    <row r="158" spans="1:7">
      <c r="A158" s="18">
        <f t="shared" si="8"/>
        <v>136</v>
      </c>
      <c r="B158" s="38" t="s">
        <v>685</v>
      </c>
      <c r="C158" s="20" t="str">
        <f>"Sum Lines "&amp;A155&amp;" through "&amp;A156</f>
        <v>Sum Lines 133 through 134</v>
      </c>
      <c r="D158" s="8"/>
      <c r="E158" s="59"/>
      <c r="F158" s="19"/>
      <c r="G158" s="22">
        <f>SUM(G156:G157)</f>
        <v>2034520127.7230775</v>
      </c>
    </row>
    <row r="159" spans="1:7">
      <c r="A159" s="18">
        <f t="shared" si="8"/>
        <v>137</v>
      </c>
      <c r="B159" s="38" t="s">
        <v>555</v>
      </c>
      <c r="C159" s="303" t="str">
        <f>"Line "&amp;A158&amp;" divided by Line "&amp;A156</f>
        <v>Line 136 divided by Line 134</v>
      </c>
      <c r="D159" s="8"/>
      <c r="E159" s="61"/>
      <c r="F159" s="96" t="s">
        <v>818</v>
      </c>
      <c r="G159" s="95">
        <f>IF(G158=0,0,ROUND(G158/SUM(G156),5))</f>
        <v>0.97275999999999996</v>
      </c>
    </row>
    <row r="160" spans="1:7">
      <c r="A160" s="18">
        <f t="shared" si="8"/>
        <v>138</v>
      </c>
      <c r="B160" s="62"/>
      <c r="C160" s="38"/>
      <c r="D160" s="38"/>
      <c r="E160" s="38"/>
      <c r="F160" s="38"/>
      <c r="G160" s="38"/>
    </row>
    <row r="161" spans="1:7">
      <c r="A161" s="18">
        <f t="shared" si="8"/>
        <v>139</v>
      </c>
      <c r="B161" s="6" t="s">
        <v>778</v>
      </c>
      <c r="C161" s="301"/>
      <c r="D161" s="13"/>
      <c r="E161" s="13"/>
      <c r="F161" s="13"/>
      <c r="G161" s="21"/>
    </row>
    <row r="162" spans="1:7">
      <c r="A162" s="18">
        <f t="shared" si="8"/>
        <v>140</v>
      </c>
      <c r="B162" s="6" t="s">
        <v>800</v>
      </c>
      <c r="C162" s="21" t="s">
        <v>100</v>
      </c>
      <c r="D162" s="235">
        <v>66945610</v>
      </c>
      <c r="E162" s="65" t="s">
        <v>801</v>
      </c>
      <c r="F162" s="83">
        <v>0</v>
      </c>
      <c r="G162" s="22">
        <f>D162*F162</f>
        <v>0</v>
      </c>
    </row>
    <row r="163" spans="1:7">
      <c r="A163" s="18">
        <f t="shared" si="8"/>
        <v>141</v>
      </c>
      <c r="B163" s="30" t="s">
        <v>802</v>
      </c>
      <c r="C163" s="21" t="str">
        <f ca="1">'WP_C-1'!M2&amp;" Line "&amp;'WP_C-1'!A41&amp;" Col. (b)"</f>
        <v>WP_C-1 Line 31 Col. (b)</v>
      </c>
      <c r="D163" s="285">
        <f>'WP_C-1'!L41</f>
        <v>17481953.41</v>
      </c>
      <c r="E163" s="76" t="s">
        <v>791</v>
      </c>
      <c r="F163" s="89">
        <f>TPA</f>
        <v>0.97275999999999996</v>
      </c>
      <c r="G163" s="22">
        <f>D163*F163</f>
        <v>17005744.9991116</v>
      </c>
    </row>
    <row r="164" spans="1:7">
      <c r="A164" s="18">
        <f t="shared" si="8"/>
        <v>142</v>
      </c>
      <c r="B164" s="30" t="s">
        <v>860</v>
      </c>
      <c r="C164" s="21" t="s">
        <v>101</v>
      </c>
      <c r="D164" s="235">
        <v>467851</v>
      </c>
      <c r="E164" s="76" t="s">
        <v>801</v>
      </c>
      <c r="F164" s="83">
        <v>0</v>
      </c>
      <c r="G164" s="22">
        <f>D164*F164</f>
        <v>0</v>
      </c>
    </row>
    <row r="165" spans="1:7">
      <c r="A165" s="18">
        <f t="shared" si="8"/>
        <v>143</v>
      </c>
      <c r="B165" s="30" t="s">
        <v>804</v>
      </c>
      <c r="C165" s="21" t="s">
        <v>102</v>
      </c>
      <c r="D165" s="235">
        <v>40402672</v>
      </c>
      <c r="E165" s="65" t="s">
        <v>801</v>
      </c>
      <c r="F165" s="83">
        <v>0</v>
      </c>
      <c r="G165" s="22">
        <f>D165*F165</f>
        <v>0</v>
      </c>
    </row>
    <row r="166" spans="1:7">
      <c r="A166" s="18">
        <f t="shared" si="8"/>
        <v>144</v>
      </c>
      <c r="B166" s="30" t="s">
        <v>820</v>
      </c>
      <c r="C166" s="21" t="s">
        <v>103</v>
      </c>
      <c r="D166" s="284">
        <v>13670414</v>
      </c>
      <c r="E166" s="65" t="s">
        <v>801</v>
      </c>
      <c r="F166" s="83">
        <v>0</v>
      </c>
      <c r="G166" s="63">
        <f>D166*F166</f>
        <v>0</v>
      </c>
    </row>
    <row r="167" spans="1:7">
      <c r="A167" s="18">
        <f t="shared" si="8"/>
        <v>145</v>
      </c>
      <c r="B167" s="20" t="s">
        <v>790</v>
      </c>
      <c r="C167" s="20" t="str">
        <f>"Sum Lines "&amp;A162&amp;" through "&amp;A166</f>
        <v>Sum Lines 140 through 144</v>
      </c>
      <c r="D167" s="27">
        <f>SUM(D162:D166)</f>
        <v>138968500.41</v>
      </c>
      <c r="E167" s="13"/>
      <c r="F167" s="13"/>
      <c r="G167" s="22">
        <f>SUM(G162:G166)</f>
        <v>17005744.9991116</v>
      </c>
    </row>
    <row r="168" spans="1:7">
      <c r="A168" s="18">
        <f t="shared" si="8"/>
        <v>146</v>
      </c>
      <c r="B168" s="30" t="s">
        <v>788</v>
      </c>
      <c r="C168" s="13" t="s">
        <v>788</v>
      </c>
      <c r="D168" s="28"/>
      <c r="E168" s="8"/>
      <c r="F168" s="8"/>
      <c r="G168" s="624"/>
    </row>
    <row r="169" spans="1:7">
      <c r="A169" s="18">
        <f t="shared" si="8"/>
        <v>147</v>
      </c>
      <c r="B169" s="30" t="s">
        <v>786</v>
      </c>
      <c r="C169" s="13" t="str">
        <f>"Line "&amp;A167&amp;", Col. "&amp;G151&amp;" divided by Col. "&amp;D151</f>
        <v>Line 145, Col. Col. (5) divided by Col. Col. (3)</v>
      </c>
      <c r="D169" s="28"/>
      <c r="E169" s="8"/>
      <c r="F169" s="64" t="s">
        <v>779</v>
      </c>
      <c r="G169" s="1178">
        <f>IF(D167=0,0,ROUND(G167/D167,5))</f>
        <v>0.12237000000000001</v>
      </c>
    </row>
    <row r="170" spans="1:7">
      <c r="A170" s="18">
        <f t="shared" si="8"/>
        <v>148</v>
      </c>
      <c r="B170" s="30"/>
      <c r="C170" s="13"/>
      <c r="D170" s="28"/>
      <c r="E170" s="8"/>
      <c r="F170" s="64"/>
      <c r="G170" s="1178"/>
    </row>
    <row r="171" spans="1:7">
      <c r="A171" s="18">
        <f t="shared" si="8"/>
        <v>149</v>
      </c>
      <c r="B171" s="13" t="s">
        <v>936</v>
      </c>
      <c r="C171" s="13" t="s">
        <v>104</v>
      </c>
      <c r="D171" s="28"/>
      <c r="E171" s="8"/>
      <c r="F171" s="64"/>
      <c r="G171" s="1206">
        <v>0.70926100000000003</v>
      </c>
    </row>
    <row r="172" spans="1:7">
      <c r="A172" s="18">
        <f t="shared" si="8"/>
        <v>150</v>
      </c>
      <c r="B172" s="30"/>
      <c r="C172" s="30" t="str">
        <f>"W/S Allocator, Line "&amp;A169</f>
        <v>W/S Allocator, Line 147</v>
      </c>
      <c r="D172" s="28"/>
      <c r="E172" s="8"/>
      <c r="F172" s="64"/>
      <c r="G172" s="1179">
        <f>WSA</f>
        <v>0.12237000000000001</v>
      </c>
    </row>
    <row r="173" spans="1:7">
      <c r="A173" s="18">
        <f t="shared" si="8"/>
        <v>151</v>
      </c>
      <c r="B173" s="13"/>
      <c r="C173" s="73" t="str">
        <f>"Line "&amp;A171&amp;" times Line "&amp;A172</f>
        <v>Line 149 times Line 150</v>
      </c>
      <c r="D173" s="28"/>
      <c r="E173" s="8"/>
      <c r="F173" s="64" t="s">
        <v>917</v>
      </c>
      <c r="G173" s="1178">
        <f>G171*G172</f>
        <v>8.6792268570000011E-2</v>
      </c>
    </row>
    <row r="174" spans="1:7">
      <c r="A174" s="18">
        <f t="shared" si="8"/>
        <v>152</v>
      </c>
      <c r="B174" s="30"/>
      <c r="C174" s="13"/>
      <c r="D174" s="13"/>
      <c r="E174" s="13"/>
      <c r="F174" s="13"/>
      <c r="G174" s="21"/>
    </row>
    <row r="175" spans="1:7">
      <c r="A175" s="18">
        <f t="shared" si="8"/>
        <v>153</v>
      </c>
      <c r="C175" s="13"/>
      <c r="D175" s="13"/>
      <c r="E175" s="13"/>
      <c r="F175" s="65"/>
      <c r="G175" s="21"/>
    </row>
    <row r="176" spans="1:7">
      <c r="A176" s="18">
        <f t="shared" si="8"/>
        <v>154</v>
      </c>
      <c r="B176" s="30" t="s">
        <v>1182</v>
      </c>
      <c r="C176" s="65" t="s">
        <v>1181</v>
      </c>
      <c r="D176" s="127" t="s">
        <v>819</v>
      </c>
      <c r="E176" s="127" t="s">
        <v>822</v>
      </c>
      <c r="F176" s="128" t="s">
        <v>821</v>
      </c>
      <c r="G176" s="1180" t="s">
        <v>823</v>
      </c>
    </row>
    <row r="177" spans="1:7">
      <c r="A177" s="18">
        <f t="shared" si="8"/>
        <v>155</v>
      </c>
      <c r="B177" s="21" t="s">
        <v>681</v>
      </c>
      <c r="C177" s="21" t="str">
        <f ca="1">'WP_G-1'!Q2&amp;" Line "&amp;'WP_G-1'!A61</f>
        <v>WP_G-1 Line 6</v>
      </c>
      <c r="D177" s="22">
        <f>'WP_G-1'!Q61</f>
        <v>4315384615.3846149</v>
      </c>
      <c r="E177" s="82">
        <f>IF(D177=0,0,ROUND(D177/$D$180,4))</f>
        <v>0.437</v>
      </c>
      <c r="F177" s="82">
        <f>'WP_G-1'!P82</f>
        <v>4.36393362456328E-2</v>
      </c>
      <c r="G177" s="66">
        <f>ROUND(E177*F177,4)</f>
        <v>1.9099999999999999E-2</v>
      </c>
    </row>
    <row r="178" spans="1:7">
      <c r="A178" s="18">
        <f t="shared" si="8"/>
        <v>156</v>
      </c>
      <c r="B178" s="21" t="s">
        <v>660</v>
      </c>
      <c r="C178" s="34" t="str">
        <f ca="1">'WP_G-1'!Q2&amp;" Line "&amp;'WP_G-1'!A63</f>
        <v>WP_G-1 Line 8</v>
      </c>
      <c r="D178" s="22">
        <f>'WP_G-1'!Q63</f>
        <v>0</v>
      </c>
      <c r="E178" s="82">
        <f>IF(D178=0,0,ROUND(D178/$D$180,4))</f>
        <v>0</v>
      </c>
      <c r="F178" s="82">
        <v>0</v>
      </c>
      <c r="G178" s="66">
        <f>ROUND(E178*F178,4)</f>
        <v>0</v>
      </c>
    </row>
    <row r="179" spans="1:7">
      <c r="A179" s="18">
        <f t="shared" si="8"/>
        <v>157</v>
      </c>
      <c r="B179" s="21" t="s">
        <v>682</v>
      </c>
      <c r="C179" s="34" t="str">
        <f ca="1">'WP_G-1'!Q2&amp;" Line "&amp;'WP_G-1'!A69</f>
        <v>WP_G-1 Line 14</v>
      </c>
      <c r="D179" s="63">
        <f>'WP_G-1'!Q69</f>
        <v>5559246056.3530769</v>
      </c>
      <c r="E179" s="82">
        <f>IF(D179=0,0,ROUND(D179/$D$180,4))</f>
        <v>0.56299999999999994</v>
      </c>
      <c r="F179" s="82">
        <v>9.7199999999999995E-2</v>
      </c>
      <c r="G179" s="126">
        <f>ROUND(E179*F179,4)</f>
        <v>5.4699999999999999E-2</v>
      </c>
    </row>
    <row r="180" spans="1:7">
      <c r="A180" s="18">
        <f t="shared" si="8"/>
        <v>158</v>
      </c>
      <c r="B180" s="20" t="s">
        <v>683</v>
      </c>
      <c r="C180" s="20" t="str">
        <f>"Sum Lines "&amp;A177&amp;" through "&amp;A179</f>
        <v>Sum Lines 155 through 157</v>
      </c>
      <c r="D180" s="22">
        <f>SUM(D177:D179)</f>
        <v>9874630671.7376919</v>
      </c>
      <c r="E180" s="21"/>
      <c r="F180" s="67" t="s">
        <v>1398</v>
      </c>
      <c r="G180" s="68">
        <f>SUM(G177:G179)</f>
        <v>7.3800000000000004E-2</v>
      </c>
    </row>
    <row r="181" spans="1:7">
      <c r="A181" s="18">
        <f t="shared" si="8"/>
        <v>159</v>
      </c>
      <c r="B181" s="15"/>
      <c r="C181" s="9"/>
      <c r="D181" s="16"/>
      <c r="E181" s="9"/>
      <c r="F181" s="9"/>
      <c r="G181" s="624"/>
    </row>
    <row r="182" spans="1:7">
      <c r="A182" s="18">
        <f t="shared" si="8"/>
        <v>160</v>
      </c>
      <c r="C182" s="9"/>
      <c r="D182" s="14"/>
      <c r="E182" s="9"/>
      <c r="F182" s="9"/>
      <c r="G182" s="229"/>
    </row>
    <row r="183" spans="1:7">
      <c r="A183" s="18">
        <f t="shared" si="8"/>
        <v>161</v>
      </c>
      <c r="B183" s="9" t="s">
        <v>1397</v>
      </c>
      <c r="C183" s="9"/>
      <c r="D183" s="1139" t="s">
        <v>1845</v>
      </c>
      <c r="E183" s="9"/>
      <c r="G183" s="230"/>
    </row>
    <row r="184" spans="1:7">
      <c r="A184" s="18">
        <f t="shared" si="8"/>
        <v>162</v>
      </c>
      <c r="B184" s="226"/>
      <c r="C184" s="9"/>
      <c r="D184" s="16"/>
      <c r="E184" s="9"/>
      <c r="G184" s="231"/>
    </row>
    <row r="185" spans="1:7">
      <c r="A185" s="18">
        <f t="shared" si="8"/>
        <v>163</v>
      </c>
      <c r="B185" s="226" t="s">
        <v>1388</v>
      </c>
      <c r="C185" s="9" t="s">
        <v>558</v>
      </c>
      <c r="D185" s="223">
        <v>12508982953</v>
      </c>
      <c r="E185" s="9"/>
      <c r="G185" s="232"/>
    </row>
    <row r="186" spans="1:7">
      <c r="A186" s="18">
        <f t="shared" si="8"/>
        <v>164</v>
      </c>
      <c r="B186" s="226" t="s">
        <v>1389</v>
      </c>
      <c r="C186" s="625">
        <v>356</v>
      </c>
      <c r="D186" s="223">
        <v>592850778</v>
      </c>
      <c r="E186" s="9"/>
      <c r="G186" s="232"/>
    </row>
    <row r="187" spans="1:7">
      <c r="A187" s="18">
        <f t="shared" si="8"/>
        <v>165</v>
      </c>
      <c r="B187" s="226" t="s">
        <v>1390</v>
      </c>
      <c r="C187" s="9" t="s">
        <v>559</v>
      </c>
      <c r="D187" s="223">
        <v>28028911</v>
      </c>
      <c r="E187" s="9"/>
      <c r="G187" s="232"/>
    </row>
    <row r="188" spans="1:7">
      <c r="A188" s="18">
        <f t="shared" si="8"/>
        <v>166</v>
      </c>
      <c r="B188" s="226" t="s">
        <v>1391</v>
      </c>
      <c r="C188" s="9" t="s">
        <v>560</v>
      </c>
      <c r="D188" s="223">
        <v>859221849</v>
      </c>
      <c r="E188" s="9"/>
      <c r="G188" s="232"/>
    </row>
    <row r="189" spans="1:7">
      <c r="A189" s="18">
        <f t="shared" si="8"/>
        <v>167</v>
      </c>
      <c r="B189" s="226" t="s">
        <v>1393</v>
      </c>
      <c r="C189" s="625">
        <v>356</v>
      </c>
      <c r="D189" s="224">
        <v>41828125</v>
      </c>
      <c r="E189" s="9"/>
      <c r="G189" s="232"/>
    </row>
    <row r="190" spans="1:7">
      <c r="A190" s="18">
        <f t="shared" si="8"/>
        <v>168</v>
      </c>
      <c r="B190" s="226" t="s">
        <v>1394</v>
      </c>
      <c r="C190" s="20" t="str">
        <f>"Sum Lines "&amp;A185&amp;" through "&amp;A189</f>
        <v>Sum Lines 163 through 167</v>
      </c>
      <c r="D190" s="222">
        <f>SUM(D185:D189)</f>
        <v>14030912616</v>
      </c>
      <c r="E190" s="9"/>
      <c r="G190" s="232"/>
    </row>
    <row r="191" spans="1:7">
      <c r="A191" s="18">
        <f t="shared" si="8"/>
        <v>169</v>
      </c>
      <c r="B191" s="226" t="s">
        <v>1395</v>
      </c>
      <c r="C191" s="225" t="s">
        <v>561</v>
      </c>
      <c r="D191" s="223">
        <f>18773988614+9174894</f>
        <v>18783163508</v>
      </c>
      <c r="E191" s="9"/>
      <c r="G191" s="232"/>
    </row>
    <row r="192" spans="1:7">
      <c r="A192" s="18">
        <f t="shared" si="8"/>
        <v>170</v>
      </c>
      <c r="B192" s="9"/>
      <c r="C192" s="9"/>
      <c r="D192" s="222"/>
      <c r="E192" s="9"/>
      <c r="G192" s="232"/>
    </row>
    <row r="193" spans="1:7">
      <c r="A193" s="18">
        <f t="shared" si="8"/>
        <v>171</v>
      </c>
      <c r="B193" s="226" t="s">
        <v>1396</v>
      </c>
      <c r="C193" s="9" t="str">
        <f>"Line "&amp;A190&amp;" divided by Line "&amp;A191</f>
        <v>Line 168 divided by Line 169</v>
      </c>
      <c r="D193" s="227">
        <f>IF(D191=0,0,D190/D191)</f>
        <v>0.74699411576883989</v>
      </c>
      <c r="E193" s="228"/>
      <c r="G193" s="233"/>
    </row>
    <row r="194" spans="1:7">
      <c r="A194" s="18"/>
      <c r="B194" s="15"/>
      <c r="C194" s="9"/>
      <c r="D194" s="16"/>
      <c r="E194" s="9"/>
      <c r="F194" s="9"/>
      <c r="G194" s="624"/>
    </row>
    <row r="195" spans="1:7">
      <c r="A195" s="18"/>
      <c r="B195" s="15"/>
      <c r="C195" s="9"/>
      <c r="D195" s="16"/>
      <c r="E195" s="9"/>
      <c r="F195" s="9"/>
      <c r="G195" s="624"/>
    </row>
    <row r="196" spans="1:7">
      <c r="A196" s="10" t="s">
        <v>371</v>
      </c>
      <c r="B196" s="69"/>
      <c r="C196" s="70"/>
      <c r="D196" s="70"/>
      <c r="E196" s="8"/>
      <c r="F196" s="8"/>
      <c r="G196" s="1181"/>
    </row>
    <row r="197" spans="1:7">
      <c r="A197" s="10"/>
      <c r="B197" s="69"/>
      <c r="C197" s="70"/>
      <c r="D197" s="70"/>
      <c r="E197" s="8"/>
      <c r="F197" s="8"/>
      <c r="G197" s="1181"/>
    </row>
    <row r="198" spans="1:7">
      <c r="A198" s="78"/>
      <c r="B198" s="26"/>
      <c r="C198" s="38"/>
      <c r="D198" s="21"/>
      <c r="E198" s="21"/>
      <c r="F198" s="21"/>
      <c r="G198" s="21"/>
    </row>
    <row r="199" spans="1:7">
      <c r="A199" s="329" t="s">
        <v>89</v>
      </c>
      <c r="B199" s="26"/>
      <c r="C199" s="38"/>
      <c r="D199" s="21"/>
      <c r="E199" s="21"/>
      <c r="F199" s="21"/>
      <c r="G199" s="21"/>
    </row>
    <row r="200" spans="1:7">
      <c r="A200" s="329" t="s">
        <v>824</v>
      </c>
      <c r="B200" s="26" t="s">
        <v>1075</v>
      </c>
      <c r="C200" s="72"/>
      <c r="D200" s="38"/>
      <c r="E200" s="38"/>
      <c r="F200" s="38"/>
      <c r="G200" s="38"/>
    </row>
    <row r="201" spans="1:7">
      <c r="A201" s="329" t="s">
        <v>825</v>
      </c>
      <c r="B201" s="26" t="s">
        <v>166</v>
      </c>
      <c r="C201" s="38"/>
      <c r="D201" s="38"/>
      <c r="E201" s="38"/>
      <c r="F201" s="38"/>
      <c r="G201" s="38"/>
    </row>
    <row r="202" spans="1:7">
      <c r="A202" s="329"/>
      <c r="B202" s="26" t="s">
        <v>351</v>
      </c>
      <c r="C202" s="38"/>
      <c r="D202" s="38"/>
      <c r="E202" s="38"/>
      <c r="F202" s="38"/>
      <c r="G202" s="38"/>
    </row>
    <row r="203" spans="1:7">
      <c r="A203" s="329"/>
      <c r="B203" s="26" t="s">
        <v>557</v>
      </c>
      <c r="C203" s="38"/>
      <c r="D203" s="38"/>
      <c r="E203" s="38"/>
      <c r="F203" s="38"/>
      <c r="G203" s="38"/>
    </row>
    <row r="204" spans="1:7" ht="18.75" customHeight="1">
      <c r="A204" s="1131" t="s">
        <v>826</v>
      </c>
      <c r="B204" s="1218" t="s">
        <v>1700</v>
      </c>
      <c r="C204" s="1218"/>
      <c r="D204" s="1218"/>
      <c r="E204" s="1218"/>
      <c r="F204" s="1218"/>
      <c r="G204" s="1218"/>
    </row>
    <row r="205" spans="1:7" ht="23.25" customHeight="1">
      <c r="A205" s="76"/>
      <c r="B205" s="1218"/>
      <c r="C205" s="1218"/>
      <c r="D205" s="1218"/>
      <c r="E205" s="1218"/>
      <c r="F205" s="1218"/>
      <c r="G205" s="1218"/>
    </row>
    <row r="206" spans="1:7" ht="36" customHeight="1">
      <c r="A206" s="76"/>
      <c r="B206" s="1218"/>
      <c r="C206" s="1218"/>
      <c r="D206" s="1218"/>
      <c r="E206" s="1218"/>
      <c r="F206" s="1218"/>
      <c r="G206" s="1218"/>
    </row>
    <row r="207" spans="1:7">
      <c r="A207" s="76" t="s">
        <v>827</v>
      </c>
      <c r="B207" s="26" t="s">
        <v>570</v>
      </c>
      <c r="C207" s="38"/>
      <c r="D207" s="38"/>
      <c r="E207" s="38"/>
      <c r="F207" s="38"/>
      <c r="G207" s="38"/>
    </row>
    <row r="208" spans="1:7">
      <c r="A208" s="76"/>
      <c r="B208" s="26" t="s">
        <v>562</v>
      </c>
      <c r="C208" s="38"/>
      <c r="D208" s="38"/>
      <c r="E208" s="38"/>
      <c r="F208" s="38"/>
      <c r="G208" s="38"/>
    </row>
    <row r="209" spans="1:7">
      <c r="A209" s="76" t="s">
        <v>828</v>
      </c>
      <c r="B209" s="26" t="s">
        <v>486</v>
      </c>
      <c r="C209" s="38"/>
      <c r="D209" s="38"/>
      <c r="E209" s="38"/>
      <c r="F209" s="38"/>
      <c r="G209" s="38"/>
    </row>
    <row r="210" spans="1:7">
      <c r="A210" s="76"/>
      <c r="B210" s="26" t="s">
        <v>770</v>
      </c>
      <c r="C210" s="38"/>
      <c r="D210" s="38"/>
      <c r="E210" s="38"/>
      <c r="F210" s="38"/>
      <c r="G210" s="38"/>
    </row>
    <row r="211" spans="1:7">
      <c r="A211" s="76"/>
      <c r="B211" s="26" t="s">
        <v>196</v>
      </c>
      <c r="C211" s="38"/>
      <c r="D211" s="38"/>
      <c r="E211" s="38"/>
      <c r="F211" s="38"/>
      <c r="G211" s="38"/>
    </row>
    <row r="212" spans="1:7">
      <c r="A212" s="76" t="s">
        <v>829</v>
      </c>
      <c r="B212" s="26" t="s">
        <v>686</v>
      </c>
      <c r="C212" s="38"/>
      <c r="D212" s="38"/>
      <c r="E212" s="38"/>
      <c r="F212" s="38"/>
      <c r="G212" s="38"/>
    </row>
    <row r="213" spans="1:7">
      <c r="A213" s="76" t="s">
        <v>830</v>
      </c>
      <c r="B213" s="26" t="s">
        <v>1399</v>
      </c>
      <c r="C213" s="38"/>
      <c r="D213" s="38"/>
      <c r="E213" s="38"/>
      <c r="F213" s="38"/>
      <c r="G213" s="20"/>
    </row>
    <row r="214" spans="1:7">
      <c r="A214" s="76" t="s">
        <v>831</v>
      </c>
      <c r="B214" s="26" t="s">
        <v>487</v>
      </c>
      <c r="C214" s="38"/>
      <c r="D214" s="38"/>
      <c r="E214" s="38"/>
      <c r="F214" s="38"/>
      <c r="G214" s="38"/>
    </row>
    <row r="215" spans="1:7">
      <c r="A215" s="76" t="s">
        <v>832</v>
      </c>
      <c r="B215" s="26" t="s">
        <v>1076</v>
      </c>
      <c r="C215" s="34"/>
      <c r="D215" s="34"/>
      <c r="E215" s="34"/>
      <c r="F215" s="34"/>
      <c r="G215" s="34"/>
    </row>
    <row r="216" spans="1:7">
      <c r="A216" s="76"/>
      <c r="B216" s="26" t="s">
        <v>1077</v>
      </c>
      <c r="C216" s="34"/>
      <c r="D216" s="34"/>
      <c r="E216" s="34"/>
      <c r="F216" s="34"/>
      <c r="G216" s="34"/>
    </row>
    <row r="217" spans="1:7">
      <c r="A217" s="76"/>
      <c r="B217" s="26" t="s">
        <v>197</v>
      </c>
      <c r="C217" s="34"/>
      <c r="D217" s="34"/>
      <c r="E217" s="34"/>
      <c r="F217" s="34"/>
      <c r="G217" s="34"/>
    </row>
    <row r="218" spans="1:7">
      <c r="A218" s="329"/>
      <c r="B218" s="26" t="s">
        <v>1079</v>
      </c>
      <c r="C218" s="34"/>
      <c r="D218" s="34"/>
      <c r="E218" s="34"/>
      <c r="F218" s="34"/>
      <c r="G218" s="34"/>
    </row>
    <row r="219" spans="1:7">
      <c r="A219" s="102"/>
      <c r="B219" s="26" t="s">
        <v>498</v>
      </c>
      <c r="C219" s="38"/>
      <c r="D219" s="21"/>
      <c r="E219" s="34"/>
      <c r="F219" s="34"/>
      <c r="G219" s="34"/>
    </row>
    <row r="220" spans="1:7">
      <c r="A220" s="329" t="s">
        <v>833</v>
      </c>
      <c r="B220" s="26" t="s">
        <v>501</v>
      </c>
      <c r="C220" s="34"/>
      <c r="D220" s="34"/>
      <c r="E220" s="34"/>
      <c r="F220" s="34"/>
      <c r="G220" s="34"/>
    </row>
    <row r="221" spans="1:7">
      <c r="A221" s="102"/>
      <c r="B221" s="26" t="s">
        <v>1083</v>
      </c>
      <c r="C221" s="34"/>
      <c r="D221" s="34"/>
      <c r="E221" s="34"/>
      <c r="F221" s="34"/>
      <c r="G221" s="34"/>
    </row>
    <row r="222" spans="1:7">
      <c r="A222" s="76" t="s">
        <v>834</v>
      </c>
      <c r="B222" s="26" t="s">
        <v>838</v>
      </c>
      <c r="C222" s="38"/>
      <c r="D222" s="38"/>
      <c r="E222" s="38"/>
      <c r="F222" s="38"/>
      <c r="G222" s="38"/>
    </row>
    <row r="223" spans="1:7">
      <c r="A223" s="104"/>
      <c r="B223" s="26" t="s">
        <v>748</v>
      </c>
      <c r="C223" s="38"/>
      <c r="D223" s="38"/>
      <c r="E223" s="38"/>
      <c r="F223" s="38"/>
      <c r="G223" s="38"/>
    </row>
    <row r="224" spans="1:7">
      <c r="A224" s="104"/>
      <c r="B224" s="26" t="s">
        <v>749</v>
      </c>
      <c r="C224" s="38"/>
      <c r="D224" s="38"/>
      <c r="E224" s="38"/>
      <c r="F224" s="38"/>
      <c r="G224" s="38"/>
    </row>
    <row r="225" spans="1:7">
      <c r="A225" s="104"/>
      <c r="B225" s="26" t="s">
        <v>1084</v>
      </c>
      <c r="C225" s="38"/>
      <c r="D225" s="38"/>
      <c r="E225" s="38"/>
      <c r="F225" s="38"/>
      <c r="G225" s="38"/>
    </row>
    <row r="226" spans="1:7">
      <c r="A226" s="104"/>
      <c r="B226" s="26" t="s">
        <v>1085</v>
      </c>
      <c r="C226" s="38"/>
      <c r="D226" s="38"/>
      <c r="E226" s="38"/>
      <c r="F226" s="38"/>
      <c r="G226" s="38"/>
    </row>
    <row r="227" spans="1:7">
      <c r="A227" s="104" t="s">
        <v>788</v>
      </c>
      <c r="B227" s="26" t="s">
        <v>839</v>
      </c>
      <c r="C227" s="38" t="s">
        <v>840</v>
      </c>
      <c r="D227" s="313">
        <v>0.35</v>
      </c>
      <c r="E227" s="38"/>
      <c r="F227" s="38"/>
      <c r="G227" s="38"/>
    </row>
    <row r="228" spans="1:7">
      <c r="A228" s="104"/>
      <c r="B228" s="103"/>
      <c r="C228" s="38" t="s">
        <v>509</v>
      </c>
      <c r="D228" s="313">
        <v>4.6300000000000001E-2</v>
      </c>
      <c r="E228" s="38" t="s">
        <v>841</v>
      </c>
      <c r="F228" s="38"/>
      <c r="G228" s="38"/>
    </row>
    <row r="229" spans="1:7">
      <c r="A229" s="104"/>
      <c r="B229" s="103"/>
      <c r="C229" s="38" t="s">
        <v>842</v>
      </c>
      <c r="D229" s="313">
        <v>0</v>
      </c>
      <c r="E229" s="38" t="s">
        <v>861</v>
      </c>
      <c r="F229" s="38"/>
      <c r="G229" s="38"/>
    </row>
    <row r="230" spans="1:7" ht="41.25" customHeight="1">
      <c r="A230" s="104"/>
      <c r="B230" s="1218" t="s">
        <v>514</v>
      </c>
      <c r="C230" s="1218"/>
      <c r="D230" s="1218"/>
      <c r="E230" s="1218"/>
      <c r="F230" s="1218"/>
      <c r="G230" s="1218"/>
    </row>
    <row r="231" spans="1:7">
      <c r="A231" s="76" t="s">
        <v>835</v>
      </c>
      <c r="B231" s="26" t="s">
        <v>1180</v>
      </c>
      <c r="C231" s="34"/>
      <c r="D231" s="34"/>
      <c r="E231" s="34"/>
      <c r="F231" s="34"/>
      <c r="G231" s="34"/>
    </row>
    <row r="232" spans="1:7">
      <c r="A232" s="76"/>
      <c r="B232" s="26" t="s">
        <v>335</v>
      </c>
      <c r="C232" s="34"/>
      <c r="D232" s="34"/>
      <c r="E232" s="34"/>
      <c r="F232" s="34"/>
      <c r="G232" s="34"/>
    </row>
    <row r="233" spans="1:7">
      <c r="A233" s="76"/>
      <c r="B233" s="26" t="s">
        <v>1185</v>
      </c>
      <c r="C233" s="34"/>
      <c r="D233" s="34"/>
      <c r="E233" s="34"/>
      <c r="F233" s="34"/>
      <c r="G233" s="34"/>
    </row>
    <row r="234" spans="1:7">
      <c r="A234" s="76" t="s">
        <v>837</v>
      </c>
      <c r="B234" s="26" t="s">
        <v>756</v>
      </c>
      <c r="C234" s="38"/>
      <c r="D234" s="38"/>
      <c r="E234" s="38"/>
      <c r="F234" s="38"/>
      <c r="G234" s="38"/>
    </row>
    <row r="235" spans="1:7">
      <c r="A235" s="8"/>
      <c r="B235" s="26" t="s">
        <v>755</v>
      </c>
    </row>
    <row r="236" spans="1:7">
      <c r="A236" s="8"/>
      <c r="B236" s="26" t="s">
        <v>684</v>
      </c>
    </row>
    <row r="237" spans="1:7">
      <c r="A237" s="76" t="s">
        <v>836</v>
      </c>
      <c r="B237" s="26" t="s">
        <v>1183</v>
      </c>
    </row>
    <row r="238" spans="1:7">
      <c r="A238" s="76"/>
      <c r="B238" s="26" t="s">
        <v>1184</v>
      </c>
      <c r="C238" s="308"/>
      <c r="D238" s="308"/>
      <c r="E238" s="308"/>
      <c r="F238" s="308"/>
    </row>
    <row r="239" spans="1:7">
      <c r="A239" s="76" t="s">
        <v>1304</v>
      </c>
      <c r="B239" s="26" t="s">
        <v>381</v>
      </c>
      <c r="C239" s="308"/>
      <c r="D239" s="308"/>
      <c r="E239" s="308"/>
      <c r="F239" s="308"/>
    </row>
    <row r="240" spans="1:7">
      <c r="A240" s="308"/>
      <c r="B240" s="26" t="s">
        <v>382</v>
      </c>
      <c r="C240" s="308"/>
      <c r="D240" s="308"/>
      <c r="E240" s="308"/>
      <c r="F240" s="308"/>
    </row>
    <row r="241" spans="1:6">
      <c r="A241" s="308"/>
      <c r="B241" s="26" t="s">
        <v>1372</v>
      </c>
      <c r="C241" s="308"/>
      <c r="D241" s="308"/>
      <c r="E241" s="308"/>
      <c r="F241" s="308"/>
    </row>
    <row r="242" spans="1:6">
      <c r="A242" s="308"/>
      <c r="B242" s="26" t="s">
        <v>1215</v>
      </c>
      <c r="C242" s="308"/>
      <c r="D242" s="308"/>
      <c r="E242" s="308"/>
      <c r="F242" s="308"/>
    </row>
    <row r="243" spans="1:6">
      <c r="A243" s="308"/>
      <c r="B243" s="26" t="s">
        <v>1026</v>
      </c>
      <c r="C243" s="308"/>
      <c r="D243" s="308"/>
      <c r="E243" s="308"/>
      <c r="F243" s="308"/>
    </row>
    <row r="244" spans="1:6">
      <c r="A244" s="450" t="s">
        <v>1216</v>
      </c>
      <c r="B244" s="26" t="s">
        <v>1392</v>
      </c>
      <c r="C244" s="308"/>
      <c r="D244" s="308"/>
      <c r="E244" s="308"/>
      <c r="F244" s="308"/>
    </row>
    <row r="245" spans="1:6">
      <c r="A245" s="308"/>
      <c r="B245" s="26" t="s">
        <v>612</v>
      </c>
      <c r="C245" s="308"/>
      <c r="D245" s="308"/>
      <c r="E245" s="308"/>
      <c r="F245" s="308"/>
    </row>
    <row r="246" spans="1:6">
      <c r="A246" s="308"/>
      <c r="B246" s="308"/>
      <c r="C246" s="308"/>
      <c r="D246" s="308"/>
      <c r="E246" s="308"/>
      <c r="F246" s="308"/>
    </row>
    <row r="247" spans="1:6">
      <c r="A247" s="308"/>
      <c r="B247" s="308"/>
      <c r="C247" s="308"/>
      <c r="D247" s="308"/>
      <c r="E247" s="308"/>
      <c r="F247" s="308"/>
    </row>
    <row r="248" spans="1:6">
      <c r="A248" s="308"/>
      <c r="B248" s="308"/>
      <c r="C248" s="308"/>
      <c r="D248" s="308"/>
      <c r="E248" s="308"/>
      <c r="F248" s="308"/>
    </row>
    <row r="249" spans="1:6">
      <c r="A249" s="308"/>
      <c r="B249" s="308"/>
      <c r="C249" s="308"/>
      <c r="D249" s="308"/>
      <c r="E249" s="308"/>
      <c r="F249" s="308"/>
    </row>
  </sheetData>
  <mergeCells count="8">
    <mergeCell ref="E7:F7"/>
    <mergeCell ref="E8:F8"/>
    <mergeCell ref="E150:F150"/>
    <mergeCell ref="B230:G230"/>
    <mergeCell ref="E81:F81"/>
    <mergeCell ref="E151:F151"/>
    <mergeCell ref="E80:F80"/>
    <mergeCell ref="B204:G206"/>
  </mergeCells>
  <phoneticPr fontId="2" type="noConversion"/>
  <printOptions horizontalCentered="1"/>
  <pageMargins left="0.75" right="0.75" top="1" bottom="1" header="0.5" footer="0.5"/>
  <pageSetup scale="53" fitToHeight="16" orientation="portrait" r:id="rId1"/>
  <headerFooter alignWithMargins="0">
    <oddHeader>&amp;RPage &amp;P of &amp;N</oddHeader>
  </headerFooter>
  <rowBreaks count="3" manualBreakCount="3">
    <brk id="77" max="6" man="1"/>
    <brk id="147" max="6" man="1"/>
    <brk id="194" max="6" man="1"/>
  </rowBreaks>
  <ignoredErrors>
    <ignoredError sqref="G1 A1:A3 A10:C47 E10:G14 D10:D47 D230:D259 A58:C59 A56:B56 D58:D59 A57:B57 A61:C66 A60:B60 D61:D66 A110:C138 A108:B108 D110:D123 A109:B109 A158:C203 A157:B157 E158:G170 E157:F157 A52:C55 A48:B48 D52 E52:G69 E48:F48 A49:B49 E49:F49 A50:B50 E50:F50 A51:B51 E51:F51 D167:D182 D163 E172:F172 E171:F171 D190 D192:D203 D130 D125:D128 E180:G203 E179 G179 A70:C99 A67:B67 A68:B68 A69:B69 A101:C106 A100:B100 A107:B107 A142:C156 A140:B140 A141:B141 D144 E144:G144 E143:F143 E146:G156 E145:F145 E140:G142 E133:F133 E132:G132 E131:F131 E77:G83 E76:F76 E73:G75 E72:F72 E45:G47 E44:F44 E43:G43 E42:F42 E16:G41 E15:F15 E174:G178 E173:F173 A207:C259 A204 A205 A206 D207:D226 E207:G259 D184 D140:D142 D146:D161 D68:D71 D54:D55 E93:G130 G85:G92 G84 D132:D138 E134:G138 D73:D107 E71:G71 E70:F7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98"/>
  <sheetViews>
    <sheetView view="pageBreakPreview"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(1)</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1759</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215454767.59494904</v>
      </c>
    </row>
    <row r="21" spans="1:10">
      <c r="A21" s="338"/>
      <c r="C21" s="334"/>
      <c r="E21" s="334"/>
      <c r="I21" s="339"/>
    </row>
    <row r="22" spans="1:10">
      <c r="A22" s="338">
        <f>A20+1</f>
        <v>11</v>
      </c>
      <c r="B22" s="334" t="s">
        <v>1230</v>
      </c>
      <c r="C22" s="334"/>
      <c r="E22" s="334"/>
      <c r="I22" s="512">
        <v>215549749.04786438</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94981.452915340662</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94981.452915340662</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94981.452915340662</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266</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9576</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94981.452915340662</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9576</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phoneticPr fontId="28" type="noConversion"/>
  <hyperlinks>
    <hyperlink ref="B97" r:id="rId1"/>
  </hyperlinks>
  <pageMargins left="0.75" right="0.75" top="1" bottom="1" header="0.5" footer="0.5"/>
  <pageSetup scale="70" fitToHeight="3" orientation="portrait" r:id="rId2"/>
  <headerFooter alignWithMargins="0">
    <oddHeader>&amp;RPage &amp;P of &amp;N</oddHead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98"/>
  <sheetViews>
    <sheetView view="pageBreakPreview" topLeftCell="A37" zoomScale="60" zoomScaleNormal="100" workbookViewId="0">
      <selection activeCell="Z34" sqref="Z34"/>
    </sheetView>
  </sheetViews>
  <sheetFormatPr defaultColWidth="11.42578125" defaultRowHeight="12.75"/>
  <cols>
    <col min="1" max="1" width="9.42578125" style="334" bestFit="1" customWidth="1"/>
    <col min="2" max="2" width="26" style="334" customWidth="1"/>
    <col min="3" max="3" width="12.7109375" style="335" customWidth="1"/>
    <col min="4" max="4" width="12.7109375" style="334" customWidth="1"/>
    <col min="5" max="5" width="12.7109375" style="335" customWidth="1"/>
    <col min="6" max="8" width="12.7109375" style="334" customWidth="1"/>
    <col min="9" max="9" width="14.42578125" style="334" bestFit="1" customWidth="1"/>
    <col min="10" max="10" width="3.28515625" style="334" bestFit="1" customWidth="1"/>
    <col min="11" max="16384" width="11.42578125" style="334"/>
  </cols>
  <sheetData>
    <row r="1" spans="1:10">
      <c r="A1" s="333" t="str">
        <f>'Cover Page'!A5</f>
        <v>Public Service Company of Colorado</v>
      </c>
      <c r="G1" s="336"/>
      <c r="I1" s="897" t="s">
        <v>139</v>
      </c>
      <c r="J1" s="337"/>
    </row>
    <row r="2" spans="1:10">
      <c r="A2" s="333" t="str">
        <f>'Cover Page'!A6</f>
        <v>Transmission Formula Rate Template</v>
      </c>
      <c r="I2" s="898" t="str">
        <f ca="1">MID(CELL("filename",$A$1),FIND("]",CELL("filename",$A$1))+1,LEN(CELL("filename",$A$1))-FIND("]",CELL("filename",$A$1)))</f>
        <v>WP_A-2 (2)</v>
      </c>
      <c r="J2" s="337"/>
    </row>
    <row r="3" spans="1:10">
      <c r="A3" s="333" t="str">
        <f>'Cover Page'!A7</f>
        <v>Twelve Months Ended December 31, 2017</v>
      </c>
      <c r="I3" s="1149" t="s">
        <v>1760</v>
      </c>
    </row>
    <row r="4" spans="1:10">
      <c r="A4" s="333" t="s">
        <v>192</v>
      </c>
    </row>
    <row r="5" spans="1:10">
      <c r="A5" s="333"/>
    </row>
    <row r="6" spans="1:10">
      <c r="A6" s="333"/>
      <c r="C6" s="826"/>
    </row>
    <row r="7" spans="1:10">
      <c r="A7" s="338" t="s">
        <v>86</v>
      </c>
      <c r="B7" s="333"/>
      <c r="C7" s="334"/>
      <c r="E7" s="334"/>
      <c r="I7" s="339"/>
    </row>
    <row r="8" spans="1:10">
      <c r="A8" s="340" t="s">
        <v>87</v>
      </c>
      <c r="C8" s="334"/>
      <c r="E8" s="334"/>
      <c r="I8" s="339"/>
    </row>
    <row r="9" spans="1:10">
      <c r="A9" s="338">
        <f>1</f>
        <v>1</v>
      </c>
      <c r="B9" s="341" t="s">
        <v>1225</v>
      </c>
      <c r="C9" s="334"/>
      <c r="E9" s="334"/>
      <c r="I9" s="339"/>
    </row>
    <row r="10" spans="1:10" ht="24.75" customHeight="1">
      <c r="A10" s="338">
        <f>A9+1</f>
        <v>2</v>
      </c>
      <c r="B10" s="1219" t="s">
        <v>1778</v>
      </c>
      <c r="C10" s="1220"/>
      <c r="D10" s="1220"/>
      <c r="E10" s="1220"/>
      <c r="F10" s="1220"/>
      <c r="G10" s="1220"/>
      <c r="H10" s="1221"/>
    </row>
    <row r="11" spans="1:10" ht="27.75" customHeight="1">
      <c r="A11" s="338">
        <f>A10+1</f>
        <v>3</v>
      </c>
      <c r="B11" s="1222"/>
      <c r="C11" s="1223"/>
      <c r="D11" s="1223"/>
      <c r="E11" s="1223"/>
      <c r="F11" s="1223"/>
      <c r="G11" s="1223"/>
      <c r="H11" s="1224"/>
    </row>
    <row r="12" spans="1:10">
      <c r="A12" s="340"/>
      <c r="B12" s="341"/>
      <c r="C12" s="334"/>
      <c r="E12" s="334"/>
      <c r="I12" s="339"/>
    </row>
    <row r="13" spans="1:10">
      <c r="A13" s="338">
        <f>A11+1</f>
        <v>4</v>
      </c>
      <c r="B13" s="342" t="s">
        <v>1226</v>
      </c>
      <c r="C13" s="334"/>
      <c r="E13" s="334"/>
      <c r="I13" s="510">
        <v>2014</v>
      </c>
    </row>
    <row r="14" spans="1:10">
      <c r="A14" s="338">
        <f>A13+1</f>
        <v>5</v>
      </c>
      <c r="B14" s="342" t="str">
        <f>"Effective True-up Year for Rate Year Prior Period Correction (line "&amp;A13&amp;" year + 2 years)"</f>
        <v>Effective True-up Year for Rate Year Prior Period Correction (line 4 year + 2 years)</v>
      </c>
      <c r="C14" s="334"/>
      <c r="E14" s="334"/>
      <c r="I14" s="343">
        <f>IF(I13=0, ,(I13+2))</f>
        <v>2016</v>
      </c>
    </row>
    <row r="15" spans="1:10">
      <c r="A15" s="338">
        <f>A14+1</f>
        <v>6</v>
      </c>
      <c r="B15" s="342" t="s">
        <v>1228</v>
      </c>
      <c r="C15" s="334"/>
      <c r="E15" s="334"/>
      <c r="I15" s="510">
        <v>2016</v>
      </c>
    </row>
    <row r="16" spans="1:10">
      <c r="A16" s="338">
        <f>A15+1</f>
        <v>7</v>
      </c>
      <c r="B16" s="342" t="str">
        <f>"Rate Year Prior Period Correction will be Included in ATRR (line "&amp;A15&amp;" year + 1 year)"</f>
        <v>Rate Year Prior Period Correction will be Included in ATRR (line 6 year + 1 year)</v>
      </c>
      <c r="C16" s="334"/>
      <c r="E16" s="334"/>
      <c r="I16" s="343">
        <f>IF(I15=0, ,(I15+1))</f>
        <v>2017</v>
      </c>
    </row>
    <row r="17" spans="1:10">
      <c r="A17" s="338">
        <f>A16+1</f>
        <v>8</v>
      </c>
      <c r="B17" s="342" t="str">
        <f>"Number of Months Prior Period Correction Subject to Interest ((ln "&amp;A16&amp;" year - ln "&amp;A13&amp;" year) * 12)"</f>
        <v>Number of Months Prior Period Correction Subject to Interest ((ln 7 year - ln 4 year) * 12)</v>
      </c>
      <c r="C17" s="334"/>
      <c r="E17" s="334"/>
      <c r="I17" s="343">
        <f>(I16-I13)*12</f>
        <v>36</v>
      </c>
    </row>
    <row r="18" spans="1:10">
      <c r="A18" s="338"/>
      <c r="B18" s="342"/>
      <c r="C18" s="334"/>
      <c r="E18" s="334"/>
      <c r="I18" s="343"/>
    </row>
    <row r="19" spans="1:10">
      <c r="A19" s="338">
        <f>A17+1</f>
        <v>9</v>
      </c>
      <c r="B19" s="344" t="s">
        <v>617</v>
      </c>
      <c r="C19" s="334"/>
      <c r="E19" s="334"/>
      <c r="I19" s="339"/>
    </row>
    <row r="20" spans="1:10">
      <c r="A20" s="338">
        <f>A19+1</f>
        <v>10</v>
      </c>
      <c r="B20" s="334" t="s">
        <v>1229</v>
      </c>
      <c r="C20" s="334"/>
      <c r="E20" s="334"/>
      <c r="I20" s="511">
        <v>215549749.04786438</v>
      </c>
    </row>
    <row r="21" spans="1:10">
      <c r="A21" s="338"/>
      <c r="C21" s="334"/>
      <c r="E21" s="334"/>
      <c r="I21" s="339"/>
    </row>
    <row r="22" spans="1:10">
      <c r="A22" s="338">
        <f>A20+1</f>
        <v>11</v>
      </c>
      <c r="B22" s="334" t="s">
        <v>1230</v>
      </c>
      <c r="C22" s="334"/>
      <c r="E22" s="334"/>
      <c r="I22" s="512">
        <v>215516586.21599439</v>
      </c>
    </row>
    <row r="23" spans="1:10">
      <c r="A23" s="338"/>
      <c r="C23" s="334"/>
      <c r="E23" s="334"/>
      <c r="I23" s="339"/>
    </row>
    <row r="24" spans="1:10" ht="13.5" thickBot="1">
      <c r="A24" s="338">
        <f>A22+1</f>
        <v>12</v>
      </c>
      <c r="B24" s="334" t="str">
        <f>"Revenue Requirement True-up Adjustment (Over Recovery is a Credit, Under Recovery is a Debit) (ln "&amp;A22&amp;" - ln "&amp;A20&amp;")"</f>
        <v>Revenue Requirement True-up Adjustment (Over Recovery is a Credit, Under Recovery is a Debit) (ln 11 - ln 10)</v>
      </c>
      <c r="C24" s="334"/>
      <c r="E24" s="334"/>
      <c r="I24" s="345">
        <f>I22-I20</f>
        <v>-33162.831869989634</v>
      </c>
    </row>
    <row r="25" spans="1:10" ht="13.5" thickTop="1">
      <c r="A25" s="338"/>
      <c r="C25" s="334"/>
      <c r="E25" s="334"/>
      <c r="I25" s="339"/>
    </row>
    <row r="26" spans="1:10">
      <c r="A26" s="338">
        <f>A24+1</f>
        <v>13</v>
      </c>
      <c r="B26" s="344" t="s">
        <v>618</v>
      </c>
      <c r="C26" s="334"/>
      <c r="E26" s="334"/>
      <c r="I26" s="339"/>
    </row>
    <row r="27" spans="1:10">
      <c r="A27" s="338">
        <f>A26+1</f>
        <v>14</v>
      </c>
      <c r="B27" s="334" t="s">
        <v>1232</v>
      </c>
      <c r="C27" s="334"/>
      <c r="E27" s="334"/>
      <c r="I27" s="513">
        <v>0</v>
      </c>
      <c r="J27" s="334" t="s">
        <v>619</v>
      </c>
    </row>
    <row r="28" spans="1:10">
      <c r="A28" s="338"/>
      <c r="C28" s="334"/>
      <c r="E28" s="334"/>
      <c r="I28" s="339"/>
    </row>
    <row r="29" spans="1:10">
      <c r="A29" s="338">
        <f>A27+1</f>
        <v>15</v>
      </c>
      <c r="B29" s="334" t="s">
        <v>1233</v>
      </c>
      <c r="C29" s="334"/>
      <c r="E29" s="334"/>
      <c r="I29" s="513">
        <v>0</v>
      </c>
      <c r="J29" s="334" t="s">
        <v>619</v>
      </c>
    </row>
    <row r="30" spans="1:10">
      <c r="A30" s="338"/>
      <c r="C30" s="334"/>
      <c r="E30" s="334"/>
      <c r="I30" s="346"/>
    </row>
    <row r="31" spans="1:10">
      <c r="A31" s="338">
        <f>A29+1</f>
        <v>16</v>
      </c>
      <c r="B31" s="334" t="str">
        <f>"Volume Adjustment (line "&amp;A27&amp;" - line "&amp;A29&amp;")"</f>
        <v>Volume Adjustment (line 14 - line 15)</v>
      </c>
      <c r="C31" s="334"/>
      <c r="E31" s="334"/>
      <c r="I31" s="347">
        <f>I27-I29</f>
        <v>0</v>
      </c>
      <c r="J31" s="334" t="s">
        <v>619</v>
      </c>
    </row>
    <row r="32" spans="1:10">
      <c r="A32" s="338"/>
      <c r="C32" s="334"/>
      <c r="E32" s="334"/>
      <c r="I32" s="346"/>
    </row>
    <row r="33" spans="1:9">
      <c r="A33" s="338">
        <f>A31+1</f>
        <v>17</v>
      </c>
      <c r="B33" s="348" t="str">
        <f>"Actual Rate (line "&amp;A20&amp;" / line "&amp;A27&amp;")"</f>
        <v>Actual Rate (line 10 / line 14)</v>
      </c>
      <c r="C33" s="348"/>
      <c r="D33" s="348"/>
      <c r="E33" s="348"/>
      <c r="I33" s="349">
        <f>IF(I27=0,0,(ROUND(I20/I27,8)))</f>
        <v>0</v>
      </c>
    </row>
    <row r="34" spans="1:9">
      <c r="A34" s="338"/>
      <c r="B34" s="348"/>
      <c r="C34" s="348"/>
      <c r="D34" s="348"/>
      <c r="E34" s="348"/>
      <c r="I34" s="339"/>
    </row>
    <row r="35" spans="1:9">
      <c r="A35" s="338">
        <f>A33+1</f>
        <v>18</v>
      </c>
      <c r="B35" s="348" t="str">
        <f>"Revised Rate (line "&amp;A22&amp;" / line "&amp;A29&amp;")"</f>
        <v>Revised Rate (line 11 / line 15)</v>
      </c>
      <c r="C35" s="348"/>
      <c r="D35" s="348"/>
      <c r="E35" s="348"/>
      <c r="I35" s="349">
        <f>IF(I29=0,0,(ROUND(I22/I29,8)))</f>
        <v>0</v>
      </c>
    </row>
    <row r="36" spans="1:9">
      <c r="A36" s="338"/>
      <c r="C36" s="334"/>
      <c r="E36" s="334"/>
      <c r="I36" s="339"/>
    </row>
    <row r="37" spans="1:9" ht="13.5" thickBot="1">
      <c r="A37" s="338">
        <f>A35+1</f>
        <v>19</v>
      </c>
      <c r="B37" s="334" t="str">
        <f>"Volume Revenue Adjustment (Over Recovery is a Credit, Under Recovery is a Debit) (line "&amp;A31&amp;" x line "&amp;A33&amp;")"</f>
        <v>Volume Revenue Adjustment (Over Recovery is a Credit, Under Recovery is a Debit) (line 16 x line 17)</v>
      </c>
      <c r="C37" s="334"/>
      <c r="E37" s="334"/>
      <c r="I37" s="345">
        <f>ROUND(I31*I33,0)</f>
        <v>0</v>
      </c>
    </row>
    <row r="38" spans="1:9" ht="14.25" thickTop="1" thickBot="1">
      <c r="A38" s="338"/>
      <c r="C38" s="334"/>
      <c r="E38" s="334"/>
      <c r="I38" s="339"/>
    </row>
    <row r="39" spans="1:9" ht="13.5" thickBot="1">
      <c r="A39" s="350">
        <f>A37+1</f>
        <v>20</v>
      </c>
      <c r="B39" s="342" t="str">
        <f>"Net Prior Period Correction True-up Adjustment (Over Recovery is a Credit, Under Recovery is a Debit) (line "&amp;A24&amp;" + line "&amp;A37&amp;")"</f>
        <v>Net Prior Period Correction True-up Adjustment (Over Recovery is a Credit, Under Recovery is a Debit) (line 12 + line 19)</v>
      </c>
      <c r="C39" s="342"/>
      <c r="D39" s="342"/>
      <c r="E39" s="342"/>
      <c r="F39" s="342"/>
      <c r="G39" s="342"/>
      <c r="H39" s="342"/>
      <c r="I39" s="351">
        <f>I24+I37</f>
        <v>-33162.831869989634</v>
      </c>
    </row>
    <row r="40" spans="1:9">
      <c r="C40" s="334"/>
      <c r="E40" s="334"/>
      <c r="I40" s="339"/>
    </row>
    <row r="41" spans="1:9">
      <c r="A41" s="338">
        <f>A39+1</f>
        <v>21</v>
      </c>
      <c r="B41" s="341" t="s">
        <v>620</v>
      </c>
      <c r="C41" s="334"/>
      <c r="E41" s="334"/>
      <c r="I41" s="339"/>
    </row>
    <row r="42" spans="1:9">
      <c r="A42" s="338">
        <f t="shared" ref="A42:A84" si="0">A41+1</f>
        <v>22</v>
      </c>
      <c r="C42" s="352" t="s">
        <v>892</v>
      </c>
      <c r="D42" s="352" t="s">
        <v>1234</v>
      </c>
      <c r="E42" s="338" t="s">
        <v>893</v>
      </c>
      <c r="F42" s="353"/>
      <c r="G42" s="354"/>
      <c r="H42" s="353"/>
      <c r="I42" s="354"/>
    </row>
    <row r="43" spans="1:9">
      <c r="A43" s="338">
        <f t="shared" si="0"/>
        <v>23</v>
      </c>
      <c r="C43" s="352" t="s">
        <v>894</v>
      </c>
      <c r="D43" s="352" t="s">
        <v>1235</v>
      </c>
      <c r="E43" s="338" t="s">
        <v>895</v>
      </c>
      <c r="F43" s="353"/>
      <c r="G43" s="354"/>
      <c r="H43" s="353"/>
      <c r="I43" s="354"/>
    </row>
    <row r="44" spans="1:9">
      <c r="A44" s="338">
        <f t="shared" si="0"/>
        <v>24</v>
      </c>
      <c r="B44" s="341" t="s">
        <v>1236</v>
      </c>
      <c r="C44" s="355" t="s">
        <v>897</v>
      </c>
      <c r="D44" s="355" t="s">
        <v>1237</v>
      </c>
      <c r="E44" s="340" t="s">
        <v>898</v>
      </c>
      <c r="F44" s="356"/>
      <c r="G44" s="357"/>
      <c r="H44" s="356"/>
      <c r="I44" s="357"/>
    </row>
    <row r="45" spans="1:9">
      <c r="A45" s="338">
        <f>A44+1</f>
        <v>25</v>
      </c>
      <c r="B45" s="514">
        <v>41640</v>
      </c>
      <c r="C45" s="515">
        <v>3.2500000000000001E-2</v>
      </c>
      <c r="D45" s="516">
        <v>31</v>
      </c>
      <c r="E45" s="358">
        <f t="shared" ref="E45:E80" si="1">ROUND(C45/365*D45,4)</f>
        <v>2.8E-3</v>
      </c>
      <c r="F45" s="359"/>
      <c r="G45" s="360"/>
      <c r="H45" s="359"/>
      <c r="I45" s="360"/>
    </row>
    <row r="46" spans="1:9">
      <c r="A46" s="338">
        <f t="shared" si="0"/>
        <v>26</v>
      </c>
      <c r="B46" s="514">
        <v>41671</v>
      </c>
      <c r="C46" s="515">
        <v>3.2500000000000001E-2</v>
      </c>
      <c r="D46" s="516">
        <v>28</v>
      </c>
      <c r="E46" s="358">
        <f t="shared" si="1"/>
        <v>2.5000000000000001E-3</v>
      </c>
      <c r="F46" s="359"/>
      <c r="G46" s="360"/>
      <c r="H46" s="359"/>
      <c r="I46" s="360"/>
    </row>
    <row r="47" spans="1:9">
      <c r="A47" s="338">
        <f t="shared" si="0"/>
        <v>27</v>
      </c>
      <c r="B47" s="514">
        <v>41699</v>
      </c>
      <c r="C47" s="515">
        <v>3.2500000000000001E-2</v>
      </c>
      <c r="D47" s="516">
        <v>31</v>
      </c>
      <c r="E47" s="358">
        <f t="shared" si="1"/>
        <v>2.8E-3</v>
      </c>
      <c r="F47" s="359"/>
      <c r="G47" s="360"/>
      <c r="H47" s="359"/>
      <c r="I47" s="360"/>
    </row>
    <row r="48" spans="1:9">
      <c r="A48" s="338">
        <f t="shared" si="0"/>
        <v>28</v>
      </c>
      <c r="B48" s="514">
        <v>41730</v>
      </c>
      <c r="C48" s="515">
        <v>3.2500000000000001E-2</v>
      </c>
      <c r="D48" s="516">
        <v>30</v>
      </c>
      <c r="E48" s="358">
        <f t="shared" si="1"/>
        <v>2.7000000000000001E-3</v>
      </c>
      <c r="F48" s="359"/>
      <c r="G48" s="360"/>
      <c r="H48" s="359"/>
      <c r="I48" s="360"/>
    </row>
    <row r="49" spans="1:9">
      <c r="A49" s="338">
        <f t="shared" si="0"/>
        <v>29</v>
      </c>
      <c r="B49" s="514">
        <v>41760</v>
      </c>
      <c r="C49" s="515">
        <v>3.2500000000000001E-2</v>
      </c>
      <c r="D49" s="516">
        <v>31</v>
      </c>
      <c r="E49" s="358">
        <f t="shared" si="1"/>
        <v>2.8E-3</v>
      </c>
      <c r="F49" s="359"/>
      <c r="G49" s="360"/>
      <c r="H49" s="359"/>
      <c r="I49" s="360"/>
    </row>
    <row r="50" spans="1:9">
      <c r="A50" s="338">
        <f t="shared" si="0"/>
        <v>30</v>
      </c>
      <c r="B50" s="514">
        <v>41791</v>
      </c>
      <c r="C50" s="515">
        <v>3.2500000000000001E-2</v>
      </c>
      <c r="D50" s="516">
        <v>30</v>
      </c>
      <c r="E50" s="358">
        <f t="shared" si="1"/>
        <v>2.7000000000000001E-3</v>
      </c>
      <c r="F50" s="359"/>
      <c r="G50" s="360"/>
      <c r="H50" s="359"/>
      <c r="I50" s="360"/>
    </row>
    <row r="51" spans="1:9">
      <c r="A51" s="338">
        <f t="shared" si="0"/>
        <v>31</v>
      </c>
      <c r="B51" s="514">
        <v>41821</v>
      </c>
      <c r="C51" s="515">
        <v>3.2500000000000001E-2</v>
      </c>
      <c r="D51" s="516">
        <v>31</v>
      </c>
      <c r="E51" s="358">
        <f t="shared" si="1"/>
        <v>2.8E-3</v>
      </c>
      <c r="F51" s="359"/>
      <c r="G51" s="360"/>
      <c r="H51" s="359"/>
      <c r="I51" s="360"/>
    </row>
    <row r="52" spans="1:9">
      <c r="A52" s="338">
        <f t="shared" si="0"/>
        <v>32</v>
      </c>
      <c r="B52" s="514">
        <v>41852</v>
      </c>
      <c r="C52" s="515">
        <v>3.2500000000000001E-2</v>
      </c>
      <c r="D52" s="516">
        <v>31</v>
      </c>
      <c r="E52" s="358">
        <f t="shared" si="1"/>
        <v>2.8E-3</v>
      </c>
      <c r="F52" s="359"/>
      <c r="G52" s="360"/>
      <c r="H52" s="359"/>
      <c r="I52" s="360"/>
    </row>
    <row r="53" spans="1:9">
      <c r="A53" s="338">
        <f t="shared" si="0"/>
        <v>33</v>
      </c>
      <c r="B53" s="514">
        <v>41883</v>
      </c>
      <c r="C53" s="515">
        <v>3.2500000000000001E-2</v>
      </c>
      <c r="D53" s="516">
        <v>30</v>
      </c>
      <c r="E53" s="358">
        <f t="shared" si="1"/>
        <v>2.7000000000000001E-3</v>
      </c>
      <c r="F53" s="359"/>
      <c r="G53" s="360"/>
      <c r="H53" s="359"/>
      <c r="I53" s="360"/>
    </row>
    <row r="54" spans="1:9">
      <c r="A54" s="338">
        <f t="shared" si="0"/>
        <v>34</v>
      </c>
      <c r="B54" s="514">
        <v>41913</v>
      </c>
      <c r="C54" s="515">
        <v>3.2500000000000001E-2</v>
      </c>
      <c r="D54" s="516">
        <v>31</v>
      </c>
      <c r="E54" s="358">
        <f t="shared" si="1"/>
        <v>2.8E-3</v>
      </c>
      <c r="F54" s="359"/>
      <c r="G54" s="360"/>
      <c r="H54" s="359"/>
      <c r="I54" s="360"/>
    </row>
    <row r="55" spans="1:9">
      <c r="A55" s="338">
        <f t="shared" si="0"/>
        <v>35</v>
      </c>
      <c r="B55" s="514">
        <v>41944</v>
      </c>
      <c r="C55" s="515">
        <v>3.2500000000000001E-2</v>
      </c>
      <c r="D55" s="516">
        <v>30</v>
      </c>
      <c r="E55" s="358">
        <f t="shared" si="1"/>
        <v>2.7000000000000001E-3</v>
      </c>
      <c r="F55" s="359"/>
      <c r="G55" s="360"/>
      <c r="H55" s="359"/>
      <c r="I55" s="360"/>
    </row>
    <row r="56" spans="1:9">
      <c r="A56" s="338">
        <f t="shared" si="0"/>
        <v>36</v>
      </c>
      <c r="B56" s="514">
        <v>41974</v>
      </c>
      <c r="C56" s="515">
        <v>3.2500000000000001E-2</v>
      </c>
      <c r="D56" s="516">
        <v>31</v>
      </c>
      <c r="E56" s="358">
        <f t="shared" si="1"/>
        <v>2.8E-3</v>
      </c>
      <c r="F56" s="359"/>
      <c r="G56" s="360"/>
      <c r="H56" s="359"/>
      <c r="I56" s="360"/>
    </row>
    <row r="57" spans="1:9">
      <c r="A57" s="338">
        <f t="shared" si="0"/>
        <v>37</v>
      </c>
      <c r="B57" s="514">
        <v>42005</v>
      </c>
      <c r="C57" s="515">
        <v>3.2500000000000001E-2</v>
      </c>
      <c r="D57" s="516">
        <v>31</v>
      </c>
      <c r="E57" s="358">
        <f t="shared" si="1"/>
        <v>2.8E-3</v>
      </c>
      <c r="F57" s="359"/>
      <c r="G57" s="360"/>
      <c r="H57" s="359"/>
      <c r="I57" s="360"/>
    </row>
    <row r="58" spans="1:9">
      <c r="A58" s="338">
        <f t="shared" si="0"/>
        <v>38</v>
      </c>
      <c r="B58" s="514">
        <v>42036</v>
      </c>
      <c r="C58" s="515">
        <v>3.2500000000000001E-2</v>
      </c>
      <c r="D58" s="516">
        <v>28</v>
      </c>
      <c r="E58" s="358">
        <f t="shared" si="1"/>
        <v>2.5000000000000001E-3</v>
      </c>
      <c r="F58" s="359"/>
      <c r="G58" s="360"/>
      <c r="H58" s="359"/>
      <c r="I58" s="360"/>
    </row>
    <row r="59" spans="1:9">
      <c r="A59" s="338">
        <f t="shared" si="0"/>
        <v>39</v>
      </c>
      <c r="B59" s="514">
        <v>42064</v>
      </c>
      <c r="C59" s="515">
        <v>3.2500000000000001E-2</v>
      </c>
      <c r="D59" s="516">
        <v>31</v>
      </c>
      <c r="E59" s="358">
        <f t="shared" si="1"/>
        <v>2.8E-3</v>
      </c>
      <c r="F59" s="359"/>
      <c r="G59" s="360"/>
      <c r="H59" s="359"/>
      <c r="I59" s="360"/>
    </row>
    <row r="60" spans="1:9">
      <c r="A60" s="338">
        <f t="shared" si="0"/>
        <v>40</v>
      </c>
      <c r="B60" s="514">
        <v>42095</v>
      </c>
      <c r="C60" s="515">
        <v>3.2500000000000001E-2</v>
      </c>
      <c r="D60" s="516">
        <v>30</v>
      </c>
      <c r="E60" s="358">
        <f t="shared" si="1"/>
        <v>2.7000000000000001E-3</v>
      </c>
      <c r="F60" s="359"/>
      <c r="G60" s="360"/>
      <c r="H60" s="359"/>
      <c r="I60" s="360"/>
    </row>
    <row r="61" spans="1:9">
      <c r="A61" s="338">
        <f t="shared" si="0"/>
        <v>41</v>
      </c>
      <c r="B61" s="514">
        <v>42125</v>
      </c>
      <c r="C61" s="515">
        <v>3.2500000000000001E-2</v>
      </c>
      <c r="D61" s="516">
        <v>31</v>
      </c>
      <c r="E61" s="358">
        <f t="shared" si="1"/>
        <v>2.8E-3</v>
      </c>
      <c r="F61" s="359"/>
      <c r="G61" s="360"/>
      <c r="H61" s="359"/>
      <c r="I61" s="360"/>
    </row>
    <row r="62" spans="1:9">
      <c r="A62" s="338">
        <f t="shared" si="0"/>
        <v>42</v>
      </c>
      <c r="B62" s="514">
        <v>42156</v>
      </c>
      <c r="C62" s="515">
        <v>3.2500000000000001E-2</v>
      </c>
      <c r="D62" s="516">
        <v>30</v>
      </c>
      <c r="E62" s="358">
        <f t="shared" si="1"/>
        <v>2.7000000000000001E-3</v>
      </c>
      <c r="F62" s="359"/>
      <c r="G62" s="360"/>
      <c r="H62" s="359"/>
      <c r="I62" s="360"/>
    </row>
    <row r="63" spans="1:9">
      <c r="A63" s="338">
        <f t="shared" si="0"/>
        <v>43</v>
      </c>
      <c r="B63" s="514">
        <v>42186</v>
      </c>
      <c r="C63" s="515">
        <v>3.2500000000000001E-2</v>
      </c>
      <c r="D63" s="516">
        <v>31</v>
      </c>
      <c r="E63" s="358">
        <f t="shared" si="1"/>
        <v>2.8E-3</v>
      </c>
      <c r="F63" s="359"/>
      <c r="G63" s="360"/>
      <c r="H63" s="359"/>
      <c r="I63" s="360"/>
    </row>
    <row r="64" spans="1:9">
      <c r="A64" s="338">
        <f t="shared" si="0"/>
        <v>44</v>
      </c>
      <c r="B64" s="514">
        <v>42217</v>
      </c>
      <c r="C64" s="515">
        <v>3.2500000000000001E-2</v>
      </c>
      <c r="D64" s="516">
        <v>31</v>
      </c>
      <c r="E64" s="358">
        <f t="shared" si="1"/>
        <v>2.8E-3</v>
      </c>
      <c r="F64" s="359"/>
      <c r="G64" s="360"/>
      <c r="H64" s="359"/>
      <c r="I64" s="360"/>
    </row>
    <row r="65" spans="1:9">
      <c r="A65" s="338">
        <f t="shared" si="0"/>
        <v>45</v>
      </c>
      <c r="B65" s="514">
        <v>42248</v>
      </c>
      <c r="C65" s="515">
        <v>3.2500000000000001E-2</v>
      </c>
      <c r="D65" s="516">
        <v>30</v>
      </c>
      <c r="E65" s="358">
        <f t="shared" si="1"/>
        <v>2.7000000000000001E-3</v>
      </c>
      <c r="F65" s="359"/>
      <c r="G65" s="360"/>
      <c r="H65" s="359"/>
      <c r="I65" s="360"/>
    </row>
    <row r="66" spans="1:9">
      <c r="A66" s="338">
        <f t="shared" si="0"/>
        <v>46</v>
      </c>
      <c r="B66" s="514">
        <v>42278</v>
      </c>
      <c r="C66" s="515">
        <v>3.2500000000000001E-2</v>
      </c>
      <c r="D66" s="516">
        <v>31</v>
      </c>
      <c r="E66" s="358">
        <f t="shared" si="1"/>
        <v>2.8E-3</v>
      </c>
      <c r="F66" s="359"/>
      <c r="G66" s="360"/>
      <c r="H66" s="359"/>
      <c r="I66" s="360"/>
    </row>
    <row r="67" spans="1:9">
      <c r="A67" s="338">
        <f t="shared" si="0"/>
        <v>47</v>
      </c>
      <c r="B67" s="514">
        <v>42309</v>
      </c>
      <c r="C67" s="515">
        <v>3.2500000000000001E-2</v>
      </c>
      <c r="D67" s="516">
        <v>30</v>
      </c>
      <c r="E67" s="358">
        <f t="shared" si="1"/>
        <v>2.7000000000000001E-3</v>
      </c>
      <c r="F67" s="359"/>
      <c r="G67" s="360"/>
      <c r="H67" s="359"/>
      <c r="I67" s="360"/>
    </row>
    <row r="68" spans="1:9">
      <c r="A68" s="338">
        <f t="shared" si="0"/>
        <v>48</v>
      </c>
      <c r="B68" s="514">
        <v>42339</v>
      </c>
      <c r="C68" s="515">
        <v>3.2500000000000001E-2</v>
      </c>
      <c r="D68" s="516">
        <v>31</v>
      </c>
      <c r="E68" s="358">
        <f t="shared" si="1"/>
        <v>2.8E-3</v>
      </c>
      <c r="F68" s="359"/>
      <c r="G68" s="360"/>
      <c r="H68" s="359"/>
      <c r="I68" s="360"/>
    </row>
    <row r="69" spans="1:9">
      <c r="A69" s="338">
        <f t="shared" si="0"/>
        <v>49</v>
      </c>
      <c r="B69" s="514">
        <v>42370</v>
      </c>
      <c r="C69" s="515">
        <v>3.2500000000000001E-2</v>
      </c>
      <c r="D69" s="516">
        <v>31</v>
      </c>
      <c r="E69" s="358">
        <f t="shared" si="1"/>
        <v>2.8E-3</v>
      </c>
      <c r="F69" s="359"/>
      <c r="G69" s="360"/>
      <c r="H69" s="359"/>
      <c r="I69" s="360"/>
    </row>
    <row r="70" spans="1:9">
      <c r="A70" s="338">
        <f t="shared" si="0"/>
        <v>50</v>
      </c>
      <c r="B70" s="514">
        <v>42401</v>
      </c>
      <c r="C70" s="515">
        <v>3.2500000000000001E-2</v>
      </c>
      <c r="D70" s="516">
        <v>29</v>
      </c>
      <c r="E70" s="358">
        <f t="shared" si="1"/>
        <v>2.5999999999999999E-3</v>
      </c>
      <c r="F70" s="359"/>
      <c r="G70" s="360"/>
      <c r="H70" s="359"/>
      <c r="I70" s="360"/>
    </row>
    <row r="71" spans="1:9">
      <c r="A71" s="338">
        <f t="shared" si="0"/>
        <v>51</v>
      </c>
      <c r="B71" s="514">
        <v>42430</v>
      </c>
      <c r="C71" s="515">
        <v>3.2500000000000001E-2</v>
      </c>
      <c r="D71" s="516">
        <v>31</v>
      </c>
      <c r="E71" s="358">
        <f t="shared" si="1"/>
        <v>2.8E-3</v>
      </c>
      <c r="F71" s="359"/>
      <c r="G71" s="360"/>
      <c r="H71" s="359"/>
      <c r="I71" s="360"/>
    </row>
    <row r="72" spans="1:9">
      <c r="A72" s="338">
        <f t="shared" si="0"/>
        <v>52</v>
      </c>
      <c r="B72" s="514">
        <v>42461</v>
      </c>
      <c r="C72" s="515">
        <v>3.4599999999999999E-2</v>
      </c>
      <c r="D72" s="516">
        <v>30</v>
      </c>
      <c r="E72" s="358">
        <f t="shared" si="1"/>
        <v>2.8E-3</v>
      </c>
      <c r="F72" s="359"/>
      <c r="G72" s="360"/>
      <c r="H72" s="359"/>
      <c r="I72" s="360"/>
    </row>
    <row r="73" spans="1:9">
      <c r="A73" s="338">
        <f t="shared" si="0"/>
        <v>53</v>
      </c>
      <c r="B73" s="514">
        <v>42491</v>
      </c>
      <c r="C73" s="515">
        <v>3.4599999999999999E-2</v>
      </c>
      <c r="D73" s="516">
        <v>31</v>
      </c>
      <c r="E73" s="358">
        <f t="shared" si="1"/>
        <v>2.8999999999999998E-3</v>
      </c>
      <c r="F73" s="359"/>
      <c r="G73" s="360"/>
      <c r="H73" s="359"/>
      <c r="I73" s="360"/>
    </row>
    <row r="74" spans="1:9">
      <c r="A74" s="338">
        <f t="shared" si="0"/>
        <v>54</v>
      </c>
      <c r="B74" s="514">
        <v>42522</v>
      </c>
      <c r="C74" s="515">
        <v>3.4599999999999999E-2</v>
      </c>
      <c r="D74" s="516">
        <v>30</v>
      </c>
      <c r="E74" s="358">
        <f t="shared" si="1"/>
        <v>2.8E-3</v>
      </c>
      <c r="F74" s="359"/>
      <c r="G74" s="360"/>
      <c r="H74" s="359"/>
      <c r="I74" s="360"/>
    </row>
    <row r="75" spans="1:9">
      <c r="A75" s="338">
        <f t="shared" si="0"/>
        <v>55</v>
      </c>
      <c r="B75" s="514">
        <v>42552</v>
      </c>
      <c r="C75" s="515">
        <v>3.5000000000000003E-2</v>
      </c>
      <c r="D75" s="516">
        <v>31</v>
      </c>
      <c r="E75" s="358">
        <f t="shared" si="1"/>
        <v>3.0000000000000001E-3</v>
      </c>
      <c r="F75" s="359"/>
      <c r="G75" s="360"/>
      <c r="H75" s="359"/>
      <c r="I75" s="360"/>
    </row>
    <row r="76" spans="1:9">
      <c r="A76" s="338">
        <f t="shared" si="0"/>
        <v>56</v>
      </c>
      <c r="B76" s="514">
        <v>42583</v>
      </c>
      <c r="C76" s="515">
        <v>3.5000000000000003E-2</v>
      </c>
      <c r="D76" s="516">
        <v>31</v>
      </c>
      <c r="E76" s="358">
        <f t="shared" si="1"/>
        <v>3.0000000000000001E-3</v>
      </c>
      <c r="F76" s="359"/>
      <c r="G76" s="360"/>
      <c r="H76" s="359"/>
      <c r="I76" s="360"/>
    </row>
    <row r="77" spans="1:9">
      <c r="A77" s="338">
        <f t="shared" si="0"/>
        <v>57</v>
      </c>
      <c r="B77" s="514">
        <v>42614</v>
      </c>
      <c r="C77" s="515">
        <v>3.5000000000000003E-2</v>
      </c>
      <c r="D77" s="516">
        <v>30</v>
      </c>
      <c r="E77" s="358">
        <f t="shared" si="1"/>
        <v>2.8999999999999998E-3</v>
      </c>
      <c r="F77" s="359"/>
      <c r="G77" s="360"/>
      <c r="H77" s="359"/>
      <c r="I77" s="360"/>
    </row>
    <row r="78" spans="1:9">
      <c r="A78" s="338">
        <f t="shared" si="0"/>
        <v>58</v>
      </c>
      <c r="B78" s="514">
        <v>42644</v>
      </c>
      <c r="C78" s="515">
        <v>3.5000000000000003E-2</v>
      </c>
      <c r="D78" s="516">
        <v>31</v>
      </c>
      <c r="E78" s="358">
        <f t="shared" si="1"/>
        <v>3.0000000000000001E-3</v>
      </c>
      <c r="F78" s="359"/>
      <c r="G78" s="360"/>
      <c r="H78" s="359"/>
      <c r="I78" s="360"/>
    </row>
    <row r="79" spans="1:9">
      <c r="A79" s="338">
        <f t="shared" si="0"/>
        <v>59</v>
      </c>
      <c r="B79" s="514">
        <v>42675</v>
      </c>
      <c r="C79" s="515">
        <v>3.5000000000000003E-2</v>
      </c>
      <c r="D79" s="516">
        <v>30</v>
      </c>
      <c r="E79" s="358">
        <f t="shared" si="1"/>
        <v>2.8999999999999998E-3</v>
      </c>
      <c r="F79" s="359"/>
      <c r="G79" s="360"/>
      <c r="H79" s="359"/>
      <c r="I79" s="360"/>
    </row>
    <row r="80" spans="1:9">
      <c r="A80" s="338">
        <f t="shared" si="0"/>
        <v>60</v>
      </c>
      <c r="B80" s="514">
        <v>42705</v>
      </c>
      <c r="C80" s="515">
        <v>3.5000000000000003E-2</v>
      </c>
      <c r="D80" s="516">
        <v>31</v>
      </c>
      <c r="E80" s="358">
        <f t="shared" si="1"/>
        <v>3.0000000000000001E-3</v>
      </c>
      <c r="F80" s="359"/>
      <c r="G80" s="360"/>
      <c r="H80" s="359"/>
      <c r="I80" s="360"/>
    </row>
    <row r="81" spans="1:9">
      <c r="A81" s="338">
        <f t="shared" si="0"/>
        <v>61</v>
      </c>
      <c r="B81" s="334" t="s">
        <v>910</v>
      </c>
      <c r="D81" s="841"/>
      <c r="E81" s="358">
        <f>ROUND(AVERAGE(E45:E80),4)</f>
        <v>2.8E-3</v>
      </c>
      <c r="F81" s="359"/>
      <c r="G81" s="360"/>
      <c r="H81" s="359"/>
      <c r="I81" s="360"/>
    </row>
    <row r="82" spans="1:9">
      <c r="A82" s="338">
        <f t="shared" si="0"/>
        <v>62</v>
      </c>
      <c r="D82" s="841"/>
    </row>
    <row r="83" spans="1:9">
      <c r="A83" s="338">
        <f t="shared" si="0"/>
        <v>63</v>
      </c>
      <c r="B83" s="334" t="str">
        <f>"Over/Under Recovery Amount (ln "&amp;A39&amp;" amount)"</f>
        <v>Over/Under Recovery Amount (ln 20 amount)</v>
      </c>
      <c r="D83" s="841"/>
      <c r="I83" s="339">
        <f>I39</f>
        <v>-33162.831869989634</v>
      </c>
    </row>
    <row r="84" spans="1:9" ht="13.5" thickBot="1">
      <c r="A84" s="338">
        <f t="shared" si="0"/>
        <v>64</v>
      </c>
      <c r="B84" s="334" t="str">
        <f>"Average Monthly Interest Rate (ln "&amp;A81&amp;")"</f>
        <v>Average Monthly Interest Rate (ln 61)</v>
      </c>
      <c r="I84" s="361">
        <f>E81</f>
        <v>2.8E-3</v>
      </c>
    </row>
    <row r="85" spans="1:9">
      <c r="A85" s="338">
        <f>A84+1</f>
        <v>65</v>
      </c>
      <c r="B85" s="334" t="str">
        <f>"Monthly Interest Recovery Amount (ln "&amp;A83&amp;" x ln "&amp;A84&amp;")"</f>
        <v>Monthly Interest Recovery Amount (ln 63 x ln 64)</v>
      </c>
      <c r="I85" s="339">
        <f>ROUND(I84*I83,0)</f>
        <v>-93</v>
      </c>
    </row>
    <row r="86" spans="1:9">
      <c r="A86" s="338">
        <f t="shared" ref="A86:A92" si="2">A85+1</f>
        <v>66</v>
      </c>
      <c r="I86" s="339"/>
    </row>
    <row r="87" spans="1:9">
      <c r="A87" s="338">
        <f t="shared" si="2"/>
        <v>67</v>
      </c>
      <c r="B87" s="334" t="str">
        <f>"Number of Months for Interest Recovery Amount (from line "&amp;A17&amp;")"</f>
        <v>Number of Months for Interest Recovery Amount (from line 8)</v>
      </c>
      <c r="I87" s="346">
        <f>I17</f>
        <v>36</v>
      </c>
    </row>
    <row r="88" spans="1:9">
      <c r="A88" s="338">
        <f t="shared" si="2"/>
        <v>68</v>
      </c>
      <c r="I88" s="339"/>
    </row>
    <row r="89" spans="1:9">
      <c r="A89" s="338">
        <f t="shared" si="2"/>
        <v>69</v>
      </c>
      <c r="B89" s="334" t="str">
        <f>"Interest Recovery Amount (ln "&amp;A87&amp;" times ln "&amp;A85&amp;")"</f>
        <v>Interest Recovery Amount (ln 67 times ln 65)</v>
      </c>
      <c r="I89" s="339">
        <f>ROUND(I87*I85,0)</f>
        <v>-3348</v>
      </c>
    </row>
    <row r="90" spans="1:9" ht="13.5" thickBot="1">
      <c r="A90" s="338">
        <f t="shared" si="2"/>
        <v>70</v>
      </c>
    </row>
    <row r="91" spans="1:9">
      <c r="A91" s="338">
        <f t="shared" si="2"/>
        <v>71</v>
      </c>
      <c r="B91" s="334" t="str">
        <f>"Prior Period Correction Adjustment (ln "&amp;A39&amp;")"</f>
        <v>Prior Period Correction Adjustment (ln 20)</v>
      </c>
      <c r="D91" s="339"/>
      <c r="E91" s="30"/>
      <c r="F91" s="891">
        <f>I39</f>
        <v>-33162.831869989634</v>
      </c>
      <c r="G91" s="892" t="str">
        <f>"(Input to Annual Update)"</f>
        <v>(Input to Annual Update)</v>
      </c>
      <c r="H91" s="893"/>
    </row>
    <row r="92" spans="1:9" ht="13.5" thickBot="1">
      <c r="A92" s="338">
        <f t="shared" si="2"/>
        <v>72</v>
      </c>
      <c r="B92" s="334" t="str">
        <f>"Interest on Prior Period Correction Adjustment (ln "&amp;A89&amp;")"</f>
        <v>Interest on Prior Period Correction Adjustment (ln 69)</v>
      </c>
      <c r="E92" s="30"/>
      <c r="F92" s="894">
        <f>I89</f>
        <v>-3348</v>
      </c>
      <c r="G92" s="895" t="str">
        <f>"(Input to Annual Update)"</f>
        <v>(Input to Annual Update)</v>
      </c>
      <c r="H92" s="896"/>
    </row>
    <row r="93" spans="1:9">
      <c r="D93" s="362"/>
    </row>
    <row r="94" spans="1:9">
      <c r="B94" s="334" t="s">
        <v>870</v>
      </c>
    </row>
    <row r="95" spans="1:9">
      <c r="B95" t="s">
        <v>590</v>
      </c>
    </row>
    <row r="96" spans="1:9">
      <c r="B96" s="334" t="s">
        <v>911</v>
      </c>
    </row>
    <row r="97" spans="2:5">
      <c r="B97" s="1053" t="s">
        <v>1705</v>
      </c>
      <c r="C97" s="1054"/>
      <c r="D97" s="1055"/>
      <c r="E97" s="1054"/>
    </row>
    <row r="198" spans="1:2">
      <c r="A198" s="348"/>
      <c r="B198" s="348"/>
    </row>
  </sheetData>
  <mergeCells count="1">
    <mergeCell ref="B10:H11"/>
  </mergeCells>
  <hyperlinks>
    <hyperlink ref="B97" r:id="rId1"/>
  </hyperlinks>
  <pageMargins left="0.7" right="0.7" top="0.75" bottom="0.75" header="0.3" footer="0.3"/>
  <pageSetup scale="7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61</vt:i4>
      </vt:variant>
    </vt:vector>
  </HeadingPairs>
  <TitlesOfParts>
    <vt:vector size="108" baseType="lpstr">
      <vt:lpstr>Revisions</vt:lpstr>
      <vt:lpstr>Cover Page</vt:lpstr>
      <vt:lpstr>Table of Contents</vt:lpstr>
      <vt:lpstr>Est. Rates</vt:lpstr>
      <vt:lpstr>Actual Rates</vt:lpstr>
      <vt:lpstr>ATRR Est.</vt:lpstr>
      <vt:lpstr>ATRR Act</vt:lpstr>
      <vt:lpstr>WP_A-2 (1)</vt:lpstr>
      <vt:lpstr>WP_A-2 (2)</vt:lpstr>
      <vt:lpstr>WP_A-2 (3)</vt:lpstr>
      <vt:lpstr>WP_A-2 (4)</vt:lpstr>
      <vt:lpstr>WP_A-2 (5)</vt:lpstr>
      <vt:lpstr>WP_A-2 (6)</vt:lpstr>
      <vt:lpstr>WP_A-2 (7)</vt:lpstr>
      <vt:lpstr>WP_B-1</vt:lpstr>
      <vt:lpstr>WP_B-2</vt:lpstr>
      <vt:lpstr>WP_B-3</vt:lpstr>
      <vt:lpstr>WP_B-4</vt:lpstr>
      <vt:lpstr>WP_B-5</vt:lpstr>
      <vt:lpstr>WP_B-6</vt:lpstr>
      <vt:lpstr>WP_B-7</vt:lpstr>
      <vt:lpstr>WP_B-8</vt:lpstr>
      <vt:lpstr>WP_B-Inputs Est.</vt:lpstr>
      <vt:lpstr>WP_B-Inputs Act.</vt:lpstr>
      <vt:lpstr>WP_C-1</vt:lpstr>
      <vt:lpstr>WP_C-2</vt:lpstr>
      <vt:lpstr>WP_C-3</vt:lpstr>
      <vt:lpstr>WP_C-4</vt:lpstr>
      <vt:lpstr>WP_D-1</vt:lpstr>
      <vt:lpstr>WP_E-1</vt:lpstr>
      <vt:lpstr>WP_F-1</vt:lpstr>
      <vt:lpstr>WP_G-1</vt:lpstr>
      <vt:lpstr>WP_H-1 </vt:lpstr>
      <vt:lpstr>WP_I-1</vt:lpstr>
      <vt:lpstr>Schedule 1</vt:lpstr>
      <vt:lpstr>Schedule 2</vt:lpstr>
      <vt:lpstr>Schedule 3 and 3A</vt:lpstr>
      <vt:lpstr>Schedule 5</vt:lpstr>
      <vt:lpstr>Schedule 6</vt:lpstr>
      <vt:lpstr>WP_FCR</vt:lpstr>
      <vt:lpstr>WP_Cost per Unit</vt:lpstr>
      <vt:lpstr>WP_Load Factor</vt:lpstr>
      <vt:lpstr>Schedule 16</vt:lpstr>
      <vt:lpstr>WP_Installed Cost</vt:lpstr>
      <vt:lpstr>WP_O&amp;M Cost</vt:lpstr>
      <vt:lpstr>WP_Reactive Cost</vt:lpstr>
      <vt:lpstr>WP_ADIT Prorate</vt:lpstr>
      <vt:lpstr>CE</vt:lpstr>
      <vt:lpstr>CEA</vt:lpstr>
      <vt:lpstr>GP</vt:lpstr>
      <vt:lpstr>GPA</vt:lpstr>
      <vt:lpstr>NP</vt:lpstr>
      <vt:lpstr>NPA</vt:lpstr>
      <vt:lpstr>'Actual Rates'!Print_Area</vt:lpstr>
      <vt:lpstr>'ATRR Act'!Print_Area</vt:lpstr>
      <vt:lpstr>'ATRR Est.'!Print_Area</vt:lpstr>
      <vt:lpstr>'Cover Page'!Print_Area</vt:lpstr>
      <vt:lpstr>'Est. Rates'!Print_Area</vt:lpstr>
      <vt:lpstr>'Schedule 1'!Print_Area</vt:lpstr>
      <vt:lpstr>'Schedule 16'!Print_Area</vt:lpstr>
      <vt:lpstr>'Schedule 2'!Print_Area</vt:lpstr>
      <vt:lpstr>'Schedule 3 and 3A'!Print_Area</vt:lpstr>
      <vt:lpstr>'Schedule 5'!Print_Area</vt:lpstr>
      <vt:lpstr>'Schedule 6'!Print_Area</vt:lpstr>
      <vt:lpstr>'Table of Contents'!Print_Area</vt:lpstr>
      <vt:lpstr>'WP_B-1'!Print_Area</vt:lpstr>
      <vt:lpstr>'WP_B-2'!Print_Area</vt:lpstr>
      <vt:lpstr>'WP_B-3'!Print_Area</vt:lpstr>
      <vt:lpstr>'WP_B-4'!Print_Area</vt:lpstr>
      <vt:lpstr>'WP_B-5'!Print_Area</vt:lpstr>
      <vt:lpstr>'WP_B-6'!Print_Area</vt:lpstr>
      <vt:lpstr>'WP_B-7'!Print_Area</vt:lpstr>
      <vt:lpstr>'WP_B-8'!Print_Area</vt:lpstr>
      <vt:lpstr>'WP_C-1'!Print_Area</vt:lpstr>
      <vt:lpstr>'WP_C-2'!Print_Area</vt:lpstr>
      <vt:lpstr>'WP_C-3'!Print_Area</vt:lpstr>
      <vt:lpstr>'WP_C-4'!Print_Area</vt:lpstr>
      <vt:lpstr>'WP_Cost per Unit'!Print_Area</vt:lpstr>
      <vt:lpstr>'WP_D-1'!Print_Area</vt:lpstr>
      <vt:lpstr>'WP_E-1'!Print_Area</vt:lpstr>
      <vt:lpstr>'WP_F-1'!Print_Area</vt:lpstr>
      <vt:lpstr>WP_FCR!Print_Area</vt:lpstr>
      <vt:lpstr>'WP_G-1'!Print_Area</vt:lpstr>
      <vt:lpstr>'WP_H-1 '!Print_Area</vt:lpstr>
      <vt:lpstr>'WP_I-1'!Print_Area</vt:lpstr>
      <vt:lpstr>'WP_Installed Cost'!Print_Area</vt:lpstr>
      <vt:lpstr>'WP_O&amp;M Cost'!Print_Area</vt:lpstr>
      <vt:lpstr>'WP_Reactive Cost'!Print_Area</vt:lpstr>
      <vt:lpstr>'ATRR Act'!Print_Titles</vt:lpstr>
      <vt:lpstr>'ATRR Est.'!Print_Titles</vt:lpstr>
      <vt:lpstr>'WP_A-2 (1)'!Print_Titles</vt:lpstr>
      <vt:lpstr>'WP_A-2 (7)'!Print_Titles</vt:lpstr>
      <vt:lpstr>'WP_B-1'!Print_Titles</vt:lpstr>
      <vt:lpstr>'WP_B-4'!Print_Titles</vt:lpstr>
      <vt:lpstr>'WP_B-5'!Print_Titles</vt:lpstr>
      <vt:lpstr>'WP_B-6'!Print_Titles</vt:lpstr>
      <vt:lpstr>'WP_C-2'!Print_Titles</vt:lpstr>
      <vt:lpstr>'WP_E-1'!Print_Titles</vt:lpstr>
      <vt:lpstr>'WP_F-1'!Print_Titles</vt:lpstr>
      <vt:lpstr>WP_FCR!Print_Titles</vt:lpstr>
      <vt:lpstr>'WP_G-1'!Print_Titles</vt:lpstr>
      <vt:lpstr>'WP_H-1 '!Print_Titles</vt:lpstr>
      <vt:lpstr>'WP_Load Factor'!Print_Titles</vt:lpstr>
      <vt:lpstr>ROR</vt:lpstr>
      <vt:lpstr>TP</vt:lpstr>
      <vt:lpstr>TPA</vt:lpstr>
      <vt:lpstr>WS</vt:lpstr>
      <vt:lpstr>WSA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dc:creator>
  <cp:lastModifiedBy>Kourtni Yager</cp:lastModifiedBy>
  <cp:lastPrinted>2018-05-31T19:01:16Z</cp:lastPrinted>
  <dcterms:created xsi:type="dcterms:W3CDTF">2011-10-05T20:37:50Z</dcterms:created>
  <dcterms:modified xsi:type="dcterms:W3CDTF">2018-05-31T19:03:05Z</dcterms:modified>
</cp:coreProperties>
</file>