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210" yWindow="210" windowWidth="20730" windowHeight="11475"/>
  </bookViews>
  <sheets>
    <sheet name="ATRR Gen Tie Stated" sheetId="2" r:id="rId1"/>
    <sheet name="Gen Tie Data" sheetId="4" r:id="rId2"/>
  </sheets>
  <externalReferences>
    <externalReference r:id="rId3"/>
    <externalReference r:id="rId4"/>
  </externalReferences>
  <definedNames>
    <definedName name="CE" localSheetId="0">'ATRR Gen Tie Stated'!$G$128</definedName>
    <definedName name="CE">'[1]ATRR Est.'!$G$176</definedName>
    <definedName name="CEA">'[1]ATRR Act'!$G$173</definedName>
    <definedName name="GTCE">#REF!</definedName>
    <definedName name="GTGP">'ATRR Gen Tie Stated'!$G$114</definedName>
    <definedName name="GTNP">'ATRR Gen Tie Stated'!$F$52</definedName>
    <definedName name="GTTP" localSheetId="0">'ATRR Gen Tie Stated'!$G$109</definedName>
    <definedName name="GTWS">#REF!</definedName>
    <definedName name="NP">'[1]ATRR Est.'!$F$45</definedName>
    <definedName name="NPA">'[1]ATRR Act'!$F$45</definedName>
    <definedName name="NTP">'[1]ATRR Act'!#REF!</definedName>
    <definedName name="_xlnm.Print_Area" localSheetId="0">'ATRR Gen Tie Stated'!$A$16:$G$164</definedName>
    <definedName name="_xlnm.Print_Area">#REF!</definedName>
    <definedName name="ROR" localSheetId="0">'ATRR Gen Tie Stated'!$G$135</definedName>
    <definedName name="ROR">'[1]ATRR Est.'!$G$183</definedName>
    <definedName name="TP">'[1]ATRR Est.'!$G$158</definedName>
    <definedName name="TPA">'[1]ATRR Act'!$G$159</definedName>
    <definedName name="WS" localSheetId="0">'ATRR Gen Tie Stated'!$G$124</definedName>
    <definedName name="WS">'[1]ATRR Est.'!$G$172</definedName>
    <definedName name="WSA">'[1]ATRR Act'!$G$169</definedName>
  </definedNames>
  <calcPr calcId="145621"/>
</workbook>
</file>

<file path=xl/calcChain.xml><?xml version="1.0" encoding="utf-8"?>
<calcChain xmlns="http://schemas.openxmlformats.org/spreadsheetml/2006/main">
  <c r="G94" i="2" l="1"/>
  <c r="A70" i="2"/>
  <c r="G69" i="2"/>
  <c r="D72" i="2" l="1"/>
  <c r="D55" i="2"/>
  <c r="A56" i="4"/>
  <c r="A57" i="4"/>
  <c r="A58" i="4" s="1"/>
  <c r="C57" i="4"/>
  <c r="A51" i="4"/>
  <c r="A52" i="4" s="1"/>
  <c r="A53" i="4" s="1"/>
  <c r="A54" i="4" s="1"/>
  <c r="A55" i="4" s="1"/>
  <c r="D35" i="2"/>
  <c r="D24" i="2"/>
  <c r="G112" i="2" s="1"/>
  <c r="A45" i="4"/>
  <c r="C43" i="4" l="1"/>
  <c r="C23" i="4"/>
  <c r="A11" i="4"/>
  <c r="A12" i="4" s="1"/>
  <c r="A13" i="4" s="1"/>
  <c r="A14" i="4" s="1"/>
  <c r="A15" i="4" s="1"/>
  <c r="A16" i="4" s="1"/>
  <c r="A17" i="4" s="1"/>
  <c r="A18" i="4" s="1"/>
  <c r="A19" i="4" s="1"/>
  <c r="A20" i="4" s="1"/>
  <c r="A21" i="4" s="1"/>
  <c r="A22" i="4" s="1"/>
  <c r="A3" i="4"/>
  <c r="A1" i="4"/>
  <c r="B23" i="4" l="1"/>
  <c r="A23" i="4"/>
  <c r="A24" i="4" s="1"/>
  <c r="D45" i="2"/>
  <c r="D46" i="2"/>
  <c r="D47" i="2"/>
  <c r="D48" i="2"/>
  <c r="D49" i="2"/>
  <c r="D50" i="2"/>
  <c r="D44" i="2"/>
  <c r="A25" i="4" l="1"/>
  <c r="A26" i="4" s="1"/>
  <c r="A27" i="4" s="1"/>
  <c r="A28" i="4" s="1"/>
  <c r="A29" i="4" s="1"/>
  <c r="A30" i="4" s="1"/>
  <c r="A31" i="4" s="1"/>
  <c r="A32" i="4" s="1"/>
  <c r="A33" i="4" s="1"/>
  <c r="A34" i="4" s="1"/>
  <c r="A35" i="4" s="1"/>
  <c r="A36" i="4" s="1"/>
  <c r="A37" i="4" s="1"/>
  <c r="A38" i="4" s="1"/>
  <c r="A39" i="4" s="1"/>
  <c r="A40" i="4" s="1"/>
  <c r="A41" i="4" s="1"/>
  <c r="A42" i="4" s="1"/>
  <c r="A43" i="4" s="1"/>
  <c r="A44" i="4" s="1"/>
  <c r="A46" i="4" s="1"/>
  <c r="A47" i="4" s="1"/>
  <c r="A48" i="4" s="1"/>
  <c r="A49" i="4" s="1"/>
  <c r="A50" i="4" s="1"/>
  <c r="B43" i="4" l="1"/>
  <c r="A9" i="2"/>
  <c r="A10" i="2" s="1"/>
  <c r="A11" i="2" s="1"/>
  <c r="G105" i="2"/>
  <c r="G108" i="2" s="1"/>
  <c r="G109" i="2" s="1"/>
  <c r="A12" i="2" l="1"/>
  <c r="A13" i="2" s="1"/>
  <c r="A14" i="2" s="1"/>
  <c r="D122" i="2"/>
  <c r="G121" i="2"/>
  <c r="G120" i="2"/>
  <c r="G119" i="2"/>
  <c r="G117" i="2"/>
  <c r="F118" i="2"/>
  <c r="G118" i="2" s="1"/>
  <c r="D86" i="2"/>
  <c r="D90" i="2" s="1"/>
  <c r="D83" i="2"/>
  <c r="G82" i="2"/>
  <c r="D77" i="2"/>
  <c r="G72" i="2"/>
  <c r="G55" i="2"/>
  <c r="D51" i="2"/>
  <c r="D57" i="2" s="1"/>
  <c r="D41" i="2"/>
  <c r="G36" i="2"/>
  <c r="G35" i="2"/>
  <c r="G34" i="2"/>
  <c r="D30" i="2"/>
  <c r="G25" i="2"/>
  <c r="G24" i="2"/>
  <c r="G23" i="2"/>
  <c r="A23" i="2"/>
  <c r="A24" i="2" s="1"/>
  <c r="G113" i="2" l="1"/>
  <c r="G114" i="2" s="1"/>
  <c r="F81" i="2" s="1"/>
  <c r="G81" i="2" s="1"/>
  <c r="G44" i="2"/>
  <c r="A15" i="2"/>
  <c r="A16" i="2" s="1"/>
  <c r="G122" i="2"/>
  <c r="D135" i="2"/>
  <c r="E132" i="2" s="1"/>
  <c r="G132" i="2" s="1"/>
  <c r="G45" i="2"/>
  <c r="G46" i="2"/>
  <c r="A25" i="2"/>
  <c r="G124" i="2" l="1"/>
  <c r="F26" i="2" s="1"/>
  <c r="G26" i="2" s="1"/>
  <c r="E134" i="2"/>
  <c r="G134" i="2" s="1"/>
  <c r="E133" i="2"/>
  <c r="G133" i="2" s="1"/>
  <c r="A26" i="2"/>
  <c r="F27" i="2" l="1"/>
  <c r="G27" i="2" s="1"/>
  <c r="F73" i="2"/>
  <c r="G73" i="2" s="1"/>
  <c r="F80" i="2"/>
  <c r="G80" i="2" s="1"/>
  <c r="G83" i="2" s="1"/>
  <c r="F74" i="2"/>
  <c r="G74" i="2" s="1"/>
  <c r="G127" i="2"/>
  <c r="G128" i="2" s="1"/>
  <c r="F39" i="2" s="1"/>
  <c r="G39" i="2" s="1"/>
  <c r="F38" i="2"/>
  <c r="G38" i="2" s="1"/>
  <c r="F37" i="2"/>
  <c r="G37" i="2" s="1"/>
  <c r="G47" i="2" s="1"/>
  <c r="G135" i="2"/>
  <c r="D59" i="2" s="1"/>
  <c r="D61" i="2" s="1"/>
  <c r="F40" i="2"/>
  <c r="G40" i="2" s="1"/>
  <c r="G41" i="2" s="1"/>
  <c r="A27" i="2"/>
  <c r="G48" i="2" l="1"/>
  <c r="F76" i="2"/>
  <c r="G76" i="2" s="1"/>
  <c r="F29" i="2"/>
  <c r="G29" i="2" s="1"/>
  <c r="G50" i="2" s="1"/>
  <c r="F75" i="2"/>
  <c r="G75" i="2" s="1"/>
  <c r="G77" i="2" s="1"/>
  <c r="F28" i="2"/>
  <c r="G28" i="2" s="1"/>
  <c r="G49" i="2" s="1"/>
  <c r="G59" i="2"/>
  <c r="D87" i="2"/>
  <c r="D92" i="2" s="1"/>
  <c r="D94" i="2" s="1"/>
  <c r="G30" i="2"/>
  <c r="A28" i="2"/>
  <c r="G51" i="2" l="1"/>
  <c r="G57" i="2" s="1"/>
  <c r="G61" i="2" s="1"/>
  <c r="G92" i="2" s="1"/>
  <c r="E8" i="2" s="1"/>
  <c r="E14" i="2" s="1"/>
  <c r="A29" i="2"/>
  <c r="A30" i="2" l="1"/>
  <c r="A31" i="2" s="1"/>
  <c r="A32" i="2" s="1"/>
  <c r="A33" i="2" s="1"/>
  <c r="A34" i="2" s="1"/>
  <c r="C30" i="2"/>
  <c r="A35" i="2" l="1"/>
  <c r="C44" i="2"/>
  <c r="A36" i="2" l="1"/>
  <c r="C45" i="2"/>
  <c r="A37" i="2" l="1"/>
  <c r="C46" i="2"/>
  <c r="A38" i="2" l="1"/>
  <c r="C47" i="2"/>
  <c r="A39" i="2" l="1"/>
  <c r="C48" i="2"/>
  <c r="A40" i="2" l="1"/>
  <c r="C49" i="2"/>
  <c r="A41" i="2" l="1"/>
  <c r="A42" i="2" s="1"/>
  <c r="A43" i="2" s="1"/>
  <c r="A44" i="2" s="1"/>
  <c r="C50" i="2"/>
  <c r="C41" i="2"/>
  <c r="A45" i="2" l="1"/>
  <c r="A46" i="2" s="1"/>
  <c r="A47" i="2" s="1"/>
  <c r="A48" i="2" s="1"/>
  <c r="A49" i="2" s="1"/>
  <c r="A50" i="2" s="1"/>
  <c r="A51" i="2" s="1"/>
  <c r="C51" i="2" l="1"/>
  <c r="A52" i="2"/>
  <c r="A53" i="2" s="1"/>
  <c r="A54" i="2" s="1"/>
  <c r="A55" i="2" s="1"/>
  <c r="A56" i="2" s="1"/>
  <c r="A57" i="2" s="1"/>
  <c r="A58" i="2" l="1"/>
  <c r="A59" i="2" s="1"/>
  <c r="A60" i="2" s="1"/>
  <c r="A61" i="2" s="1"/>
  <c r="C57" i="2"/>
  <c r="C61" i="2" l="1"/>
  <c r="A68" i="2"/>
  <c r="A69" i="2" s="1"/>
  <c r="A71" i="2" l="1"/>
  <c r="A72" i="2" s="1"/>
  <c r="A73" i="2" l="1"/>
  <c r="A74" i="2" s="1"/>
  <c r="A75" i="2" s="1"/>
  <c r="A76" i="2" s="1"/>
  <c r="A77" i="2" s="1"/>
  <c r="A78" i="2" s="1"/>
  <c r="A79" i="2" s="1"/>
  <c r="A80" i="2" s="1"/>
  <c r="A81" i="2" l="1"/>
  <c r="A82" i="2" s="1"/>
  <c r="A83" i="2" s="1"/>
  <c r="A84" i="2" s="1"/>
  <c r="A85" i="2" s="1"/>
  <c r="A86" i="2" s="1"/>
  <c r="A87" i="2" s="1"/>
  <c r="C77" i="2"/>
  <c r="C92" i="2" l="1"/>
  <c r="A88" i="2"/>
  <c r="A89" i="2" s="1"/>
  <c r="A90" i="2" s="1"/>
  <c r="A91" i="2" s="1"/>
  <c r="A92" i="2" s="1"/>
  <c r="A93" i="2" s="1"/>
  <c r="A94" i="2" s="1"/>
  <c r="C83" i="2"/>
  <c r="C8" i="2" l="1"/>
  <c r="A102" i="2"/>
  <c r="A103" i="2" s="1"/>
  <c r="A104" i="2" l="1"/>
  <c r="A105" i="2" s="1"/>
  <c r="C105" i="2" l="1"/>
  <c r="A106" i="2"/>
  <c r="A107" i="2" l="1"/>
  <c r="C108" i="2" s="1"/>
  <c r="A108" i="2"/>
  <c r="A109" i="2" s="1"/>
  <c r="A110" i="2" l="1"/>
  <c r="A111" i="2" s="1"/>
  <c r="A112" i="2" s="1"/>
  <c r="A113" i="2" s="1"/>
  <c r="A114" i="2" s="1"/>
  <c r="B160" i="2"/>
  <c r="C109" i="2"/>
  <c r="B161" i="2" l="1"/>
  <c r="A115" i="2"/>
  <c r="A116" i="2" s="1"/>
  <c r="A117" i="2" s="1"/>
  <c r="A118" i="2" l="1"/>
  <c r="A119" i="2" s="1"/>
  <c r="A120" i="2" s="1"/>
  <c r="A121" i="2" s="1"/>
  <c r="A122" i="2" s="1"/>
  <c r="C124" i="2" l="1"/>
  <c r="A123" i="2"/>
  <c r="A124" i="2" s="1"/>
  <c r="C122" i="2"/>
  <c r="B162" i="2" l="1"/>
  <c r="C127" i="2"/>
  <c r="A125" i="2"/>
  <c r="A126" i="2" s="1"/>
  <c r="A127" i="2" l="1"/>
  <c r="A128" i="2" s="1"/>
  <c r="C128" i="2"/>
  <c r="B163" i="2" l="1"/>
  <c r="A129" i="2"/>
  <c r="A130" i="2" s="1"/>
  <c r="A131" i="2" s="1"/>
  <c r="A132" i="2" s="1"/>
  <c r="A133" i="2" l="1"/>
  <c r="A134" i="2" s="1"/>
  <c r="A135" i="2" s="1"/>
  <c r="C59" i="2" l="1"/>
  <c r="A136" i="2"/>
  <c r="A137" i="2" s="1"/>
  <c r="C135" i="2"/>
</calcChain>
</file>

<file path=xl/sharedStrings.xml><?xml version="1.0" encoding="utf-8"?>
<sst xmlns="http://schemas.openxmlformats.org/spreadsheetml/2006/main" count="307" uniqueCount="206">
  <si>
    <t>Line No.</t>
  </si>
  <si>
    <t>Description</t>
  </si>
  <si>
    <t>Reference</t>
  </si>
  <si>
    <t>Transmission Amount</t>
  </si>
  <si>
    <t>Col. (1)</t>
  </si>
  <si>
    <t>Col. (2)</t>
  </si>
  <si>
    <t>Col. (3)</t>
  </si>
  <si>
    <t>Divisor</t>
  </si>
  <si>
    <t>Rates</t>
  </si>
  <si>
    <t>RATE BASE &amp; RETURN CALCULATION</t>
  </si>
  <si>
    <t>Reference/Notes</t>
  </si>
  <si>
    <t>Total</t>
  </si>
  <si>
    <t>Generation Tie</t>
  </si>
  <si>
    <t>Col. (4)</t>
  </si>
  <si>
    <t>Col. (5)</t>
  </si>
  <si>
    <t>GROSS PLANT IN SERVICE</t>
  </si>
  <si>
    <t xml:space="preserve">  Production</t>
  </si>
  <si>
    <t>NA</t>
  </si>
  <si>
    <t xml:space="preserve">  Generation Tie Plant</t>
  </si>
  <si>
    <t>Company Records</t>
  </si>
  <si>
    <t>DA</t>
  </si>
  <si>
    <t xml:space="preserve">  Distribution</t>
  </si>
  <si>
    <t xml:space="preserve">  General Plant   </t>
  </si>
  <si>
    <t>GTGP</t>
  </si>
  <si>
    <t xml:space="preserve">  Intangible Plant</t>
  </si>
  <si>
    <t xml:space="preserve">  Common Intangible</t>
  </si>
  <si>
    <t xml:space="preserve">  Common General</t>
  </si>
  <si>
    <t>TOTAL GROSS PLANT</t>
  </si>
  <si>
    <t>ACCUMULATED DEPRECIATION</t>
  </si>
  <si>
    <t>TOTAL ACCUMULATED DEPRECIATION</t>
  </si>
  <si>
    <t xml:space="preserve"> </t>
  </si>
  <si>
    <t>NET PLANT IN SERVICE</t>
  </si>
  <si>
    <t xml:space="preserve">  Transmission</t>
  </si>
  <si>
    <t>TOTAL NET PLANT IN SERVICE</t>
  </si>
  <si>
    <t>OTHER RATE BASE ITEMS</t>
  </si>
  <si>
    <t xml:space="preserve">  ADIT</t>
  </si>
  <si>
    <t xml:space="preserve">RATE BASE  </t>
  </si>
  <si>
    <t>Rate of Return</t>
  </si>
  <si>
    <t>RETURN   (Rate Base * Rate of Return)</t>
  </si>
  <si>
    <t>EXPENSE, TAXES &amp; REVENUE</t>
  </si>
  <si>
    <t>REQUIREMENTS  CALCULATION</t>
  </si>
  <si>
    <t>Transmission</t>
  </si>
  <si>
    <t>TOTAL O &amp; M EXPENSE</t>
  </si>
  <si>
    <t>(Note C)</t>
  </si>
  <si>
    <t>Total Generation Tie Plant</t>
  </si>
  <si>
    <t>O&amp;M Rate</t>
  </si>
  <si>
    <t>DEPRECIATION AND AMORTIZATION EXPENSE</t>
  </si>
  <si>
    <t xml:space="preserve">  Generation Tie</t>
  </si>
  <si>
    <t xml:space="preserve">  General </t>
  </si>
  <si>
    <t xml:space="preserve">  Intangible</t>
  </si>
  <si>
    <t>TOTAL DEPRECIATION AND AMORTIZATION</t>
  </si>
  <si>
    <t>TAXES OTHER THAN INCOME</t>
  </si>
  <si>
    <t>(Note D)</t>
  </si>
  <si>
    <t xml:space="preserve">  Labor Related</t>
  </si>
  <si>
    <t>W/S</t>
  </si>
  <si>
    <t xml:space="preserve">  Plant Related</t>
  </si>
  <si>
    <t xml:space="preserve">  Miscellaneous</t>
  </si>
  <si>
    <t>TOTAL OTHER TAXES</t>
  </si>
  <si>
    <t>INCOME TAXES</t>
  </si>
  <si>
    <t xml:space="preserve">     T=1 - {[(1 - SIT) * (1 - FIT)] / (1 - SIT * FIT * p)} =</t>
  </si>
  <si>
    <t xml:space="preserve">     CIT=(T/1-T) * (1-(WCLTD/R)) =</t>
  </si>
  <si>
    <t>TOTAL INCOME TAXES</t>
  </si>
  <si>
    <t>REVENUE REQUIREMENT</t>
  </si>
  <si>
    <t>SUPPORTING CALCULATIONS</t>
  </si>
  <si>
    <t>TRANSMISSION PLANT INCLUDED IN THE ATRR</t>
  </si>
  <si>
    <t>(Note F)</t>
  </si>
  <si>
    <t xml:space="preserve">Transmission plant   </t>
  </si>
  <si>
    <t>Transmission related Acquisition Adjustment</t>
  </si>
  <si>
    <t xml:space="preserve">Total Transmission Plant   </t>
  </si>
  <si>
    <t>Eliminate Generator Step-up facilities</t>
  </si>
  <si>
    <t>Eliminate Transmission Plant Recovered via ATRR</t>
  </si>
  <si>
    <t>Transmission plant included in OATT Trans Rate</t>
  </si>
  <si>
    <t>Percent of Transmission Plant in the ATRR</t>
  </si>
  <si>
    <t xml:space="preserve">GTTP = </t>
  </si>
  <si>
    <t>Generation Tie Plant included in Total Gross Plant</t>
  </si>
  <si>
    <t>Generation Tie Plant</t>
  </si>
  <si>
    <t>Total Gross Plant</t>
  </si>
  <si>
    <t xml:space="preserve">GTGP = </t>
  </si>
  <si>
    <t>WAGES &amp; SALARY ALLOCATOR (W/S)</t>
  </si>
  <si>
    <t>GTTP</t>
  </si>
  <si>
    <t xml:space="preserve">  Regional Market</t>
  </si>
  <si>
    <t xml:space="preserve">  Other</t>
  </si>
  <si>
    <t>W/S Allocator</t>
  </si>
  <si>
    <t>W/S=</t>
  </si>
  <si>
    <t xml:space="preserve">Common to Electric Transmission Allocator </t>
  </si>
  <si>
    <t>CE=</t>
  </si>
  <si>
    <t>RETURN</t>
  </si>
  <si>
    <t>$</t>
  </si>
  <si>
    <t>%</t>
  </si>
  <si>
    <t>Cost</t>
  </si>
  <si>
    <t>Weighted</t>
  </si>
  <si>
    <t xml:space="preserve">Long Term Debt </t>
  </si>
  <si>
    <t>Preferred Stock</t>
  </si>
  <si>
    <t xml:space="preserve">Common Stock </t>
  </si>
  <si>
    <t xml:space="preserve">  Total </t>
  </si>
  <si>
    <t>General Notes:  a)  References to data from FERC Form No. 1 are indicated as:  page#.line#.col.#</t>
  </si>
  <si>
    <t>Notes:</t>
  </si>
  <si>
    <t>A</t>
  </si>
  <si>
    <t>Gross Plant, Accumulated Depreciation Reserves will be the average of thirteen monthly balances.</t>
  </si>
  <si>
    <t>B</t>
  </si>
  <si>
    <t>C</t>
  </si>
  <si>
    <t>D</t>
  </si>
  <si>
    <t>Includes only FICA, unemployment, property, and other assessments charged in the current year.</t>
  </si>
  <si>
    <t xml:space="preserve">  Taxes related to income are excluded.  Franchise taxes are not included in transmission revenue requirement in the Rate Formula Template, </t>
  </si>
  <si>
    <t>E</t>
  </si>
  <si>
    <t>The currently effective income tax rate,  where FIT is the Federal income tax rate; SIT is the State income tax rate, and p =</t>
  </si>
  <si>
    <t xml:space="preserve">  "the percentage of federal income tax deductible for state income taxes".</t>
  </si>
  <si>
    <t xml:space="preserve">         Inputs Required:</t>
  </si>
  <si>
    <t>FIT =</t>
  </si>
  <si>
    <t>SIT=</t>
  </si>
  <si>
    <t xml:space="preserve">  (State Income Tax Rate or Composite SIT)</t>
  </si>
  <si>
    <t>p =</t>
  </si>
  <si>
    <t xml:space="preserve">  (percent of FIT deductible for state purposes)</t>
  </si>
  <si>
    <t>F</t>
  </si>
  <si>
    <t>G</t>
  </si>
  <si>
    <t>CE</t>
  </si>
  <si>
    <t>H</t>
  </si>
  <si>
    <t>Note A</t>
  </si>
  <si>
    <t>I</t>
  </si>
  <si>
    <t>J</t>
  </si>
  <si>
    <t>Allocator (Note J)</t>
  </si>
  <si>
    <t>(Note I)</t>
  </si>
  <si>
    <t>(Note H)</t>
  </si>
  <si>
    <t xml:space="preserve"> (Note G)</t>
  </si>
  <si>
    <t xml:space="preserve">       and FIT, SIT &amp; p are as given in Note G.</t>
  </si>
  <si>
    <t>(Note E)</t>
  </si>
  <si>
    <t>ATRR - WP_B-1 Line 26 Col. (d)</t>
  </si>
  <si>
    <t>ATRR - WP_B-1 Line 27 Col. (d)</t>
  </si>
  <si>
    <t>ATRR - WP_B-1 Line 28 Col. (d)</t>
  </si>
  <si>
    <t>ATRR - WP_B-1 Line 29 Col. (d)</t>
  </si>
  <si>
    <t>ATRR - WP_D-1 Line 5</t>
  </si>
  <si>
    <t>ATRR - WP_D-1 Line 9</t>
  </si>
  <si>
    <t>ATRR - WP_D-1 Line 12</t>
  </si>
  <si>
    <t>ATRR - WP_B-1 Col (a), Line 3</t>
  </si>
  <si>
    <t>ATRR - WP_B-4 Col. (c), Line 15</t>
  </si>
  <si>
    <t>ATRR - WP_C-1 Line 31 Col. (b)</t>
  </si>
  <si>
    <t>ATRR - WP_G-1 Col (n), Line 6</t>
  </si>
  <si>
    <t>Public Service Company of Colorado</t>
  </si>
  <si>
    <t>ATRR - WP_G-1 Col (n), Line 8</t>
  </si>
  <si>
    <t>ATRR - WP_G-1 Col (n), Line 14</t>
  </si>
  <si>
    <t>ATRR Act Col. (3), Line 3 plus Line 25</t>
  </si>
  <si>
    <t>Line 12</t>
  </si>
  <si>
    <t>/kW-month</t>
  </si>
  <si>
    <t>kW</t>
  </si>
  <si>
    <t>(Line 1 / Line 4) / 12</t>
  </si>
  <si>
    <t>ATRR Act Col. (3), Line 2</t>
  </si>
  <si>
    <t>ATRR Act Col. (3), Line 4</t>
  </si>
  <si>
    <t>ATRR Act Col. (3), Line 5</t>
  </si>
  <si>
    <t>ATRR Act Col. (3), Line 6</t>
  </si>
  <si>
    <t>ATRR Act Col. (3), Line 7</t>
  </si>
  <si>
    <t>ATRR Act Col. (3), Line 8</t>
  </si>
  <si>
    <t>ATRR Act Col. (3), Line 15</t>
  </si>
  <si>
    <t>ATRR Act Col. (3), Line 13</t>
  </si>
  <si>
    <t>ATRR Act Col. (3), Line 16</t>
  </si>
  <si>
    <t>ATRR Act Col. (3), Line 17</t>
  </si>
  <si>
    <t>ATRR Act Col. (3), Line 18</t>
  </si>
  <si>
    <t>ATRR Act Col. (3), Line 19</t>
  </si>
  <si>
    <t>Gross Plant</t>
  </si>
  <si>
    <t>December</t>
  </si>
  <si>
    <t>January</t>
  </si>
  <si>
    <t>February</t>
  </si>
  <si>
    <t>March</t>
  </si>
  <si>
    <t>April</t>
  </si>
  <si>
    <t>May</t>
  </si>
  <si>
    <t>June</t>
  </si>
  <si>
    <t>July</t>
  </si>
  <si>
    <t>August</t>
  </si>
  <si>
    <t>September</t>
  </si>
  <si>
    <t>October</t>
  </si>
  <si>
    <t>November</t>
  </si>
  <si>
    <t>Accumulated Depreciation and Amortization</t>
  </si>
  <si>
    <t>Depreciation Expense</t>
  </si>
  <si>
    <t>Gen Tie Rate Base Data Inputs</t>
  </si>
  <si>
    <t xml:space="preserve">Gen Tie Rate  </t>
  </si>
  <si>
    <t>Gen Tie</t>
  </si>
  <si>
    <t>ADIT</t>
  </si>
  <si>
    <t>BOY</t>
  </si>
  <si>
    <t>EOY</t>
  </si>
  <si>
    <t>Avg BOY/EOY</t>
  </si>
  <si>
    <t>ATRR - WP_B-Inputs Est. Line 117</t>
  </si>
  <si>
    <t>Line 18</t>
  </si>
  <si>
    <t>ATRR Act Col. (3), Line 140</t>
  </si>
  <si>
    <t>ATRR Act Col. (3), Line 142</t>
  </si>
  <si>
    <t>ATRR Act Col. (3), Line 143</t>
  </si>
  <si>
    <t>ATRR Act Col. (3), Line 144</t>
  </si>
  <si>
    <t>ATRR Act Col. (5), Line 149</t>
  </si>
  <si>
    <r>
      <t xml:space="preserve">  Monthly Rate ($/kW-Mo) (</t>
    </r>
    <r>
      <rPr>
        <i/>
        <sz val="10"/>
        <rFont val="Arial"/>
        <family val="2"/>
      </rPr>
      <t>preliminary; subject to update)</t>
    </r>
  </si>
  <si>
    <r>
      <t>Rush Creek Line Thermal Capacity (</t>
    </r>
    <r>
      <rPr>
        <i/>
        <sz val="10"/>
        <rFont val="Arial"/>
        <family val="2"/>
      </rPr>
      <t>predicted</t>
    </r>
    <r>
      <rPr>
        <sz val="10"/>
        <rFont val="Arial"/>
        <family val="2"/>
      </rPr>
      <t>)</t>
    </r>
  </si>
  <si>
    <t>Cost Support for Estimated Rush Creek Gen Tie Stated Rate (Note B)</t>
  </si>
  <si>
    <r>
      <t>Revenue Requirement (</t>
    </r>
    <r>
      <rPr>
        <b/>
        <i/>
        <sz val="10"/>
        <rFont val="Arial"/>
        <family val="2"/>
      </rPr>
      <t>estimated</t>
    </r>
    <r>
      <rPr>
        <b/>
        <sz val="10"/>
        <rFont val="Arial"/>
        <family val="2"/>
      </rPr>
      <t xml:space="preserve">) </t>
    </r>
  </si>
  <si>
    <t>Removes the dollars of plant booked to transmission plant but excluded from Attachment O-PSCo because it does not meet the Tariff's definition of Transmission</t>
  </si>
  <si>
    <t xml:space="preserve">  Assumes PSCo has no preferred stock.</t>
  </si>
  <si>
    <t xml:space="preserve">Reflects the estimated BOY/EOY average of the generation tie-related portion of balances in Accounts 281, 282, 283, 190 and 255 as adjusted by any amounts in contra accounts identified as regulatory assets or liabilities related to FASB 106, 109, 133, 158 or FASB Interpretation No. 48. Balance of Account 255 is reduced by prior flow throughs and completely excluded if the utility chose to utilize amortization of tax credits against taxable income as discussed in Note G. </t>
  </si>
  <si>
    <t>If a change in an income tax rate is known sufficiently in advance to be reflected in the initial stated rates, PSCo will reflect the new tax rate(s) in the estimated rate calculations for the months in which the initial stated rate will be in effect.</t>
  </si>
  <si>
    <t xml:space="preserve">  Facilities, or booked to transmission (e.g. step-up transformers) and included in the development of OATT ancillary service rates,</t>
  </si>
  <si>
    <t xml:space="preserve">  or otherwise not eligible to be recovered under the Tariff.</t>
  </si>
  <si>
    <t xml:space="preserve">Return on Equity assumed to be 9.72%, the currently effective ROE applicable to Attachment O-PSCo transmission rate formula.   </t>
  </si>
  <si>
    <t>Predicted Rush Creek Gen Tie total thermal capacity.</t>
  </si>
  <si>
    <t>Rush Creek Gen Tie Rate Effective Aug 1, 2018</t>
  </si>
  <si>
    <t>Calculation of the Schedule 19 Rush Creek Gen Tie Use - Stated Rate</t>
  </si>
  <si>
    <r>
      <t xml:space="preserve">All cost values are estimates and subject to update not less than </t>
    </r>
    <r>
      <rPr>
        <b/>
        <i/>
        <sz val="10"/>
        <color rgb="FFFF0000"/>
        <rFont val="Arial"/>
        <family val="2"/>
      </rPr>
      <t xml:space="preserve">30 </t>
    </r>
    <r>
      <rPr>
        <b/>
        <i/>
        <sz val="10"/>
        <rFont val="Arial"/>
        <family val="2"/>
      </rPr>
      <t>days before the in-service date of the Gen Tie; certain allocators are based on 2015 actuals for illustrative purposes.</t>
    </r>
  </si>
  <si>
    <t>R=</t>
  </si>
  <si>
    <t xml:space="preserve">      1 / (1 - T)  = (from ln 68)</t>
  </si>
  <si>
    <t xml:space="preserve">       where WCLTD=(line 106) and R= (line 109)</t>
  </si>
  <si>
    <t>Sum Lines (49, 51, 63, 69, 78)</t>
  </si>
  <si>
    <t xml:space="preserve">Expense related specifically to the Operation and Maintenance of the Generation Tie from company records. </t>
  </si>
</sst>
</file>

<file path=xl/styles.xml><?xml version="1.0" encoding="utf-8"?>
<styleSheet xmlns="http://schemas.openxmlformats.org/spreadsheetml/2006/main" xmlns:mc="http://schemas.openxmlformats.org/markup-compatibility/2006" xmlns:x14ac="http://schemas.microsoft.com/office/spreadsheetml/2009/9/ac" mc:Ignorable="x14ac">
  <numFmts count="48">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0_);_(&quot;$&quot;* \(#,##0.000\);_(&quot;$&quot;* &quot;-&quot;??_);_(@_)"/>
    <numFmt numFmtId="167" formatCode="&quot;$&quot;#,##0.00"/>
    <numFmt numFmtId="168" formatCode="_(* #,##0.0000_);_(* \(#,##0.0000\);_(* &quot;-&quot;_);_(@_)"/>
    <numFmt numFmtId="169" formatCode="0.000%"/>
    <numFmt numFmtId="170" formatCode="0.00000"/>
    <numFmt numFmtId="171" formatCode="#,##0.0000"/>
    <numFmt numFmtId="172" formatCode="0.0000"/>
    <numFmt numFmtId="173" formatCode="&quot;$&quot;#,##0"/>
    <numFmt numFmtId="174" formatCode="m\-d\-yy"/>
    <numFmt numFmtId="175" formatCode="&quot;$&quot;#,##0.0;[Red]\-&quot;$&quot;#,##0.0"/>
    <numFmt numFmtId="176" formatCode="_(* #,##0.000_);_(* \(#,##0.000\);_(* &quot;-&quot;??_);_(@_)"/>
    <numFmt numFmtId="177" formatCode=";;;\(@\)"/>
    <numFmt numFmtId="178" formatCode="_(* #,##0.0_);_(* \(#,##0.0\);_(* &quot;-&quot;_0_);_(@_)"/>
    <numFmt numFmtId="179" formatCode="#,##0\ ;[Red]\(#,##0\)"/>
    <numFmt numFmtId="180" formatCode="#,##0."/>
    <numFmt numFmtId="181" formatCode="#,##0.0"/>
    <numFmt numFmtId="182" formatCode="&quot; &quot;&quot;$&quot;* #,##0.00&quot;/kw  &quot;"/>
    <numFmt numFmtId="183" formatCode="_(&quot;$&quot;* #,##0.0000_);_(&quot;$&quot;* \(#,##0.0000\);_(&quot;$&quot;* &quot;-&quot;????_);_(@_)"/>
    <numFmt numFmtId="184" formatCode="\$#."/>
    <numFmt numFmtId="185" formatCode="m/d/yy\ h:mm"/>
    <numFmt numFmtId="186" formatCode="0."/>
    <numFmt numFmtId="187" formatCode="_-* #,##0.0_-;\-* #,##0.0_-;_-* &quot;-&quot;??_-;_-@_-"/>
    <numFmt numFmtId="188" formatCode="#,##0.00&quot; $&quot;;\-#,##0.00&quot; $&quot;"/>
    <numFmt numFmtId="189" formatCode="* #,##0&quot;  &quot;\ "/>
    <numFmt numFmtId="190" formatCode="_(&quot;N$&quot;* #,##0_);_(&quot;N$&quot;* \(#,##0\);_(&quot;N$&quot;* &quot;-&quot;_);_(@_)"/>
    <numFmt numFmtId="191" formatCode="_(&quot;N$&quot;* #,##0.00_);_(&quot;N$&quot;* \(#,##0.00\);_(&quot;N$&quot;* &quot;-&quot;??_);_(@_)"/>
    <numFmt numFmtId="192" formatCode="0.00_)"/>
    <numFmt numFmtId="193" formatCode="#,##0.0000\ ;[Red]\(#,##0.0000\)"/>
    <numFmt numFmtId="194" formatCode="General_)"/>
    <numFmt numFmtId="195" formatCode="_(* #,##0_);_(* \(#,##0\);_(* &quot;&quot;_);_(@_)"/>
    <numFmt numFmtId="196" formatCode="_(* 0%_);_(* \(0%\);_(* \-_%_)"/>
    <numFmt numFmtId="197" formatCode="%#."/>
    <numFmt numFmtId="198" formatCode="#,##0.0\ \ \ \ ;[Red]\(#,##0.0\)\ \ "/>
    <numFmt numFmtId="199" formatCode="0.0\ \ \ \ \ \ ;[Red]\(0.0\)\ \ \ \ "/>
    <numFmt numFmtId="200" formatCode="0.0\ \ \ \ \ \ \ \ ;[Red]\(0.0\)\ \ \ \ \ \ "/>
    <numFmt numFmtId="201" formatCode="mmm\ dd\,\ yyyy"/>
    <numFmt numFmtId="202" formatCode="mmm\-yyyy"/>
    <numFmt numFmtId="203" formatCode="yyyy"/>
    <numFmt numFmtId="204" formatCode="_(* #,##0,_);_(* \(#,##0,\);_(* &quot;-   &quot;_);_(@_)"/>
    <numFmt numFmtId="205" formatCode="_(* #,##0.0,_);_(* \(#,##0.0,\);_(* &quot;-   &quot;_);_(@_)"/>
  </numFmts>
  <fonts count="50">
    <font>
      <sz val="10"/>
      <name val="Arial"/>
    </font>
    <font>
      <sz val="11"/>
      <color theme="1"/>
      <name val="Calibri"/>
      <family val="2"/>
      <scheme val="minor"/>
    </font>
    <font>
      <sz val="10"/>
      <name val="Arial"/>
      <family val="2"/>
    </font>
    <font>
      <b/>
      <sz val="10"/>
      <name val="Arial"/>
      <family val="2"/>
    </font>
    <font>
      <sz val="10"/>
      <name val="Arial"/>
      <family val="2"/>
    </font>
    <font>
      <sz val="12"/>
      <name val="Arial MT"/>
    </font>
    <font>
      <b/>
      <u/>
      <sz val="10"/>
      <name val="Arial"/>
      <family val="2"/>
    </font>
    <font>
      <sz val="10"/>
      <color indexed="8"/>
      <name val="Arial"/>
      <family val="2"/>
    </font>
    <font>
      <sz val="9"/>
      <color indexed="10"/>
      <name val="Geneva"/>
    </font>
    <font>
      <sz val="10"/>
      <name val="Times New Roman"/>
      <family val="1"/>
    </font>
    <font>
      <sz val="10"/>
      <name val="Geneva"/>
      <family val="2"/>
    </font>
    <font>
      <b/>
      <sz val="10"/>
      <color indexed="10"/>
      <name val="Arial"/>
      <family val="2"/>
    </font>
    <font>
      <sz val="10"/>
      <name val="Tms Rmn"/>
    </font>
    <font>
      <u val="singleAccounting"/>
      <sz val="10"/>
      <name val="Times"/>
      <family val="1"/>
    </font>
    <font>
      <sz val="10"/>
      <name val="Arial Narrow"/>
      <family val="2"/>
    </font>
    <font>
      <b/>
      <i/>
      <sz val="12"/>
      <color indexed="12"/>
      <name val="Arial"/>
      <family val="2"/>
    </font>
    <font>
      <sz val="11"/>
      <color indexed="8"/>
      <name val="Calibri"/>
      <family val="2"/>
    </font>
    <font>
      <sz val="12"/>
      <name val="ZapfCalligr BT"/>
    </font>
    <font>
      <sz val="8"/>
      <name val="Arial"/>
      <family val="2"/>
    </font>
    <font>
      <sz val="1"/>
      <color indexed="8"/>
      <name val="Courier"/>
      <family val="3"/>
    </font>
    <font>
      <sz val="12"/>
      <name val="Helv"/>
    </font>
    <font>
      <sz val="8"/>
      <name val="BERNHARD"/>
    </font>
    <font>
      <b/>
      <sz val="8"/>
      <name val="Arial"/>
      <family val="2"/>
    </font>
    <font>
      <sz val="12"/>
      <name val="Arial"/>
      <family val="2"/>
    </font>
    <font>
      <sz val="11"/>
      <name val="??"/>
      <family val="3"/>
      <charset val="129"/>
    </font>
    <font>
      <sz val="12"/>
      <name val="Times New Roman"/>
      <family val="1"/>
    </font>
    <font>
      <sz val="10"/>
      <name val="Helv"/>
    </font>
    <font>
      <sz val="9"/>
      <name val="Geneva"/>
      <family val="2"/>
    </font>
    <font>
      <sz val="10"/>
      <color indexed="17"/>
      <name val="Arial"/>
      <family val="2"/>
    </font>
    <font>
      <b/>
      <u/>
      <sz val="11"/>
      <color indexed="37"/>
      <name val="Arial"/>
      <family val="2"/>
    </font>
    <font>
      <sz val="10"/>
      <color indexed="12"/>
      <name val="Arial"/>
      <family val="2"/>
    </font>
    <font>
      <sz val="7"/>
      <name val="Small Fonts"/>
      <family val="2"/>
    </font>
    <font>
      <b/>
      <i/>
      <sz val="16"/>
      <name val="Helv"/>
    </font>
    <font>
      <sz val="12"/>
      <color indexed="12"/>
      <name val="Helv"/>
    </font>
    <font>
      <sz val="11"/>
      <color theme="1"/>
      <name val="Times New Roman"/>
      <family val="2"/>
    </font>
    <font>
      <sz val="10"/>
      <name val="MS Sans Serif"/>
      <family val="2"/>
    </font>
    <font>
      <sz val="8"/>
      <name val="Courier"/>
      <family val="3"/>
    </font>
    <font>
      <sz val="10"/>
      <name val="Courier"/>
      <family val="3"/>
    </font>
    <font>
      <b/>
      <sz val="10"/>
      <name val="MS Sans Serif"/>
      <family val="2"/>
    </font>
    <font>
      <sz val="10"/>
      <color indexed="12"/>
      <name val="MS Sans Serif"/>
      <family val="2"/>
    </font>
    <font>
      <sz val="8"/>
      <color indexed="8"/>
      <name val="Arial"/>
      <family val="2"/>
    </font>
    <font>
      <b/>
      <sz val="12"/>
      <name val="Arial"/>
      <family val="2"/>
    </font>
    <font>
      <b/>
      <sz val="10"/>
      <color indexed="12"/>
      <name val="MS Sans Serif"/>
      <family val="2"/>
    </font>
    <font>
      <sz val="5.5"/>
      <name val="Small Fonts"/>
      <family val="2"/>
    </font>
    <font>
      <sz val="8"/>
      <color indexed="12"/>
      <name val="Arial"/>
      <family val="2"/>
    </font>
    <font>
      <sz val="10"/>
      <color rgb="FFFF0000"/>
      <name val="Arial"/>
      <family val="2"/>
    </font>
    <font>
      <sz val="10"/>
      <name val="Arial"/>
    </font>
    <font>
      <i/>
      <sz val="10"/>
      <name val="Arial"/>
      <family val="2"/>
    </font>
    <font>
      <b/>
      <i/>
      <sz val="10"/>
      <name val="Arial"/>
      <family val="2"/>
    </font>
    <font>
      <b/>
      <i/>
      <sz val="10"/>
      <color rgb="FFFF0000"/>
      <name val="Arial"/>
      <family val="2"/>
    </font>
  </fonts>
  <fills count="19">
    <fill>
      <patternFill patternType="none"/>
    </fill>
    <fill>
      <patternFill patternType="gray125"/>
    </fill>
    <fill>
      <patternFill patternType="solid">
        <fgColor rgb="FFFFFF99"/>
        <bgColor indexed="64"/>
      </patternFill>
    </fill>
    <fill>
      <patternFill patternType="solid">
        <fgColor indexed="43"/>
        <bgColor indexed="64"/>
      </patternFill>
    </fill>
    <fill>
      <patternFill patternType="solid">
        <fgColor indexed="27"/>
      </patternFill>
    </fill>
    <fill>
      <patternFill patternType="solid">
        <fgColor indexed="51"/>
      </patternFill>
    </fill>
    <fill>
      <patternFill patternType="solid">
        <fgColor indexed="44"/>
        <bgColor indexed="64"/>
      </patternFill>
    </fill>
    <fill>
      <patternFill patternType="solid">
        <fgColor indexed="42"/>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31"/>
        <bgColor indexed="64"/>
      </patternFill>
    </fill>
    <fill>
      <patternFill patternType="solid">
        <fgColor indexed="35"/>
        <bgColor indexed="64"/>
      </patternFill>
    </fill>
    <fill>
      <patternFill patternType="lightGray"/>
    </fill>
    <fill>
      <patternFill patternType="gray0625"/>
    </fill>
    <fill>
      <patternFill patternType="solid">
        <fgColor indexed="42"/>
        <bgColor indexed="64"/>
      </patternFill>
    </fill>
    <fill>
      <patternFill patternType="solid">
        <fgColor indexed="31"/>
        <bgColor indexed="8"/>
      </patternFill>
    </fill>
    <fill>
      <patternFill patternType="solid">
        <fgColor indexed="43"/>
        <bgColor indexed="8"/>
      </patternFill>
    </fill>
    <fill>
      <patternFill patternType="solid">
        <fgColor rgb="FFFFFF00"/>
        <bgColor indexed="64"/>
      </patternFill>
    </fill>
  </fills>
  <borders count="22">
    <border>
      <left/>
      <right/>
      <top/>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right/>
      <top/>
      <bottom style="double">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64"/>
      </bottom>
      <diagonal/>
    </border>
    <border>
      <left/>
      <right/>
      <top style="thin">
        <color indexed="22"/>
      </top>
      <bottom style="thin">
        <color indexed="64"/>
      </bottom>
      <diagonal/>
    </border>
    <border>
      <left style="double">
        <color indexed="64"/>
      </left>
      <right/>
      <top/>
      <bottom style="hair">
        <color indexed="64"/>
      </bottom>
      <diagonal/>
    </border>
    <border>
      <left style="thin">
        <color indexed="64"/>
      </left>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double">
        <color indexed="12"/>
      </left>
      <right style="double">
        <color indexed="12"/>
      </right>
      <top style="double">
        <color indexed="12"/>
      </top>
      <bottom style="dotted">
        <color indexed="12"/>
      </bottom>
      <diagonal/>
    </border>
    <border>
      <left style="thin">
        <color indexed="22"/>
      </left>
      <right style="thin">
        <color indexed="22"/>
      </right>
      <top/>
      <bottom style="thin">
        <color indexed="22"/>
      </bottom>
      <diagonal/>
    </border>
    <border>
      <left style="thin">
        <color indexed="22"/>
      </left>
      <right style="thin">
        <color indexed="22"/>
      </right>
      <top style="thin">
        <color indexed="64"/>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style="medium">
        <color indexed="39"/>
      </top>
      <bottom/>
      <diagonal/>
    </border>
    <border>
      <left style="medium">
        <color indexed="39"/>
      </left>
      <right/>
      <top style="medium">
        <color indexed="39"/>
      </top>
      <bottom/>
      <diagonal/>
    </border>
    <border>
      <left style="thick">
        <color indexed="12"/>
      </left>
      <right style="thick">
        <color indexed="12"/>
      </right>
      <top style="thick">
        <color indexed="12"/>
      </top>
      <bottom/>
      <diagonal/>
    </border>
  </borders>
  <cellStyleXfs count="360">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167" fontId="5" fillId="0" borderId="0" applyProtection="0"/>
    <xf numFmtId="9" fontId="4" fillId="0" borderId="0" applyFont="0" applyFill="0" applyBorder="0" applyAlignment="0" applyProtection="0"/>
    <xf numFmtId="167" fontId="5" fillId="0" borderId="0" applyProtection="0"/>
    <xf numFmtId="0" fontId="7" fillId="0" borderId="0">
      <alignment vertical="top"/>
    </xf>
    <xf numFmtId="0" fontId="8" fillId="0" borderId="0"/>
    <xf numFmtId="0" fontId="2" fillId="0" borderId="0" applyNumberFormat="0" applyFill="0" applyBorder="0" applyAlignment="0" applyProtection="0"/>
    <xf numFmtId="0" fontId="4" fillId="0" borderId="0" applyNumberFormat="0" applyFill="0" applyBorder="0" applyAlignment="0" applyProtection="0"/>
    <xf numFmtId="0" fontId="7" fillId="4" borderId="0" applyNumberFormat="0" applyBorder="0" applyAlignment="0" applyProtection="0"/>
    <xf numFmtId="0" fontId="7" fillId="5" borderId="0" applyNumberFormat="0" applyBorder="0" applyAlignment="0" applyProtection="0"/>
    <xf numFmtId="174" fontId="3" fillId="6" borderId="9">
      <alignment horizontal="center" vertical="center"/>
    </xf>
    <xf numFmtId="175" fontId="9" fillId="6" borderId="9">
      <alignment horizontal="center" vertical="center"/>
    </xf>
    <xf numFmtId="0" fontId="10" fillId="0" borderId="0" applyNumberFormat="0" applyFont="0" applyFill="0" applyBorder="0" applyProtection="0">
      <alignment vertical="top" wrapText="1"/>
    </xf>
    <xf numFmtId="0" fontId="3" fillId="3" borderId="0" applyNumberFormat="0" applyFont="0" applyAlignment="0">
      <alignment vertical="top"/>
    </xf>
    <xf numFmtId="0" fontId="4" fillId="3" borderId="0" applyNumberFormat="0" applyFont="0" applyAlignment="0">
      <alignment vertical="top" wrapText="1"/>
    </xf>
    <xf numFmtId="176" fontId="11" fillId="0" borderId="10" applyNumberFormat="0" applyFill="0" applyBorder="0" applyAlignment="0" applyProtection="0">
      <alignment horizontal="center"/>
    </xf>
    <xf numFmtId="0" fontId="12" fillId="0" borderId="0"/>
    <xf numFmtId="177" fontId="13" fillId="0" borderId="0">
      <alignment horizontal="center" wrapText="1"/>
    </xf>
    <xf numFmtId="41" fontId="4" fillId="0" borderId="0" applyFont="0" applyFill="0" applyBorder="0" applyAlignment="0" applyProtection="0"/>
    <xf numFmtId="178" fontId="14" fillId="0" borderId="0" applyFont="0" applyFill="0" applyBorder="0" applyAlignment="0" applyProtection="0">
      <alignment vertical="center"/>
    </xf>
    <xf numFmtId="4" fontId="15" fillId="0" borderId="3" applyFont="0" applyFill="0" applyBorder="0" applyAlignment="0">
      <alignment horizontal="center" vertical="center"/>
    </xf>
    <xf numFmtId="43" fontId="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NumberFormat="0" applyFill="0" applyBorder="0" applyAlignment="0" applyProtection="0"/>
    <xf numFmtId="43" fontId="4"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17"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38" fontId="18" fillId="0" borderId="0">
      <alignment horizontal="right"/>
    </xf>
    <xf numFmtId="179" fontId="10" fillId="0" borderId="0" applyFont="0" applyFill="0" applyBorder="0" applyAlignment="0" applyProtection="0"/>
    <xf numFmtId="180" fontId="19" fillId="0" borderId="0">
      <protection locked="0"/>
    </xf>
    <xf numFmtId="0" fontId="20" fillId="0" borderId="0"/>
    <xf numFmtId="0" fontId="21" fillId="0" borderId="0"/>
    <xf numFmtId="180" fontId="19" fillId="0" borderId="0">
      <protection locked="0"/>
    </xf>
    <xf numFmtId="181" fontId="9" fillId="0" borderId="0" applyFont="0" applyFill="0" applyBorder="0" applyAlignment="0" applyProtection="0"/>
    <xf numFmtId="181" fontId="9" fillId="0" borderId="0" applyFont="0" applyFill="0" applyBorder="0" applyAlignment="0" applyProtection="0"/>
    <xf numFmtId="4" fontId="9" fillId="0" borderId="0" applyFont="0" applyFill="0" applyBorder="0" applyAlignment="0" applyProtection="0"/>
    <xf numFmtId="4" fontId="9" fillId="0" borderId="0" applyFont="0" applyFill="0" applyBorder="0" applyAlignment="0" applyProtection="0"/>
    <xf numFmtId="4" fontId="22" fillId="0" borderId="0"/>
    <xf numFmtId="182" fontId="23" fillId="0" borderId="0">
      <protection locked="0"/>
    </xf>
    <xf numFmtId="44" fontId="14" fillId="0" borderId="0" applyFont="0" applyFill="0" applyBorder="0" applyAlignment="0" applyProtection="0"/>
    <xf numFmtId="183" fontId="14"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7"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84" fontId="19" fillId="0" borderId="0">
      <protection locked="0"/>
    </xf>
    <xf numFmtId="6" fontId="24" fillId="0" borderId="0">
      <protection locked="0"/>
    </xf>
    <xf numFmtId="185" fontId="4" fillId="0" borderId="0" applyFont="0" applyFill="0" applyBorder="0" applyAlignment="0" applyProtection="0">
      <alignment wrapText="1"/>
    </xf>
    <xf numFmtId="185" fontId="4" fillId="0" borderId="0" applyFont="0" applyFill="0" applyBorder="0" applyAlignment="0" applyProtection="0">
      <alignment wrapText="1"/>
    </xf>
    <xf numFmtId="16" fontId="18" fillId="0" borderId="0">
      <alignment horizontal="right"/>
    </xf>
    <xf numFmtId="15" fontId="18" fillId="0" borderId="0">
      <alignment horizontal="right"/>
    </xf>
    <xf numFmtId="186" fontId="25" fillId="0" borderId="0"/>
    <xf numFmtId="187" fontId="2" fillId="0" borderId="0">
      <protection locked="0"/>
    </xf>
    <xf numFmtId="187" fontId="4" fillId="0" borderId="0">
      <protection locked="0"/>
    </xf>
    <xf numFmtId="187" fontId="4" fillId="0" borderId="0">
      <protection locked="0"/>
    </xf>
    <xf numFmtId="0" fontId="26" fillId="0" borderId="0"/>
    <xf numFmtId="0" fontId="26" fillId="0" borderId="0"/>
    <xf numFmtId="0" fontId="27" fillId="0" borderId="0" applyNumberFormat="0" applyFill="0" applyBorder="0" applyAlignment="0" applyProtection="0"/>
    <xf numFmtId="0" fontId="28" fillId="7" borderId="0" applyNumberFormat="0" applyBorder="0" applyAlignment="0" applyProtection="0"/>
    <xf numFmtId="38" fontId="18" fillId="8" borderId="0" applyNumberFormat="0" applyBorder="0" applyAlignment="0" applyProtection="0"/>
    <xf numFmtId="38" fontId="18" fillId="8" borderId="0" applyNumberFormat="0" applyBorder="0" applyAlignment="0" applyProtection="0"/>
    <xf numFmtId="0" fontId="29" fillId="0" borderId="0" applyNumberFormat="0" applyFill="0" applyBorder="0" applyAlignment="0" applyProtection="0"/>
    <xf numFmtId="188" fontId="2" fillId="0" borderId="0">
      <protection locked="0"/>
    </xf>
    <xf numFmtId="188" fontId="4" fillId="0" borderId="0">
      <protection locked="0"/>
    </xf>
    <xf numFmtId="188" fontId="4" fillId="0" borderId="0">
      <protection locked="0"/>
    </xf>
    <xf numFmtId="188" fontId="2" fillId="0" borderId="0">
      <protection locked="0"/>
    </xf>
    <xf numFmtId="188" fontId="4" fillId="0" borderId="0">
      <protection locked="0"/>
    </xf>
    <xf numFmtId="188" fontId="4" fillId="0" borderId="0">
      <protection locked="0"/>
    </xf>
    <xf numFmtId="0" fontId="30" fillId="0" borderId="11" applyNumberFormat="0" applyFill="0" applyAlignment="0" applyProtection="0"/>
    <xf numFmtId="10" fontId="18" fillId="9" borderId="12" applyNumberFormat="0" applyBorder="0" applyAlignment="0" applyProtection="0"/>
    <xf numFmtId="10" fontId="18" fillId="9" borderId="12" applyNumberFormat="0" applyBorder="0" applyAlignment="0" applyProtection="0"/>
    <xf numFmtId="189" fontId="23" fillId="0" borderId="0">
      <alignment horizontal="center"/>
      <protection locked="0"/>
    </xf>
    <xf numFmtId="190" fontId="4" fillId="0" borderId="0" applyFont="0" applyFill="0" applyBorder="0" applyAlignment="0" applyProtection="0"/>
    <xf numFmtId="191" fontId="4" fillId="0" borderId="0" applyFont="0" applyFill="0" applyBorder="0" applyAlignment="0" applyProtection="0"/>
    <xf numFmtId="37" fontId="31" fillId="0" borderId="0"/>
    <xf numFmtId="192" fontId="32" fillId="0" borderId="0"/>
    <xf numFmtId="193" fontId="9" fillId="0" borderId="0"/>
    <xf numFmtId="37" fontId="26" fillId="0" borderId="0"/>
    <xf numFmtId="37" fontId="33" fillId="0" borderId="0"/>
    <xf numFmtId="0" fontId="1" fillId="0" borderId="0"/>
    <xf numFmtId="0" fontId="4" fillId="0" borderId="0"/>
    <xf numFmtId="0" fontId="4" fillId="0" borderId="0"/>
    <xf numFmtId="0" fontId="1" fillId="0" borderId="0"/>
    <xf numFmtId="0" fontId="16" fillId="0" borderId="0"/>
    <xf numFmtId="0" fontId="1" fillId="0" borderId="0"/>
    <xf numFmtId="0" fontId="4"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3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protection locked="0"/>
    </xf>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194" fontId="23" fillId="0" borderId="0"/>
    <xf numFmtId="0" fontId="36"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7" fillId="0" borderId="0">
      <alignment vertical="top"/>
    </xf>
    <xf numFmtId="0" fontId="1" fillId="0" borderId="0"/>
    <xf numFmtId="0" fontId="1" fillId="0" borderId="0"/>
    <xf numFmtId="194" fontId="37" fillId="0" borderId="0"/>
    <xf numFmtId="0" fontId="4"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6" fillId="0" borderId="0"/>
    <xf numFmtId="0" fontId="1" fillId="0" borderId="0"/>
    <xf numFmtId="0" fontId="1" fillId="0" borderId="0"/>
    <xf numFmtId="0" fontId="4" fillId="0" borderId="0"/>
    <xf numFmtId="0" fontId="1" fillId="0" borderId="0"/>
    <xf numFmtId="0" fontId="1" fillId="0" borderId="0"/>
    <xf numFmtId="0" fontId="4" fillId="0" borderId="0"/>
    <xf numFmtId="195" fontId="2" fillId="0" borderId="0"/>
    <xf numFmtId="195" fontId="4" fillId="0" borderId="0"/>
    <xf numFmtId="196" fontId="14" fillId="0" borderId="0" applyFont="0" applyFill="0" applyBorder="0" applyAlignment="0" applyProtection="0"/>
    <xf numFmtId="10" fontId="2"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97" fontId="19" fillId="0" borderId="0">
      <protection locked="0"/>
    </xf>
    <xf numFmtId="0" fontId="35" fillId="0" borderId="0" applyNumberFormat="0" applyFont="0" applyFill="0" applyBorder="0" applyAlignment="0" applyProtection="0">
      <alignment horizontal="left"/>
    </xf>
    <xf numFmtId="15" fontId="35" fillId="0" borderId="0" applyFont="0" applyFill="0" applyBorder="0" applyAlignment="0" applyProtection="0"/>
    <xf numFmtId="4" fontId="35" fillId="0" borderId="0" applyFont="0" applyFill="0" applyBorder="0" applyAlignment="0" applyProtection="0"/>
    <xf numFmtId="0" fontId="38" fillId="0" borderId="13">
      <alignment horizontal="center"/>
    </xf>
    <xf numFmtId="3" fontId="35" fillId="0" borderId="0" applyFont="0" applyFill="0" applyBorder="0" applyAlignment="0" applyProtection="0"/>
    <xf numFmtId="0" fontId="35" fillId="10" borderId="0" applyNumberFormat="0" applyFont="0" applyBorder="0" applyAlignment="0" applyProtection="0"/>
    <xf numFmtId="0" fontId="39" fillId="0" borderId="14"/>
    <xf numFmtId="165" fontId="22" fillId="0" borderId="0"/>
    <xf numFmtId="3" fontId="40" fillId="0" borderId="15" applyBorder="0">
      <alignment horizontal="right" wrapText="1"/>
    </xf>
    <xf numFmtId="4" fontId="40" fillId="0" borderId="16" applyBorder="0">
      <alignment horizontal="right" wrapText="1"/>
    </xf>
    <xf numFmtId="0" fontId="4" fillId="11" borderId="17" applyNumberFormat="0" applyProtection="0">
      <alignment horizontal="left" vertical="center" indent="1"/>
    </xf>
    <xf numFmtId="4" fontId="7" fillId="12" borderId="17" applyNumberFormat="0" applyProtection="0">
      <alignment horizontal="right" vertical="center"/>
    </xf>
    <xf numFmtId="0" fontId="4" fillId="11" borderId="17" applyNumberFormat="0" applyProtection="0">
      <alignment horizontal="left" vertical="center" indent="1"/>
    </xf>
    <xf numFmtId="0" fontId="4" fillId="11" borderId="17" applyNumberFormat="0" applyProtection="0">
      <alignment horizontal="left" vertical="center" indent="1"/>
    </xf>
    <xf numFmtId="0" fontId="10" fillId="13" borderId="0" applyNumberFormat="0" applyFont="0" applyBorder="0" applyAlignment="0" applyProtection="0"/>
    <xf numFmtId="0" fontId="10" fillId="14" borderId="0" applyNumberFormat="0" applyFont="0" applyBorder="0" applyAlignment="0" applyProtection="0"/>
    <xf numFmtId="0" fontId="10" fillId="1" borderId="0" applyNumberFormat="0" applyFont="0" applyBorder="0" applyAlignment="0" applyProtection="0"/>
    <xf numFmtId="198" fontId="10" fillId="0" borderId="0" applyFont="0" applyFill="0" applyBorder="0" applyAlignment="0" applyProtection="0"/>
    <xf numFmtId="199" fontId="10" fillId="0" borderId="0" applyFont="0" applyFill="0" applyBorder="0" applyAlignment="0" applyProtection="0"/>
    <xf numFmtId="200" fontId="10" fillId="0" borderId="0" applyFont="0" applyFill="0" applyBorder="0" applyAlignment="0" applyProtection="0"/>
    <xf numFmtId="0" fontId="7" fillId="0" borderId="0">
      <alignment vertical="top"/>
    </xf>
    <xf numFmtId="0" fontId="3" fillId="15" borderId="18" applyFill="0">
      <alignment horizontal="center"/>
    </xf>
    <xf numFmtId="0" fontId="3" fillId="15" borderId="18" applyFill="0">
      <alignment horizontal="center"/>
    </xf>
    <xf numFmtId="0" fontId="3" fillId="15" borderId="18" applyFill="0">
      <alignment horizontal="center"/>
    </xf>
    <xf numFmtId="0" fontId="3" fillId="15" borderId="18" applyFill="0">
      <alignment horizontal="center"/>
    </xf>
    <xf numFmtId="0" fontId="3" fillId="16" borderId="19" applyNumberFormat="0" applyProtection="0">
      <alignment horizontal="center" wrapText="1"/>
    </xf>
    <xf numFmtId="0" fontId="3" fillId="16" borderId="19" applyNumberFormat="0" applyProtection="0">
      <alignment horizontal="center" wrapText="1"/>
    </xf>
    <xf numFmtId="0" fontId="3" fillId="16" borderId="20" applyNumberFormat="0" applyAlignment="0" applyProtection="0">
      <alignment wrapText="1"/>
    </xf>
    <xf numFmtId="0" fontId="3" fillId="16" borderId="20" applyNumberFormat="0" applyAlignment="0" applyProtection="0">
      <alignment wrapText="1"/>
    </xf>
    <xf numFmtId="0" fontId="4" fillId="17" borderId="0" applyNumberFormat="0" applyBorder="0">
      <alignment horizontal="center" wrapText="1"/>
    </xf>
    <xf numFmtId="0" fontId="4" fillId="17" borderId="0" applyNumberFormat="0" applyBorder="0">
      <alignment horizontal="center" wrapText="1"/>
    </xf>
    <xf numFmtId="0" fontId="4" fillId="17" borderId="0" applyNumberFormat="0" applyBorder="0">
      <alignment wrapText="1"/>
    </xf>
    <xf numFmtId="0" fontId="4" fillId="17" borderId="0" applyNumberFormat="0" applyBorder="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201" fontId="4" fillId="0" borderId="0" applyFill="0" applyBorder="0" applyAlignment="0" applyProtection="0">
      <alignment wrapText="1"/>
    </xf>
    <xf numFmtId="201" fontId="4" fillId="0" borderId="0" applyFill="0" applyBorder="0" applyAlignment="0" applyProtection="0">
      <alignment wrapText="1"/>
    </xf>
    <xf numFmtId="202" fontId="4" fillId="0" borderId="0" applyFill="0" applyBorder="0" applyAlignment="0" applyProtection="0">
      <alignment wrapText="1"/>
    </xf>
    <xf numFmtId="202" fontId="4" fillId="0" borderId="0" applyFill="0" applyBorder="0" applyAlignment="0" applyProtection="0">
      <alignment wrapText="1"/>
    </xf>
    <xf numFmtId="203" fontId="4" fillId="0" borderId="0" applyFill="0" applyBorder="0" applyAlignment="0" applyProtection="0">
      <alignment wrapText="1"/>
    </xf>
    <xf numFmtId="203" fontId="4" fillId="0" borderId="0" applyFill="0" applyBorder="0" applyAlignment="0" applyProtection="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8" fontId="4" fillId="0" borderId="0" applyFill="0" applyBorder="0" applyAlignment="0" applyProtection="0">
      <alignment wrapText="1"/>
    </xf>
    <xf numFmtId="8" fontId="4" fillId="0" borderId="0" applyFill="0" applyBorder="0" applyAlignment="0" applyProtection="0">
      <alignment wrapText="1"/>
    </xf>
    <xf numFmtId="0" fontId="41" fillId="0" borderId="0" applyNumberFormat="0" applyFill="0" applyBorder="0">
      <alignment horizontal="left" wrapText="1"/>
    </xf>
    <xf numFmtId="0" fontId="41" fillId="0" borderId="0" applyNumberFormat="0" applyFill="0" applyBorder="0">
      <alignment horizontal="left"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42" fillId="0" borderId="21"/>
    <xf numFmtId="0" fontId="43" fillId="0" borderId="0">
      <alignment horizontal="centerContinuous" vertical="center" wrapText="1"/>
    </xf>
    <xf numFmtId="0" fontId="10" fillId="0" borderId="0" applyNumberFormat="0" applyFont="0" applyFill="0" applyBorder="0" applyProtection="0">
      <alignment horizontal="center" wrapText="1"/>
    </xf>
    <xf numFmtId="0" fontId="10" fillId="0" borderId="0" applyNumberFormat="0" applyFont="0" applyFill="0" applyBorder="0" applyProtection="0">
      <alignment horizontal="centerContinuous" vertical="center" wrapText="1"/>
    </xf>
    <xf numFmtId="0" fontId="2" fillId="0" borderId="0"/>
    <xf numFmtId="0" fontId="4" fillId="0" borderId="0"/>
    <xf numFmtId="204" fontId="2" fillId="0" borderId="0">
      <alignment wrapText="1"/>
    </xf>
    <xf numFmtId="204" fontId="4" fillId="0" borderId="0">
      <alignment wrapText="1"/>
    </xf>
    <xf numFmtId="205" fontId="2" fillId="0" borderId="0">
      <alignment wrapText="1"/>
    </xf>
    <xf numFmtId="205" fontId="4" fillId="0" borderId="0">
      <alignment wrapText="1"/>
    </xf>
    <xf numFmtId="188" fontId="4" fillId="0" borderId="5">
      <protection locked="0"/>
    </xf>
    <xf numFmtId="37" fontId="18" fillId="3" borderId="0" applyNumberFormat="0" applyBorder="0" applyAlignment="0" applyProtection="0"/>
    <xf numFmtId="37" fontId="18" fillId="3" borderId="0" applyNumberFormat="0" applyBorder="0" applyAlignment="0" applyProtection="0"/>
    <xf numFmtId="37" fontId="18" fillId="0" borderId="0"/>
    <xf numFmtId="37" fontId="18" fillId="0" borderId="0"/>
    <xf numFmtId="3" fontId="44" fillId="0" borderId="11" applyProtection="0"/>
    <xf numFmtId="0" fontId="37" fillId="0" borderId="0"/>
    <xf numFmtId="0" fontId="10" fillId="0" borderId="0" applyNumberFormat="0" applyFont="0" applyFill="0" applyBorder="0" applyProtection="0"/>
    <xf numFmtId="0" fontId="10" fillId="0" borderId="0" applyNumberFormat="0" applyFont="0" applyFill="0" applyBorder="0" applyProtection="0">
      <alignment vertical="center"/>
    </xf>
    <xf numFmtId="0" fontId="10" fillId="0" borderId="0" applyNumberFormat="0" applyFont="0" applyFill="0" applyBorder="0" applyProtection="0">
      <alignment vertical="top"/>
    </xf>
    <xf numFmtId="0" fontId="10" fillId="0" borderId="0" applyNumberFormat="0" applyFont="0" applyFill="0" applyBorder="0" applyProtection="0">
      <alignment wrapText="1"/>
    </xf>
  </cellStyleXfs>
  <cellXfs count="169">
    <xf numFmtId="0" fontId="0" fillId="0" borderId="0" xfId="0"/>
    <xf numFmtId="0" fontId="4" fillId="0" borderId="0" xfId="0" applyFont="1"/>
    <xf numFmtId="0" fontId="3" fillId="0" borderId="1" xfId="0" applyFont="1" applyBorder="1" applyAlignment="1">
      <alignment horizontal="center"/>
    </xf>
    <xf numFmtId="0" fontId="3" fillId="0" borderId="1" xfId="0" applyFont="1" applyBorder="1" applyAlignment="1">
      <alignment horizontal="center" wrapText="1"/>
    </xf>
    <xf numFmtId="0" fontId="4" fillId="0" borderId="0" xfId="0" applyFont="1" applyAlignment="1">
      <alignment horizontal="center" vertical="top"/>
    </xf>
    <xf numFmtId="0" fontId="4" fillId="0" borderId="0" xfId="0" applyFont="1" applyFill="1" applyAlignment="1">
      <alignment horizontal="center" vertical="top"/>
    </xf>
    <xf numFmtId="0" fontId="4" fillId="0" borderId="0" xfId="0" applyFont="1" applyAlignment="1">
      <alignment vertical="top"/>
    </xf>
    <xf numFmtId="0" fontId="4" fillId="0" borderId="0" xfId="4" applyNumberFormat="1" applyFont="1" applyAlignment="1" applyProtection="1">
      <protection locked="0"/>
    </xf>
    <xf numFmtId="167" fontId="4" fillId="0" borderId="0" xfId="4" applyFont="1" applyAlignment="1"/>
    <xf numFmtId="0" fontId="3" fillId="0" borderId="0" xfId="4" applyNumberFormat="1" applyFont="1" applyAlignment="1" applyProtection="1">
      <protection locked="0"/>
    </xf>
    <xf numFmtId="3" fontId="3" fillId="0" borderId="0" xfId="4" applyNumberFormat="1" applyFont="1" applyAlignment="1" applyProtection="1">
      <protection locked="0"/>
    </xf>
    <xf numFmtId="3" fontId="4" fillId="0" borderId="0" xfId="4" applyNumberFormat="1" applyFont="1" applyAlignment="1" applyProtection="1">
      <protection locked="0"/>
    </xf>
    <xf numFmtId="0" fontId="4" fillId="0" borderId="0" xfId="4" applyNumberFormat="1" applyFont="1" applyProtection="1">
      <protection locked="0"/>
    </xf>
    <xf numFmtId="49" fontId="4" fillId="0" borderId="0" xfId="4" applyNumberFormat="1" applyFont="1" applyAlignment="1" applyProtection="1">
      <alignment horizontal="center"/>
      <protection locked="0"/>
    </xf>
    <xf numFmtId="49" fontId="4" fillId="0" borderId="0" xfId="4" applyNumberFormat="1" applyFont="1" applyProtection="1">
      <protection locked="0"/>
    </xf>
    <xf numFmtId="0" fontId="4" fillId="0" borderId="0" xfId="4" applyNumberFormat="1" applyFont="1" applyAlignment="1" applyProtection="1">
      <alignment horizontal="center"/>
      <protection locked="0"/>
    </xf>
    <xf numFmtId="0" fontId="3" fillId="0" borderId="1" xfId="4" applyNumberFormat="1" applyFont="1" applyBorder="1" applyAlignment="1" applyProtection="1">
      <alignment horizontal="center"/>
      <protection locked="0"/>
    </xf>
    <xf numFmtId="0" fontId="3" fillId="0" borderId="1" xfId="4" applyNumberFormat="1" applyFont="1" applyFill="1" applyBorder="1" applyAlignment="1" applyProtection="1">
      <alignment horizontal="center"/>
      <protection locked="0"/>
    </xf>
    <xf numFmtId="167" fontId="3" fillId="0" borderId="1" xfId="4" applyFont="1" applyFill="1" applyBorder="1" applyAlignment="1" applyProtection="1">
      <alignment horizontal="center"/>
      <protection locked="0"/>
    </xf>
    <xf numFmtId="0" fontId="4" fillId="0" borderId="0" xfId="4" applyNumberFormat="1" applyFont="1" applyFill="1" applyAlignment="1" applyProtection="1">
      <alignment horizontal="center"/>
      <protection locked="0"/>
    </xf>
    <xf numFmtId="49" fontId="4" fillId="0" borderId="0" xfId="4" applyNumberFormat="1" applyFont="1" applyFill="1" applyAlignment="1" applyProtection="1">
      <alignment horizontal="center"/>
      <protection locked="0"/>
    </xf>
    <xf numFmtId="3" fontId="4" fillId="0" borderId="0" xfId="4" applyNumberFormat="1" applyFont="1" applyFill="1" applyBorder="1" applyAlignment="1" applyProtection="1">
      <alignment horizontal="center"/>
      <protection locked="0"/>
    </xf>
    <xf numFmtId="3" fontId="4" fillId="0" borderId="0" xfId="4" applyNumberFormat="1" applyFont="1" applyFill="1" applyAlignment="1" applyProtection="1">
      <protection locked="0"/>
    </xf>
    <xf numFmtId="0" fontId="4" fillId="0" borderId="0" xfId="4" applyNumberFormat="1" applyFont="1" applyFill="1" applyBorder="1" applyAlignment="1" applyProtection="1">
      <protection locked="0"/>
    </xf>
    <xf numFmtId="41" fontId="4" fillId="0" borderId="0" xfId="4" applyNumberFormat="1" applyFont="1" applyFill="1" applyAlignment="1" applyProtection="1">
      <protection locked="0"/>
    </xf>
    <xf numFmtId="3" fontId="4" fillId="0" borderId="0" xfId="4" applyNumberFormat="1" applyFont="1" applyFill="1" applyAlignment="1" applyProtection="1">
      <alignment horizontal="center"/>
      <protection locked="0"/>
    </xf>
    <xf numFmtId="10" fontId="4" fillId="0" borderId="0" xfId="3" applyNumberFormat="1" applyFont="1" applyFill="1" applyAlignment="1" applyProtection="1">
      <alignment horizontal="center"/>
      <protection locked="0"/>
    </xf>
    <xf numFmtId="0" fontId="4" fillId="0" borderId="0" xfId="4" applyNumberFormat="1" applyFont="1" applyFill="1" applyBorder="1" applyAlignment="1" applyProtection="1">
      <alignment vertical="center"/>
      <protection locked="0"/>
    </xf>
    <xf numFmtId="3" fontId="4" fillId="0" borderId="0" xfId="4" applyNumberFormat="1" applyFont="1" applyFill="1" applyAlignment="1" applyProtection="1">
      <alignment horizontal="center" vertical="center"/>
      <protection locked="0"/>
    </xf>
    <xf numFmtId="10" fontId="4" fillId="0" borderId="0" xfId="3" applyNumberFormat="1" applyFont="1" applyFill="1" applyAlignment="1" applyProtection="1">
      <alignment horizontal="center" vertical="center"/>
      <protection locked="0"/>
    </xf>
    <xf numFmtId="0" fontId="4" fillId="0" borderId="0" xfId="4" applyNumberFormat="1" applyFont="1" applyFill="1" applyAlignment="1" applyProtection="1">
      <protection locked="0"/>
    </xf>
    <xf numFmtId="0" fontId="4" fillId="0" borderId="0" xfId="4" applyNumberFormat="1" applyFont="1" applyFill="1" applyAlignment="1" applyProtection="1">
      <alignment horizontal="left"/>
      <protection locked="0"/>
    </xf>
    <xf numFmtId="41" fontId="4" fillId="0" borderId="1" xfId="4" applyNumberFormat="1" applyFont="1" applyFill="1" applyBorder="1" applyAlignment="1" applyProtection="1">
      <protection locked="0"/>
    </xf>
    <xf numFmtId="0" fontId="4" fillId="0" borderId="0" xfId="0" applyFont="1" applyFill="1"/>
    <xf numFmtId="167" fontId="3" fillId="0" borderId="0" xfId="4" applyFont="1" applyFill="1" applyAlignment="1" applyProtection="1">
      <alignment horizontal="center"/>
      <protection locked="0"/>
    </xf>
    <xf numFmtId="10" fontId="3" fillId="0" borderId="0" xfId="3" applyNumberFormat="1" applyFont="1" applyFill="1" applyAlignment="1" applyProtection="1">
      <alignment horizontal="center"/>
      <protection locked="0"/>
    </xf>
    <xf numFmtId="167" fontId="4" fillId="0" borderId="0" xfId="4" applyFont="1" applyFill="1" applyAlignment="1" applyProtection="1">
      <alignment horizontal="center"/>
      <protection locked="0"/>
    </xf>
    <xf numFmtId="167" fontId="4" fillId="0" borderId="0" xfId="4" applyFont="1" applyAlignment="1" applyProtection="1">
      <protection locked="0"/>
    </xf>
    <xf numFmtId="0" fontId="4" fillId="0" borderId="0" xfId="4" applyNumberFormat="1" applyFont="1" applyBorder="1" applyAlignment="1" applyProtection="1">
      <protection locked="0"/>
    </xf>
    <xf numFmtId="43" fontId="4" fillId="0" borderId="0" xfId="4" applyNumberFormat="1" applyFont="1" applyFill="1" applyAlignment="1" applyProtection="1">
      <protection locked="0"/>
    </xf>
    <xf numFmtId="43" fontId="4" fillId="0" borderId="1" xfId="4" applyNumberFormat="1" applyFont="1" applyFill="1" applyBorder="1" applyAlignment="1" applyProtection="1">
      <protection locked="0"/>
    </xf>
    <xf numFmtId="41" fontId="4" fillId="0" borderId="0" xfId="4" applyNumberFormat="1" applyFont="1" applyAlignment="1" applyProtection="1">
      <protection locked="0"/>
    </xf>
    <xf numFmtId="3" fontId="3" fillId="0" borderId="0" xfId="4" applyNumberFormat="1" applyFont="1" applyFill="1" applyAlignment="1" applyProtection="1">
      <alignment horizontal="center"/>
      <protection locked="0"/>
    </xf>
    <xf numFmtId="167" fontId="4" fillId="0" borderId="0" xfId="4" applyFont="1" applyFill="1" applyAlignment="1">
      <alignment horizontal="center"/>
    </xf>
    <xf numFmtId="41" fontId="4" fillId="0" borderId="0" xfId="4" applyNumberFormat="1" applyFont="1" applyFill="1" applyAlignment="1"/>
    <xf numFmtId="10" fontId="4" fillId="0" borderId="0" xfId="3" applyNumberFormat="1" applyFont="1" applyAlignment="1" applyProtection="1">
      <alignment horizontal="center"/>
      <protection locked="0"/>
    </xf>
    <xf numFmtId="41" fontId="4" fillId="0" borderId="1" xfId="4" applyNumberFormat="1" applyFont="1" applyBorder="1" applyAlignment="1" applyProtection="1">
      <protection locked="0"/>
    </xf>
    <xf numFmtId="169" fontId="4" fillId="0" borderId="0" xfId="4" applyNumberFormat="1" applyFont="1" applyAlignment="1" applyProtection="1">
      <alignment horizontal="center"/>
      <protection locked="0"/>
    </xf>
    <xf numFmtId="41" fontId="4" fillId="0" borderId="0" xfId="4" applyNumberFormat="1" applyFont="1" applyBorder="1" applyAlignment="1" applyProtection="1">
      <protection locked="0"/>
    </xf>
    <xf numFmtId="10" fontId="4" fillId="0" borderId="0" xfId="5" applyNumberFormat="1" applyFont="1" applyBorder="1" applyAlignment="1" applyProtection="1">
      <protection locked="0"/>
    </xf>
    <xf numFmtId="10" fontId="4" fillId="0" borderId="0" xfId="3" applyNumberFormat="1" applyFont="1" applyBorder="1" applyAlignment="1" applyProtection="1">
      <protection locked="0"/>
    </xf>
    <xf numFmtId="169" fontId="4" fillId="0" borderId="0" xfId="4" applyNumberFormat="1" applyFont="1" applyFill="1" applyBorder="1" applyAlignment="1" applyProtection="1">
      <alignment horizontal="left"/>
      <protection locked="0"/>
    </xf>
    <xf numFmtId="41" fontId="4" fillId="0" borderId="4" xfId="4" applyNumberFormat="1" applyFont="1" applyBorder="1" applyAlignment="1" applyProtection="1">
      <protection locked="0"/>
    </xf>
    <xf numFmtId="41" fontId="4" fillId="0" borderId="0" xfId="4" applyNumberFormat="1" applyFont="1" applyAlignment="1" applyProtection="1">
      <alignment horizontal="center"/>
      <protection locked="0"/>
    </xf>
    <xf numFmtId="167" fontId="4" fillId="0" borderId="0" xfId="4" applyFont="1" applyAlignment="1" applyProtection="1">
      <alignment horizontal="center"/>
      <protection locked="0"/>
    </xf>
    <xf numFmtId="0" fontId="3" fillId="0" borderId="0" xfId="4" applyNumberFormat="1" applyFont="1" applyAlignment="1" applyProtection="1">
      <alignment horizontal="center"/>
      <protection locked="0"/>
    </xf>
    <xf numFmtId="3" fontId="3" fillId="0" borderId="0" xfId="4" applyNumberFormat="1" applyFont="1" applyAlignment="1" applyProtection="1">
      <alignment horizontal="center"/>
      <protection locked="0"/>
    </xf>
    <xf numFmtId="3" fontId="3" fillId="0" borderId="1" xfId="4" applyNumberFormat="1" applyFont="1" applyFill="1" applyBorder="1" applyAlignment="1" applyProtection="1">
      <alignment horizontal="center"/>
      <protection locked="0"/>
    </xf>
    <xf numFmtId="0" fontId="6" fillId="0" borderId="0" xfId="4" applyNumberFormat="1" applyFont="1" applyFill="1" applyAlignment="1" applyProtection="1">
      <alignment horizontal="center"/>
      <protection locked="0"/>
    </xf>
    <xf numFmtId="0" fontId="6" fillId="0" borderId="0" xfId="4" applyNumberFormat="1" applyFont="1" applyAlignment="1" applyProtection="1">
      <alignment horizontal="center"/>
      <protection locked="0"/>
    </xf>
    <xf numFmtId="10" fontId="4" fillId="0" borderId="0" xfId="3" applyNumberFormat="1" applyFont="1" applyFill="1" applyAlignment="1" applyProtection="1">
      <protection locked="0"/>
    </xf>
    <xf numFmtId="167" fontId="4" fillId="0" borderId="0" xfId="4" applyFont="1" applyBorder="1" applyAlignment="1" applyProtection="1">
      <protection locked="0"/>
    </xf>
    <xf numFmtId="3" fontId="4" fillId="0" borderId="0" xfId="4" applyNumberFormat="1" applyFont="1" applyAlignment="1" applyProtection="1">
      <alignment horizontal="center"/>
      <protection locked="0"/>
    </xf>
    <xf numFmtId="167" fontId="4" fillId="0" borderId="0" xfId="4" applyFont="1" applyFill="1" applyAlignment="1" applyProtection="1">
      <protection locked="0"/>
    </xf>
    <xf numFmtId="41" fontId="3" fillId="0" borderId="0" xfId="4" applyNumberFormat="1" applyFont="1" applyAlignment="1" applyProtection="1">
      <protection locked="0"/>
    </xf>
    <xf numFmtId="41" fontId="4" fillId="0" borderId="0" xfId="4" applyNumberFormat="1" applyFont="1" applyFill="1" applyAlignment="1" applyProtection="1">
      <alignment vertical="center"/>
      <protection locked="0"/>
    </xf>
    <xf numFmtId="41" fontId="4" fillId="0" borderId="0" xfId="4" applyNumberFormat="1" applyFont="1" applyFill="1" applyBorder="1" applyAlignment="1" applyProtection="1">
      <alignment vertical="center"/>
      <protection locked="0"/>
    </xf>
    <xf numFmtId="41" fontId="4" fillId="0" borderId="3" xfId="4" applyNumberFormat="1" applyFont="1" applyBorder="1" applyAlignment="1" applyProtection="1">
      <protection locked="0"/>
    </xf>
    <xf numFmtId="0" fontId="4" fillId="0" borderId="0" xfId="4" applyNumberFormat="1" applyFont="1" applyBorder="1" applyAlignment="1" applyProtection="1">
      <alignment horizontal="left"/>
      <protection locked="0"/>
    </xf>
    <xf numFmtId="170" fontId="4" fillId="0" borderId="0" xfId="4" applyNumberFormat="1" applyFont="1" applyAlignment="1" applyProtection="1">
      <protection locked="0"/>
    </xf>
    <xf numFmtId="169" fontId="4" fillId="0" borderId="0" xfId="4" applyNumberFormat="1" applyFont="1" applyBorder="1" applyAlignment="1" applyProtection="1">
      <alignment horizontal="left"/>
      <protection locked="0"/>
    </xf>
    <xf numFmtId="10" fontId="4" fillId="0" borderId="0" xfId="4" applyNumberFormat="1" applyFont="1" applyFill="1" applyAlignment="1" applyProtection="1">
      <alignment horizontal="right"/>
      <protection locked="0"/>
    </xf>
    <xf numFmtId="9" fontId="4" fillId="0" borderId="0" xfId="3" applyFont="1" applyAlignment="1" applyProtection="1">
      <protection locked="0"/>
    </xf>
    <xf numFmtId="10" fontId="4" fillId="0" borderId="0" xfId="6" applyNumberFormat="1" applyFont="1" applyFill="1" applyAlignment="1">
      <alignment horizontal="right"/>
    </xf>
    <xf numFmtId="9" fontId="4" fillId="0" borderId="0" xfId="3" applyFont="1" applyBorder="1" applyAlignment="1" applyProtection="1">
      <protection locked="0"/>
    </xf>
    <xf numFmtId="10" fontId="4" fillId="0" borderId="0" xfId="3" applyNumberFormat="1" applyFont="1" applyAlignment="1" applyProtection="1">
      <alignment horizontal="right"/>
      <protection locked="0"/>
    </xf>
    <xf numFmtId="170" fontId="4" fillId="0" borderId="0" xfId="4" applyNumberFormat="1" applyFont="1" applyAlignment="1" applyProtection="1">
      <alignment horizontal="center"/>
      <protection locked="0"/>
    </xf>
    <xf numFmtId="168" fontId="4" fillId="0" borderId="0" xfId="4" applyNumberFormat="1" applyFont="1" applyFill="1" applyAlignment="1" applyProtection="1">
      <alignment horizontal="right"/>
      <protection locked="0"/>
    </xf>
    <xf numFmtId="10" fontId="4" fillId="0" borderId="0" xfId="4" applyNumberFormat="1" applyFont="1" applyFill="1" applyAlignment="1" applyProtection="1">
      <alignment horizontal="left"/>
      <protection locked="0"/>
    </xf>
    <xf numFmtId="171" fontId="4" fillId="0" borderId="0" xfId="4" applyNumberFormat="1" applyFont="1" applyAlignment="1" applyProtection="1">
      <protection locked="0"/>
    </xf>
    <xf numFmtId="3" fontId="4" fillId="0" borderId="0" xfId="4" applyNumberFormat="1" applyFont="1" applyAlignment="1" applyProtection="1">
      <alignment horizontal="right"/>
      <protection locked="0"/>
    </xf>
    <xf numFmtId="41" fontId="4" fillId="0" borderId="5" xfId="4" applyNumberFormat="1" applyFont="1" applyBorder="1" applyAlignment="1" applyProtection="1">
      <protection locked="0"/>
    </xf>
    <xf numFmtId="41" fontId="3" fillId="0" borderId="6" xfId="4" applyNumberFormat="1" applyFont="1" applyBorder="1" applyAlignment="1" applyProtection="1">
      <protection locked="0"/>
    </xf>
    <xf numFmtId="0" fontId="4" fillId="0" borderId="0" xfId="4" applyNumberFormat="1" applyFont="1" applyFill="1" applyProtection="1">
      <protection locked="0"/>
    </xf>
    <xf numFmtId="3" fontId="4" fillId="0" borderId="0" xfId="4" applyNumberFormat="1" applyFont="1" applyFill="1" applyBorder="1" applyAlignment="1" applyProtection="1">
      <protection locked="0"/>
    </xf>
    <xf numFmtId="0" fontId="4" fillId="0" borderId="0" xfId="4" applyNumberFormat="1" applyFont="1" applyFill="1" applyAlignment="1" applyProtection="1">
      <alignment horizontal="left" indent="1"/>
      <protection locked="0"/>
    </xf>
    <xf numFmtId="167" fontId="4" fillId="0" borderId="0" xfId="4" applyFont="1" applyFill="1" applyBorder="1" applyAlignment="1" applyProtection="1">
      <alignment horizontal="center"/>
      <protection locked="0"/>
    </xf>
    <xf numFmtId="167" fontId="4" fillId="0" borderId="0" xfId="4" applyFont="1" applyFill="1" applyBorder="1" applyAlignment="1" applyProtection="1">
      <protection locked="0"/>
    </xf>
    <xf numFmtId="0" fontId="4" fillId="0" borderId="0" xfId="4" applyNumberFormat="1" applyFont="1" applyFill="1" applyBorder="1" applyAlignment="1" applyProtection="1">
      <alignment horizontal="left"/>
      <protection locked="0"/>
    </xf>
    <xf numFmtId="49" fontId="4" fillId="0" borderId="0" xfId="4" applyNumberFormat="1" applyFont="1" applyFill="1" applyBorder="1" applyAlignment="1" applyProtection="1">
      <protection locked="0"/>
    </xf>
    <xf numFmtId="3" fontId="3" fillId="0" borderId="0" xfId="4" applyNumberFormat="1" applyFont="1" applyFill="1" applyBorder="1" applyAlignment="1" applyProtection="1">
      <alignment horizontal="right"/>
      <protection locked="0"/>
    </xf>
    <xf numFmtId="10" fontId="3" fillId="0" borderId="0" xfId="3" applyNumberFormat="1" applyFont="1" applyFill="1" applyBorder="1" applyAlignment="1" applyProtection="1">
      <alignment horizontal="right"/>
      <protection locked="0"/>
    </xf>
    <xf numFmtId="41" fontId="4" fillId="0" borderId="1" xfId="3" applyNumberFormat="1" applyFont="1" applyFill="1" applyBorder="1" applyAlignment="1" applyProtection="1">
      <alignment horizontal="right"/>
      <protection locked="0"/>
    </xf>
    <xf numFmtId="41" fontId="4" fillId="0" borderId="2" xfId="4" applyNumberFormat="1" applyFont="1" applyFill="1" applyBorder="1" applyAlignment="1" applyProtection="1">
      <protection locked="0"/>
    </xf>
    <xf numFmtId="10" fontId="3" fillId="0" borderId="0" xfId="3" applyNumberFormat="1" applyFont="1" applyAlignment="1"/>
    <xf numFmtId="10" fontId="3" fillId="3" borderId="2" xfId="5" applyNumberFormat="1" applyFont="1" applyFill="1" applyBorder="1" applyAlignment="1">
      <alignment horizontal="right"/>
    </xf>
    <xf numFmtId="10" fontId="4" fillId="0" borderId="8" xfId="3" applyNumberFormat="1" applyFont="1" applyBorder="1" applyAlignment="1"/>
    <xf numFmtId="0" fontId="4" fillId="0" borderId="1" xfId="4" applyNumberFormat="1" applyFont="1" applyBorder="1" applyAlignment="1" applyProtection="1">
      <alignment horizontal="center"/>
      <protection locked="0"/>
    </xf>
    <xf numFmtId="172" fontId="4" fillId="0" borderId="0" xfId="4" applyNumberFormat="1" applyFont="1" applyFill="1" applyAlignment="1" applyProtection="1">
      <protection locked="0"/>
    </xf>
    <xf numFmtId="172" fontId="4" fillId="0" borderId="1" xfId="4" applyNumberFormat="1" applyFont="1" applyFill="1" applyBorder="1" applyAlignment="1" applyProtection="1">
      <protection locked="0"/>
    </xf>
    <xf numFmtId="3" fontId="3" fillId="0" borderId="0" xfId="4" applyNumberFormat="1" applyFont="1" applyFill="1" applyAlignment="1" applyProtection="1">
      <alignment horizontal="right"/>
      <protection locked="0"/>
    </xf>
    <xf numFmtId="172" fontId="3" fillId="0" borderId="0" xfId="4" applyNumberFormat="1" applyFont="1" applyFill="1" applyAlignment="1" applyProtection="1">
      <protection locked="0"/>
    </xf>
    <xf numFmtId="167" fontId="4" fillId="0" borderId="0" xfId="4" applyFont="1" applyFill="1" applyBorder="1" applyAlignment="1">
      <alignment horizontal="center"/>
    </xf>
    <xf numFmtId="167" fontId="3" fillId="0" borderId="0" xfId="4" applyNumberFormat="1" applyFont="1" applyAlignment="1" applyProtection="1">
      <protection locked="0"/>
    </xf>
    <xf numFmtId="167" fontId="3" fillId="0" borderId="0" xfId="4" applyFont="1" applyAlignment="1"/>
    <xf numFmtId="173" fontId="4" fillId="0" borderId="0" xfId="4" applyNumberFormat="1" applyFont="1" applyProtection="1">
      <protection locked="0"/>
    </xf>
    <xf numFmtId="0" fontId="4" fillId="0" borderId="0" xfId="4" applyNumberFormat="1" applyFont="1" applyBorder="1" applyAlignment="1" applyProtection="1">
      <alignment horizontal="center"/>
      <protection locked="0"/>
    </xf>
    <xf numFmtId="10" fontId="4" fillId="3" borderId="2" xfId="4" applyNumberFormat="1" applyFont="1" applyFill="1" applyBorder="1" applyProtection="1">
      <protection locked="0"/>
    </xf>
    <xf numFmtId="0" fontId="3" fillId="0" borderId="0" xfId="0" applyFont="1" applyAlignment="1">
      <alignment vertical="top"/>
    </xf>
    <xf numFmtId="0" fontId="3" fillId="0" borderId="0" xfId="0" applyFont="1" applyAlignment="1">
      <alignment horizontal="right" vertical="top"/>
    </xf>
    <xf numFmtId="164" fontId="4" fillId="0" borderId="0" xfId="2" applyNumberFormat="1" applyFont="1" applyAlignment="1">
      <alignment vertical="top"/>
    </xf>
    <xf numFmtId="43" fontId="4" fillId="0" borderId="0" xfId="0" applyNumberFormat="1" applyFont="1" applyAlignment="1">
      <alignment vertical="top"/>
    </xf>
    <xf numFmtId="5" fontId="4" fillId="0" borderId="0" xfId="0" applyNumberFormat="1" applyFont="1" applyAlignment="1">
      <alignment vertical="top"/>
    </xf>
    <xf numFmtId="165" fontId="4" fillId="2" borderId="0" xfId="1" applyNumberFormat="1" applyFont="1" applyFill="1" applyAlignment="1">
      <alignment vertical="top"/>
    </xf>
    <xf numFmtId="166" fontId="4" fillId="0" borderId="0" xfId="2" applyNumberFormat="1" applyFont="1" applyFill="1" applyAlignment="1">
      <alignment vertical="top"/>
    </xf>
    <xf numFmtId="0" fontId="4" fillId="0" borderId="1" xfId="0" applyFont="1" applyBorder="1" applyAlignment="1"/>
    <xf numFmtId="0" fontId="4" fillId="0" borderId="0" xfId="0" applyFont="1" applyFill="1" applyAlignment="1">
      <alignment horizontal="left"/>
    </xf>
    <xf numFmtId="0" fontId="4" fillId="0" borderId="0" xfId="4" applyNumberFormat="1" applyFont="1" applyBorder="1" applyAlignment="1" applyProtection="1">
      <alignment horizontal="center" vertical="top"/>
      <protection locked="0"/>
    </xf>
    <xf numFmtId="0" fontId="2" fillId="0" borderId="0" xfId="0" applyFont="1" applyFill="1" applyAlignment="1">
      <alignment horizontal="center" vertical="top"/>
    </xf>
    <xf numFmtId="3" fontId="2" fillId="0" borderId="0" xfId="4" applyNumberFormat="1" applyFont="1" applyFill="1" applyAlignment="1" applyProtection="1">
      <alignment horizontal="left"/>
      <protection locked="0"/>
    </xf>
    <xf numFmtId="3" fontId="2" fillId="0" borderId="0" xfId="4" applyNumberFormat="1" applyFont="1" applyFill="1" applyAlignment="1" applyProtection="1">
      <protection locked="0"/>
    </xf>
    <xf numFmtId="0" fontId="2" fillId="0" borderId="0" xfId="0" applyFont="1" applyFill="1" applyAlignment="1">
      <alignment vertical="top" wrapText="1"/>
    </xf>
    <xf numFmtId="0" fontId="4" fillId="0" borderId="0" xfId="0" applyFont="1" applyFill="1" applyAlignment="1">
      <alignment vertical="top" wrapText="1"/>
    </xf>
    <xf numFmtId="0" fontId="4" fillId="0" borderId="0" xfId="0" applyFont="1" applyFill="1" applyAlignment="1">
      <alignment vertical="top"/>
    </xf>
    <xf numFmtId="0" fontId="2" fillId="0" borderId="0" xfId="0" applyFont="1" applyFill="1" applyAlignment="1">
      <alignment vertical="top"/>
    </xf>
    <xf numFmtId="0" fontId="2" fillId="0" borderId="0" xfId="4" applyNumberFormat="1" applyFont="1" applyFill="1" applyAlignment="1" applyProtection="1">
      <protection locked="0"/>
    </xf>
    <xf numFmtId="0" fontId="3" fillId="0" borderId="0" xfId="0" applyFont="1" applyAlignment="1">
      <alignment horizontal="left"/>
    </xf>
    <xf numFmtId="0" fontId="0" fillId="0" borderId="0" xfId="0" applyAlignment="1">
      <alignment horizontal="center"/>
    </xf>
    <xf numFmtId="165" fontId="11" fillId="0" borderId="0" xfId="0" applyNumberFormat="1" applyFont="1"/>
    <xf numFmtId="0" fontId="3" fillId="0" borderId="0" xfId="0" applyFont="1"/>
    <xf numFmtId="165" fontId="0" fillId="0" borderId="0" xfId="0" applyNumberFormat="1"/>
    <xf numFmtId="0" fontId="3" fillId="0" borderId="12" xfId="0" applyFont="1" applyBorder="1" applyAlignment="1">
      <alignment horizontal="center" wrapText="1"/>
    </xf>
    <xf numFmtId="0" fontId="0" fillId="0" borderId="0" xfId="0" applyFill="1" applyAlignment="1">
      <alignment horizontal="center" wrapText="1"/>
    </xf>
    <xf numFmtId="0" fontId="0" fillId="0" borderId="0" xfId="0" applyAlignment="1">
      <alignment horizontal="center" vertical="top"/>
    </xf>
    <xf numFmtId="165" fontId="46" fillId="3" borderId="15" xfId="1" applyNumberFormat="1" applyFont="1" applyFill="1" applyBorder="1"/>
    <xf numFmtId="165" fontId="46" fillId="3" borderId="7" xfId="1" applyNumberFormat="1" applyFont="1" applyFill="1" applyBorder="1"/>
    <xf numFmtId="165" fontId="2" fillId="0" borderId="0" xfId="1" applyNumberFormat="1" applyFill="1" applyBorder="1"/>
    <xf numFmtId="0" fontId="3" fillId="0" borderId="1" xfId="0" applyFont="1" applyBorder="1" applyAlignment="1">
      <alignment wrapText="1"/>
    </xf>
    <xf numFmtId="165" fontId="46" fillId="3" borderId="6" xfId="1" applyNumberFormat="1" applyFont="1" applyFill="1" applyBorder="1"/>
    <xf numFmtId="0" fontId="0" fillId="0" borderId="0" xfId="0" applyAlignment="1">
      <alignment horizontal="center" vertical="top" wrapText="1"/>
    </xf>
    <xf numFmtId="0" fontId="0" fillId="0" borderId="0" xfId="0" applyAlignment="1">
      <alignment horizontal="center" wrapText="1"/>
    </xf>
    <xf numFmtId="0" fontId="2" fillId="0" borderId="0" xfId="0" applyFont="1" applyFill="1" applyBorder="1"/>
    <xf numFmtId="0" fontId="2" fillId="0" borderId="0" xfId="0" applyFont="1"/>
    <xf numFmtId="0" fontId="2" fillId="0" borderId="0" xfId="4" applyNumberFormat="1" applyFont="1" applyFill="1" applyBorder="1" applyAlignment="1" applyProtection="1">
      <alignment horizontal="left"/>
      <protection locked="0"/>
    </xf>
    <xf numFmtId="0" fontId="45" fillId="0" borderId="0" xfId="0" applyFont="1" applyFill="1"/>
    <xf numFmtId="43" fontId="4" fillId="0" borderId="0" xfId="1" applyFont="1" applyFill="1" applyAlignment="1" applyProtection="1">
      <protection locked="0"/>
    </xf>
    <xf numFmtId="3" fontId="4" fillId="0" borderId="1" xfId="4" applyNumberFormat="1" applyFont="1" applyFill="1" applyBorder="1" applyAlignment="1" applyProtection="1">
      <protection locked="0"/>
    </xf>
    <xf numFmtId="41" fontId="4" fillId="0" borderId="1" xfId="4" applyNumberFormat="1" applyFont="1" applyFill="1" applyBorder="1" applyAlignment="1" applyProtection="1">
      <alignment vertical="center"/>
      <protection locked="0"/>
    </xf>
    <xf numFmtId="41" fontId="4" fillId="0" borderId="0" xfId="4" applyNumberFormat="1" applyFont="1" applyFill="1" applyBorder="1" applyAlignment="1" applyProtection="1">
      <protection locked="0"/>
    </xf>
    <xf numFmtId="41" fontId="4" fillId="0" borderId="3" xfId="4" applyNumberFormat="1" applyFont="1" applyFill="1" applyBorder="1" applyAlignment="1" applyProtection="1">
      <protection locked="0"/>
    </xf>
    <xf numFmtId="41" fontId="4" fillId="0" borderId="7" xfId="4" applyNumberFormat="1" applyFont="1" applyFill="1" applyBorder="1" applyAlignment="1" applyProtection="1">
      <protection locked="0"/>
    </xf>
    <xf numFmtId="167" fontId="4" fillId="0" borderId="0" xfId="4" applyFont="1" applyFill="1" applyAlignment="1"/>
    <xf numFmtId="167" fontId="3" fillId="0" borderId="0" xfId="4" applyFont="1" applyFill="1" applyAlignment="1">
      <alignment horizontal="right"/>
    </xf>
    <xf numFmtId="0" fontId="4" fillId="0" borderId="1" xfId="4" applyNumberFormat="1" applyFont="1" applyFill="1" applyBorder="1" applyAlignment="1" applyProtection="1">
      <alignment horizontal="center"/>
      <protection locked="0"/>
    </xf>
    <xf numFmtId="3" fontId="4" fillId="0" borderId="1" xfId="4" applyNumberFormat="1" applyFont="1" applyFill="1" applyBorder="1" applyAlignment="1" applyProtection="1">
      <alignment horizontal="center"/>
      <protection locked="0"/>
    </xf>
    <xf numFmtId="0" fontId="3" fillId="0" borderId="0" xfId="0" applyFont="1" applyFill="1" applyAlignment="1">
      <alignment vertical="top"/>
    </xf>
    <xf numFmtId="0" fontId="48" fillId="0" borderId="0" xfId="4" applyNumberFormat="1" applyFont="1" applyFill="1" applyAlignment="1" applyProtection="1">
      <protection locked="0"/>
    </xf>
    <xf numFmtId="0" fontId="48" fillId="0" borderId="0" xfId="4" applyNumberFormat="1" applyFont="1" applyFill="1" applyProtection="1">
      <protection locked="0"/>
    </xf>
    <xf numFmtId="3" fontId="48" fillId="0" borderId="0" xfId="4" applyNumberFormat="1" applyFont="1" applyFill="1" applyAlignment="1" applyProtection="1">
      <protection locked="0"/>
    </xf>
    <xf numFmtId="0" fontId="2" fillId="0" borderId="0" xfId="4" applyNumberFormat="1" applyFont="1" applyFill="1" applyBorder="1" applyAlignment="1" applyProtection="1">
      <protection locked="0"/>
    </xf>
    <xf numFmtId="169" fontId="2" fillId="0" borderId="0" xfId="4" applyNumberFormat="1" applyFont="1" applyFill="1" applyBorder="1" applyAlignment="1" applyProtection="1">
      <alignment horizontal="left"/>
      <protection locked="0"/>
    </xf>
    <xf numFmtId="0" fontId="3" fillId="0" borderId="12" xfId="4" applyNumberFormat="1" applyFont="1" applyFill="1" applyBorder="1" applyAlignment="1" applyProtection="1">
      <alignment horizontal="center"/>
      <protection locked="0"/>
    </xf>
    <xf numFmtId="0" fontId="3" fillId="18" borderId="12" xfId="4" applyNumberFormat="1" applyFont="1" applyFill="1" applyBorder="1" applyAlignment="1" applyProtection="1">
      <alignment horizontal="center"/>
      <protection locked="0"/>
    </xf>
    <xf numFmtId="0" fontId="2" fillId="0" borderId="0" xfId="4" applyNumberFormat="1" applyFont="1" applyFill="1" applyAlignment="1" applyProtection="1">
      <alignment horizontal="left" vertical="top" wrapText="1"/>
      <protection locked="0"/>
    </xf>
    <xf numFmtId="0" fontId="4" fillId="0" borderId="0" xfId="4" applyNumberFormat="1" applyFont="1" applyFill="1" applyAlignment="1" applyProtection="1">
      <alignment horizontal="left" vertical="top" wrapText="1"/>
      <protection locked="0"/>
    </xf>
    <xf numFmtId="0" fontId="3" fillId="0" borderId="1" xfId="4" applyNumberFormat="1" applyFont="1" applyFill="1" applyBorder="1" applyAlignment="1" applyProtection="1">
      <alignment horizontal="center"/>
      <protection locked="0"/>
    </xf>
    <xf numFmtId="49" fontId="4" fillId="0" borderId="3" xfId="4" applyNumberFormat="1" applyFont="1" applyFill="1" applyBorder="1" applyAlignment="1" applyProtection="1">
      <alignment horizontal="center"/>
      <protection locked="0"/>
    </xf>
    <xf numFmtId="0" fontId="4" fillId="0" borderId="0" xfId="0" applyFont="1" applyFill="1" applyAlignment="1">
      <alignment horizontal="center"/>
    </xf>
    <xf numFmtId="0" fontId="2" fillId="0" borderId="0" xfId="4" applyNumberFormat="1" applyFont="1" applyFill="1" applyBorder="1" applyAlignment="1" applyProtection="1">
      <alignment horizontal="center" vertical="top"/>
      <protection locked="0"/>
    </xf>
  </cellXfs>
  <cellStyles count="360">
    <cellStyle name=" 1" xfId="7"/>
    <cellStyle name="_Book200 Acq Adj by Plant Acct (w Alloc %)" xfId="8"/>
    <cellStyle name="_x0010_“+ˆÉ•?pý¤" xfId="9"/>
    <cellStyle name="_x0010_“+ˆÉ•?pý¤ 2" xfId="10"/>
    <cellStyle name="20% - Accent5 2" xfId="11"/>
    <cellStyle name="40% - Accent6 2" xfId="12"/>
    <cellStyle name="Actual Date" xfId="13"/>
    <cellStyle name="Actual Date 2" xfId="14"/>
    <cellStyle name="Align-top" xfId="15"/>
    <cellStyle name="Alternate Rows" xfId="16"/>
    <cellStyle name="Alternate Yellow" xfId="17"/>
    <cellStyle name="Bold Red" xfId="18"/>
    <cellStyle name="Cancel" xfId="19"/>
    <cellStyle name="Column.Head" xfId="20"/>
    <cellStyle name="Comma" xfId="1" builtinId="3"/>
    <cellStyle name="Comma [0] 2" xfId="21"/>
    <cellStyle name="Comma [1]" xfId="22"/>
    <cellStyle name="Comma [2]" xfId="23"/>
    <cellStyle name="Comma 10" xfId="24"/>
    <cellStyle name="Comma 11" xfId="25"/>
    <cellStyle name="Comma 12" xfId="26"/>
    <cellStyle name="Comma 13" xfId="27"/>
    <cellStyle name="Comma 14" xfId="28"/>
    <cellStyle name="Comma 15" xfId="29"/>
    <cellStyle name="Comma 16" xfId="30"/>
    <cellStyle name="Comma 17" xfId="31"/>
    <cellStyle name="Comma 18" xfId="32"/>
    <cellStyle name="Comma 19" xfId="33"/>
    <cellStyle name="Comma 2" xfId="34"/>
    <cellStyle name="Comma 2 2" xfId="35"/>
    <cellStyle name="Comma 2 3" xfId="36"/>
    <cellStyle name="Comma 20" xfId="37"/>
    <cellStyle name="Comma 21" xfId="38"/>
    <cellStyle name="Comma 22" xfId="39"/>
    <cellStyle name="Comma 27" xfId="40"/>
    <cellStyle name="Comma 3" xfId="41"/>
    <cellStyle name="Comma 3 2" xfId="42"/>
    <cellStyle name="Comma 4" xfId="43"/>
    <cellStyle name="Comma 4 2" xfId="44"/>
    <cellStyle name="Comma 5" xfId="45"/>
    <cellStyle name="Comma 5 2" xfId="46"/>
    <cellStyle name="Comma 6" xfId="47"/>
    <cellStyle name="Comma 6 2" xfId="48"/>
    <cellStyle name="Comma 6 3" xfId="49"/>
    <cellStyle name="Comma 7" xfId="50"/>
    <cellStyle name="Comma 7 2" xfId="51"/>
    <cellStyle name="Comma 8" xfId="52"/>
    <cellStyle name="Comma 8 2" xfId="53"/>
    <cellStyle name="Comma 9" xfId="54"/>
    <cellStyle name="Comma(0)" xfId="55"/>
    <cellStyle name="Comma, No spaces" xfId="56"/>
    <cellStyle name="Comma0" xfId="57"/>
    <cellStyle name="Comma0 - Style1" xfId="58"/>
    <cellStyle name="Comma0 - Style2" xfId="59"/>
    <cellStyle name="Comma0_currency data update to Oct" xfId="60"/>
    <cellStyle name="Comma1" xfId="61"/>
    <cellStyle name="Comma1 2" xfId="62"/>
    <cellStyle name="Comma2" xfId="63"/>
    <cellStyle name="Comma2 2" xfId="64"/>
    <cellStyle name="ConvVer" xfId="65"/>
    <cellStyle name="cost_per_kw" xfId="66"/>
    <cellStyle name="Currency" xfId="2" builtinId="4"/>
    <cellStyle name="Currency [2]" xfId="67"/>
    <cellStyle name="Currency [4]" xfId="68"/>
    <cellStyle name="Currency 10" xfId="69"/>
    <cellStyle name="Currency 11" xfId="70"/>
    <cellStyle name="Currency 12" xfId="71"/>
    <cellStyle name="Currency 2" xfId="72"/>
    <cellStyle name="Currency 2 2" xfId="73"/>
    <cellStyle name="Currency 3" xfId="74"/>
    <cellStyle name="Currency 4" xfId="75"/>
    <cellStyle name="Currency 5" xfId="76"/>
    <cellStyle name="Currency 6" xfId="77"/>
    <cellStyle name="Currency 7" xfId="78"/>
    <cellStyle name="Currency 8" xfId="79"/>
    <cellStyle name="Currency 9" xfId="80"/>
    <cellStyle name="Currency0" xfId="81"/>
    <cellStyle name="Date" xfId="82"/>
    <cellStyle name="DateTime" xfId="83"/>
    <cellStyle name="DateTime 2" xfId="84"/>
    <cellStyle name="d-mmm" xfId="85"/>
    <cellStyle name="d-mmm-yy" xfId="86"/>
    <cellStyle name="Dot" xfId="87"/>
    <cellStyle name="Fixed" xfId="88"/>
    <cellStyle name="Fixed 2" xfId="89"/>
    <cellStyle name="Fixed 3" xfId="90"/>
    <cellStyle name="Fixed1 - Style1" xfId="91"/>
    <cellStyle name="General" xfId="92"/>
    <cellStyle name="Geneva 9" xfId="93"/>
    <cellStyle name="Good 2" xfId="94"/>
    <cellStyle name="Grey" xfId="95"/>
    <cellStyle name="Grey 2" xfId="96"/>
    <cellStyle name="HEADER" xfId="97"/>
    <cellStyle name="Heading1" xfId="98"/>
    <cellStyle name="Heading1 2" xfId="99"/>
    <cellStyle name="Heading1 3" xfId="100"/>
    <cellStyle name="Heading2" xfId="101"/>
    <cellStyle name="Heading2 2" xfId="102"/>
    <cellStyle name="Heading2 3" xfId="103"/>
    <cellStyle name="HIGHLIGHT" xfId="104"/>
    <cellStyle name="Input [yellow]" xfId="105"/>
    <cellStyle name="Input [yellow] 2" xfId="106"/>
    <cellStyle name="kwh_centered" xfId="107"/>
    <cellStyle name="Moneda [0]_Mex-Braz-Arg" xfId="108"/>
    <cellStyle name="Moneda_Mex-Braz-Arg" xfId="109"/>
    <cellStyle name="no dec" xfId="110"/>
    <cellStyle name="Normal" xfId="0" builtinId="0"/>
    <cellStyle name="Normal - Style1" xfId="111"/>
    <cellStyle name="Normal - Style1 2" xfId="112"/>
    <cellStyle name="Normal - Style1 3" xfId="113"/>
    <cellStyle name="Normal - Style2" xfId="114"/>
    <cellStyle name="Normal 10" xfId="115"/>
    <cellStyle name="Normal 10 2" xfId="116"/>
    <cellStyle name="Normal 10 7" xfId="117"/>
    <cellStyle name="Normal 11" xfId="118"/>
    <cellStyle name="Normal 11 2" xfId="119"/>
    <cellStyle name="Normal 12" xfId="120"/>
    <cellStyle name="Normal 12 2" xfId="121"/>
    <cellStyle name="Normal 13" xfId="122"/>
    <cellStyle name="Normal 13 2" xfId="123"/>
    <cellStyle name="Normal 13 3" xfId="124"/>
    <cellStyle name="Normal 14" xfId="125"/>
    <cellStyle name="Normal 14 2" xfId="126"/>
    <cellStyle name="Normal 15" xfId="127"/>
    <cellStyle name="Normal 16" xfId="128"/>
    <cellStyle name="Normal 17" xfId="129"/>
    <cellStyle name="Normal 18" xfId="130"/>
    <cellStyle name="Normal 19" xfId="131"/>
    <cellStyle name="Normal 2" xfId="132"/>
    <cellStyle name="Normal 2 10" xfId="133"/>
    <cellStyle name="Normal 2 2" xfId="134"/>
    <cellStyle name="Normal 2 20" xfId="135"/>
    <cellStyle name="Normal 2 3" xfId="136"/>
    <cellStyle name="Normal 2 4" xfId="137"/>
    <cellStyle name="Normal 2 5" xfId="138"/>
    <cellStyle name="Normal 20" xfId="139"/>
    <cellStyle name="Normal 21" xfId="140"/>
    <cellStyle name="Normal 22" xfId="141"/>
    <cellStyle name="Normal 23" xfId="142"/>
    <cellStyle name="Normal 24" xfId="143"/>
    <cellStyle name="Normal 25" xfId="144"/>
    <cellStyle name="Normal 26" xfId="145"/>
    <cellStyle name="Normal 27" xfId="146"/>
    <cellStyle name="Normal 28" xfId="147"/>
    <cellStyle name="Normal 29" xfId="148"/>
    <cellStyle name="Normal 3" xfId="149"/>
    <cellStyle name="Normal 3 2" xfId="150"/>
    <cellStyle name="Normal 3 3" xfId="151"/>
    <cellStyle name="Normal 30" xfId="152"/>
    <cellStyle name="Normal 31" xfId="153"/>
    <cellStyle name="Normal 32" xfId="154"/>
    <cellStyle name="Normal 33" xfId="155"/>
    <cellStyle name="Normal 34" xfId="156"/>
    <cellStyle name="Normal 35" xfId="157"/>
    <cellStyle name="Normal 36" xfId="158"/>
    <cellStyle name="Normal 37" xfId="159"/>
    <cellStyle name="Normal 38" xfId="160"/>
    <cellStyle name="Normal 39" xfId="161"/>
    <cellStyle name="Normal 4" xfId="162"/>
    <cellStyle name="Normal 4 2" xfId="163"/>
    <cellStyle name="Normal 4 3" xfId="164"/>
    <cellStyle name="Normal 4_gen_exist" xfId="165"/>
    <cellStyle name="Normal 40" xfId="166"/>
    <cellStyle name="Normal 41" xfId="167"/>
    <cellStyle name="Normal 42" xfId="168"/>
    <cellStyle name="Normal 43" xfId="169"/>
    <cellStyle name="Normal 44" xfId="170"/>
    <cellStyle name="Normal 45" xfId="171"/>
    <cellStyle name="Normal 46" xfId="172"/>
    <cellStyle name="Normal 47" xfId="173"/>
    <cellStyle name="Normal 48" xfId="174"/>
    <cellStyle name="Normal 49" xfId="175"/>
    <cellStyle name="Normal 5" xfId="176"/>
    <cellStyle name="Normal 5 2" xfId="177"/>
    <cellStyle name="Normal 50" xfId="178"/>
    <cellStyle name="Normal 51" xfId="179"/>
    <cellStyle name="Normal 52" xfId="180"/>
    <cellStyle name="Normal 53" xfId="181"/>
    <cellStyle name="Normal 54" xfId="182"/>
    <cellStyle name="Normal 54 2" xfId="183"/>
    <cellStyle name="Normal 55" xfId="184"/>
    <cellStyle name="Normal 55 2" xfId="185"/>
    <cellStyle name="Normal 56" xfId="186"/>
    <cellStyle name="Normal 57" xfId="187"/>
    <cellStyle name="Normal 58" xfId="188"/>
    <cellStyle name="Normal 59" xfId="189"/>
    <cellStyle name="Normal 6" xfId="190"/>
    <cellStyle name="Normal 6 2" xfId="191"/>
    <cellStyle name="Normal 6 3" xfId="192"/>
    <cellStyle name="Normal 60" xfId="193"/>
    <cellStyle name="Normal 61" xfId="194"/>
    <cellStyle name="Normal 62" xfId="195"/>
    <cellStyle name="Normal 63" xfId="196"/>
    <cellStyle name="Normal 64" xfId="197"/>
    <cellStyle name="Normal 69" xfId="198"/>
    <cellStyle name="Normal 69 3" xfId="199"/>
    <cellStyle name="Normal 7" xfId="200"/>
    <cellStyle name="Normal 7 2" xfId="201"/>
    <cellStyle name="Normal 72" xfId="202"/>
    <cellStyle name="Normal 8" xfId="203"/>
    <cellStyle name="Normal 8 2" xfId="204"/>
    <cellStyle name="Normal 8 3" xfId="205"/>
    <cellStyle name="Normal 9" xfId="206"/>
    <cellStyle name="Normal 9 2" xfId="207"/>
    <cellStyle name="Normal 9 3" xfId="208"/>
    <cellStyle name="Normal_FN1 Ratebase Draft SPP template (6-11-04) v2" xfId="4"/>
    <cellStyle name="Normal_nonlevelized-Form 1 (v3)" xfId="6"/>
    <cellStyle name="nozero" xfId="209"/>
    <cellStyle name="nozero 2" xfId="210"/>
    <cellStyle name="Percent" xfId="3" builtinId="5"/>
    <cellStyle name="Percent [0]" xfId="211"/>
    <cellStyle name="Percent [2]" xfId="212"/>
    <cellStyle name="Percent [2] 2" xfId="213"/>
    <cellStyle name="Percent [2] 3" xfId="214"/>
    <cellStyle name="Percent 10" xfId="5"/>
    <cellStyle name="Percent 11" xfId="215"/>
    <cellStyle name="Percent 12" xfId="216"/>
    <cellStyle name="Percent 13" xfId="217"/>
    <cellStyle name="Percent 14" xfId="218"/>
    <cellStyle name="Percent 15" xfId="219"/>
    <cellStyle name="Percent 16" xfId="220"/>
    <cellStyle name="Percent 17" xfId="221"/>
    <cellStyle name="Percent 18" xfId="222"/>
    <cellStyle name="Percent 19" xfId="223"/>
    <cellStyle name="Percent 2" xfId="224"/>
    <cellStyle name="Percent 2 2" xfId="225"/>
    <cellStyle name="Percent 20" xfId="226"/>
    <cellStyle name="Percent 21" xfId="227"/>
    <cellStyle name="Percent 22" xfId="228"/>
    <cellStyle name="Percent 23" xfId="229"/>
    <cellStyle name="Percent 24" xfId="230"/>
    <cellStyle name="Percent 25" xfId="231"/>
    <cellStyle name="Percent 26" xfId="232"/>
    <cellStyle name="Percent 27" xfId="233"/>
    <cellStyle name="Percent 28" xfId="234"/>
    <cellStyle name="Percent 29" xfId="235"/>
    <cellStyle name="Percent 3" xfId="236"/>
    <cellStyle name="Percent 3 2" xfId="237"/>
    <cellStyle name="Percent 30" xfId="238"/>
    <cellStyle name="Percent 31" xfId="239"/>
    <cellStyle name="Percent 32" xfId="240"/>
    <cellStyle name="Percent 33" xfId="241"/>
    <cellStyle name="Percent 34" xfId="242"/>
    <cellStyle name="Percent 35" xfId="243"/>
    <cellStyle name="Percent 36" xfId="244"/>
    <cellStyle name="Percent 37" xfId="245"/>
    <cellStyle name="Percent 38" xfId="246"/>
    <cellStyle name="Percent 39" xfId="247"/>
    <cellStyle name="Percent 4" xfId="248"/>
    <cellStyle name="Percent 4 2" xfId="249"/>
    <cellStyle name="Percent 40" xfId="250"/>
    <cellStyle name="Percent 41" xfId="251"/>
    <cellStyle name="Percent 42" xfId="252"/>
    <cellStyle name="Percent 43" xfId="253"/>
    <cellStyle name="Percent 44" xfId="254"/>
    <cellStyle name="Percent 45" xfId="255"/>
    <cellStyle name="Percent 46" xfId="256"/>
    <cellStyle name="Percent 47" xfId="257"/>
    <cellStyle name="Percent 48" xfId="258"/>
    <cellStyle name="Percent 49" xfId="259"/>
    <cellStyle name="Percent 5" xfId="260"/>
    <cellStyle name="Percent 50" xfId="261"/>
    <cellStyle name="Percent 50 2" xfId="262"/>
    <cellStyle name="Percent 51" xfId="263"/>
    <cellStyle name="Percent 51 2" xfId="264"/>
    <cellStyle name="Percent 52" xfId="265"/>
    <cellStyle name="Percent 53" xfId="266"/>
    <cellStyle name="Percent 54" xfId="267"/>
    <cellStyle name="Percent 55" xfId="268"/>
    <cellStyle name="Percent 56" xfId="269"/>
    <cellStyle name="Percent 57" xfId="270"/>
    <cellStyle name="Percent 58" xfId="271"/>
    <cellStyle name="Percent 59" xfId="272"/>
    <cellStyle name="Percent 6" xfId="273"/>
    <cellStyle name="Percent 60" xfId="274"/>
    <cellStyle name="Percent 61" xfId="275"/>
    <cellStyle name="Percent 62" xfId="276"/>
    <cellStyle name="Percent 63" xfId="277"/>
    <cellStyle name="Percent 64" xfId="278"/>
    <cellStyle name="Percent 7" xfId="279"/>
    <cellStyle name="Percent 70" xfId="280"/>
    <cellStyle name="Percent 8" xfId="281"/>
    <cellStyle name="Percent 9" xfId="282"/>
    <cellStyle name="Percent0" xfId="283"/>
    <cellStyle name="PSChar" xfId="284"/>
    <cellStyle name="PSDate" xfId="285"/>
    <cellStyle name="PSDec" xfId="286"/>
    <cellStyle name="PSHeading" xfId="287"/>
    <cellStyle name="PSInt" xfId="288"/>
    <cellStyle name="PSSpacer" xfId="289"/>
    <cellStyle name="RangeBelow" xfId="290"/>
    <cellStyle name="Reports" xfId="291"/>
    <cellStyle name="Reports-0" xfId="292"/>
    <cellStyle name="Reports-2" xfId="293"/>
    <cellStyle name="SAPBEXchaText" xfId="294"/>
    <cellStyle name="SAPBEXstdData" xfId="295"/>
    <cellStyle name="SAPBEXstdItem" xfId="296"/>
    <cellStyle name="SAPBEXstdItemX" xfId="297"/>
    <cellStyle name="Shading - Heavy" xfId="298"/>
    <cellStyle name="Shading - Light" xfId="299"/>
    <cellStyle name="Shading - Medium" xfId="300"/>
    <cellStyle name="Spaces-2" xfId="301"/>
    <cellStyle name="Spaces-4" xfId="302"/>
    <cellStyle name="Spaces-6" xfId="303"/>
    <cellStyle name="Style 1" xfId="304"/>
    <cellStyle name="Style 1 2" xfId="305"/>
    <cellStyle name="Style 1 3" xfId="306"/>
    <cellStyle name="Style 1 4" xfId="307"/>
    <cellStyle name="Style 1 5" xfId="308"/>
    <cellStyle name="Style 21" xfId="309"/>
    <cellStyle name="Style 21 2" xfId="310"/>
    <cellStyle name="Style 22" xfId="311"/>
    <cellStyle name="Style 22 2" xfId="312"/>
    <cellStyle name="Style 23" xfId="313"/>
    <cellStyle name="Style 23 2" xfId="314"/>
    <cellStyle name="Style 24" xfId="315"/>
    <cellStyle name="Style 24 2" xfId="316"/>
    <cellStyle name="Style 25" xfId="317"/>
    <cellStyle name="Style 25 2" xfId="318"/>
    <cellStyle name="Style 26" xfId="319"/>
    <cellStyle name="Style 26 2" xfId="320"/>
    <cellStyle name="Style 27" xfId="321"/>
    <cellStyle name="Style 27 2" xfId="322"/>
    <cellStyle name="Style 28" xfId="323"/>
    <cellStyle name="Style 28 2" xfId="324"/>
    <cellStyle name="Style 29" xfId="325"/>
    <cellStyle name="Style 29 2" xfId="326"/>
    <cellStyle name="Style 30" xfId="327"/>
    <cellStyle name="Style 30 2" xfId="328"/>
    <cellStyle name="Style 31" xfId="329"/>
    <cellStyle name="Style 31 2" xfId="330"/>
    <cellStyle name="Style 32" xfId="331"/>
    <cellStyle name="Style 32 2" xfId="332"/>
    <cellStyle name="Style 33" xfId="333"/>
    <cellStyle name="Style 33 2" xfId="334"/>
    <cellStyle name="Style 34" xfId="335"/>
    <cellStyle name="Style 34 2" xfId="336"/>
    <cellStyle name="Style 35" xfId="337"/>
    <cellStyle name="Style 35 2" xfId="338"/>
    <cellStyle name="SubRoutine" xfId="339"/>
    <cellStyle name="Tabs" xfId="340"/>
    <cellStyle name="Text Wrap" xfId="341"/>
    <cellStyle name="Text Wrap Across Cells" xfId="342"/>
    <cellStyle name="þ(Î'_x000c_ïþ÷_x000c_âþÖ_x0006__x0002_Þ”_x0013__x0007__x0001__x0001_" xfId="343"/>
    <cellStyle name="þ(Î'_x000c_ïþ÷_x000c_âþÖ_x0006__x0002_Þ”_x0013__x0007__x0001__x0001_ 2" xfId="344"/>
    <cellStyle name="Thousands" xfId="345"/>
    <cellStyle name="Thousands 2" xfId="346"/>
    <cellStyle name="Thousands1" xfId="347"/>
    <cellStyle name="Thousands1 2" xfId="348"/>
    <cellStyle name="Total 2" xfId="349"/>
    <cellStyle name="Unprot" xfId="350"/>
    <cellStyle name="Unprot 2" xfId="351"/>
    <cellStyle name="Unprot$" xfId="352"/>
    <cellStyle name="Unprot$ 2" xfId="353"/>
    <cellStyle name="Unprotect" xfId="354"/>
    <cellStyle name="User_Defined_A" xfId="355"/>
    <cellStyle name="Valign-bottom" xfId="356"/>
    <cellStyle name="Valign-centre" xfId="357"/>
    <cellStyle name="Valign-top" xfId="358"/>
    <cellStyle name="Wrap Text" xfId="359"/>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lll01/AppData/Local/Microsoft/Windows/Temporary%20Internet%20Files/Content.Outlook/OI5EZLS2/Section%202.a.(i)%20-%20PSCo%20Transmission%20Formula%202017%20Estimate_Gen%20Ti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SP-SS/REVREQ/EXCEL/PSCo/Formula%20Rate%20Templates/Transmission/2016/2015%20True-up/Formula%20Template/Section%204.a.(i)%20PSCo%20Transmission%20Formula%202015%20True%20Up_FINAL_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s"/>
      <sheetName val="Cover Page"/>
      <sheetName val="Table of Contents"/>
      <sheetName val="Est. Rates"/>
      <sheetName val="Actual Rates"/>
      <sheetName val="ATRR Est."/>
      <sheetName val="ATRR Act"/>
      <sheetName val="Rates Gen Tie"/>
      <sheetName val="ATRR Gen Tie"/>
      <sheetName val="WP_A-2 (1)"/>
      <sheetName val="WP_A-2 (2)"/>
      <sheetName val="WP_A-2 (3)"/>
      <sheetName val="WP_A-2 (4)"/>
      <sheetName val="WP_A-2 (5)"/>
      <sheetName val="WP_A-2 (6)"/>
      <sheetName val="WP_A-2 (7)"/>
      <sheetName val="WP_A-2 (8)"/>
      <sheetName val="WP_A-2 (9)"/>
      <sheetName val="WP_A-2 (10)"/>
      <sheetName val="WP_B-1"/>
      <sheetName val="WP_B-2"/>
      <sheetName val="WP_B-3"/>
      <sheetName val="WP_B-4"/>
      <sheetName val="WP_B-5"/>
      <sheetName val="WP_B-6"/>
      <sheetName val="WP_B-7"/>
      <sheetName val="WP_B-8"/>
      <sheetName val="WP_B-Inputs Est."/>
      <sheetName val="WP_B-Inputs Act."/>
      <sheetName val="WP_C-1"/>
      <sheetName val="WP_C-2"/>
      <sheetName val="WP_C-3"/>
      <sheetName val="WP_C-4"/>
      <sheetName val="WP_D-1"/>
      <sheetName val="WP_E-1"/>
      <sheetName val="WP_F-1"/>
      <sheetName val="WP_G-1"/>
      <sheetName val="WP_H-1 "/>
      <sheetName val="WP_I-1"/>
      <sheetName val="Schedule 1"/>
      <sheetName val="Schedule 2"/>
      <sheetName val="Schedule 3 and 3A"/>
      <sheetName val="Schedule 5"/>
      <sheetName val="Schedule 6"/>
      <sheetName val="WP_FCR"/>
      <sheetName val="WP_Cost per Unit"/>
      <sheetName val="WP_Load Factor"/>
      <sheetName val="Schedule 16"/>
      <sheetName val="WP_Installed Cost"/>
      <sheetName val="WP_O&amp;M Cost"/>
      <sheetName val="WP_Reactive Cost"/>
      <sheetName val="WP_ADIT Prorate"/>
    </sheetNames>
    <sheetDataSet>
      <sheetData sheetId="0" refreshError="1"/>
      <sheetData sheetId="1"/>
      <sheetData sheetId="2" refreshError="1"/>
      <sheetData sheetId="3" refreshError="1"/>
      <sheetData sheetId="4" refreshError="1"/>
      <sheetData sheetId="5">
        <row r="45">
          <cell r="F45">
            <v>0.16883881435891074</v>
          </cell>
        </row>
        <row r="158">
          <cell r="G158">
            <v>0.97270000000000001</v>
          </cell>
        </row>
        <row r="172">
          <cell r="G172">
            <v>0.11383</v>
          </cell>
        </row>
        <row r="176">
          <cell r="G176">
            <v>8.1738818739999997E-2</v>
          </cell>
        </row>
        <row r="183">
          <cell r="G183">
            <v>7.4300000000000005E-2</v>
          </cell>
        </row>
      </sheetData>
      <sheetData sheetId="6">
        <row r="45">
          <cell r="F45">
            <v>0.1686898655590918</v>
          </cell>
        </row>
        <row r="159">
          <cell r="G159">
            <v>0.91051000000000004</v>
          </cell>
        </row>
        <row r="169">
          <cell r="G169">
            <v>0.10655000000000001</v>
          </cell>
        </row>
        <row r="173">
          <cell r="G173">
            <v>8.1738818739999997E-2</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sheetData sheetId="23" refreshError="1"/>
      <sheetData sheetId="24" refreshError="1"/>
      <sheetData sheetId="25" refreshError="1"/>
      <sheetData sheetId="26" refreshError="1"/>
      <sheetData sheetId="27" refreshError="1"/>
      <sheetData sheetId="28"/>
      <sheetData sheetId="29"/>
      <sheetData sheetId="30" refreshError="1"/>
      <sheetData sheetId="31" refreshError="1"/>
      <sheetData sheetId="32" refreshError="1"/>
      <sheetData sheetId="33"/>
      <sheetData sheetId="34" refreshError="1"/>
      <sheetData sheetId="35" refreshError="1"/>
      <sheetData sheetId="36"/>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Table of Contents"/>
      <sheetName val="Est. Rates"/>
      <sheetName val="Actual Rates"/>
      <sheetName val="ATRR Est."/>
      <sheetName val="ATRR Act"/>
      <sheetName val="WP_A-2"/>
      <sheetName val="WP_A-2 (2)"/>
      <sheetName val="WP_A-2 (1)"/>
      <sheetName val="WP_A-2 (3)"/>
      <sheetName val="WP_A-2 (4)"/>
      <sheetName val="WP_B-1"/>
      <sheetName val="WP_B-2"/>
      <sheetName val="WP_B-3"/>
      <sheetName val="WP_B-4"/>
      <sheetName val="WP_B-5"/>
      <sheetName val="WP_B-6"/>
      <sheetName val="WP_B-7"/>
      <sheetName val="WP_B-8"/>
      <sheetName val="WP_B-Inputs Est."/>
      <sheetName val="WP_B-Inputs Act."/>
      <sheetName val="WP_C-1"/>
      <sheetName val="WP_C-2"/>
      <sheetName val="WP_C-3"/>
      <sheetName val="WP_C-4"/>
      <sheetName val="WP_D-1"/>
      <sheetName val="WP_E-1"/>
      <sheetName val="WP_F-1"/>
      <sheetName val="WP_G-1"/>
      <sheetName val="WP_H-1 "/>
      <sheetName val="WP_I-1"/>
      <sheetName val="Schedule 1"/>
      <sheetName val="Schedule 2"/>
      <sheetName val="Schedule 3"/>
      <sheetName val="Schedule 5"/>
      <sheetName val="Schedule 6"/>
      <sheetName val="WP_FCR"/>
      <sheetName val="WP_Cost per Unit"/>
      <sheetName val="WP_Load Factor"/>
    </sheetNames>
    <sheetDataSet>
      <sheetData sheetId="0">
        <row r="5">
          <cell r="A5" t="str">
            <v>Public Service Company of Colorado</v>
          </cell>
        </row>
        <row r="7">
          <cell r="A7" t="str">
            <v>Twelve Months Ended December 31, 2015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7030A0"/>
    <pageSetUpPr fitToPage="1"/>
  </sheetPr>
  <dimension ref="A1:I168"/>
  <sheetViews>
    <sheetView tabSelected="1" zoomScale="90" zoomScaleNormal="90" workbookViewId="0">
      <selection activeCell="H71" sqref="H71"/>
    </sheetView>
  </sheetViews>
  <sheetFormatPr defaultRowHeight="12.75"/>
  <cols>
    <col min="1" max="1" width="10.42578125" style="1" customWidth="1"/>
    <col min="2" max="2" width="53.140625" style="1" customWidth="1"/>
    <col min="3" max="3" width="36.28515625" style="1" customWidth="1"/>
    <col min="4" max="4" width="22" style="1" bestFit="1" customWidth="1"/>
    <col min="5" max="5" width="15.42578125" style="1" customWidth="1"/>
    <col min="6" max="6" width="17.5703125" style="1" bestFit="1" customWidth="1"/>
    <col min="7" max="7" width="25.28515625" style="1" customWidth="1"/>
    <col min="8" max="8" width="43.85546875" style="1" bestFit="1" customWidth="1"/>
    <col min="9" max="16384" width="9.140625" style="1"/>
  </cols>
  <sheetData>
    <row r="1" spans="1:9" s="6" customFormat="1">
      <c r="A1" s="108" t="s">
        <v>137</v>
      </c>
      <c r="C1" s="4"/>
      <c r="D1" s="4"/>
      <c r="E1" s="4"/>
      <c r="F1" s="109"/>
      <c r="I1" s="109"/>
    </row>
    <row r="2" spans="1:9" s="6" customFormat="1">
      <c r="A2" s="108" t="s">
        <v>198</v>
      </c>
      <c r="C2" s="4"/>
      <c r="D2" s="4"/>
      <c r="E2" s="4"/>
    </row>
    <row r="3" spans="1:9" s="6" customFormat="1">
      <c r="A3" s="108"/>
      <c r="C3" s="4"/>
      <c r="D3" s="4"/>
      <c r="E3" s="4"/>
    </row>
    <row r="4" spans="1:9" s="6" customFormat="1">
      <c r="A4" s="162" t="s">
        <v>199</v>
      </c>
      <c r="B4" s="162"/>
      <c r="C4" s="162"/>
      <c r="D4" s="162"/>
      <c r="E4" s="162"/>
      <c r="F4" s="162"/>
      <c r="G4" s="162"/>
    </row>
    <row r="5" spans="1:9" s="6" customFormat="1">
      <c r="C5" s="4"/>
      <c r="D5" s="4"/>
      <c r="E5" s="4"/>
    </row>
    <row r="6" spans="1:9" s="6" customFormat="1" ht="32.25" customHeight="1">
      <c r="A6" s="2" t="s">
        <v>0</v>
      </c>
      <c r="B6" s="2" t="s">
        <v>1</v>
      </c>
      <c r="C6" s="2" t="s">
        <v>2</v>
      </c>
      <c r="D6" s="2"/>
      <c r="E6" s="3" t="s">
        <v>3</v>
      </c>
      <c r="F6" s="115"/>
    </row>
    <row r="7" spans="1:9" s="6" customFormat="1">
      <c r="B7" s="5" t="s">
        <v>4</v>
      </c>
      <c r="C7" s="5" t="s">
        <v>5</v>
      </c>
      <c r="D7" s="5"/>
      <c r="E7" s="5" t="s">
        <v>6</v>
      </c>
    </row>
    <row r="8" spans="1:9" s="6" customFormat="1">
      <c r="A8" s="4">
        <v>1</v>
      </c>
      <c r="B8" s="155" t="s">
        <v>189</v>
      </c>
      <c r="C8" s="5" t="str">
        <f>"Line "&amp;A94</f>
        <v>Line 76</v>
      </c>
      <c r="D8" s="5"/>
      <c r="E8" s="110">
        <f>'ATRR Gen Tie Stated'!G94</f>
        <v>15862592.699404422</v>
      </c>
    </row>
    <row r="9" spans="1:9" s="6" customFormat="1">
      <c r="A9" s="4">
        <f t="shared" ref="A9:A16" si="0">A8+1</f>
        <v>2</v>
      </c>
      <c r="B9" s="123"/>
      <c r="C9" s="4"/>
      <c r="D9" s="5"/>
    </row>
    <row r="10" spans="1:9" s="6" customFormat="1">
      <c r="A10" s="4">
        <f t="shared" si="0"/>
        <v>3</v>
      </c>
      <c r="B10" s="155" t="s">
        <v>7</v>
      </c>
      <c r="C10" s="4"/>
      <c r="D10" s="5"/>
      <c r="F10" s="111"/>
      <c r="G10" s="112"/>
    </row>
    <row r="11" spans="1:9" s="6" customFormat="1">
      <c r="A11" s="4">
        <f t="shared" si="0"/>
        <v>4</v>
      </c>
      <c r="B11" s="124" t="s">
        <v>187</v>
      </c>
      <c r="C11" s="118" t="s">
        <v>117</v>
      </c>
      <c r="D11" s="5"/>
      <c r="E11" s="113">
        <v>1600000</v>
      </c>
      <c r="F11" s="121" t="s">
        <v>143</v>
      </c>
      <c r="G11" s="122"/>
    </row>
    <row r="12" spans="1:9" s="6" customFormat="1">
      <c r="A12" s="4">
        <f t="shared" si="0"/>
        <v>5</v>
      </c>
      <c r="B12" s="123"/>
      <c r="C12" s="4"/>
      <c r="D12" s="5"/>
      <c r="F12" s="123"/>
      <c r="G12" s="123"/>
    </row>
    <row r="13" spans="1:9" s="6" customFormat="1">
      <c r="A13" s="4">
        <f t="shared" si="0"/>
        <v>6</v>
      </c>
      <c r="B13" s="155" t="s">
        <v>8</v>
      </c>
      <c r="C13" s="4"/>
      <c r="D13" s="5"/>
      <c r="F13" s="123"/>
      <c r="G13" s="123"/>
    </row>
    <row r="14" spans="1:9" s="6" customFormat="1">
      <c r="A14" s="4">
        <f t="shared" si="0"/>
        <v>7</v>
      </c>
      <c r="B14" s="124" t="s">
        <v>186</v>
      </c>
      <c r="C14" s="118" t="s">
        <v>144</v>
      </c>
      <c r="D14" s="5"/>
      <c r="E14" s="114">
        <f>(IF(E11=0,0,ROUND(E8/E11,3)))/12</f>
        <v>0.8261666666666666</v>
      </c>
      <c r="F14" s="124" t="s">
        <v>142</v>
      </c>
      <c r="G14" s="124"/>
    </row>
    <row r="15" spans="1:9" s="6" customFormat="1">
      <c r="A15" s="4">
        <f t="shared" si="0"/>
        <v>8</v>
      </c>
      <c r="C15" s="5"/>
      <c r="D15" s="5"/>
      <c r="E15" s="114"/>
    </row>
    <row r="16" spans="1:9">
      <c r="A16" s="4">
        <f t="shared" si="0"/>
        <v>9</v>
      </c>
      <c r="B16" s="12"/>
      <c r="C16" s="12"/>
      <c r="D16" s="14"/>
      <c r="E16" s="12"/>
      <c r="F16" s="12"/>
      <c r="G16" s="8"/>
    </row>
    <row r="17" spans="1:7">
      <c r="B17" s="12"/>
      <c r="C17" s="12"/>
      <c r="D17" s="14"/>
      <c r="E17" s="12"/>
      <c r="F17" s="12"/>
      <c r="G17" s="8"/>
    </row>
    <row r="18" spans="1:7">
      <c r="A18" s="161" t="s">
        <v>188</v>
      </c>
      <c r="B18" s="161"/>
      <c r="C18" s="161"/>
      <c r="D18" s="161"/>
      <c r="E18" s="161"/>
      <c r="F18" s="161"/>
      <c r="G18" s="161"/>
    </row>
    <row r="19" spans="1:7">
      <c r="A19" s="15"/>
      <c r="B19" s="12"/>
      <c r="C19" s="12"/>
      <c r="D19" s="14"/>
      <c r="E19" s="12"/>
      <c r="F19" s="12"/>
      <c r="G19" s="8"/>
    </row>
    <row r="20" spans="1:7">
      <c r="A20" s="16" t="s">
        <v>0</v>
      </c>
      <c r="B20" s="17" t="s">
        <v>9</v>
      </c>
      <c r="C20" s="18" t="s">
        <v>10</v>
      </c>
      <c r="D20" s="17" t="s">
        <v>11</v>
      </c>
      <c r="E20" s="165" t="s">
        <v>120</v>
      </c>
      <c r="F20" s="165"/>
      <c r="G20" s="17" t="s">
        <v>12</v>
      </c>
    </row>
    <row r="21" spans="1:7">
      <c r="B21" s="19" t="s">
        <v>4</v>
      </c>
      <c r="C21" s="19" t="s">
        <v>5</v>
      </c>
      <c r="D21" s="19" t="s">
        <v>6</v>
      </c>
      <c r="E21" s="166" t="s">
        <v>13</v>
      </c>
      <c r="F21" s="166"/>
      <c r="G21" s="20" t="s">
        <v>14</v>
      </c>
    </row>
    <row r="22" spans="1:7">
      <c r="A22" s="15">
        <v>10</v>
      </c>
      <c r="B22" s="7" t="s">
        <v>15</v>
      </c>
      <c r="C22" s="21" t="s">
        <v>43</v>
      </c>
      <c r="D22" s="22"/>
      <c r="E22" s="11"/>
      <c r="F22" s="11"/>
      <c r="G22" s="11"/>
    </row>
    <row r="23" spans="1:7">
      <c r="A23" s="19">
        <f>A22+1</f>
        <v>11</v>
      </c>
      <c r="B23" s="23" t="s">
        <v>16</v>
      </c>
      <c r="C23" s="120" t="s">
        <v>145</v>
      </c>
      <c r="D23" s="24">
        <v>5035046328.4899998</v>
      </c>
      <c r="E23" s="25" t="s">
        <v>17</v>
      </c>
      <c r="F23" s="26">
        <v>0</v>
      </c>
      <c r="G23" s="145">
        <f t="shared" ref="G23:G29" si="1">D23*F23</f>
        <v>0</v>
      </c>
    </row>
    <row r="24" spans="1:7">
      <c r="A24" s="19">
        <f t="shared" ref="A24:A61" si="2">A23+1</f>
        <v>12</v>
      </c>
      <c r="B24" s="27" t="s">
        <v>18</v>
      </c>
      <c r="C24" s="22" t="s">
        <v>19</v>
      </c>
      <c r="D24" s="24">
        <f>'Gen Tie Data'!C23</f>
        <v>134335231.86999995</v>
      </c>
      <c r="E24" s="28" t="s">
        <v>20</v>
      </c>
      <c r="F24" s="29">
        <v>1</v>
      </c>
      <c r="G24" s="22">
        <f>F24*D24</f>
        <v>134335231.86999995</v>
      </c>
    </row>
    <row r="25" spans="1:7">
      <c r="A25" s="19">
        <f t="shared" si="2"/>
        <v>13</v>
      </c>
      <c r="B25" s="30" t="s">
        <v>21</v>
      </c>
      <c r="C25" s="120" t="s">
        <v>146</v>
      </c>
      <c r="D25" s="24">
        <v>4266554973.2592297</v>
      </c>
      <c r="E25" s="25" t="s">
        <v>17</v>
      </c>
      <c r="F25" s="26">
        <v>0</v>
      </c>
      <c r="G25" s="145">
        <f t="shared" si="1"/>
        <v>0</v>
      </c>
    </row>
    <row r="26" spans="1:7">
      <c r="A26" s="19">
        <f t="shared" si="2"/>
        <v>14</v>
      </c>
      <c r="B26" s="30" t="s">
        <v>22</v>
      </c>
      <c r="C26" s="120" t="s">
        <v>147</v>
      </c>
      <c r="D26" s="24">
        <v>163779829.72769225</v>
      </c>
      <c r="E26" s="25" t="s">
        <v>54</v>
      </c>
      <c r="F26" s="26">
        <f>WS</f>
        <v>2.8900000000000002E-3</v>
      </c>
      <c r="G26" s="22">
        <f>F26*D26</f>
        <v>473323.70791303064</v>
      </c>
    </row>
    <row r="27" spans="1:7">
      <c r="A27" s="19">
        <f t="shared" si="2"/>
        <v>15</v>
      </c>
      <c r="B27" s="30" t="s">
        <v>24</v>
      </c>
      <c r="C27" s="120" t="s">
        <v>148</v>
      </c>
      <c r="D27" s="24">
        <v>42207632.893846154</v>
      </c>
      <c r="E27" s="25" t="s">
        <v>54</v>
      </c>
      <c r="F27" s="26">
        <f>WS</f>
        <v>2.8900000000000002E-3</v>
      </c>
      <c r="G27" s="84">
        <f t="shared" si="1"/>
        <v>121980.05906321539</v>
      </c>
    </row>
    <row r="28" spans="1:7">
      <c r="A28" s="19">
        <f t="shared" si="2"/>
        <v>16</v>
      </c>
      <c r="B28" s="31" t="s">
        <v>25</v>
      </c>
      <c r="C28" s="120" t="s">
        <v>149</v>
      </c>
      <c r="D28" s="24">
        <v>228534589.67461538</v>
      </c>
      <c r="E28" s="25" t="s">
        <v>115</v>
      </c>
      <c r="F28" s="26">
        <f>CE</f>
        <v>2.0827594200000001E-3</v>
      </c>
      <c r="G28" s="84">
        <f t="shared" si="1"/>
        <v>475982.56944063993</v>
      </c>
    </row>
    <row r="29" spans="1:7">
      <c r="A29" s="19">
        <f t="shared" si="2"/>
        <v>17</v>
      </c>
      <c r="B29" s="31" t="s">
        <v>26</v>
      </c>
      <c r="C29" s="120" t="s">
        <v>150</v>
      </c>
      <c r="D29" s="32">
        <v>366470456.07230783</v>
      </c>
      <c r="E29" s="25" t="s">
        <v>115</v>
      </c>
      <c r="F29" s="26">
        <f>CE</f>
        <v>2.0827594200000001E-3</v>
      </c>
      <c r="G29" s="146">
        <f t="shared" si="1"/>
        <v>763269.79453629535</v>
      </c>
    </row>
    <row r="30" spans="1:7">
      <c r="A30" s="19">
        <f t="shared" si="2"/>
        <v>18</v>
      </c>
      <c r="B30" s="7" t="s">
        <v>27</v>
      </c>
      <c r="C30" s="30" t="str">
        <f>"Sum Lines "&amp;A23&amp;" through "&amp;A29</f>
        <v>Sum Lines 11 through 17</v>
      </c>
      <c r="D30" s="24">
        <f>SUM(D23:D29)</f>
        <v>10236929041.98769</v>
      </c>
      <c r="E30" s="33"/>
      <c r="F30" s="33"/>
      <c r="G30" s="24">
        <f>SUM(G23:G29)</f>
        <v>136169788.00095314</v>
      </c>
    </row>
    <row r="31" spans="1:7">
      <c r="A31" s="19">
        <f t="shared" si="2"/>
        <v>19</v>
      </c>
      <c r="B31" s="7"/>
      <c r="C31" s="30"/>
      <c r="D31" s="24"/>
      <c r="E31" s="34"/>
      <c r="F31" s="35"/>
      <c r="G31" s="24"/>
    </row>
    <row r="32" spans="1:7">
      <c r="A32" s="19">
        <f t="shared" si="2"/>
        <v>20</v>
      </c>
      <c r="B32" s="7"/>
      <c r="C32" s="22"/>
      <c r="D32" s="24"/>
      <c r="E32" s="36"/>
      <c r="F32" s="26"/>
      <c r="G32" s="24"/>
    </row>
    <row r="33" spans="1:7">
      <c r="A33" s="19">
        <f t="shared" si="2"/>
        <v>21</v>
      </c>
      <c r="B33" s="7" t="s">
        <v>28</v>
      </c>
      <c r="C33" s="21" t="s">
        <v>43</v>
      </c>
      <c r="D33" s="24"/>
      <c r="E33" s="25"/>
      <c r="F33" s="26"/>
      <c r="G33" s="24"/>
    </row>
    <row r="34" spans="1:7">
      <c r="A34" s="19">
        <f t="shared" si="2"/>
        <v>22</v>
      </c>
      <c r="B34" s="23" t="s">
        <v>16</v>
      </c>
      <c r="C34" s="120" t="s">
        <v>152</v>
      </c>
      <c r="D34" s="24">
        <v>1711398372.2</v>
      </c>
      <c r="E34" s="25" t="s">
        <v>17</v>
      </c>
      <c r="F34" s="26">
        <v>0</v>
      </c>
      <c r="G34" s="65">
        <f>D34*F34</f>
        <v>0</v>
      </c>
    </row>
    <row r="35" spans="1:7">
      <c r="A35" s="19">
        <f t="shared" si="2"/>
        <v>23</v>
      </c>
      <c r="B35" s="27" t="s">
        <v>18</v>
      </c>
      <c r="C35" s="22" t="s">
        <v>19</v>
      </c>
      <c r="D35" s="24">
        <f>'Gen Tie Data'!C43</f>
        <v>1646011.4696819582</v>
      </c>
      <c r="E35" s="28" t="s">
        <v>20</v>
      </c>
      <c r="F35" s="29">
        <v>1</v>
      </c>
      <c r="G35" s="65">
        <f>F35*D35</f>
        <v>1646011.4696819582</v>
      </c>
    </row>
    <row r="36" spans="1:7">
      <c r="A36" s="19">
        <f t="shared" si="2"/>
        <v>24</v>
      </c>
      <c r="B36" s="30" t="s">
        <v>21</v>
      </c>
      <c r="C36" s="120" t="s">
        <v>151</v>
      </c>
      <c r="D36" s="24">
        <v>1267724694.8391879</v>
      </c>
      <c r="E36" s="25" t="s">
        <v>17</v>
      </c>
      <c r="F36" s="26">
        <v>0</v>
      </c>
      <c r="G36" s="65">
        <f>D36*F36</f>
        <v>0</v>
      </c>
    </row>
    <row r="37" spans="1:7">
      <c r="A37" s="19">
        <f t="shared" si="2"/>
        <v>25</v>
      </c>
      <c r="B37" s="30" t="s">
        <v>22</v>
      </c>
      <c r="C37" s="120" t="s">
        <v>153</v>
      </c>
      <c r="D37" s="24">
        <v>70560976.02802898</v>
      </c>
      <c r="E37" s="25" t="s">
        <v>54</v>
      </c>
      <c r="F37" s="26">
        <f>WS</f>
        <v>2.8900000000000002E-3</v>
      </c>
      <c r="G37" s="65">
        <f>D37*F37</f>
        <v>203921.22072100377</v>
      </c>
    </row>
    <row r="38" spans="1:7">
      <c r="A38" s="19">
        <f t="shared" si="2"/>
        <v>26</v>
      </c>
      <c r="B38" s="30" t="s">
        <v>24</v>
      </c>
      <c r="C38" s="120" t="s">
        <v>154</v>
      </c>
      <c r="D38" s="24">
        <v>33948486.631376132</v>
      </c>
      <c r="E38" s="25" t="s">
        <v>54</v>
      </c>
      <c r="F38" s="26">
        <f>WS</f>
        <v>2.8900000000000002E-3</v>
      </c>
      <c r="G38" s="65">
        <f>D38*F38</f>
        <v>98111.126364677024</v>
      </c>
    </row>
    <row r="39" spans="1:7">
      <c r="A39" s="19">
        <f t="shared" si="2"/>
        <v>27</v>
      </c>
      <c r="B39" s="31" t="s">
        <v>25</v>
      </c>
      <c r="C39" s="120" t="s">
        <v>155</v>
      </c>
      <c r="D39" s="148">
        <v>160923780.22469231</v>
      </c>
      <c r="E39" s="25" t="s">
        <v>115</v>
      </c>
      <c r="F39" s="26">
        <f>CE</f>
        <v>2.0827594200000001E-3</v>
      </c>
      <c r="G39" s="65">
        <f>D39*F39</f>
        <v>335165.51916498767</v>
      </c>
    </row>
    <row r="40" spans="1:7">
      <c r="A40" s="19">
        <f t="shared" si="2"/>
        <v>28</v>
      </c>
      <c r="B40" s="31" t="s">
        <v>26</v>
      </c>
      <c r="C40" s="120" t="s">
        <v>156</v>
      </c>
      <c r="D40" s="32">
        <v>164168409.1259872</v>
      </c>
      <c r="E40" s="25" t="s">
        <v>115</v>
      </c>
      <c r="F40" s="26">
        <f>CE</f>
        <v>2.0827594200000001E-3</v>
      </c>
      <c r="G40" s="147">
        <f>D40*F40</f>
        <v>341923.30057356384</v>
      </c>
    </row>
    <row r="41" spans="1:7">
      <c r="A41" s="19">
        <f t="shared" si="2"/>
        <v>29</v>
      </c>
      <c r="B41" s="7" t="s">
        <v>29</v>
      </c>
      <c r="C41" s="7" t="str">
        <f>"Sum Lines "&amp;A34&amp;" through "&amp;A40</f>
        <v>Sum Lines 22 through 28</v>
      </c>
      <c r="D41" s="24">
        <f>SUM(D34:D40)</f>
        <v>3410370730.5189548</v>
      </c>
      <c r="E41" s="25"/>
      <c r="F41" s="26"/>
      <c r="G41" s="24">
        <f>SUM(G34:G40)</f>
        <v>2625132.6365061905</v>
      </c>
    </row>
    <row r="42" spans="1:7">
      <c r="A42" s="19">
        <f t="shared" si="2"/>
        <v>30</v>
      </c>
      <c r="B42" s="37"/>
      <c r="C42" s="22" t="s">
        <v>30</v>
      </c>
      <c r="D42" s="24"/>
      <c r="E42" s="25"/>
      <c r="F42" s="26"/>
      <c r="G42" s="24"/>
    </row>
    <row r="43" spans="1:7">
      <c r="A43" s="19">
        <f t="shared" si="2"/>
        <v>31</v>
      </c>
      <c r="B43" s="7" t="s">
        <v>31</v>
      </c>
      <c r="C43" s="21" t="s">
        <v>43</v>
      </c>
      <c r="D43" s="24"/>
      <c r="E43" s="25"/>
      <c r="F43" s="26"/>
      <c r="G43" s="24"/>
    </row>
    <row r="44" spans="1:7">
      <c r="A44" s="19">
        <f t="shared" si="2"/>
        <v>32</v>
      </c>
      <c r="B44" s="38" t="s">
        <v>16</v>
      </c>
      <c r="C44" s="22" t="str">
        <f>"Line "&amp;A23&amp;" minus "&amp;A34&amp;" "</f>
        <v xml:space="preserve">Line 11 minus 22 </v>
      </c>
      <c r="D44" s="24">
        <f>D23-D34</f>
        <v>3323647956.29</v>
      </c>
      <c r="E44" s="25"/>
      <c r="F44" s="26"/>
      <c r="G44" s="24">
        <f t="shared" ref="G44:G50" si="3">G23-G34</f>
        <v>0</v>
      </c>
    </row>
    <row r="45" spans="1:7">
      <c r="A45" s="19">
        <f t="shared" si="2"/>
        <v>33</v>
      </c>
      <c r="B45" s="38" t="s">
        <v>32</v>
      </c>
      <c r="C45" s="22" t="str">
        <f t="shared" ref="C45:C50" si="4">"Line "&amp;A24&amp; " minus "&amp;A35</f>
        <v>Line 12 minus 23</v>
      </c>
      <c r="D45" s="24">
        <f t="shared" ref="D45:D50" si="5">D24-D35</f>
        <v>132689220.40031798</v>
      </c>
      <c r="E45" s="25"/>
      <c r="F45" s="26"/>
      <c r="G45" s="24">
        <f t="shared" si="3"/>
        <v>132689220.40031798</v>
      </c>
    </row>
    <row r="46" spans="1:7">
      <c r="A46" s="19">
        <f t="shared" si="2"/>
        <v>34</v>
      </c>
      <c r="B46" s="38" t="s">
        <v>21</v>
      </c>
      <c r="C46" s="22" t="str">
        <f t="shared" si="4"/>
        <v>Line 13 minus 24</v>
      </c>
      <c r="D46" s="24">
        <f t="shared" si="5"/>
        <v>2998830278.420042</v>
      </c>
      <c r="E46" s="25"/>
      <c r="F46" s="26"/>
      <c r="G46" s="24">
        <f t="shared" si="3"/>
        <v>0</v>
      </c>
    </row>
    <row r="47" spans="1:7">
      <c r="A47" s="19">
        <f t="shared" si="2"/>
        <v>35</v>
      </c>
      <c r="B47" s="38" t="s">
        <v>22</v>
      </c>
      <c r="C47" s="22" t="str">
        <f t="shared" si="4"/>
        <v>Line 14 minus 25</v>
      </c>
      <c r="D47" s="24">
        <f t="shared" si="5"/>
        <v>93218853.699663267</v>
      </c>
      <c r="E47" s="25"/>
      <c r="F47" s="26"/>
      <c r="G47" s="39">
        <f t="shared" si="3"/>
        <v>269402.48719202686</v>
      </c>
    </row>
    <row r="48" spans="1:7">
      <c r="A48" s="19">
        <f t="shared" si="2"/>
        <v>36</v>
      </c>
      <c r="B48" s="38" t="s">
        <v>24</v>
      </c>
      <c r="C48" s="22" t="str">
        <f t="shared" si="4"/>
        <v>Line 15 minus 26</v>
      </c>
      <c r="D48" s="24">
        <f t="shared" si="5"/>
        <v>8259146.2624700218</v>
      </c>
      <c r="E48" s="25"/>
      <c r="F48" s="26"/>
      <c r="G48" s="39">
        <f t="shared" si="3"/>
        <v>23868.932698538367</v>
      </c>
    </row>
    <row r="49" spans="1:7">
      <c r="A49" s="19">
        <f t="shared" si="2"/>
        <v>37</v>
      </c>
      <c r="B49" s="31" t="s">
        <v>25</v>
      </c>
      <c r="C49" s="22" t="str">
        <f t="shared" si="4"/>
        <v>Line 16 minus 27</v>
      </c>
      <c r="D49" s="24">
        <f t="shared" si="5"/>
        <v>67610809.449923068</v>
      </c>
      <c r="E49" s="25"/>
      <c r="F49" s="26"/>
      <c r="G49" s="39">
        <f t="shared" si="3"/>
        <v>140817.05027565226</v>
      </c>
    </row>
    <row r="50" spans="1:7">
      <c r="A50" s="19">
        <f t="shared" si="2"/>
        <v>38</v>
      </c>
      <c r="B50" s="31" t="s">
        <v>26</v>
      </c>
      <c r="C50" s="22" t="str">
        <f t="shared" si="4"/>
        <v>Line 17 minus 28</v>
      </c>
      <c r="D50" s="32">
        <f t="shared" si="5"/>
        <v>202302046.94632062</v>
      </c>
      <c r="E50" s="25"/>
      <c r="F50" s="26"/>
      <c r="G50" s="40">
        <f t="shared" si="3"/>
        <v>421346.4939627315</v>
      </c>
    </row>
    <row r="51" spans="1:7">
      <c r="A51" s="19">
        <f t="shared" si="2"/>
        <v>39</v>
      </c>
      <c r="B51" s="38" t="s">
        <v>33</v>
      </c>
      <c r="C51" s="7" t="str">
        <f>"Sum Lines "&amp;A44&amp;" through "&amp;A50</f>
        <v>Sum Lines 32 through 38</v>
      </c>
      <c r="D51" s="41">
        <f>SUM(D44:D50)</f>
        <v>6826558311.4687376</v>
      </c>
      <c r="G51" s="24">
        <f>SUM(G44:G50)</f>
        <v>133544655.36444692</v>
      </c>
    </row>
    <row r="52" spans="1:7">
      <c r="A52" s="19">
        <f t="shared" si="2"/>
        <v>40</v>
      </c>
      <c r="B52" s="7"/>
      <c r="C52" s="30"/>
      <c r="D52" s="41"/>
      <c r="E52" s="42"/>
      <c r="F52" s="35"/>
      <c r="G52" s="24"/>
    </row>
    <row r="53" spans="1:7">
      <c r="A53" s="19">
        <f t="shared" si="2"/>
        <v>41</v>
      </c>
      <c r="B53" s="37"/>
      <c r="C53" s="22"/>
      <c r="D53" s="41"/>
      <c r="E53" s="43"/>
      <c r="F53" s="26"/>
      <c r="G53" s="44"/>
    </row>
    <row r="54" spans="1:7">
      <c r="A54" s="19">
        <f t="shared" si="2"/>
        <v>42</v>
      </c>
      <c r="B54" s="7" t="s">
        <v>34</v>
      </c>
      <c r="C54" s="21" t="s">
        <v>52</v>
      </c>
      <c r="D54" s="24"/>
      <c r="E54" s="25"/>
      <c r="F54" s="26"/>
      <c r="G54" s="24"/>
    </row>
    <row r="55" spans="1:7">
      <c r="A55" s="19">
        <f t="shared" si="2"/>
        <v>43</v>
      </c>
      <c r="B55" s="31" t="s">
        <v>35</v>
      </c>
      <c r="C55" s="22" t="s">
        <v>19</v>
      </c>
      <c r="D55" s="24">
        <f>-'Gen Tie Data'!C57</f>
        <v>-24670081.807125207</v>
      </c>
      <c r="E55" s="25" t="s">
        <v>20</v>
      </c>
      <c r="F55" s="26">
        <v>1</v>
      </c>
      <c r="G55" s="24">
        <f>D55</f>
        <v>-24670081.807125207</v>
      </c>
    </row>
    <row r="56" spans="1:7">
      <c r="A56" s="19">
        <f t="shared" si="2"/>
        <v>44</v>
      </c>
      <c r="B56" s="38"/>
      <c r="C56" s="12"/>
      <c r="D56" s="41"/>
      <c r="E56" s="15"/>
      <c r="F56" s="45"/>
      <c r="G56" s="41"/>
    </row>
    <row r="57" spans="1:7">
      <c r="A57" s="19">
        <f t="shared" si="2"/>
        <v>45</v>
      </c>
      <c r="B57" s="7" t="s">
        <v>36</v>
      </c>
      <c r="C57" s="22" t="str">
        <f>"Line "&amp;A51&amp;" plus "&amp;A55</f>
        <v>Line 39 plus 43</v>
      </c>
      <c r="D57" s="46">
        <f>D51+D55</f>
        <v>6801888229.6616125</v>
      </c>
      <c r="E57" s="11"/>
      <c r="F57" s="47"/>
      <c r="G57" s="46">
        <f>G51+G55</f>
        <v>108874573.55732171</v>
      </c>
    </row>
    <row r="58" spans="1:7">
      <c r="A58" s="19">
        <f t="shared" si="2"/>
        <v>46</v>
      </c>
      <c r="B58" s="7"/>
      <c r="C58" s="22"/>
      <c r="D58" s="48"/>
      <c r="E58" s="11"/>
      <c r="F58" s="47"/>
      <c r="G58" s="48"/>
    </row>
    <row r="59" spans="1:7">
      <c r="A59" s="19">
        <f t="shared" si="2"/>
        <v>47</v>
      </c>
      <c r="B59" s="7" t="s">
        <v>37</v>
      </c>
      <c r="C59" s="22" t="str">
        <f>"Line "&amp;A135</f>
        <v>Line 109</v>
      </c>
      <c r="D59" s="49">
        <f>G135</f>
        <v>7.4200000000000002E-2</v>
      </c>
      <c r="E59" s="11"/>
      <c r="F59" s="47"/>
      <c r="G59" s="50">
        <f>ROR</f>
        <v>7.4200000000000002E-2</v>
      </c>
    </row>
    <row r="60" spans="1:7">
      <c r="A60" s="19">
        <f t="shared" si="2"/>
        <v>48</v>
      </c>
      <c r="B60" s="7"/>
      <c r="C60" s="11"/>
      <c r="D60" s="48"/>
      <c r="E60" s="11"/>
      <c r="F60" s="47"/>
      <c r="G60" s="48"/>
    </row>
    <row r="61" spans="1:7" ht="13.5" thickBot="1">
      <c r="A61" s="19">
        <f t="shared" si="2"/>
        <v>49</v>
      </c>
      <c r="B61" s="51" t="s">
        <v>38</v>
      </c>
      <c r="C61" s="51" t="str">
        <f>"Line "&amp;A57&amp;" times Line "&amp;A59</f>
        <v>Line 45 times Line 47</v>
      </c>
      <c r="D61" s="52">
        <f>D57*D59</f>
        <v>504700106.64089167</v>
      </c>
      <c r="E61" s="41"/>
      <c r="F61" s="53"/>
      <c r="G61" s="52">
        <f>G57*G59</f>
        <v>8078493.3579532709</v>
      </c>
    </row>
    <row r="62" spans="1:7" ht="13.5" thickTop="1">
      <c r="A62" s="15"/>
      <c r="B62" s="51"/>
      <c r="C62" s="51"/>
      <c r="D62" s="41"/>
      <c r="E62" s="41"/>
      <c r="F62" s="53"/>
      <c r="G62" s="41"/>
    </row>
    <row r="63" spans="1:7">
      <c r="A63" s="15"/>
      <c r="B63" s="12"/>
      <c r="C63" s="12"/>
      <c r="D63" s="14"/>
      <c r="E63" s="12"/>
      <c r="F63" s="12"/>
      <c r="G63" s="8"/>
    </row>
    <row r="64" spans="1:7">
      <c r="A64" s="54"/>
      <c r="B64" s="55" t="s">
        <v>39</v>
      </c>
      <c r="C64" s="56"/>
      <c r="D64" s="22"/>
      <c r="E64" s="11"/>
      <c r="F64" s="15"/>
      <c r="G64" s="56" t="s">
        <v>11</v>
      </c>
    </row>
    <row r="65" spans="1:7">
      <c r="A65" s="16" t="s">
        <v>0</v>
      </c>
      <c r="B65" s="17" t="s">
        <v>40</v>
      </c>
      <c r="C65" s="18" t="s">
        <v>10</v>
      </c>
      <c r="D65" s="57" t="s">
        <v>11</v>
      </c>
      <c r="E65" s="165" t="s">
        <v>120</v>
      </c>
      <c r="F65" s="165"/>
      <c r="G65" s="57" t="s">
        <v>41</v>
      </c>
    </row>
    <row r="66" spans="1:7">
      <c r="B66" s="19" t="s">
        <v>4</v>
      </c>
      <c r="C66" s="19" t="s">
        <v>5</v>
      </c>
      <c r="D66" s="19" t="s">
        <v>6</v>
      </c>
      <c r="E66" s="166" t="s">
        <v>13</v>
      </c>
      <c r="F66" s="166"/>
      <c r="G66" s="20" t="s">
        <v>14</v>
      </c>
    </row>
    <row r="67" spans="1:7" ht="13.5" customHeight="1">
      <c r="B67" s="7"/>
      <c r="D67" s="58"/>
      <c r="E67" s="55"/>
      <c r="F67" s="37"/>
      <c r="G67" s="59"/>
    </row>
    <row r="68" spans="1:7">
      <c r="A68" s="19">
        <f>A61+1</f>
        <v>50</v>
      </c>
      <c r="B68" s="30" t="s">
        <v>42</v>
      </c>
      <c r="C68" s="21" t="s">
        <v>125</v>
      </c>
      <c r="D68" s="24"/>
      <c r="E68" s="25"/>
      <c r="F68" s="60"/>
      <c r="G68" s="24"/>
    </row>
    <row r="69" spans="1:7">
      <c r="A69" s="19">
        <f>A68+1</f>
        <v>51</v>
      </c>
      <c r="B69" s="87" t="s">
        <v>44</v>
      </c>
      <c r="C69" s="22" t="s">
        <v>19</v>
      </c>
      <c r="D69" s="24">
        <v>50000</v>
      </c>
      <c r="E69" s="167" t="s">
        <v>45</v>
      </c>
      <c r="F69" s="60"/>
      <c r="G69" s="24">
        <f>D69</f>
        <v>50000</v>
      </c>
    </row>
    <row r="70" spans="1:7">
      <c r="A70" s="19">
        <f>A69+1</f>
        <v>52</v>
      </c>
      <c r="B70" s="8"/>
      <c r="C70" s="63"/>
      <c r="D70" s="24"/>
      <c r="E70" s="10"/>
      <c r="F70" s="37"/>
      <c r="G70" s="64"/>
    </row>
    <row r="71" spans="1:7">
      <c r="A71" s="15">
        <f t="shared" ref="A71:A94" si="6">A70+1</f>
        <v>53</v>
      </c>
      <c r="B71" s="38" t="s">
        <v>46</v>
      </c>
      <c r="C71" s="25"/>
      <c r="D71" s="24"/>
      <c r="E71" s="11"/>
      <c r="F71" s="11"/>
      <c r="G71" s="41"/>
    </row>
    <row r="72" spans="1:7">
      <c r="A72" s="15">
        <f t="shared" si="6"/>
        <v>54</v>
      </c>
      <c r="B72" s="27" t="s">
        <v>47</v>
      </c>
      <c r="C72" s="22" t="s">
        <v>19</v>
      </c>
      <c r="D72" s="24">
        <f>'Gen Tie Data'!C50</f>
        <v>2323999.5113510001</v>
      </c>
      <c r="E72" s="28" t="s">
        <v>20</v>
      </c>
      <c r="F72" s="29">
        <v>1</v>
      </c>
      <c r="G72" s="65">
        <f>F72*D72</f>
        <v>2323999.5113510001</v>
      </c>
    </row>
    <row r="73" spans="1:7">
      <c r="A73" s="15">
        <f t="shared" si="6"/>
        <v>55</v>
      </c>
      <c r="B73" s="38" t="s">
        <v>48</v>
      </c>
      <c r="C73" s="22" t="s">
        <v>126</v>
      </c>
      <c r="D73" s="24">
        <v>11515191.564100001</v>
      </c>
      <c r="E73" s="25" t="s">
        <v>54</v>
      </c>
      <c r="F73" s="26">
        <f>WS</f>
        <v>2.8900000000000002E-3</v>
      </c>
      <c r="G73" s="65">
        <f>D73*F73</f>
        <v>33278.903620249002</v>
      </c>
    </row>
    <row r="74" spans="1:7">
      <c r="A74" s="15">
        <f t="shared" si="6"/>
        <v>56</v>
      </c>
      <c r="B74" s="38" t="s">
        <v>49</v>
      </c>
      <c r="C74" s="22" t="s">
        <v>127</v>
      </c>
      <c r="D74" s="148">
        <v>5900582.8093333337</v>
      </c>
      <c r="E74" s="25" t="s">
        <v>54</v>
      </c>
      <c r="F74" s="26">
        <f>WS</f>
        <v>2.8900000000000002E-3</v>
      </c>
      <c r="G74" s="66">
        <f>D74*F74</f>
        <v>17052.684318973337</v>
      </c>
    </row>
    <row r="75" spans="1:7">
      <c r="A75" s="15">
        <f t="shared" si="6"/>
        <v>57</v>
      </c>
      <c r="B75" s="31" t="s">
        <v>25</v>
      </c>
      <c r="C75" s="22" t="s">
        <v>128</v>
      </c>
      <c r="D75" s="148">
        <v>20572826.413999997</v>
      </c>
      <c r="E75" s="25" t="s">
        <v>115</v>
      </c>
      <c r="F75" s="26">
        <f>CE</f>
        <v>2.0827594200000001E-3</v>
      </c>
      <c r="G75" s="66">
        <f>D75*F75</f>
        <v>42848.248009783318</v>
      </c>
    </row>
    <row r="76" spans="1:7">
      <c r="A76" s="15">
        <f t="shared" si="6"/>
        <v>58</v>
      </c>
      <c r="B76" s="31" t="s">
        <v>26</v>
      </c>
      <c r="C76" s="22" t="s">
        <v>129</v>
      </c>
      <c r="D76" s="148">
        <v>26973789.510000002</v>
      </c>
      <c r="E76" s="25" t="s">
        <v>115</v>
      </c>
      <c r="F76" s="26">
        <f>CE</f>
        <v>2.0827594200000001E-3</v>
      </c>
      <c r="G76" s="66">
        <f>D76*F76</f>
        <v>56179.914195049692</v>
      </c>
    </row>
    <row r="77" spans="1:7">
      <c r="A77" s="15">
        <f t="shared" si="6"/>
        <v>59</v>
      </c>
      <c r="B77" s="38" t="s">
        <v>50</v>
      </c>
      <c r="C77" s="23" t="str">
        <f>"Sum Lines "&amp;A72&amp;" through "&amp;A76</f>
        <v>Sum Lines 54 through 58</v>
      </c>
      <c r="D77" s="149">
        <f>SUM(D72:D76)</f>
        <v>67286389.808784336</v>
      </c>
      <c r="E77" s="11"/>
      <c r="F77" s="11"/>
      <c r="G77" s="67">
        <f>SUM(G72:G76)</f>
        <v>2473359.2614950552</v>
      </c>
    </row>
    <row r="78" spans="1:7">
      <c r="A78" s="15">
        <f t="shared" si="6"/>
        <v>60</v>
      </c>
      <c r="B78" s="38"/>
      <c r="C78" s="22"/>
      <c r="D78" s="24"/>
      <c r="E78" s="11"/>
      <c r="F78" s="11"/>
      <c r="G78" s="41"/>
    </row>
    <row r="79" spans="1:7">
      <c r="A79" s="15">
        <f t="shared" si="6"/>
        <v>61</v>
      </c>
      <c r="B79" s="38" t="s">
        <v>51</v>
      </c>
      <c r="C79" s="36" t="s">
        <v>65</v>
      </c>
      <c r="D79" s="24"/>
      <c r="E79" s="11"/>
      <c r="F79" s="11"/>
      <c r="G79" s="41"/>
    </row>
    <row r="80" spans="1:7">
      <c r="A80" s="15">
        <f t="shared" si="6"/>
        <v>62</v>
      </c>
      <c r="B80" s="38" t="s">
        <v>53</v>
      </c>
      <c r="C80" s="22" t="s">
        <v>130</v>
      </c>
      <c r="D80" s="24">
        <v>13277017</v>
      </c>
      <c r="E80" s="62" t="s">
        <v>54</v>
      </c>
      <c r="F80" s="26">
        <f>WS</f>
        <v>2.8900000000000002E-3</v>
      </c>
      <c r="G80" s="41">
        <f>D80*F80</f>
        <v>38370.579130000006</v>
      </c>
    </row>
    <row r="81" spans="1:7">
      <c r="A81" s="15">
        <f t="shared" si="6"/>
        <v>63</v>
      </c>
      <c r="B81" s="38" t="s">
        <v>55</v>
      </c>
      <c r="C81" s="22" t="s">
        <v>131</v>
      </c>
      <c r="D81" s="24">
        <v>119216181</v>
      </c>
      <c r="E81" s="25" t="s">
        <v>23</v>
      </c>
      <c r="F81" s="26">
        <f>GTGP</f>
        <v>1.3122610435122863E-2</v>
      </c>
      <c r="G81" s="41">
        <f>D81*F81</f>
        <v>1564427.5008260959</v>
      </c>
    </row>
    <row r="82" spans="1:7">
      <c r="A82" s="15">
        <f t="shared" si="6"/>
        <v>64</v>
      </c>
      <c r="B82" s="68" t="s">
        <v>56</v>
      </c>
      <c r="C82" s="22" t="s">
        <v>132</v>
      </c>
      <c r="D82" s="32">
        <v>0</v>
      </c>
      <c r="E82" s="62" t="s">
        <v>17</v>
      </c>
      <c r="F82" s="45">
        <v>0</v>
      </c>
      <c r="G82" s="46">
        <f>D82*F82</f>
        <v>0</v>
      </c>
    </row>
    <row r="83" spans="1:7">
      <c r="A83" s="15">
        <f t="shared" si="6"/>
        <v>65</v>
      </c>
      <c r="B83" s="38" t="s">
        <v>57</v>
      </c>
      <c r="C83" s="23" t="str">
        <f>"Sum Lines "&amp;A80&amp;" through "&amp;A82</f>
        <v>Sum Lines 62 through 64</v>
      </c>
      <c r="D83" s="24">
        <f>SUM(D80:D82)</f>
        <v>132493198</v>
      </c>
      <c r="E83" s="11"/>
      <c r="F83" s="69"/>
      <c r="G83" s="41">
        <f>SUM(G80:G82)</f>
        <v>1602798.0799560959</v>
      </c>
    </row>
    <row r="84" spans="1:7">
      <c r="A84" s="15">
        <f t="shared" si="6"/>
        <v>66</v>
      </c>
      <c r="B84" s="38"/>
      <c r="C84" s="22"/>
      <c r="D84" s="22"/>
      <c r="E84" s="11"/>
      <c r="F84" s="69"/>
      <c r="G84" s="11"/>
    </row>
    <row r="85" spans="1:7">
      <c r="A85" s="15">
        <f t="shared" si="6"/>
        <v>67</v>
      </c>
      <c r="B85" s="38" t="s">
        <v>58</v>
      </c>
      <c r="C85" s="62" t="s">
        <v>123</v>
      </c>
      <c r="D85" s="11"/>
      <c r="E85" s="37"/>
      <c r="F85" s="37"/>
      <c r="G85" s="37"/>
    </row>
    <row r="86" spans="1:7">
      <c r="A86" s="15">
        <f t="shared" si="6"/>
        <v>68</v>
      </c>
      <c r="B86" s="70" t="s">
        <v>59</v>
      </c>
      <c r="C86" s="11"/>
      <c r="D86" s="71">
        <f>ROUND(IF(D151&gt;0,1-(((1-D152)*(1-D151))/(1-D151*D152*D153)),0),4)</f>
        <v>0.38009999999999999</v>
      </c>
      <c r="F86" s="72"/>
      <c r="G86" s="37"/>
    </row>
    <row r="87" spans="1:7">
      <c r="A87" s="15">
        <f t="shared" si="6"/>
        <v>69</v>
      </c>
      <c r="B87" s="61" t="s">
        <v>60</v>
      </c>
      <c r="C87" s="11"/>
      <c r="D87" s="73">
        <f>ROUND(IF(G135&gt;0,(D86/(1-D86))*(1-G132/G135),0),4)</f>
        <v>0.45279999999999998</v>
      </c>
      <c r="F87" s="74"/>
      <c r="G87" s="37"/>
    </row>
    <row r="88" spans="1:7">
      <c r="A88" s="15">
        <f t="shared" si="6"/>
        <v>70</v>
      </c>
      <c r="B88" s="159" t="s">
        <v>203</v>
      </c>
      <c r="C88" s="22"/>
      <c r="D88" s="11"/>
      <c r="E88" s="37"/>
      <c r="F88" s="75"/>
      <c r="G88" s="37"/>
    </row>
    <row r="89" spans="1:7">
      <c r="A89" s="15">
        <f t="shared" si="6"/>
        <v>71</v>
      </c>
      <c r="B89" s="23" t="s">
        <v>124</v>
      </c>
      <c r="C89" s="11"/>
      <c r="D89" s="11"/>
      <c r="E89" s="37"/>
      <c r="F89" s="76"/>
      <c r="G89" s="37"/>
    </row>
    <row r="90" spans="1:7">
      <c r="A90" s="15">
        <f t="shared" si="6"/>
        <v>72</v>
      </c>
      <c r="B90" s="160" t="s">
        <v>202</v>
      </c>
      <c r="C90" s="11"/>
      <c r="D90" s="77">
        <f>ROUND(IF(D86&gt;0,1/(1-D86),0),4)</f>
        <v>1.6132</v>
      </c>
      <c r="E90" s="41"/>
      <c r="F90" s="53"/>
      <c r="G90" s="41"/>
    </row>
    <row r="91" spans="1:7">
      <c r="A91" s="15">
        <f t="shared" si="6"/>
        <v>73</v>
      </c>
      <c r="B91" s="38"/>
      <c r="C91" s="11"/>
      <c r="D91" s="41"/>
      <c r="E91" s="41"/>
      <c r="F91" s="53"/>
      <c r="G91" s="41"/>
    </row>
    <row r="92" spans="1:7">
      <c r="A92" s="15">
        <f t="shared" si="6"/>
        <v>74</v>
      </c>
      <c r="B92" s="70" t="s">
        <v>61</v>
      </c>
      <c r="C92" s="78" t="str">
        <f>"Line "&amp;A61&amp;" times Line "&amp;A87</f>
        <v>Line 49 times Line 69</v>
      </c>
      <c r="D92" s="41">
        <f>ROUND(D61*D87,0)</f>
        <v>228528208</v>
      </c>
      <c r="E92" s="41"/>
      <c r="F92" s="41"/>
      <c r="G92" s="41">
        <f>ROUND(G61*D87,0)</f>
        <v>3657942</v>
      </c>
    </row>
    <row r="93" spans="1:7" ht="13.5" thickBot="1">
      <c r="A93" s="15">
        <f t="shared" si="6"/>
        <v>75</v>
      </c>
      <c r="B93" s="61"/>
      <c r="C93" s="79"/>
      <c r="D93" s="41"/>
      <c r="E93" s="41"/>
      <c r="F93" s="41"/>
      <c r="G93" s="41"/>
    </row>
    <row r="94" spans="1:7" ht="13.5" thickBot="1">
      <c r="A94" s="15">
        <f t="shared" si="6"/>
        <v>76</v>
      </c>
      <c r="B94" s="7" t="s">
        <v>62</v>
      </c>
      <c r="C94" s="119" t="s">
        <v>204</v>
      </c>
      <c r="D94" s="81">
        <f>D61+D68+D77+D83+D92</f>
        <v>933007902.44967604</v>
      </c>
      <c r="E94" s="41"/>
      <c r="F94" s="41"/>
      <c r="G94" s="82">
        <f>G61+G69+G77+G83+G92</f>
        <v>15862592.699404422</v>
      </c>
    </row>
    <row r="95" spans="1:7" ht="13.5" thickTop="1">
      <c r="A95" s="15"/>
      <c r="B95" s="7"/>
      <c r="C95" s="80"/>
      <c r="D95" s="48"/>
      <c r="E95" s="41"/>
      <c r="F95" s="41"/>
      <c r="G95" s="48"/>
    </row>
    <row r="96" spans="1:7">
      <c r="A96" s="15"/>
      <c r="B96" s="7"/>
      <c r="C96" s="80"/>
      <c r="D96" s="48"/>
      <c r="E96" s="41"/>
      <c r="F96" s="41"/>
      <c r="G96" s="48"/>
    </row>
    <row r="97" spans="1:7">
      <c r="A97" s="15"/>
      <c r="B97" s="7"/>
      <c r="C97" s="80"/>
      <c r="D97" s="48"/>
      <c r="E97" s="41"/>
      <c r="F97" s="41"/>
      <c r="G97" s="48"/>
    </row>
    <row r="98" spans="1:7">
      <c r="A98" s="15"/>
      <c r="B98" s="12"/>
      <c r="C98" s="12"/>
      <c r="D98" s="11"/>
      <c r="E98" s="11"/>
      <c r="F98" s="15"/>
      <c r="G98" s="56" t="s">
        <v>11</v>
      </c>
    </row>
    <row r="99" spans="1:7">
      <c r="A99" s="16" t="s">
        <v>0</v>
      </c>
      <c r="B99" s="17" t="s">
        <v>63</v>
      </c>
      <c r="C99" s="18" t="s">
        <v>10</v>
      </c>
      <c r="D99" s="57" t="s">
        <v>11</v>
      </c>
      <c r="E99" s="165" t="s">
        <v>120</v>
      </c>
      <c r="F99" s="165"/>
      <c r="G99" s="57" t="s">
        <v>41</v>
      </c>
    </row>
    <row r="100" spans="1:7">
      <c r="B100" s="19" t="s">
        <v>4</v>
      </c>
      <c r="C100" s="19" t="s">
        <v>5</v>
      </c>
      <c r="D100" s="19" t="s">
        <v>6</v>
      </c>
      <c r="E100" s="166" t="s">
        <v>13</v>
      </c>
      <c r="F100" s="166"/>
      <c r="G100" s="20" t="s">
        <v>14</v>
      </c>
    </row>
    <row r="101" spans="1:7">
      <c r="B101" s="9"/>
      <c r="C101" s="12"/>
      <c r="D101" s="12"/>
      <c r="E101" s="12"/>
      <c r="F101" s="12"/>
      <c r="G101" s="12"/>
    </row>
    <row r="102" spans="1:7">
      <c r="A102" s="15">
        <f>A94+1</f>
        <v>77</v>
      </c>
      <c r="B102" s="30" t="s">
        <v>64</v>
      </c>
      <c r="C102" s="19" t="s">
        <v>122</v>
      </c>
      <c r="D102" s="83"/>
      <c r="E102" s="83"/>
      <c r="F102" s="83"/>
    </row>
    <row r="103" spans="1:7">
      <c r="A103" s="15">
        <f>A102+1</f>
        <v>78</v>
      </c>
      <c r="B103" s="83" t="s">
        <v>66</v>
      </c>
      <c r="C103" s="116" t="s">
        <v>133</v>
      </c>
      <c r="D103" s="8"/>
      <c r="E103" s="84"/>
      <c r="F103" s="84"/>
      <c r="G103" s="24">
        <v>1945700816.2115386</v>
      </c>
    </row>
    <row r="104" spans="1:7">
      <c r="A104" s="15">
        <f>A103+1</f>
        <v>79</v>
      </c>
      <c r="B104" s="83" t="s">
        <v>67</v>
      </c>
      <c r="C104" s="116" t="s">
        <v>134</v>
      </c>
      <c r="D104" s="8"/>
      <c r="E104" s="84"/>
      <c r="F104" s="84"/>
      <c r="G104" s="32">
        <v>5308256.9099999983</v>
      </c>
    </row>
    <row r="105" spans="1:7">
      <c r="A105" s="15">
        <f>A104+1</f>
        <v>80</v>
      </c>
      <c r="B105" s="83" t="s">
        <v>68</v>
      </c>
      <c r="C105" s="23" t="str">
        <f>"Sum Lines "&amp;A103&amp;" through "&amp;A104</f>
        <v>Sum Lines 78 through 79</v>
      </c>
      <c r="D105" s="8"/>
      <c r="E105" s="84"/>
      <c r="F105" s="84"/>
      <c r="G105" s="24">
        <f>SUM(G103:G104)</f>
        <v>1951009073.1215386</v>
      </c>
    </row>
    <row r="106" spans="1:7" ht="11.25" customHeight="1">
      <c r="A106" s="15">
        <f>A105+1</f>
        <v>81</v>
      </c>
      <c r="B106" s="85" t="s">
        <v>69</v>
      </c>
      <c r="C106" s="120" t="s">
        <v>179</v>
      </c>
      <c r="D106" s="86"/>
      <c r="E106" s="87"/>
      <c r="F106" s="87"/>
      <c r="G106" s="148">
        <v>-60343520.441538498</v>
      </c>
    </row>
    <row r="107" spans="1:7" ht="11.25" customHeight="1">
      <c r="A107" s="15">
        <f>A106+1</f>
        <v>82</v>
      </c>
      <c r="B107" s="85" t="s">
        <v>70</v>
      </c>
      <c r="C107" s="22" t="s">
        <v>140</v>
      </c>
      <c r="D107" s="86"/>
      <c r="E107" s="87"/>
      <c r="F107" s="87"/>
      <c r="G107" s="148">
        <v>-1842432301.5492301</v>
      </c>
    </row>
    <row r="108" spans="1:7">
      <c r="A108" s="15">
        <f>A106+1</f>
        <v>82</v>
      </c>
      <c r="B108" s="83" t="s">
        <v>71</v>
      </c>
      <c r="C108" s="23" t="str">
        <f>"Sum Lines "&amp;A105&amp;" through "&amp;A107</f>
        <v>Sum Lines 80 through 82</v>
      </c>
      <c r="D108" s="8"/>
      <c r="E108" s="84"/>
      <c r="F108" s="21"/>
      <c r="G108" s="24">
        <f>SUM(G105:G107)</f>
        <v>48233251.130769968</v>
      </c>
    </row>
    <row r="109" spans="1:7">
      <c r="A109" s="15">
        <f t="shared" ref="A109:A137" si="7">A108+1</f>
        <v>83</v>
      </c>
      <c r="B109" s="83" t="s">
        <v>72</v>
      </c>
      <c r="C109" s="88" t="str">
        <f>"Line "&amp;A109&amp;" divided by Line "&amp;A105</f>
        <v>Line 83 divided by Line 80</v>
      </c>
      <c r="D109" s="8"/>
      <c r="E109" s="89"/>
      <c r="F109" s="90" t="s">
        <v>73</v>
      </c>
      <c r="G109" s="91">
        <f>IF(G108=0,0,ROUND(G108/SUM(G105),5))</f>
        <v>2.4719999999999999E-2</v>
      </c>
    </row>
    <row r="110" spans="1:7">
      <c r="A110" s="15">
        <f t="shared" si="7"/>
        <v>84</v>
      </c>
      <c r="B110" s="83"/>
      <c r="C110" s="88"/>
      <c r="D110" s="8"/>
      <c r="E110" s="89"/>
      <c r="F110" s="90"/>
      <c r="G110" s="91"/>
    </row>
    <row r="111" spans="1:7">
      <c r="A111" s="15">
        <f t="shared" si="7"/>
        <v>85</v>
      </c>
      <c r="B111" s="83" t="s">
        <v>74</v>
      </c>
      <c r="C111" s="88"/>
      <c r="D111" s="8"/>
      <c r="E111" s="89"/>
      <c r="F111" s="90"/>
      <c r="G111" s="91"/>
    </row>
    <row r="112" spans="1:7">
      <c r="A112" s="15">
        <f t="shared" si="7"/>
        <v>86</v>
      </c>
      <c r="B112" s="83" t="s">
        <v>75</v>
      </c>
      <c r="C112" s="143" t="s">
        <v>141</v>
      </c>
      <c r="D112" s="8"/>
      <c r="E112" s="89"/>
      <c r="F112" s="90"/>
      <c r="G112" s="24">
        <f>D24</f>
        <v>134335231.86999995</v>
      </c>
    </row>
    <row r="113" spans="1:7">
      <c r="A113" s="15">
        <f t="shared" si="7"/>
        <v>87</v>
      </c>
      <c r="B113" s="83" t="s">
        <v>76</v>
      </c>
      <c r="C113" s="143" t="s">
        <v>180</v>
      </c>
      <c r="D113" s="8"/>
      <c r="E113" s="89"/>
      <c r="F113" s="90"/>
      <c r="G113" s="92">
        <f>D30</f>
        <v>10236929041.98769</v>
      </c>
    </row>
    <row r="114" spans="1:7">
      <c r="A114" s="15">
        <f t="shared" si="7"/>
        <v>88</v>
      </c>
      <c r="B114" s="83"/>
      <c r="C114" s="88"/>
      <c r="D114" s="8"/>
      <c r="E114" s="89"/>
      <c r="F114" s="90" t="s">
        <v>77</v>
      </c>
      <c r="G114" s="91">
        <f>G112/G113</f>
        <v>1.3122610435122863E-2</v>
      </c>
    </row>
    <row r="115" spans="1:7">
      <c r="A115" s="15">
        <f t="shared" si="7"/>
        <v>89</v>
      </c>
      <c r="B115" s="83"/>
      <c r="C115" s="88"/>
      <c r="D115" s="8"/>
      <c r="E115" s="89"/>
      <c r="F115" s="90"/>
      <c r="G115" s="91"/>
    </row>
    <row r="116" spans="1:7">
      <c r="A116" s="15">
        <f t="shared" si="7"/>
        <v>90</v>
      </c>
      <c r="B116" s="7" t="s">
        <v>78</v>
      </c>
      <c r="C116" s="11"/>
      <c r="D116" s="11"/>
      <c r="E116" s="11"/>
      <c r="F116" s="11"/>
      <c r="G116" s="11"/>
    </row>
    <row r="117" spans="1:7">
      <c r="A117" s="15">
        <f t="shared" si="7"/>
        <v>91</v>
      </c>
      <c r="B117" s="7" t="s">
        <v>16</v>
      </c>
      <c r="C117" s="120" t="s">
        <v>181</v>
      </c>
      <c r="D117" s="93">
        <v>72449712</v>
      </c>
      <c r="E117" s="25" t="s">
        <v>17</v>
      </c>
      <c r="F117" s="26">
        <v>0</v>
      </c>
      <c r="G117" s="41">
        <f>D117*F117</f>
        <v>0</v>
      </c>
    </row>
    <row r="118" spans="1:7">
      <c r="A118" s="15">
        <f t="shared" si="7"/>
        <v>92</v>
      </c>
      <c r="B118" s="38" t="s">
        <v>32</v>
      </c>
      <c r="C118" s="22" t="s">
        <v>135</v>
      </c>
      <c r="D118" s="93">
        <v>17161188.568099998</v>
      </c>
      <c r="E118" s="19" t="s">
        <v>79</v>
      </c>
      <c r="F118" s="29">
        <f>GTTP</f>
        <v>2.4719999999999999E-2</v>
      </c>
      <c r="G118" s="41">
        <f>D118*F118</f>
        <v>424224.58140343195</v>
      </c>
    </row>
    <row r="119" spans="1:7">
      <c r="A119" s="15">
        <f t="shared" si="7"/>
        <v>93</v>
      </c>
      <c r="B119" s="38" t="s">
        <v>80</v>
      </c>
      <c r="C119" s="120" t="s">
        <v>182</v>
      </c>
      <c r="D119" s="93">
        <v>253776</v>
      </c>
      <c r="E119" s="19" t="s">
        <v>17</v>
      </c>
      <c r="F119" s="26">
        <v>0</v>
      </c>
      <c r="G119" s="41">
        <f>D119*F119</f>
        <v>0</v>
      </c>
    </row>
    <row r="120" spans="1:7">
      <c r="A120" s="15">
        <f t="shared" si="7"/>
        <v>94</v>
      </c>
      <c r="B120" s="38" t="s">
        <v>21</v>
      </c>
      <c r="C120" s="120" t="s">
        <v>183</v>
      </c>
      <c r="D120" s="93">
        <v>43146955</v>
      </c>
      <c r="E120" s="25" t="s">
        <v>17</v>
      </c>
      <c r="F120" s="26">
        <v>0</v>
      </c>
      <c r="G120" s="41">
        <f>D120*F120</f>
        <v>0</v>
      </c>
    </row>
    <row r="121" spans="1:7">
      <c r="A121" s="15">
        <f t="shared" si="7"/>
        <v>95</v>
      </c>
      <c r="B121" s="38" t="s">
        <v>81</v>
      </c>
      <c r="C121" s="120" t="s">
        <v>184</v>
      </c>
      <c r="D121" s="150">
        <v>13639370</v>
      </c>
      <c r="E121" s="25" t="s">
        <v>17</v>
      </c>
      <c r="F121" s="26">
        <v>0</v>
      </c>
      <c r="G121" s="46">
        <f>D121*F121</f>
        <v>0</v>
      </c>
    </row>
    <row r="122" spans="1:7">
      <c r="A122" s="15">
        <f t="shared" si="7"/>
        <v>96</v>
      </c>
      <c r="B122" s="23" t="s">
        <v>11</v>
      </c>
      <c r="C122" s="23" t="str">
        <f>"Sum Lines "&amp;A117&amp;" through "&amp;A121</f>
        <v>Sum Lines 91 through 95</v>
      </c>
      <c r="D122" s="24">
        <f>SUM(D117:D121)</f>
        <v>146651001.56810001</v>
      </c>
      <c r="E122" s="22"/>
      <c r="F122" s="22"/>
      <c r="G122" s="41">
        <f>SUM(G117:G121)</f>
        <v>424224.58140343195</v>
      </c>
    </row>
    <row r="123" spans="1:7">
      <c r="A123" s="15">
        <f t="shared" si="7"/>
        <v>97</v>
      </c>
      <c r="B123" s="38" t="s">
        <v>30</v>
      </c>
      <c r="C123" s="11" t="s">
        <v>30</v>
      </c>
      <c r="D123" s="63"/>
      <c r="E123" s="151"/>
      <c r="F123" s="151"/>
      <c r="G123" s="8"/>
    </row>
    <row r="124" spans="1:7">
      <c r="A124" s="15">
        <f t="shared" si="7"/>
        <v>98</v>
      </c>
      <c r="B124" s="38" t="s">
        <v>82</v>
      </c>
      <c r="C124" s="11" t="str">
        <f>"Line "&amp;A122&amp;", Col. "&amp;G100&amp;" divided by Col. "&amp;D100</f>
        <v>Line 96, Col. Col. (5) divided by Col. Col. (3)</v>
      </c>
      <c r="D124" s="63"/>
      <c r="E124" s="151"/>
      <c r="F124" s="152" t="s">
        <v>83</v>
      </c>
      <c r="G124" s="94">
        <f>IF(G122=0,0,ROUND(G122/D122,5))</f>
        <v>2.8900000000000002E-3</v>
      </c>
    </row>
    <row r="125" spans="1:7">
      <c r="A125" s="15">
        <f t="shared" si="7"/>
        <v>99</v>
      </c>
      <c r="B125" s="38"/>
      <c r="C125" s="11"/>
      <c r="D125" s="63"/>
      <c r="E125" s="151"/>
      <c r="F125" s="152"/>
      <c r="G125" s="94"/>
    </row>
    <row r="126" spans="1:7">
      <c r="A126" s="15">
        <f t="shared" si="7"/>
        <v>100</v>
      </c>
      <c r="B126" s="11" t="s">
        <v>84</v>
      </c>
      <c r="C126" s="120" t="s">
        <v>185</v>
      </c>
      <c r="D126" s="63"/>
      <c r="E126" s="151"/>
      <c r="F126" s="152"/>
      <c r="G126" s="95">
        <v>0.72067800000000004</v>
      </c>
    </row>
    <row r="127" spans="1:7">
      <c r="A127" s="15">
        <f t="shared" si="7"/>
        <v>101</v>
      </c>
      <c r="B127" s="38"/>
      <c r="C127" s="38" t="str">
        <f>"W/S Allocator, Line "&amp;A124</f>
        <v>W/S Allocator, Line 98</v>
      </c>
      <c r="D127" s="63"/>
      <c r="E127" s="151"/>
      <c r="F127" s="152"/>
      <c r="G127" s="96">
        <f>WS</f>
        <v>2.8900000000000002E-3</v>
      </c>
    </row>
    <row r="128" spans="1:7">
      <c r="A128" s="15">
        <f t="shared" si="7"/>
        <v>102</v>
      </c>
      <c r="B128" s="11"/>
      <c r="C128" s="1" t="str">
        <f>"Line "&amp;A126&amp;" times Line "&amp;A127</f>
        <v>Line 100 times Line 101</v>
      </c>
      <c r="D128" s="63"/>
      <c r="E128" s="151"/>
      <c r="F128" s="152" t="s">
        <v>85</v>
      </c>
      <c r="G128" s="94">
        <f>G126*G127</f>
        <v>2.0827594200000001E-3</v>
      </c>
    </row>
    <row r="129" spans="1:7">
      <c r="A129" s="15">
        <f t="shared" si="7"/>
        <v>103</v>
      </c>
      <c r="B129" s="38"/>
      <c r="C129" s="11"/>
      <c r="D129" s="22"/>
      <c r="E129" s="22"/>
      <c r="F129" s="22"/>
      <c r="G129" s="11"/>
    </row>
    <row r="130" spans="1:7">
      <c r="A130" s="15">
        <f t="shared" si="7"/>
        <v>104</v>
      </c>
      <c r="C130" s="11"/>
      <c r="D130" s="22"/>
      <c r="E130" s="22"/>
      <c r="F130" s="25"/>
      <c r="G130" s="11"/>
    </row>
    <row r="131" spans="1:7">
      <c r="A131" s="15">
        <f t="shared" si="7"/>
        <v>105</v>
      </c>
      <c r="B131" s="38" t="s">
        <v>86</v>
      </c>
      <c r="C131" s="62" t="s">
        <v>121</v>
      </c>
      <c r="D131" s="153" t="s">
        <v>87</v>
      </c>
      <c r="E131" s="153" t="s">
        <v>88</v>
      </c>
      <c r="F131" s="154" t="s">
        <v>89</v>
      </c>
      <c r="G131" s="97" t="s">
        <v>90</v>
      </c>
    </row>
    <row r="132" spans="1:7">
      <c r="A132" s="15">
        <f t="shared" si="7"/>
        <v>106</v>
      </c>
      <c r="B132" s="22" t="s">
        <v>91</v>
      </c>
      <c r="C132" s="22" t="s">
        <v>136</v>
      </c>
      <c r="D132" s="24">
        <v>3883346153.8461537</v>
      </c>
      <c r="E132" s="60">
        <f>IF(D135=0,0,ROUND(D132/$D$135,4))</f>
        <v>0.43569999999999998</v>
      </c>
      <c r="F132" s="60">
        <v>4.4501722317192745E-2</v>
      </c>
      <c r="G132" s="98">
        <f>ROUND(E132*F132,4)</f>
        <v>1.9400000000000001E-2</v>
      </c>
    </row>
    <row r="133" spans="1:7">
      <c r="A133" s="15">
        <f t="shared" si="7"/>
        <v>107</v>
      </c>
      <c r="B133" s="22" t="s">
        <v>92</v>
      </c>
      <c r="C133" s="63" t="s">
        <v>138</v>
      </c>
      <c r="D133" s="24">
        <v>0</v>
      </c>
      <c r="E133" s="60">
        <f>IF(D135=0,0,ROUND(D133/$D$135,4))</f>
        <v>0</v>
      </c>
      <c r="F133" s="60">
        <v>0</v>
      </c>
      <c r="G133" s="98">
        <f>ROUND(E133*F133,4)</f>
        <v>0</v>
      </c>
    </row>
    <row r="134" spans="1:7">
      <c r="A134" s="15">
        <f t="shared" si="7"/>
        <v>108</v>
      </c>
      <c r="B134" s="22" t="s">
        <v>93</v>
      </c>
      <c r="C134" s="63" t="s">
        <v>139</v>
      </c>
      <c r="D134" s="32">
        <v>5029739077.390769</v>
      </c>
      <c r="E134" s="60">
        <f>IF(D135=0,0,ROUND(D134/$D$135,4))</f>
        <v>0.56430000000000002</v>
      </c>
      <c r="F134" s="60">
        <v>9.7199999999999995E-2</v>
      </c>
      <c r="G134" s="99">
        <f>ROUND(E134*F134,4)</f>
        <v>5.4800000000000001E-2</v>
      </c>
    </row>
    <row r="135" spans="1:7">
      <c r="A135" s="15">
        <f t="shared" si="7"/>
        <v>109</v>
      </c>
      <c r="B135" s="23" t="s">
        <v>94</v>
      </c>
      <c r="C135" s="23" t="str">
        <f>"Sum Lines "&amp;A132&amp;" through "&amp;A134</f>
        <v>Sum Lines 106 through 108</v>
      </c>
      <c r="D135" s="24">
        <f>SUM(D132:D134)</f>
        <v>8913085231.2369232</v>
      </c>
      <c r="E135" s="22"/>
      <c r="F135" s="100" t="s">
        <v>201</v>
      </c>
      <c r="G135" s="101">
        <f>SUM(G132:G134)</f>
        <v>7.4200000000000002E-2</v>
      </c>
    </row>
    <row r="136" spans="1:7">
      <c r="A136" s="15">
        <f t="shared" si="7"/>
        <v>110</v>
      </c>
      <c r="B136" s="12"/>
      <c r="C136" s="12"/>
      <c r="D136" s="14"/>
      <c r="E136" s="12"/>
      <c r="F136" s="12"/>
      <c r="G136" s="8"/>
    </row>
    <row r="137" spans="1:7">
      <c r="A137" s="15">
        <f t="shared" si="7"/>
        <v>111</v>
      </c>
      <c r="C137" s="12"/>
      <c r="D137" s="13"/>
      <c r="E137" s="12"/>
      <c r="F137" s="12"/>
      <c r="G137" s="102"/>
    </row>
    <row r="138" spans="1:7">
      <c r="A138" s="15"/>
      <c r="B138" s="12"/>
      <c r="C138" s="12"/>
      <c r="D138" s="14"/>
      <c r="E138" s="12"/>
      <c r="F138" s="12"/>
      <c r="G138" s="8"/>
    </row>
    <row r="139" spans="1:7">
      <c r="A139" s="9" t="s">
        <v>95</v>
      </c>
      <c r="B139" s="103"/>
      <c r="C139" s="104"/>
      <c r="D139" s="104"/>
      <c r="E139" s="8"/>
      <c r="F139" s="8"/>
      <c r="G139" s="105"/>
    </row>
    <row r="140" spans="1:7">
      <c r="A140" s="9"/>
      <c r="B140" s="103"/>
      <c r="C140" s="104"/>
      <c r="D140" s="104"/>
      <c r="E140" s="8"/>
      <c r="F140" s="8"/>
      <c r="G140" s="105"/>
    </row>
    <row r="141" spans="1:7">
      <c r="A141" s="106" t="s">
        <v>96</v>
      </c>
      <c r="B141" s="125" t="s">
        <v>30</v>
      </c>
      <c r="C141" s="83"/>
      <c r="D141" s="22"/>
      <c r="E141" s="22"/>
      <c r="F141" s="22"/>
      <c r="G141" s="22"/>
    </row>
    <row r="142" spans="1:7">
      <c r="A142" s="117" t="s">
        <v>97</v>
      </c>
      <c r="B142" s="125" t="s">
        <v>197</v>
      </c>
      <c r="C142" s="83"/>
      <c r="D142" s="22"/>
      <c r="E142" s="22"/>
      <c r="F142" s="22"/>
      <c r="G142" s="22"/>
    </row>
    <row r="143" spans="1:7">
      <c r="A143" s="117" t="s">
        <v>99</v>
      </c>
      <c r="B143" s="156" t="s">
        <v>200</v>
      </c>
      <c r="C143" s="157"/>
      <c r="D143" s="158"/>
      <c r="E143" s="158"/>
      <c r="F143" s="158"/>
      <c r="G143" s="22"/>
    </row>
    <row r="144" spans="1:7">
      <c r="A144" s="117" t="s">
        <v>100</v>
      </c>
      <c r="B144" s="30" t="s">
        <v>98</v>
      </c>
      <c r="C144" s="83"/>
      <c r="D144" s="83"/>
      <c r="E144" s="22"/>
      <c r="F144" s="22"/>
      <c r="G144" s="22"/>
    </row>
    <row r="145" spans="1:7" ht="42.75" customHeight="1">
      <c r="A145" s="117" t="s">
        <v>101</v>
      </c>
      <c r="B145" s="163" t="s">
        <v>192</v>
      </c>
      <c r="C145" s="164"/>
      <c r="D145" s="164"/>
      <c r="E145" s="164"/>
      <c r="F145" s="164"/>
      <c r="G145" s="164"/>
    </row>
    <row r="146" spans="1:7">
      <c r="A146" s="168" t="s">
        <v>104</v>
      </c>
      <c r="B146" s="163" t="s">
        <v>205</v>
      </c>
      <c r="C146" s="163"/>
      <c r="D146" s="163"/>
      <c r="E146" s="163"/>
      <c r="F146" s="163"/>
      <c r="G146" s="163"/>
    </row>
    <row r="147" spans="1:7">
      <c r="A147" s="117" t="s">
        <v>113</v>
      </c>
      <c r="B147" s="30" t="s">
        <v>102</v>
      </c>
      <c r="C147" s="83"/>
      <c r="D147" s="63"/>
      <c r="E147" s="22"/>
      <c r="F147" s="22"/>
      <c r="G147" s="22"/>
    </row>
    <row r="148" spans="1:7">
      <c r="A148" s="117"/>
      <c r="B148" s="30" t="s">
        <v>103</v>
      </c>
      <c r="C148" s="83"/>
      <c r="D148" s="63"/>
      <c r="E148" s="22"/>
      <c r="F148" s="22"/>
      <c r="G148" s="22"/>
    </row>
    <row r="149" spans="1:7">
      <c r="A149" s="117" t="s">
        <v>114</v>
      </c>
      <c r="B149" s="30" t="s">
        <v>105</v>
      </c>
      <c r="C149" s="83"/>
      <c r="D149" s="83"/>
      <c r="E149" s="83"/>
      <c r="F149" s="83"/>
      <c r="G149" s="83"/>
    </row>
    <row r="150" spans="1:7">
      <c r="A150" s="117"/>
      <c r="B150" s="30" t="s">
        <v>106</v>
      </c>
      <c r="C150" s="83"/>
      <c r="D150" s="83"/>
      <c r="E150" s="83"/>
      <c r="F150" s="83"/>
      <c r="G150" s="83"/>
    </row>
    <row r="151" spans="1:7">
      <c r="A151" s="117"/>
      <c r="B151" s="30" t="s">
        <v>107</v>
      </c>
      <c r="C151" s="83" t="s">
        <v>108</v>
      </c>
      <c r="D151" s="107">
        <v>0.35</v>
      </c>
      <c r="E151" s="83"/>
      <c r="F151" s="83"/>
      <c r="G151" s="83"/>
    </row>
    <row r="152" spans="1:7">
      <c r="A152" s="117"/>
      <c r="B152" s="30"/>
      <c r="C152" s="83" t="s">
        <v>109</v>
      </c>
      <c r="D152" s="107">
        <v>4.6300000000000001E-2</v>
      </c>
      <c r="E152" s="83" t="s">
        <v>110</v>
      </c>
      <c r="F152" s="83"/>
      <c r="G152" s="83"/>
    </row>
    <row r="153" spans="1:7">
      <c r="A153" s="117"/>
      <c r="B153" s="30"/>
      <c r="C153" s="83" t="s">
        <v>111</v>
      </c>
      <c r="D153" s="107">
        <v>0</v>
      </c>
      <c r="E153" s="83" t="s">
        <v>112</v>
      </c>
      <c r="F153" s="83"/>
      <c r="G153" s="83"/>
    </row>
    <row r="154" spans="1:7" ht="26.25" customHeight="1">
      <c r="A154" s="117"/>
      <c r="B154" s="163" t="s">
        <v>193</v>
      </c>
      <c r="C154" s="164"/>
      <c r="D154" s="164"/>
      <c r="E154" s="164"/>
      <c r="F154" s="164"/>
      <c r="G154" s="164"/>
    </row>
    <row r="155" spans="1:7">
      <c r="A155" s="117" t="s">
        <v>116</v>
      </c>
      <c r="B155" s="125" t="s">
        <v>190</v>
      </c>
      <c r="C155" s="63"/>
      <c r="D155" s="83"/>
      <c r="E155" s="63"/>
      <c r="F155" s="63"/>
      <c r="G155" s="63"/>
    </row>
    <row r="156" spans="1:7">
      <c r="A156" s="117"/>
      <c r="B156" s="125" t="s">
        <v>194</v>
      </c>
      <c r="C156" s="63"/>
      <c r="D156" s="33"/>
      <c r="E156" s="63"/>
      <c r="F156" s="63"/>
      <c r="G156" s="63"/>
    </row>
    <row r="157" spans="1:7">
      <c r="A157" s="117"/>
      <c r="B157" s="125" t="s">
        <v>195</v>
      </c>
      <c r="C157" s="63"/>
      <c r="D157" s="33"/>
      <c r="E157" s="63"/>
      <c r="F157" s="63"/>
      <c r="G157" s="63"/>
    </row>
    <row r="158" spans="1:7">
      <c r="A158" s="117" t="s">
        <v>118</v>
      </c>
      <c r="B158" s="125" t="s">
        <v>196</v>
      </c>
      <c r="C158" s="83"/>
      <c r="D158" s="33"/>
      <c r="E158" s="83"/>
      <c r="F158" s="83"/>
      <c r="G158" s="83"/>
    </row>
    <row r="159" spans="1:7">
      <c r="A159" s="117"/>
      <c r="B159" s="125" t="s">
        <v>191</v>
      </c>
      <c r="C159" s="83"/>
      <c r="D159" s="33"/>
      <c r="E159" s="83"/>
      <c r="F159" s="83"/>
      <c r="G159" s="83"/>
    </row>
    <row r="160" spans="1:7">
      <c r="A160" s="117" t="s">
        <v>119</v>
      </c>
      <c r="B160" s="30" t="str">
        <f>"The calculation of the GTTP Allocator is found on Line "&amp;A109</f>
        <v>The calculation of the GTTP Allocator is found on Line 83</v>
      </c>
      <c r="C160" s="83"/>
      <c r="D160" s="33"/>
      <c r="E160" s="83"/>
      <c r="F160" s="83"/>
      <c r="G160" s="83"/>
    </row>
    <row r="161" spans="1:7">
      <c r="A161" s="33"/>
      <c r="B161" s="30" t="str">
        <f>"The calculation of the GTGP Allocator is found on Line "&amp;A114</f>
        <v>The calculation of the GTGP Allocator is found on Line 88</v>
      </c>
      <c r="C161" s="33"/>
      <c r="D161" s="33"/>
      <c r="E161" s="33"/>
      <c r="F161" s="33"/>
      <c r="G161" s="33"/>
    </row>
    <row r="162" spans="1:7">
      <c r="A162" s="33"/>
      <c r="B162" s="30" t="str">
        <f>"The calculation of the W/S Allocator is found on Line "&amp;A124</f>
        <v>The calculation of the W/S Allocator is found on Line 98</v>
      </c>
      <c r="C162" s="33"/>
      <c r="D162" s="33"/>
      <c r="E162" s="33"/>
      <c r="F162" s="33"/>
      <c r="G162" s="33"/>
    </row>
    <row r="163" spans="1:7">
      <c r="A163" s="33"/>
      <c r="B163" s="30" t="str">
        <f>"The calculation of the CE Allocator is found on Line "&amp;A128</f>
        <v>The calculation of the CE Allocator is found on Line 102</v>
      </c>
      <c r="C163" s="33"/>
      <c r="D163" s="33"/>
      <c r="E163" s="33"/>
      <c r="F163" s="33"/>
      <c r="G163" s="33"/>
    </row>
    <row r="164" spans="1:7">
      <c r="A164" s="33"/>
      <c r="B164" s="30"/>
      <c r="C164" s="33"/>
      <c r="D164" s="33"/>
      <c r="E164" s="33"/>
      <c r="F164" s="33"/>
      <c r="G164" s="33"/>
    </row>
    <row r="165" spans="1:7">
      <c r="A165" s="33"/>
      <c r="B165" s="33"/>
      <c r="C165" s="33"/>
      <c r="D165" s="33"/>
      <c r="E165" s="33"/>
      <c r="F165" s="33"/>
      <c r="G165" s="33"/>
    </row>
    <row r="166" spans="1:7">
      <c r="D166" s="33"/>
    </row>
    <row r="167" spans="1:7">
      <c r="D167" s="33"/>
    </row>
    <row r="168" spans="1:7">
      <c r="A168" s="144"/>
      <c r="B168" s="33"/>
      <c r="C168" s="33"/>
      <c r="D168" s="33"/>
    </row>
  </sheetData>
  <mergeCells count="11">
    <mergeCell ref="A18:G18"/>
    <mergeCell ref="A4:G4"/>
    <mergeCell ref="B145:G145"/>
    <mergeCell ref="B146:G146"/>
    <mergeCell ref="B154:G154"/>
    <mergeCell ref="E20:F20"/>
    <mergeCell ref="E21:F21"/>
    <mergeCell ref="E65:F65"/>
    <mergeCell ref="E66:F66"/>
    <mergeCell ref="E99:F99"/>
    <mergeCell ref="E100:F100"/>
  </mergeCells>
  <printOptions horizontalCentered="1"/>
  <pageMargins left="0.75" right="0.75" top="1" bottom="1" header="0.5" footer="0.5"/>
  <pageSetup scale="68" fitToHeight="0" orientation="landscape" r:id="rId1"/>
  <headerFooter alignWithMargins="0">
    <oddHeader>&amp;RPage &amp;P of &amp;N</oddHeader>
  </headerFooter>
  <rowBreaks count="3" manualBreakCount="3">
    <brk id="62" max="6" man="1"/>
    <brk id="96" max="6" man="1"/>
    <brk id="137"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topLeftCell="A10" workbookViewId="0">
      <selection activeCell="F63" sqref="F63"/>
    </sheetView>
  </sheetViews>
  <sheetFormatPr defaultRowHeight="12.75"/>
  <cols>
    <col min="2" max="2" width="26.85546875" customWidth="1"/>
    <col min="3" max="3" width="12.28515625" bestFit="1" customWidth="1"/>
  </cols>
  <sheetData>
    <row r="1" spans="1:3">
      <c r="A1" s="126" t="str">
        <f>'[2]Cover Page'!A5</f>
        <v>Public Service Company of Colorado</v>
      </c>
    </row>
    <row r="2" spans="1:3">
      <c r="A2" s="126" t="s">
        <v>173</v>
      </c>
    </row>
    <row r="3" spans="1:3">
      <c r="A3" s="126" t="str">
        <f>'[2]Cover Page'!A7</f>
        <v>Twelve Months Ended December 31, 2015</v>
      </c>
    </row>
    <row r="4" spans="1:3">
      <c r="A4" s="126" t="s">
        <v>172</v>
      </c>
    </row>
    <row r="5" spans="1:3">
      <c r="A5" s="126"/>
    </row>
    <row r="6" spans="1:3">
      <c r="A6" s="127"/>
      <c r="C6" s="128"/>
    </row>
    <row r="7" spans="1:3">
      <c r="A7" s="127"/>
      <c r="B7" s="129" t="s">
        <v>157</v>
      </c>
      <c r="C7" s="130"/>
    </row>
    <row r="8" spans="1:3">
      <c r="A8" s="127"/>
      <c r="C8" s="131" t="s">
        <v>174</v>
      </c>
    </row>
    <row r="9" spans="1:3" ht="25.5">
      <c r="A9" s="127"/>
      <c r="B9" s="132" t="s">
        <v>2</v>
      </c>
      <c r="C9" s="132" t="s">
        <v>19</v>
      </c>
    </row>
    <row r="10" spans="1:3">
      <c r="A10" s="133">
        <v>1</v>
      </c>
      <c r="B10" t="s">
        <v>158</v>
      </c>
      <c r="C10" s="134">
        <v>134335231.87</v>
      </c>
    </row>
    <row r="11" spans="1:3">
      <c r="A11" s="133">
        <f t="shared" ref="A11:A25" si="0">A10+1</f>
        <v>2</v>
      </c>
      <c r="B11" t="s">
        <v>159</v>
      </c>
      <c r="C11" s="134">
        <v>134335231.87</v>
      </c>
    </row>
    <row r="12" spans="1:3">
      <c r="A12" s="133">
        <f t="shared" si="0"/>
        <v>3</v>
      </c>
      <c r="B12" t="s">
        <v>160</v>
      </c>
      <c r="C12" s="134">
        <v>134335231.87</v>
      </c>
    </row>
    <row r="13" spans="1:3">
      <c r="A13" s="133">
        <f t="shared" si="0"/>
        <v>4</v>
      </c>
      <c r="B13" t="s">
        <v>161</v>
      </c>
      <c r="C13" s="134">
        <v>134335231.87</v>
      </c>
    </row>
    <row r="14" spans="1:3">
      <c r="A14" s="133">
        <f t="shared" si="0"/>
        <v>5</v>
      </c>
      <c r="B14" t="s">
        <v>162</v>
      </c>
      <c r="C14" s="134">
        <v>134335231.87</v>
      </c>
    </row>
    <row r="15" spans="1:3">
      <c r="A15" s="133">
        <f t="shared" si="0"/>
        <v>6</v>
      </c>
      <c r="B15" t="s">
        <v>163</v>
      </c>
      <c r="C15" s="134">
        <v>134335231.87</v>
      </c>
    </row>
    <row r="16" spans="1:3">
      <c r="A16" s="133">
        <f t="shared" si="0"/>
        <v>7</v>
      </c>
      <c r="B16" t="s">
        <v>164</v>
      </c>
      <c r="C16" s="134">
        <v>134335231.87</v>
      </c>
    </row>
    <row r="17" spans="1:3">
      <c r="A17" s="133">
        <f t="shared" si="0"/>
        <v>8</v>
      </c>
      <c r="B17" t="s">
        <v>165</v>
      </c>
      <c r="C17" s="134">
        <v>134335231.87</v>
      </c>
    </row>
    <row r="18" spans="1:3">
      <c r="A18" s="133">
        <f t="shared" si="0"/>
        <v>9</v>
      </c>
      <c r="B18" t="s">
        <v>166</v>
      </c>
      <c r="C18" s="134">
        <v>134335231.87</v>
      </c>
    </row>
    <row r="19" spans="1:3">
      <c r="A19" s="133">
        <f t="shared" si="0"/>
        <v>10</v>
      </c>
      <c r="B19" t="s">
        <v>167</v>
      </c>
      <c r="C19" s="134">
        <v>134335231.87</v>
      </c>
    </row>
    <row r="20" spans="1:3">
      <c r="A20" s="133">
        <f t="shared" si="0"/>
        <v>11</v>
      </c>
      <c r="B20" t="s">
        <v>168</v>
      </c>
      <c r="C20" s="134">
        <v>134335231.87</v>
      </c>
    </row>
    <row r="21" spans="1:3">
      <c r="A21" s="133">
        <f t="shared" si="0"/>
        <v>12</v>
      </c>
      <c r="B21" t="s">
        <v>169</v>
      </c>
      <c r="C21" s="134">
        <v>134335231.87</v>
      </c>
    </row>
    <row r="22" spans="1:3">
      <c r="A22" s="133">
        <f t="shared" si="0"/>
        <v>13</v>
      </c>
      <c r="B22" t="s">
        <v>158</v>
      </c>
      <c r="C22" s="135">
        <v>134335231.87</v>
      </c>
    </row>
    <row r="23" spans="1:3">
      <c r="A23" s="133">
        <f t="shared" si="0"/>
        <v>14</v>
      </c>
      <c r="B23" s="132" t="str">
        <f>"13 Month Avg. (Lns "&amp;A10&amp;" - "&amp;A22&amp;")"</f>
        <v>13 Month Avg. (Lns 1 - 13)</v>
      </c>
      <c r="C23" s="136">
        <f t="shared" ref="C23" si="1">IF(C22=0,0,AVERAGE(C10:C22))</f>
        <v>134335231.86999995</v>
      </c>
    </row>
    <row r="24" spans="1:3">
      <c r="A24" s="139">
        <f t="shared" si="0"/>
        <v>15</v>
      </c>
      <c r="B24" s="140"/>
      <c r="C24" s="136"/>
    </row>
    <row r="25" spans="1:3">
      <c r="A25" s="139">
        <f t="shared" si="0"/>
        <v>16</v>
      </c>
      <c r="C25" s="136"/>
    </row>
    <row r="26" spans="1:3">
      <c r="A26" s="133">
        <f t="shared" ref="A26:A58" si="2">A25+1</f>
        <v>17</v>
      </c>
      <c r="B26" s="129" t="s">
        <v>170</v>
      </c>
      <c r="C26" s="136"/>
    </row>
    <row r="27" spans="1:3">
      <c r="A27" s="133">
        <f t="shared" si="2"/>
        <v>18</v>
      </c>
    </row>
    <row r="28" spans="1:3">
      <c r="A28" s="133">
        <f t="shared" si="2"/>
        <v>19</v>
      </c>
      <c r="C28" s="131" t="s">
        <v>174</v>
      </c>
    </row>
    <row r="29" spans="1:3" ht="25.5">
      <c r="A29" s="133">
        <f t="shared" si="2"/>
        <v>20</v>
      </c>
      <c r="B29" s="132" t="s">
        <v>2</v>
      </c>
      <c r="C29" s="132" t="s">
        <v>19</v>
      </c>
    </row>
    <row r="30" spans="1:3">
      <c r="A30" s="133">
        <f t="shared" si="2"/>
        <v>21</v>
      </c>
      <c r="B30" t="s">
        <v>158</v>
      </c>
      <c r="C30" s="134">
        <v>484011.71400645829</v>
      </c>
    </row>
    <row r="31" spans="1:3">
      <c r="A31" s="133">
        <f t="shared" si="2"/>
        <v>22</v>
      </c>
      <c r="B31" t="s">
        <v>159</v>
      </c>
      <c r="C31" s="134">
        <v>677678.33995237492</v>
      </c>
    </row>
    <row r="32" spans="1:3">
      <c r="A32" s="133">
        <f t="shared" si="2"/>
        <v>23</v>
      </c>
      <c r="B32" t="s">
        <v>160</v>
      </c>
      <c r="C32" s="134">
        <v>871344.96589829156</v>
      </c>
    </row>
    <row r="33" spans="1:3">
      <c r="A33" s="133">
        <f t="shared" si="2"/>
        <v>24</v>
      </c>
      <c r="B33" t="s">
        <v>161</v>
      </c>
      <c r="C33" s="134">
        <v>1065011.5918442083</v>
      </c>
    </row>
    <row r="34" spans="1:3">
      <c r="A34" s="133">
        <f t="shared" si="2"/>
        <v>25</v>
      </c>
      <c r="B34" t="s">
        <v>162</v>
      </c>
      <c r="C34" s="134">
        <v>1258678.2177901249</v>
      </c>
    </row>
    <row r="35" spans="1:3">
      <c r="A35" s="133">
        <f t="shared" si="2"/>
        <v>26</v>
      </c>
      <c r="B35" t="s">
        <v>163</v>
      </c>
      <c r="C35" s="134">
        <v>1452344.8437360416</v>
      </c>
    </row>
    <row r="36" spans="1:3">
      <c r="A36" s="133">
        <f t="shared" si="2"/>
        <v>27</v>
      </c>
      <c r="B36" t="s">
        <v>164</v>
      </c>
      <c r="C36" s="134">
        <v>1646011.4696819582</v>
      </c>
    </row>
    <row r="37" spans="1:3">
      <c r="A37" s="133">
        <f t="shared" si="2"/>
        <v>28</v>
      </c>
      <c r="B37" t="s">
        <v>165</v>
      </c>
      <c r="C37" s="134">
        <v>1839678.0956278748</v>
      </c>
    </row>
    <row r="38" spans="1:3">
      <c r="A38" s="133">
        <f t="shared" si="2"/>
        <v>29</v>
      </c>
      <c r="B38" t="s">
        <v>166</v>
      </c>
      <c r="C38" s="134">
        <v>2033344.7215737915</v>
      </c>
    </row>
    <row r="39" spans="1:3">
      <c r="A39" s="133">
        <f t="shared" si="2"/>
        <v>30</v>
      </c>
      <c r="B39" t="s">
        <v>167</v>
      </c>
      <c r="C39" s="134">
        <v>2227011.3475197083</v>
      </c>
    </row>
    <row r="40" spans="1:3">
      <c r="A40" s="133">
        <f t="shared" si="2"/>
        <v>31</v>
      </c>
      <c r="B40" t="s">
        <v>168</v>
      </c>
      <c r="C40" s="134">
        <v>2420677.9734656252</v>
      </c>
    </row>
    <row r="41" spans="1:3">
      <c r="A41" s="133">
        <f t="shared" si="2"/>
        <v>32</v>
      </c>
      <c r="B41" t="s">
        <v>169</v>
      </c>
      <c r="C41" s="134">
        <v>2614344.5994115421</v>
      </c>
    </row>
    <row r="42" spans="1:3">
      <c r="A42" s="133">
        <f t="shared" si="2"/>
        <v>33</v>
      </c>
      <c r="B42" t="s">
        <v>158</v>
      </c>
      <c r="C42" s="135">
        <v>2808011.2253574589</v>
      </c>
    </row>
    <row r="43" spans="1:3">
      <c r="A43" s="133">
        <f t="shared" si="2"/>
        <v>34</v>
      </c>
      <c r="B43" s="132" t="str">
        <f>"13 Month Avg. (Lns "&amp;A30&amp;" - "&amp;A42&amp;")"</f>
        <v>13 Month Avg. (Lns 21 - 33)</v>
      </c>
      <c r="C43" s="136">
        <f t="shared" ref="C43" si="3">IF(C42=0,0,AVERAGE(C30:C42))</f>
        <v>1646011.4696819582</v>
      </c>
    </row>
    <row r="44" spans="1:3">
      <c r="A44" s="133">
        <f t="shared" si="2"/>
        <v>35</v>
      </c>
      <c r="B44" s="140"/>
      <c r="C44" s="136"/>
    </row>
    <row r="45" spans="1:3">
      <c r="A45" s="133">
        <f t="shared" si="2"/>
        <v>36</v>
      </c>
      <c r="C45" s="130"/>
    </row>
    <row r="46" spans="1:3">
      <c r="A46" s="133">
        <f t="shared" si="2"/>
        <v>37</v>
      </c>
      <c r="B46" s="129" t="s">
        <v>171</v>
      </c>
      <c r="C46" s="130"/>
    </row>
    <row r="47" spans="1:3">
      <c r="A47" s="133">
        <f t="shared" si="2"/>
        <v>38</v>
      </c>
      <c r="B47" s="129"/>
      <c r="C47" s="137"/>
    </row>
    <row r="48" spans="1:3">
      <c r="A48" s="133">
        <f t="shared" si="2"/>
        <v>39</v>
      </c>
      <c r="B48" s="129"/>
      <c r="C48" s="131" t="s">
        <v>174</v>
      </c>
    </row>
    <row r="49" spans="1:3" ht="26.25" thickBot="1">
      <c r="A49" s="133">
        <f t="shared" si="2"/>
        <v>40</v>
      </c>
      <c r="B49" s="132" t="s">
        <v>2</v>
      </c>
      <c r="C49" s="132" t="s">
        <v>19</v>
      </c>
    </row>
    <row r="50" spans="1:3" ht="13.5" thickBot="1">
      <c r="A50" s="133">
        <f t="shared" si="2"/>
        <v>41</v>
      </c>
      <c r="B50" t="s">
        <v>11</v>
      </c>
      <c r="C50" s="138">
        <v>2323999.5113510001</v>
      </c>
    </row>
    <row r="51" spans="1:3">
      <c r="A51" s="133">
        <f t="shared" si="2"/>
        <v>42</v>
      </c>
      <c r="B51" s="129" t="s">
        <v>175</v>
      </c>
      <c r="C51" s="130"/>
    </row>
    <row r="52" spans="1:3">
      <c r="A52" s="133">
        <f t="shared" si="2"/>
        <v>43</v>
      </c>
      <c r="B52" s="129"/>
      <c r="C52" s="137"/>
    </row>
    <row r="53" spans="1:3">
      <c r="A53" s="133">
        <f t="shared" si="2"/>
        <v>44</v>
      </c>
      <c r="B53" s="129"/>
      <c r="C53" s="131" t="s">
        <v>174</v>
      </c>
    </row>
    <row r="54" spans="1:3" ht="25.5">
      <c r="A54" s="133">
        <f t="shared" si="2"/>
        <v>45</v>
      </c>
      <c r="B54" s="132" t="s">
        <v>2</v>
      </c>
      <c r="C54" s="132" t="s">
        <v>19</v>
      </c>
    </row>
    <row r="55" spans="1:3">
      <c r="A55" s="133">
        <f t="shared" si="2"/>
        <v>46</v>
      </c>
      <c r="B55" t="s">
        <v>176</v>
      </c>
      <c r="C55" s="134">
        <v>23843804.91975553</v>
      </c>
    </row>
    <row r="56" spans="1:3">
      <c r="A56" s="133">
        <f t="shared" si="2"/>
        <v>47</v>
      </c>
      <c r="B56" s="141" t="s">
        <v>177</v>
      </c>
      <c r="C56" s="135">
        <v>25496358.694494884</v>
      </c>
    </row>
    <row r="57" spans="1:3">
      <c r="A57" s="133">
        <f t="shared" si="2"/>
        <v>48</v>
      </c>
      <c r="B57" s="142" t="s">
        <v>178</v>
      </c>
      <c r="C57" s="136">
        <f>(C55+C56)/2</f>
        <v>24670081.807125207</v>
      </c>
    </row>
    <row r="58" spans="1:3">
      <c r="A58" s="133">
        <f t="shared" si="2"/>
        <v>49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ATRR Gen Tie Stated</vt:lpstr>
      <vt:lpstr>Gen Tie Data</vt:lpstr>
      <vt:lpstr>'ATRR Gen Tie Stated'!CE</vt:lpstr>
      <vt:lpstr>GTGP</vt:lpstr>
      <vt:lpstr>GTNP</vt:lpstr>
      <vt:lpstr>'ATRR Gen Tie Stated'!GTTP</vt:lpstr>
      <vt:lpstr>'ATRR Gen Tie Stated'!Print_Area</vt:lpstr>
      <vt:lpstr>'ATRR Gen Tie Stated'!ROR</vt:lpstr>
      <vt:lpstr>'ATRR Gen Tie Stated'!WS</vt:lpstr>
    </vt:vector>
  </TitlesOfParts>
  <Company>Xcel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Xcel Energy</dc:creator>
  <cp:lastModifiedBy>Xcel Energy</cp:lastModifiedBy>
  <cp:lastPrinted>2017-01-24T15:23:39Z</cp:lastPrinted>
  <dcterms:created xsi:type="dcterms:W3CDTF">2016-12-19T23:46:57Z</dcterms:created>
  <dcterms:modified xsi:type="dcterms:W3CDTF">2017-08-28T16:51:36Z</dcterms:modified>
</cp:coreProperties>
</file>