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activeTab="1"/>
  </bookViews>
  <sheets>
    <sheet name="Schedule C - Settlement Adjust" sheetId="1" r:id="rId1"/>
    <sheet name="Schedule 1B - Projected Plant" sheetId="2" r:id="rId2"/>
    <sheet name="Schedule 2 - ADIT" sheetId="3" r:id="rId3"/>
  </sheets>
  <externalReferences>
    <externalReference r:id="rId4"/>
  </externalReferences>
  <calcPr calcId="145621"/>
</workbook>
</file>

<file path=xl/calcChain.xml><?xml version="1.0" encoding="utf-8"?>
<calcChain xmlns="http://schemas.openxmlformats.org/spreadsheetml/2006/main">
  <c r="H54" i="2" l="1"/>
  <c r="H53" i="2"/>
  <c r="G60" i="3"/>
  <c r="E58" i="3"/>
  <c r="F58" i="3" s="1"/>
  <c r="D58" i="3"/>
  <c r="F56" i="3"/>
  <c r="H56" i="3" s="1"/>
  <c r="F55" i="3"/>
  <c r="H54" i="3"/>
  <c r="G54" i="3" s="1"/>
  <c r="F54" i="3"/>
  <c r="H53" i="3"/>
  <c r="G53" i="3"/>
  <c r="F53" i="3"/>
  <c r="G52" i="3"/>
  <c r="H52" i="3" s="1"/>
  <c r="F52" i="3"/>
  <c r="E50" i="3"/>
  <c r="D50" i="3"/>
  <c r="E47" i="3"/>
  <c r="E48" i="3" s="1"/>
  <c r="D47" i="3"/>
  <c r="F47" i="3" s="1"/>
  <c r="E42" i="3"/>
  <c r="D42" i="3"/>
  <c r="F42" i="3" s="1"/>
  <c r="H42" i="3" s="1"/>
  <c r="H40" i="3"/>
  <c r="G40" i="3"/>
  <c r="F40" i="3"/>
  <c r="F38" i="3"/>
  <c r="F44" i="3" s="1"/>
  <c r="E38" i="3"/>
  <c r="E44" i="3" s="1"/>
  <c r="D38" i="3"/>
  <c r="F36" i="3"/>
  <c r="H36" i="3" s="1"/>
  <c r="G35" i="3"/>
  <c r="F35" i="3"/>
  <c r="H35" i="3" s="1"/>
  <c r="H34" i="3"/>
  <c r="G34" i="3"/>
  <c r="F34" i="3"/>
  <c r="G33" i="3"/>
  <c r="H33" i="3" s="1"/>
  <c r="F33" i="3"/>
  <c r="F32" i="3"/>
  <c r="H32" i="3" s="1"/>
  <c r="E30" i="3"/>
  <c r="D30" i="3"/>
  <c r="E28" i="3"/>
  <c r="F28" i="3" s="1"/>
  <c r="D28" i="3"/>
  <c r="F26" i="3"/>
  <c r="H26" i="3" s="1"/>
  <c r="H28" i="3" s="1"/>
  <c r="E24" i="3"/>
  <c r="D24" i="3"/>
  <c r="F20" i="3"/>
  <c r="H20" i="3" s="1"/>
  <c r="D18" i="3"/>
  <c r="F17" i="3"/>
  <c r="H17" i="3" s="1"/>
  <c r="G16" i="3"/>
  <c r="E16" i="3"/>
  <c r="E18" i="3" s="1"/>
  <c r="F18" i="3" s="1"/>
  <c r="D14" i="3"/>
  <c r="D22" i="3" s="1"/>
  <c r="H13" i="3"/>
  <c r="F13" i="3"/>
  <c r="G12" i="3"/>
  <c r="F12" i="3"/>
  <c r="H12" i="3" s="1"/>
  <c r="E12" i="3"/>
  <c r="E14" i="3" s="1"/>
  <c r="D12" i="3"/>
  <c r="G11" i="3"/>
  <c r="H11" i="3" s="1"/>
  <c r="F11" i="3"/>
  <c r="F10" i="3"/>
  <c r="H10" i="3" s="1"/>
  <c r="H9" i="3"/>
  <c r="G9" i="3" s="1"/>
  <c r="F9" i="3"/>
  <c r="H8" i="3"/>
  <c r="G8" i="3"/>
  <c r="F8" i="3"/>
  <c r="E8" i="3"/>
  <c r="P214" i="2"/>
  <c r="P215" i="2" s="1"/>
  <c r="P216" i="2" s="1"/>
  <c r="P217" i="2" s="1"/>
  <c r="P218" i="2" s="1"/>
  <c r="P219" i="2" s="1"/>
  <c r="P220" i="2" s="1"/>
  <c r="P221" i="2" s="1"/>
  <c r="P222" i="2" s="1"/>
  <c r="N214" i="2"/>
  <c r="N215" i="2" s="1"/>
  <c r="N216" i="2" s="1"/>
  <c r="N217" i="2" s="1"/>
  <c r="N218" i="2" s="1"/>
  <c r="N219" i="2" s="1"/>
  <c r="N220" i="2" s="1"/>
  <c r="N221" i="2" s="1"/>
  <c r="N222" i="2" s="1"/>
  <c r="P212" i="2"/>
  <c r="P213" i="2" s="1"/>
  <c r="N212" i="2"/>
  <c r="N213" i="2" s="1"/>
  <c r="H212" i="2"/>
  <c r="H213" i="2" s="1"/>
  <c r="H214" i="2" s="1"/>
  <c r="H215" i="2" s="1"/>
  <c r="H216" i="2" s="1"/>
  <c r="H217" i="2" s="1"/>
  <c r="H218" i="2" s="1"/>
  <c r="H219" i="2" s="1"/>
  <c r="H220" i="2" s="1"/>
  <c r="H221" i="2" s="1"/>
  <c r="H222" i="2" s="1"/>
  <c r="F212" i="2"/>
  <c r="F213" i="2" s="1"/>
  <c r="F214" i="2" s="1"/>
  <c r="F215" i="2" s="1"/>
  <c r="F216" i="2" s="1"/>
  <c r="F217" i="2" s="1"/>
  <c r="F218" i="2" s="1"/>
  <c r="F219" i="2" s="1"/>
  <c r="F220" i="2" s="1"/>
  <c r="F221" i="2" s="1"/>
  <c r="F222" i="2" s="1"/>
  <c r="P211" i="2"/>
  <c r="N211" i="2"/>
  <c r="L211" i="2"/>
  <c r="J211" i="2"/>
  <c r="H211" i="2"/>
  <c r="F211" i="2"/>
  <c r="P199" i="2"/>
  <c r="N199" i="2"/>
  <c r="L199" i="2"/>
  <c r="J199" i="2"/>
  <c r="H199" i="2"/>
  <c r="F199" i="2"/>
  <c r="P173" i="2"/>
  <c r="P174" i="2" s="1"/>
  <c r="P175" i="2" s="1"/>
  <c r="P176" i="2" s="1"/>
  <c r="P165" i="2"/>
  <c r="P166" i="2" s="1"/>
  <c r="P167" i="2" s="1"/>
  <c r="P168" i="2" s="1"/>
  <c r="P169" i="2" s="1"/>
  <c r="P170" i="2" s="1"/>
  <c r="P171" i="2" s="1"/>
  <c r="P172" i="2" s="1"/>
  <c r="P164" i="2"/>
  <c r="N164" i="2"/>
  <c r="N165" i="2" s="1"/>
  <c r="N166" i="2" s="1"/>
  <c r="H164" i="2"/>
  <c r="H165" i="2" s="1"/>
  <c r="H166" i="2" s="1"/>
  <c r="F164" i="2"/>
  <c r="N145" i="2"/>
  <c r="N146" i="2" s="1"/>
  <c r="N147" i="2" s="1"/>
  <c r="N148" i="2" s="1"/>
  <c r="N149" i="2" s="1"/>
  <c r="N150" i="2" s="1"/>
  <c r="N151" i="2" s="1"/>
  <c r="H143" i="2"/>
  <c r="H144" i="2" s="1"/>
  <c r="H145" i="2" s="1"/>
  <c r="H146" i="2" s="1"/>
  <c r="H147" i="2" s="1"/>
  <c r="H148" i="2" s="1"/>
  <c r="H149" i="2" s="1"/>
  <c r="H150" i="2" s="1"/>
  <c r="H151" i="2" s="1"/>
  <c r="F143" i="2"/>
  <c r="F144" i="2" s="1"/>
  <c r="F145" i="2" s="1"/>
  <c r="F146" i="2" s="1"/>
  <c r="F147" i="2" s="1"/>
  <c r="F148" i="2" s="1"/>
  <c r="F149" i="2" s="1"/>
  <c r="F150" i="2" s="1"/>
  <c r="F151" i="2" s="1"/>
  <c r="P141" i="2"/>
  <c r="P142" i="2" s="1"/>
  <c r="P143" i="2" s="1"/>
  <c r="P144" i="2" s="1"/>
  <c r="P145" i="2" s="1"/>
  <c r="P146" i="2" s="1"/>
  <c r="P147" i="2" s="1"/>
  <c r="P148" i="2" s="1"/>
  <c r="P149" i="2" s="1"/>
  <c r="P150" i="2" s="1"/>
  <c r="P151" i="2" s="1"/>
  <c r="N141" i="2"/>
  <c r="N142" i="2" s="1"/>
  <c r="N143" i="2" s="1"/>
  <c r="N144" i="2" s="1"/>
  <c r="H141" i="2"/>
  <c r="H142" i="2" s="1"/>
  <c r="F141" i="2"/>
  <c r="F142" i="2" s="1"/>
  <c r="P140" i="2"/>
  <c r="N140" i="2"/>
  <c r="L140" i="2"/>
  <c r="L141" i="2" s="1"/>
  <c r="L142" i="2" s="1"/>
  <c r="J140" i="2"/>
  <c r="J141" i="2" s="1"/>
  <c r="J142" i="2" s="1"/>
  <c r="J143" i="2" s="1"/>
  <c r="J144" i="2" s="1"/>
  <c r="J145" i="2" s="1"/>
  <c r="J146" i="2" s="1"/>
  <c r="J147" i="2" s="1"/>
  <c r="J148" i="2" s="1"/>
  <c r="J149" i="2" s="1"/>
  <c r="J150" i="2" s="1"/>
  <c r="J151" i="2" s="1"/>
  <c r="H140" i="2"/>
  <c r="F140" i="2"/>
  <c r="P129" i="2"/>
  <c r="N129" i="2"/>
  <c r="L129" i="2"/>
  <c r="J129" i="2"/>
  <c r="H129" i="2"/>
  <c r="F129" i="2"/>
  <c r="F84" i="2"/>
  <c r="J79" i="2"/>
  <c r="H79" i="2"/>
  <c r="F79" i="2"/>
  <c r="H76" i="2"/>
  <c r="F76" i="2"/>
  <c r="H75" i="2"/>
  <c r="F75" i="2"/>
  <c r="H74" i="2"/>
  <c r="F74" i="2"/>
  <c r="H73" i="2"/>
  <c r="F73" i="2"/>
  <c r="H72" i="2"/>
  <c r="F72" i="2"/>
  <c r="H71" i="2"/>
  <c r="F71" i="2"/>
  <c r="H70" i="2"/>
  <c r="F70" i="2"/>
  <c r="H69" i="2"/>
  <c r="F69" i="2"/>
  <c r="H68" i="2"/>
  <c r="F68" i="2"/>
  <c r="H67" i="2"/>
  <c r="F67" i="2"/>
  <c r="H66" i="2"/>
  <c r="F66" i="2"/>
  <c r="J65" i="2"/>
  <c r="H65" i="2"/>
  <c r="N54" i="2"/>
  <c r="N53" i="2"/>
  <c r="N55" i="2" s="1"/>
  <c r="L53" i="2"/>
  <c r="J53" i="2"/>
  <c r="F53" i="2"/>
  <c r="H45" i="2"/>
  <c r="F45" i="2"/>
  <c r="N44" i="2"/>
  <c r="N43" i="2"/>
  <c r="N45" i="2" s="1"/>
  <c r="N42" i="2"/>
  <c r="N41" i="2"/>
  <c r="N40" i="2"/>
  <c r="N39" i="2"/>
  <c r="N38" i="2"/>
  <c r="N37" i="2"/>
  <c r="N36" i="2"/>
  <c r="N35" i="2"/>
  <c r="N34" i="2"/>
  <c r="N33" i="2"/>
  <c r="J33" i="2"/>
  <c r="L33" i="2" s="1"/>
  <c r="P33" i="2" s="1"/>
  <c r="N32" i="2"/>
  <c r="L32" i="2"/>
  <c r="J32" i="2"/>
  <c r="F32" i="2"/>
  <c r="N24" i="2"/>
  <c r="H24" i="2"/>
  <c r="N23" i="2"/>
  <c r="N22" i="2"/>
  <c r="N21" i="2"/>
  <c r="N20" i="2"/>
  <c r="N19" i="2"/>
  <c r="N18" i="2"/>
  <c r="N17" i="2"/>
  <c r="N16" i="2"/>
  <c r="N15" i="2"/>
  <c r="N14" i="2"/>
  <c r="N13" i="2"/>
  <c r="J13" i="2"/>
  <c r="L13" i="2" s="1"/>
  <c r="P13" i="2" s="1"/>
  <c r="N12" i="2"/>
  <c r="J12" i="2"/>
  <c r="L12" i="2" s="1"/>
  <c r="P12" i="2" s="1"/>
  <c r="N11" i="2"/>
  <c r="J11" i="2"/>
  <c r="F11" i="2"/>
  <c r="I276" i="1"/>
  <c r="F276" i="1"/>
  <c r="I275" i="1"/>
  <c r="F275" i="1"/>
  <c r="I274" i="1"/>
  <c r="F274" i="1"/>
  <c r="I273" i="1"/>
  <c r="F273" i="1"/>
  <c r="I272" i="1"/>
  <c r="F272" i="1"/>
  <c r="I271" i="1"/>
  <c r="F271" i="1"/>
  <c r="I270" i="1"/>
  <c r="F270" i="1"/>
  <c r="I269" i="1"/>
  <c r="F269" i="1"/>
  <c r="I268" i="1"/>
  <c r="F268" i="1"/>
  <c r="I267" i="1"/>
  <c r="F267" i="1"/>
  <c r="I266" i="1"/>
  <c r="F266" i="1"/>
  <c r="I265" i="1"/>
  <c r="F265" i="1"/>
  <c r="I264" i="1"/>
  <c r="F264" i="1"/>
  <c r="I263" i="1"/>
  <c r="F263" i="1"/>
  <c r="I262" i="1"/>
  <c r="F262" i="1"/>
  <c r="I261" i="1"/>
  <c r="F261" i="1"/>
  <c r="I260" i="1"/>
  <c r="F260" i="1"/>
  <c r="I259" i="1"/>
  <c r="F259" i="1"/>
  <c r="I258" i="1"/>
  <c r="F258" i="1"/>
  <c r="I257" i="1"/>
  <c r="F257" i="1"/>
  <c r="I256" i="1"/>
  <c r="F256" i="1"/>
  <c r="I255" i="1"/>
  <c r="F255" i="1"/>
  <c r="I254" i="1"/>
  <c r="F254" i="1"/>
  <c r="I253" i="1"/>
  <c r="F253" i="1"/>
  <c r="I252" i="1"/>
  <c r="F252" i="1"/>
  <c r="I251" i="1"/>
  <c r="F251" i="1"/>
  <c r="I250" i="1"/>
  <c r="F250" i="1"/>
  <c r="I249" i="1"/>
  <c r="F249" i="1"/>
  <c r="I248" i="1"/>
  <c r="F248" i="1"/>
  <c r="I247" i="1"/>
  <c r="F247" i="1"/>
  <c r="I246" i="1"/>
  <c r="F246" i="1"/>
  <c r="I245" i="1"/>
  <c r="F245" i="1"/>
  <c r="I244" i="1"/>
  <c r="F244" i="1"/>
  <c r="I243" i="1"/>
  <c r="F243" i="1"/>
  <c r="I242" i="1"/>
  <c r="F242" i="1"/>
  <c r="I241" i="1"/>
  <c r="F241" i="1"/>
  <c r="I240" i="1"/>
  <c r="F240" i="1"/>
  <c r="I239" i="1"/>
  <c r="F239" i="1"/>
  <c r="I238" i="1"/>
  <c r="F238" i="1"/>
  <c r="I237" i="1"/>
  <c r="F237" i="1"/>
  <c r="I236" i="1"/>
  <c r="F236" i="1"/>
  <c r="I235" i="1"/>
  <c r="F235" i="1"/>
  <c r="I234" i="1"/>
  <c r="F234" i="1"/>
  <c r="I233" i="1"/>
  <c r="F233" i="1"/>
  <c r="I232" i="1"/>
  <c r="F232" i="1"/>
  <c r="I231" i="1"/>
  <c r="F231" i="1"/>
  <c r="I230" i="1"/>
  <c r="F230" i="1"/>
  <c r="I229" i="1"/>
  <c r="F229" i="1"/>
  <c r="I228" i="1"/>
  <c r="F228" i="1"/>
  <c r="I227" i="1"/>
  <c r="F227" i="1"/>
  <c r="I226" i="1"/>
  <c r="F226" i="1"/>
  <c r="I225" i="1"/>
  <c r="F225" i="1"/>
  <c r="I224" i="1"/>
  <c r="F224" i="1"/>
  <c r="I223" i="1"/>
  <c r="F223" i="1"/>
  <c r="I222" i="1"/>
  <c r="F222" i="1"/>
  <c r="I221" i="1"/>
  <c r="F221" i="1"/>
  <c r="I220" i="1"/>
  <c r="F220" i="1"/>
  <c r="I219" i="1"/>
  <c r="F219" i="1"/>
  <c r="I218" i="1"/>
  <c r="F218" i="1"/>
  <c r="I217" i="1"/>
  <c r="F217" i="1"/>
  <c r="I216" i="1"/>
  <c r="F216" i="1"/>
  <c r="I215" i="1"/>
  <c r="F215" i="1"/>
  <c r="I214" i="1"/>
  <c r="F214" i="1"/>
  <c r="I213" i="1"/>
  <c r="F213" i="1"/>
  <c r="I212" i="1"/>
  <c r="F212" i="1"/>
  <c r="I211" i="1"/>
  <c r="F211" i="1"/>
  <c r="I210" i="1"/>
  <c r="F210" i="1"/>
  <c r="I209" i="1"/>
  <c r="F209" i="1"/>
  <c r="I208" i="1"/>
  <c r="F208" i="1"/>
  <c r="I207" i="1"/>
  <c r="F207" i="1"/>
  <c r="I206" i="1"/>
  <c r="F206" i="1"/>
  <c r="J205" i="1"/>
  <c r="I205" i="1"/>
  <c r="F205" i="1"/>
  <c r="C205" i="1"/>
  <c r="K204" i="1"/>
  <c r="K205" i="1" s="1"/>
  <c r="K206" i="1" s="1"/>
  <c r="I204" i="1"/>
  <c r="J204" i="1" s="1"/>
  <c r="G204" i="1"/>
  <c r="F204" i="1"/>
  <c r="C204" i="1"/>
  <c r="I201" i="1"/>
  <c r="F201" i="1"/>
  <c r="I200" i="1"/>
  <c r="F200" i="1"/>
  <c r="I199" i="1"/>
  <c r="F199" i="1"/>
  <c r="I198" i="1"/>
  <c r="F198" i="1"/>
  <c r="I197" i="1"/>
  <c r="F197" i="1"/>
  <c r="I196" i="1"/>
  <c r="F196" i="1"/>
  <c r="I195" i="1"/>
  <c r="F195" i="1"/>
  <c r="I194" i="1"/>
  <c r="F194" i="1"/>
  <c r="I193" i="1"/>
  <c r="F193" i="1"/>
  <c r="I192" i="1"/>
  <c r="F192" i="1"/>
  <c r="I191" i="1"/>
  <c r="F191" i="1"/>
  <c r="I190" i="1"/>
  <c r="F190" i="1"/>
  <c r="I189" i="1"/>
  <c r="F189" i="1"/>
  <c r="I188" i="1"/>
  <c r="F188" i="1"/>
  <c r="I187" i="1"/>
  <c r="F187" i="1"/>
  <c r="I186" i="1"/>
  <c r="F186" i="1"/>
  <c r="I185" i="1"/>
  <c r="F185" i="1"/>
  <c r="I184" i="1"/>
  <c r="F184" i="1"/>
  <c r="I183" i="1"/>
  <c r="F183" i="1"/>
  <c r="I182" i="1"/>
  <c r="F182" i="1"/>
  <c r="I181" i="1"/>
  <c r="F181" i="1"/>
  <c r="I180" i="1"/>
  <c r="F180" i="1"/>
  <c r="I179" i="1"/>
  <c r="F179" i="1"/>
  <c r="I178" i="1"/>
  <c r="F178" i="1"/>
  <c r="I177" i="1"/>
  <c r="F177" i="1"/>
  <c r="I176" i="1"/>
  <c r="F176" i="1"/>
  <c r="I175" i="1"/>
  <c r="F175" i="1"/>
  <c r="I174" i="1"/>
  <c r="F174" i="1"/>
  <c r="I173" i="1"/>
  <c r="F173" i="1"/>
  <c r="I172" i="1"/>
  <c r="F172" i="1"/>
  <c r="I171" i="1"/>
  <c r="F171" i="1"/>
  <c r="I170" i="1"/>
  <c r="F170" i="1"/>
  <c r="I169" i="1"/>
  <c r="F169" i="1"/>
  <c r="I168" i="1"/>
  <c r="F168" i="1"/>
  <c r="I167" i="1"/>
  <c r="F167" i="1"/>
  <c r="I166" i="1"/>
  <c r="F166" i="1"/>
  <c r="I165" i="1"/>
  <c r="F165" i="1"/>
  <c r="I164" i="1"/>
  <c r="F164" i="1"/>
  <c r="I163" i="1"/>
  <c r="F163" i="1"/>
  <c r="I162" i="1"/>
  <c r="F162" i="1"/>
  <c r="I161" i="1"/>
  <c r="F161" i="1"/>
  <c r="I160" i="1"/>
  <c r="F160" i="1"/>
  <c r="I159" i="1"/>
  <c r="F159" i="1"/>
  <c r="I158" i="1"/>
  <c r="F158" i="1"/>
  <c r="I157" i="1"/>
  <c r="F157" i="1"/>
  <c r="I156" i="1"/>
  <c r="F156" i="1"/>
  <c r="I155" i="1"/>
  <c r="F155" i="1"/>
  <c r="I154" i="1"/>
  <c r="F154" i="1"/>
  <c r="I153" i="1"/>
  <c r="F153" i="1"/>
  <c r="I152" i="1"/>
  <c r="F152" i="1"/>
  <c r="I151" i="1"/>
  <c r="F151" i="1"/>
  <c r="I150" i="1"/>
  <c r="F150" i="1"/>
  <c r="I149" i="1"/>
  <c r="F149" i="1"/>
  <c r="I148" i="1"/>
  <c r="F148" i="1"/>
  <c r="I147" i="1"/>
  <c r="F147" i="1"/>
  <c r="I146" i="1"/>
  <c r="F146" i="1"/>
  <c r="I145" i="1"/>
  <c r="F145" i="1"/>
  <c r="I144" i="1"/>
  <c r="F144" i="1"/>
  <c r="I143" i="1"/>
  <c r="F143" i="1"/>
  <c r="I142" i="1"/>
  <c r="F142" i="1"/>
  <c r="I141" i="1"/>
  <c r="F141" i="1"/>
  <c r="I140" i="1"/>
  <c r="F140" i="1"/>
  <c r="I139" i="1"/>
  <c r="F139" i="1"/>
  <c r="I138" i="1"/>
  <c r="F138" i="1"/>
  <c r="I137" i="1"/>
  <c r="F137" i="1"/>
  <c r="I136" i="1"/>
  <c r="F136" i="1"/>
  <c r="I135" i="1"/>
  <c r="F135" i="1"/>
  <c r="I134" i="1"/>
  <c r="F134" i="1"/>
  <c r="I133" i="1"/>
  <c r="F133" i="1"/>
  <c r="I132" i="1"/>
  <c r="G132" i="1"/>
  <c r="F132" i="1"/>
  <c r="I131" i="1"/>
  <c r="G131" i="1"/>
  <c r="F131" i="1"/>
  <c r="D131" i="1"/>
  <c r="I130" i="1"/>
  <c r="F130" i="1"/>
  <c r="D130" i="1"/>
  <c r="C130" i="1"/>
  <c r="C131" i="1" s="1"/>
  <c r="C132" i="1" s="1"/>
  <c r="I129" i="1"/>
  <c r="F129" i="1"/>
  <c r="D129" i="1"/>
  <c r="C129" i="1"/>
  <c r="G129" i="1" s="1"/>
  <c r="H125" i="1"/>
  <c r="G125" i="1"/>
  <c r="I122" i="1"/>
  <c r="B117" i="1"/>
  <c r="F111" i="1"/>
  <c r="I105" i="1"/>
  <c r="I100" i="1"/>
  <c r="F91" i="1"/>
  <c r="I83" i="1"/>
  <c r="I80" i="1"/>
  <c r="I68" i="1"/>
  <c r="I63" i="1"/>
  <c r="B63" i="1"/>
  <c r="I56" i="1"/>
  <c r="I55" i="1"/>
  <c r="B53" i="1"/>
  <c r="I48" i="1"/>
  <c r="I47" i="1"/>
  <c r="B42" i="1"/>
  <c r="B41" i="1"/>
  <c r="B40" i="1"/>
  <c r="I115" i="1" s="1"/>
  <c r="D32" i="1"/>
  <c r="E32" i="1" s="1"/>
  <c r="C32" i="1"/>
  <c r="D31" i="1"/>
  <c r="C31" i="1"/>
  <c r="E31" i="1" s="1"/>
  <c r="D30" i="1"/>
  <c r="C30" i="1"/>
  <c r="D29" i="1"/>
  <c r="E29" i="1" s="1"/>
  <c r="C29" i="1"/>
  <c r="D28" i="1"/>
  <c r="E28" i="1" s="1"/>
  <c r="C28" i="1"/>
  <c r="E27" i="1"/>
  <c r="D27" i="1"/>
  <c r="C27" i="1"/>
  <c r="D26" i="1"/>
  <c r="E26" i="1" s="1"/>
  <c r="C26" i="1"/>
  <c r="D25" i="1"/>
  <c r="E25" i="1" s="1"/>
  <c r="C25" i="1"/>
  <c r="D24" i="1"/>
  <c r="E24" i="1" s="1"/>
  <c r="C24" i="1"/>
  <c r="E23" i="1"/>
  <c r="D23" i="1"/>
  <c r="C23" i="1"/>
  <c r="D22" i="1"/>
  <c r="C22" i="1"/>
  <c r="E21" i="1"/>
  <c r="D21" i="1"/>
  <c r="C21" i="1"/>
  <c r="E20" i="1"/>
  <c r="D20" i="1"/>
  <c r="C20" i="1"/>
  <c r="D19" i="1"/>
  <c r="C19" i="1"/>
  <c r="E19" i="1" s="1"/>
  <c r="D18" i="1"/>
  <c r="C18" i="1"/>
  <c r="D17" i="1"/>
  <c r="E17" i="1" s="1"/>
  <c r="C17" i="1"/>
  <c r="D16" i="1"/>
  <c r="E16" i="1" s="1"/>
  <c r="C16" i="1"/>
  <c r="D15" i="1"/>
  <c r="C15" i="1"/>
  <c r="E15" i="1" s="1"/>
  <c r="D14" i="1"/>
  <c r="C14" i="1"/>
  <c r="D13" i="1"/>
  <c r="E13" i="1" s="1"/>
  <c r="C13" i="1"/>
  <c r="C33" i="1" s="1"/>
  <c r="D12" i="1"/>
  <c r="E12" i="1" s="1"/>
  <c r="C12" i="1"/>
  <c r="E11" i="1"/>
  <c r="D11" i="1"/>
  <c r="C11" i="1"/>
  <c r="D10" i="1"/>
  <c r="E10" i="1" s="1"/>
  <c r="C10" i="1"/>
  <c r="D9" i="1"/>
  <c r="E9" i="1" s="1"/>
  <c r="C9" i="1"/>
  <c r="D8" i="1"/>
  <c r="E8" i="1" s="1"/>
  <c r="C8" i="1"/>
  <c r="E7" i="1"/>
  <c r="G7" i="1" s="1"/>
  <c r="D7" i="1"/>
  <c r="C7" i="1"/>
  <c r="F48" i="3" l="1"/>
  <c r="F60" i="3" s="1"/>
  <c r="H47" i="3"/>
  <c r="H48" i="3" s="1"/>
  <c r="F14" i="3"/>
  <c r="E22" i="3"/>
  <c r="F22" i="3" s="1"/>
  <c r="H58" i="3"/>
  <c r="H38" i="3"/>
  <c r="H44" i="3" s="1"/>
  <c r="D48" i="3"/>
  <c r="F16" i="3"/>
  <c r="H16" i="3" s="1"/>
  <c r="H22" i="3" s="1"/>
  <c r="D44" i="3"/>
  <c r="D60" i="3" s="1"/>
  <c r="F92" i="2"/>
  <c r="L11" i="2"/>
  <c r="F24" i="2"/>
  <c r="F65" i="2"/>
  <c r="L143" i="2"/>
  <c r="L144" i="2" s="1"/>
  <c r="L145" i="2" s="1"/>
  <c r="L146" i="2" s="1"/>
  <c r="L147" i="2" s="1"/>
  <c r="L148" i="2" s="1"/>
  <c r="L149" i="2" s="1"/>
  <c r="L150" i="2" s="1"/>
  <c r="L151" i="2" s="1"/>
  <c r="L152" i="2"/>
  <c r="H77" i="2"/>
  <c r="F152" i="2"/>
  <c r="N152" i="2"/>
  <c r="H167" i="2"/>
  <c r="H168" i="2" s="1"/>
  <c r="H169" i="2" s="1"/>
  <c r="H170" i="2" s="1"/>
  <c r="H171" i="2" s="1"/>
  <c r="H172" i="2" s="1"/>
  <c r="H173" i="2" s="1"/>
  <c r="H174" i="2" s="1"/>
  <c r="H175" i="2" s="1"/>
  <c r="H176" i="2" s="1"/>
  <c r="P53" i="2"/>
  <c r="J152" i="2"/>
  <c r="J14" i="2"/>
  <c r="P32" i="2"/>
  <c r="N167" i="2"/>
  <c r="N168" i="2" s="1"/>
  <c r="N169" i="2" s="1"/>
  <c r="N170" i="2" s="1"/>
  <c r="N171" i="2" s="1"/>
  <c r="N172" i="2" s="1"/>
  <c r="N173" i="2" s="1"/>
  <c r="N174" i="2" s="1"/>
  <c r="N175" i="2" s="1"/>
  <c r="N176" i="2" s="1"/>
  <c r="J212" i="2"/>
  <c r="J213" i="2" s="1"/>
  <c r="J214" i="2" s="1"/>
  <c r="J215" i="2" s="1"/>
  <c r="J216" i="2" s="1"/>
  <c r="J217" i="2" s="1"/>
  <c r="J218" i="2" s="1"/>
  <c r="J219" i="2" s="1"/>
  <c r="J220" i="2" s="1"/>
  <c r="J221" i="2" s="1"/>
  <c r="J222" i="2" s="1"/>
  <c r="J164" i="2"/>
  <c r="J165" i="2" s="1"/>
  <c r="J166" i="2" s="1"/>
  <c r="J167" i="2" s="1"/>
  <c r="J168" i="2" s="1"/>
  <c r="J169" i="2" s="1"/>
  <c r="J170" i="2" s="1"/>
  <c r="J171" i="2" s="1"/>
  <c r="J172" i="2" s="1"/>
  <c r="J173" i="2" s="1"/>
  <c r="J174" i="2" s="1"/>
  <c r="J175" i="2" s="1"/>
  <c r="J176" i="2" s="1"/>
  <c r="H152" i="2"/>
  <c r="P152" i="2"/>
  <c r="L212" i="2"/>
  <c r="L213" i="2" s="1"/>
  <c r="L214" i="2" s="1"/>
  <c r="L215" i="2" s="1"/>
  <c r="L216" i="2" s="1"/>
  <c r="L217" i="2" s="1"/>
  <c r="L218" i="2" s="1"/>
  <c r="L219" i="2" s="1"/>
  <c r="L220" i="2" s="1"/>
  <c r="L221" i="2" s="1"/>
  <c r="L222" i="2" s="1"/>
  <c r="L164" i="2"/>
  <c r="H55" i="2"/>
  <c r="F165" i="2"/>
  <c r="F223" i="2"/>
  <c r="N223" i="2"/>
  <c r="L66" i="2"/>
  <c r="L79" i="2"/>
  <c r="H223" i="2"/>
  <c r="P223" i="2"/>
  <c r="J66" i="2"/>
  <c r="G8" i="1"/>
  <c r="H7" i="1"/>
  <c r="E14" i="1"/>
  <c r="E33" i="1" s="1"/>
  <c r="B47" i="1"/>
  <c r="B61" i="1"/>
  <c r="F123" i="1"/>
  <c r="K129" i="1"/>
  <c r="K130" i="1" s="1"/>
  <c r="J129" i="1"/>
  <c r="E18" i="1"/>
  <c r="D33" i="1"/>
  <c r="F51" i="1"/>
  <c r="F59" i="1"/>
  <c r="B73" i="1"/>
  <c r="I95" i="1"/>
  <c r="F101" i="1"/>
  <c r="I112" i="1"/>
  <c r="J207" i="1"/>
  <c r="J208" i="1" s="1"/>
  <c r="J209" i="1" s="1"/>
  <c r="J210" i="1" s="1"/>
  <c r="J211" i="1" s="1"/>
  <c r="J212" i="1" s="1"/>
  <c r="J213" i="1" s="1"/>
  <c r="J214" i="1" s="1"/>
  <c r="J215" i="1" s="1"/>
  <c r="J216" i="1" s="1"/>
  <c r="J217" i="1" s="1"/>
  <c r="J218" i="1" s="1"/>
  <c r="J219" i="1" s="1"/>
  <c r="J220" i="1" s="1"/>
  <c r="J221" i="1" s="1"/>
  <c r="J222" i="1" s="1"/>
  <c r="J223" i="1" s="1"/>
  <c r="J224" i="1" s="1"/>
  <c r="J225" i="1" s="1"/>
  <c r="J226" i="1" s="1"/>
  <c r="J227" i="1" s="1"/>
  <c r="J228" i="1" s="1"/>
  <c r="J229" i="1" s="1"/>
  <c r="J230" i="1" s="1"/>
  <c r="J231" i="1" s="1"/>
  <c r="J232" i="1" s="1"/>
  <c r="J233" i="1" s="1"/>
  <c r="J234" i="1" s="1"/>
  <c r="J235" i="1" s="1"/>
  <c r="J236" i="1" s="1"/>
  <c r="J237" i="1" s="1"/>
  <c r="J238" i="1" s="1"/>
  <c r="J239" i="1" s="1"/>
  <c r="J240" i="1" s="1"/>
  <c r="J241" i="1" s="1"/>
  <c r="J242" i="1" s="1"/>
  <c r="J243" i="1" s="1"/>
  <c r="J244" i="1" s="1"/>
  <c r="J245" i="1" s="1"/>
  <c r="J246" i="1" s="1"/>
  <c r="J247" i="1" s="1"/>
  <c r="J248" i="1" s="1"/>
  <c r="J249" i="1" s="1"/>
  <c r="J250" i="1" s="1"/>
  <c r="J251" i="1" s="1"/>
  <c r="J252" i="1" s="1"/>
  <c r="J253" i="1" s="1"/>
  <c r="J254" i="1" s="1"/>
  <c r="J255" i="1" s="1"/>
  <c r="J256" i="1" s="1"/>
  <c r="J257" i="1" s="1"/>
  <c r="J258" i="1" s="1"/>
  <c r="J259" i="1" s="1"/>
  <c r="J260" i="1" s="1"/>
  <c r="J261" i="1" s="1"/>
  <c r="J262" i="1" s="1"/>
  <c r="J263" i="1" s="1"/>
  <c r="J264" i="1" s="1"/>
  <c r="J265" i="1" s="1"/>
  <c r="J266" i="1" s="1"/>
  <c r="J267" i="1" s="1"/>
  <c r="J268" i="1" s="1"/>
  <c r="J269" i="1" s="1"/>
  <c r="J270" i="1" s="1"/>
  <c r="J271" i="1" s="1"/>
  <c r="J272" i="1" s="1"/>
  <c r="J273" i="1" s="1"/>
  <c r="J274" i="1" s="1"/>
  <c r="J275" i="1" s="1"/>
  <c r="J276" i="1" s="1"/>
  <c r="E30" i="1"/>
  <c r="F124" i="1"/>
  <c r="B124" i="1"/>
  <c r="F122" i="1"/>
  <c r="B122" i="1"/>
  <c r="F120" i="1"/>
  <c r="B120" i="1"/>
  <c r="F118" i="1"/>
  <c r="B118" i="1"/>
  <c r="F116" i="1"/>
  <c r="B116" i="1"/>
  <c r="F114" i="1"/>
  <c r="B114" i="1"/>
  <c r="F112" i="1"/>
  <c r="B112" i="1"/>
  <c r="F110" i="1"/>
  <c r="B110" i="1"/>
  <c r="F108" i="1"/>
  <c r="B108" i="1"/>
  <c r="F106" i="1"/>
  <c r="B106" i="1"/>
  <c r="F104" i="1"/>
  <c r="B104" i="1"/>
  <c r="F102" i="1"/>
  <c r="B102" i="1"/>
  <c r="F100" i="1"/>
  <c r="B100" i="1"/>
  <c r="F98" i="1"/>
  <c r="B98" i="1"/>
  <c r="F96" i="1"/>
  <c r="B96" i="1"/>
  <c r="F94" i="1"/>
  <c r="B94" i="1"/>
  <c r="F92" i="1"/>
  <c r="B92" i="1"/>
  <c r="F90" i="1"/>
  <c r="B90" i="1"/>
  <c r="F88" i="1"/>
  <c r="B88" i="1"/>
  <c r="F86" i="1"/>
  <c r="B86" i="1"/>
  <c r="F84" i="1"/>
  <c r="B84" i="1"/>
  <c r="F82" i="1"/>
  <c r="B82" i="1"/>
  <c r="F80" i="1"/>
  <c r="B80" i="1"/>
  <c r="F78" i="1"/>
  <c r="B78" i="1"/>
  <c r="F76" i="1"/>
  <c r="B76" i="1"/>
  <c r="F74" i="1"/>
  <c r="B74" i="1"/>
  <c r="F72" i="1"/>
  <c r="B72" i="1"/>
  <c r="F70" i="1"/>
  <c r="B70" i="1"/>
  <c r="F68" i="1"/>
  <c r="B68" i="1"/>
  <c r="F66" i="1"/>
  <c r="B66" i="1"/>
  <c r="F64" i="1"/>
  <c r="B64" i="1"/>
  <c r="F62" i="1"/>
  <c r="B62" i="1"/>
  <c r="B123" i="1"/>
  <c r="F121" i="1"/>
  <c r="B115" i="1"/>
  <c r="F113" i="1"/>
  <c r="B107" i="1"/>
  <c r="F105" i="1"/>
  <c r="B99" i="1"/>
  <c r="F97" i="1"/>
  <c r="B91" i="1"/>
  <c r="F89" i="1"/>
  <c r="B83" i="1"/>
  <c r="F81" i="1"/>
  <c r="B75" i="1"/>
  <c r="F73" i="1"/>
  <c r="B67" i="1"/>
  <c r="F65" i="1"/>
  <c r="F60" i="1"/>
  <c r="B60" i="1"/>
  <c r="F58" i="1"/>
  <c r="B58" i="1"/>
  <c r="F56" i="1"/>
  <c r="B56" i="1"/>
  <c r="F54" i="1"/>
  <c r="B54" i="1"/>
  <c r="F52" i="1"/>
  <c r="B52" i="1"/>
  <c r="F50" i="1"/>
  <c r="B50" i="1"/>
  <c r="F48" i="1"/>
  <c r="B48" i="1"/>
  <c r="F46" i="1"/>
  <c r="B46" i="1"/>
  <c r="C46" i="1" s="1"/>
  <c r="B119" i="1"/>
  <c r="F115" i="1"/>
  <c r="B109" i="1"/>
  <c r="F103" i="1"/>
  <c r="B97" i="1"/>
  <c r="F93" i="1"/>
  <c r="B87" i="1"/>
  <c r="F83" i="1"/>
  <c r="B77" i="1"/>
  <c r="F71" i="1"/>
  <c r="B65" i="1"/>
  <c r="F61" i="1"/>
  <c r="B121" i="1"/>
  <c r="F117" i="1"/>
  <c r="B111" i="1"/>
  <c r="F107" i="1"/>
  <c r="B101" i="1"/>
  <c r="F95" i="1"/>
  <c r="B89" i="1"/>
  <c r="F85" i="1"/>
  <c r="B79" i="1"/>
  <c r="F75" i="1"/>
  <c r="B69" i="1"/>
  <c r="F63" i="1"/>
  <c r="B57" i="1"/>
  <c r="F55" i="1"/>
  <c r="B49" i="1"/>
  <c r="F47" i="1"/>
  <c r="F119" i="1"/>
  <c r="B113" i="1"/>
  <c r="F109" i="1"/>
  <c r="B103" i="1"/>
  <c r="F99" i="1"/>
  <c r="B93" i="1"/>
  <c r="F87" i="1"/>
  <c r="B81" i="1"/>
  <c r="F77" i="1"/>
  <c r="B71" i="1"/>
  <c r="F67" i="1"/>
  <c r="B59" i="1"/>
  <c r="F57" i="1"/>
  <c r="B51" i="1"/>
  <c r="F49" i="1"/>
  <c r="D46" i="1"/>
  <c r="F53" i="1"/>
  <c r="F69" i="1"/>
  <c r="B95" i="1"/>
  <c r="J133" i="1"/>
  <c r="E22" i="1"/>
  <c r="I118" i="1"/>
  <c r="I117" i="1"/>
  <c r="I110" i="1"/>
  <c r="I109" i="1"/>
  <c r="I102" i="1"/>
  <c r="I101" i="1"/>
  <c r="I94" i="1"/>
  <c r="I93" i="1"/>
  <c r="I86" i="1"/>
  <c r="I85" i="1"/>
  <c r="I78" i="1"/>
  <c r="I77" i="1"/>
  <c r="I70" i="1"/>
  <c r="I69" i="1"/>
  <c r="I62" i="1"/>
  <c r="I61" i="1"/>
  <c r="I124" i="1"/>
  <c r="I119" i="1"/>
  <c r="I114" i="1"/>
  <c r="I107" i="1"/>
  <c r="I104" i="1"/>
  <c r="I97" i="1"/>
  <c r="I92" i="1"/>
  <c r="I87" i="1"/>
  <c r="I82" i="1"/>
  <c r="I75" i="1"/>
  <c r="I72" i="1"/>
  <c r="I65" i="1"/>
  <c r="I58" i="1"/>
  <c r="I57" i="1"/>
  <c r="I121" i="1"/>
  <c r="I116" i="1"/>
  <c r="I111" i="1"/>
  <c r="I106" i="1"/>
  <c r="I99" i="1"/>
  <c r="I96" i="1"/>
  <c r="I89" i="1"/>
  <c r="I84" i="1"/>
  <c r="I79" i="1"/>
  <c r="I74" i="1"/>
  <c r="I67" i="1"/>
  <c r="I64" i="1"/>
  <c r="I60" i="1"/>
  <c r="I59" i="1"/>
  <c r="I52" i="1"/>
  <c r="I51" i="1"/>
  <c r="I123" i="1"/>
  <c r="I120" i="1"/>
  <c r="I113" i="1"/>
  <c r="I108" i="1"/>
  <c r="I103" i="1"/>
  <c r="I98" i="1"/>
  <c r="I91" i="1"/>
  <c r="I88" i="1"/>
  <c r="I81" i="1"/>
  <c r="I76" i="1"/>
  <c r="I71" i="1"/>
  <c r="I66" i="1"/>
  <c r="I54" i="1"/>
  <c r="I53" i="1"/>
  <c r="I46" i="1"/>
  <c r="J46"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I49" i="1"/>
  <c r="I50" i="1"/>
  <c r="B55" i="1"/>
  <c r="I73" i="1"/>
  <c r="F79" i="1"/>
  <c r="B85" i="1"/>
  <c r="I90" i="1"/>
  <c r="B105" i="1"/>
  <c r="C133" i="1"/>
  <c r="D132" i="1"/>
  <c r="K207" i="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J130" i="1"/>
  <c r="J131" i="1" s="1"/>
  <c r="J132" i="1" s="1"/>
  <c r="J134" i="1"/>
  <c r="J135" i="1" s="1"/>
  <c r="J136" i="1" s="1"/>
  <c r="J137" i="1" s="1"/>
  <c r="J138" i="1" s="1"/>
  <c r="J139" i="1" s="1"/>
  <c r="J140" i="1" s="1"/>
  <c r="J141" i="1" s="1"/>
  <c r="J142" i="1" s="1"/>
  <c r="J143" i="1" s="1"/>
  <c r="J144" i="1" s="1"/>
  <c r="J145" i="1" s="1"/>
  <c r="J146" i="1" s="1"/>
  <c r="J147" i="1" s="1"/>
  <c r="J148" i="1" s="1"/>
  <c r="J149" i="1" s="1"/>
  <c r="J150" i="1" s="1"/>
  <c r="J151" i="1" s="1"/>
  <c r="J152" i="1" s="1"/>
  <c r="J153" i="1" s="1"/>
  <c r="J154" i="1" s="1"/>
  <c r="J155" i="1" s="1"/>
  <c r="J156" i="1" s="1"/>
  <c r="J157" i="1" s="1"/>
  <c r="J158" i="1" s="1"/>
  <c r="J159" i="1" s="1"/>
  <c r="J160" i="1" s="1"/>
  <c r="J161" i="1" s="1"/>
  <c r="J162" i="1" s="1"/>
  <c r="J163" i="1" s="1"/>
  <c r="J164" i="1" s="1"/>
  <c r="J165" i="1" s="1"/>
  <c r="J166" i="1" s="1"/>
  <c r="J167" i="1" s="1"/>
  <c r="J168" i="1" s="1"/>
  <c r="J169" i="1" s="1"/>
  <c r="J170" i="1" s="1"/>
  <c r="J171" i="1" s="1"/>
  <c r="J172" i="1" s="1"/>
  <c r="J173" i="1" s="1"/>
  <c r="J174" i="1" s="1"/>
  <c r="J175" i="1" s="1"/>
  <c r="J176" i="1" s="1"/>
  <c r="J177" i="1" s="1"/>
  <c r="J178" i="1" s="1"/>
  <c r="J179" i="1" s="1"/>
  <c r="J180" i="1" s="1"/>
  <c r="J181" i="1" s="1"/>
  <c r="J182" i="1" s="1"/>
  <c r="J183" i="1" s="1"/>
  <c r="J184" i="1" s="1"/>
  <c r="J185" i="1" s="1"/>
  <c r="J186" i="1" s="1"/>
  <c r="J187" i="1" s="1"/>
  <c r="J188" i="1" s="1"/>
  <c r="J189" i="1" s="1"/>
  <c r="J190" i="1" s="1"/>
  <c r="J191" i="1" s="1"/>
  <c r="J192" i="1" s="1"/>
  <c r="J193" i="1" s="1"/>
  <c r="J194" i="1" s="1"/>
  <c r="J195" i="1" s="1"/>
  <c r="J196" i="1" s="1"/>
  <c r="J197" i="1" s="1"/>
  <c r="J198" i="1" s="1"/>
  <c r="J199" i="1" s="1"/>
  <c r="J200" i="1" s="1"/>
  <c r="J201" i="1" s="1"/>
  <c r="D205" i="1"/>
  <c r="E205" i="1" s="1"/>
  <c r="H205" i="1" s="1"/>
  <c r="C206" i="1"/>
  <c r="G205" i="1"/>
  <c r="G130" i="1"/>
  <c r="C278" i="1"/>
  <c r="D204" i="1"/>
  <c r="E204" i="1" s="1"/>
  <c r="H204" i="1" s="1"/>
  <c r="J206" i="1"/>
  <c r="H60" i="3" l="1"/>
  <c r="E60" i="3"/>
  <c r="J67" i="2"/>
  <c r="J34" i="2"/>
  <c r="L14" i="2"/>
  <c r="P14" i="2" s="1"/>
  <c r="J15" i="2"/>
  <c r="P11" i="2"/>
  <c r="F166" i="2"/>
  <c r="L223" i="2"/>
  <c r="Q164" i="2"/>
  <c r="L165" i="2"/>
  <c r="L166" i="2" s="1"/>
  <c r="L167" i="2" s="1"/>
  <c r="L168" i="2" s="1"/>
  <c r="L169" i="2" s="1"/>
  <c r="L170" i="2" s="1"/>
  <c r="L171" i="2" s="1"/>
  <c r="L172" i="2" s="1"/>
  <c r="L173" i="2" s="1"/>
  <c r="L174" i="2" s="1"/>
  <c r="L175" i="2" s="1"/>
  <c r="L176" i="2" s="1"/>
  <c r="J223" i="2"/>
  <c r="L65" i="2"/>
  <c r="F77" i="2"/>
  <c r="F93" i="2"/>
  <c r="F94" i="2" s="1"/>
  <c r="F95" i="2" s="1"/>
  <c r="F96" i="2" s="1"/>
  <c r="F97" i="2" s="1"/>
  <c r="C207" i="1"/>
  <c r="D206" i="1"/>
  <c r="E206" i="1" s="1"/>
  <c r="H206" i="1" s="1"/>
  <c r="G206" i="1"/>
  <c r="E46" i="1"/>
  <c r="H46" i="1" s="1"/>
  <c r="G133" i="1"/>
  <c r="C134" i="1"/>
  <c r="D133" i="1"/>
  <c r="E129" i="1"/>
  <c r="H129" i="1" s="1"/>
  <c r="J47" i="1"/>
  <c r="J48" i="1" s="1"/>
  <c r="K131" i="1"/>
  <c r="E130" i="1"/>
  <c r="H130" i="1" s="1"/>
  <c r="J49" i="1"/>
  <c r="J50" i="1" s="1"/>
  <c r="J51" i="1" s="1"/>
  <c r="J52" i="1" s="1"/>
  <c r="J53" i="1" s="1"/>
  <c r="J54" i="1" s="1"/>
  <c r="J55" i="1" s="1"/>
  <c r="J56" i="1" s="1"/>
  <c r="J57" i="1" s="1"/>
  <c r="J58" i="1" s="1"/>
  <c r="J59" i="1" s="1"/>
  <c r="J60" i="1" s="1"/>
  <c r="J61" i="1" s="1"/>
  <c r="J62" i="1" s="1"/>
  <c r="J63" i="1" s="1"/>
  <c r="J64" i="1" s="1"/>
  <c r="J65" i="1" s="1"/>
  <c r="J66" i="1" s="1"/>
  <c r="J67" i="1" s="1"/>
  <c r="J68" i="1" s="1"/>
  <c r="J69" i="1" s="1"/>
  <c r="J70" i="1" s="1"/>
  <c r="J71" i="1" s="1"/>
  <c r="J72" i="1" s="1"/>
  <c r="J73" i="1" s="1"/>
  <c r="J74" i="1" s="1"/>
  <c r="J75" i="1" s="1"/>
  <c r="J76" i="1" s="1"/>
  <c r="J77" i="1" s="1"/>
  <c r="J78" i="1" s="1"/>
  <c r="J79" i="1" s="1"/>
  <c r="J80" i="1" s="1"/>
  <c r="J81" i="1" s="1"/>
  <c r="J82" i="1" s="1"/>
  <c r="J83" i="1" s="1"/>
  <c r="J84" i="1" s="1"/>
  <c r="J85" i="1" s="1"/>
  <c r="J86" i="1" s="1"/>
  <c r="J87" i="1" s="1"/>
  <c r="J88" i="1" s="1"/>
  <c r="J89" i="1" s="1"/>
  <c r="J90" i="1" s="1"/>
  <c r="J91" i="1" s="1"/>
  <c r="J92" i="1" s="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J114" i="1" s="1"/>
  <c r="J115" i="1" s="1"/>
  <c r="J116" i="1" s="1"/>
  <c r="J117" i="1" s="1"/>
  <c r="J118" i="1" s="1"/>
  <c r="J119" i="1" s="1"/>
  <c r="J120" i="1" s="1"/>
  <c r="J121" i="1" s="1"/>
  <c r="J122" i="1" s="1"/>
  <c r="J123" i="1" s="1"/>
  <c r="J124" i="1" s="1"/>
  <c r="G46" i="1"/>
  <c r="C47" i="1"/>
  <c r="G9" i="1"/>
  <c r="H8" i="1"/>
  <c r="F167" i="2" l="1"/>
  <c r="Q166" i="2"/>
  <c r="J35" i="2"/>
  <c r="L34" i="2"/>
  <c r="J68" i="2"/>
  <c r="L67" i="2"/>
  <c r="F98" i="2"/>
  <c r="Q165" i="2"/>
  <c r="L15" i="2"/>
  <c r="P15" i="2" s="1"/>
  <c r="J16" i="2"/>
  <c r="K132" i="1"/>
  <c r="E131" i="1"/>
  <c r="H131" i="1" s="1"/>
  <c r="G47" i="1"/>
  <c r="C48" i="1"/>
  <c r="D47" i="1"/>
  <c r="E47" i="1" s="1"/>
  <c r="H47" i="1" s="1"/>
  <c r="D134" i="1"/>
  <c r="G134" i="1"/>
  <c r="C135" i="1"/>
  <c r="H9" i="1"/>
  <c r="G10" i="1"/>
  <c r="G207" i="1"/>
  <c r="C208" i="1"/>
  <c r="D207" i="1"/>
  <c r="E207" i="1" s="1"/>
  <c r="H207" i="1" s="1"/>
  <c r="L16" i="2" l="1"/>
  <c r="J17" i="2"/>
  <c r="L35" i="2"/>
  <c r="P35" i="2" s="1"/>
  <c r="J36" i="2"/>
  <c r="F99" i="2"/>
  <c r="J69" i="2"/>
  <c r="L68" i="2"/>
  <c r="P34" i="2"/>
  <c r="Q167" i="2"/>
  <c r="F168" i="2"/>
  <c r="G48" i="1"/>
  <c r="C49" i="1"/>
  <c r="D48" i="1"/>
  <c r="E48" i="1" s="1"/>
  <c r="H48" i="1" s="1"/>
  <c r="G11" i="1"/>
  <c r="H10" i="1"/>
  <c r="G135" i="1"/>
  <c r="C136" i="1"/>
  <c r="D135" i="1"/>
  <c r="C209" i="1"/>
  <c r="G208" i="1"/>
  <c r="D208" i="1"/>
  <c r="E208" i="1" s="1"/>
  <c r="H208" i="1" s="1"/>
  <c r="K133" i="1"/>
  <c r="E132" i="1"/>
  <c r="H132" i="1" s="1"/>
  <c r="L17" i="2" l="1"/>
  <c r="P17" i="2" s="1"/>
  <c r="J18" i="2"/>
  <c r="J70" i="2"/>
  <c r="L69" i="2"/>
  <c r="P16" i="2"/>
  <c r="L36" i="2"/>
  <c r="J37" i="2"/>
  <c r="F100" i="2"/>
  <c r="F169" i="2"/>
  <c r="Q168" i="2"/>
  <c r="C137" i="1"/>
  <c r="D136" i="1"/>
  <c r="G136" i="1"/>
  <c r="G12" i="1"/>
  <c r="H11" i="1"/>
  <c r="C210" i="1"/>
  <c r="G209" i="1"/>
  <c r="D209" i="1"/>
  <c r="E209" i="1" s="1"/>
  <c r="H209" i="1" s="1"/>
  <c r="C50" i="1"/>
  <c r="G49" i="1"/>
  <c r="D49" i="1"/>
  <c r="E49" i="1" s="1"/>
  <c r="H49" i="1" s="1"/>
  <c r="K134" i="1"/>
  <c r="E133" i="1"/>
  <c r="H133" i="1" s="1"/>
  <c r="F170" i="2" l="1"/>
  <c r="Q169" i="2"/>
  <c r="J38" i="2"/>
  <c r="L37" i="2"/>
  <c r="P37" i="2" s="1"/>
  <c r="P36" i="2"/>
  <c r="J71" i="2"/>
  <c r="L70" i="2"/>
  <c r="F101" i="2"/>
  <c r="L18" i="2"/>
  <c r="J19" i="2"/>
  <c r="K135" i="1"/>
  <c r="E134" i="1"/>
  <c r="H134" i="1" s="1"/>
  <c r="C211" i="1"/>
  <c r="D210" i="1"/>
  <c r="E210" i="1" s="1"/>
  <c r="H210" i="1" s="1"/>
  <c r="G210" i="1"/>
  <c r="G13" i="1"/>
  <c r="H12" i="1"/>
  <c r="C51" i="1"/>
  <c r="G50" i="1"/>
  <c r="D50" i="1"/>
  <c r="E50" i="1" s="1"/>
  <c r="H50" i="1" s="1"/>
  <c r="G137" i="1"/>
  <c r="D137" i="1"/>
  <c r="C138" i="1"/>
  <c r="L19" i="2" l="1"/>
  <c r="P19" i="2" s="1"/>
  <c r="J20" i="2"/>
  <c r="P18" i="2"/>
  <c r="J72" i="2"/>
  <c r="L71" i="2"/>
  <c r="J39" i="2"/>
  <c r="L38" i="2"/>
  <c r="P38" i="2" s="1"/>
  <c r="F102" i="2"/>
  <c r="F171" i="2"/>
  <c r="Q170" i="2"/>
  <c r="H13" i="1"/>
  <c r="G14" i="1"/>
  <c r="G211" i="1"/>
  <c r="D211" i="1"/>
  <c r="E211" i="1" s="1"/>
  <c r="H211" i="1" s="1"/>
  <c r="C212" i="1"/>
  <c r="D138" i="1"/>
  <c r="G138" i="1"/>
  <c r="C139" i="1"/>
  <c r="C52" i="1"/>
  <c r="G51" i="1"/>
  <c r="D51" i="1"/>
  <c r="E51" i="1" s="1"/>
  <c r="H51" i="1" s="1"/>
  <c r="K136" i="1"/>
  <c r="E135" i="1"/>
  <c r="H135" i="1" s="1"/>
  <c r="L39" i="2" l="1"/>
  <c r="J40" i="2"/>
  <c r="F103" i="2"/>
  <c r="F104" i="2" s="1"/>
  <c r="F105" i="2"/>
  <c r="F54" i="2" s="1"/>
  <c r="L20" i="2"/>
  <c r="J21" i="2"/>
  <c r="Q171" i="2"/>
  <c r="F172" i="2"/>
  <c r="J73" i="2"/>
  <c r="L72" i="2"/>
  <c r="C140" i="1"/>
  <c r="G139" i="1"/>
  <c r="D139" i="1"/>
  <c r="C53" i="1"/>
  <c r="G52" i="1"/>
  <c r="D52" i="1"/>
  <c r="E52" i="1" s="1"/>
  <c r="H52" i="1" s="1"/>
  <c r="G15" i="1"/>
  <c r="H14" i="1"/>
  <c r="K137" i="1"/>
  <c r="E136" i="1"/>
  <c r="H136" i="1" s="1"/>
  <c r="C213" i="1"/>
  <c r="D212" i="1"/>
  <c r="E212" i="1" s="1"/>
  <c r="H212" i="1" s="1"/>
  <c r="G212" i="1"/>
  <c r="F173" i="2" l="1"/>
  <c r="Q172" i="2"/>
  <c r="L21" i="2"/>
  <c r="P21" i="2" s="1"/>
  <c r="J22" i="2"/>
  <c r="L40" i="2"/>
  <c r="P40" i="2" s="1"/>
  <c r="J41" i="2"/>
  <c r="F55" i="2"/>
  <c r="J74" i="2"/>
  <c r="L73" i="2"/>
  <c r="P20" i="2"/>
  <c r="P39" i="2"/>
  <c r="G16" i="1"/>
  <c r="H15" i="1"/>
  <c r="K138" i="1"/>
  <c r="E137" i="1"/>
  <c r="H137" i="1" s="1"/>
  <c r="C214" i="1"/>
  <c r="G213" i="1"/>
  <c r="D213" i="1"/>
  <c r="E213" i="1" s="1"/>
  <c r="H213" i="1" s="1"/>
  <c r="G53" i="1"/>
  <c r="C54" i="1"/>
  <c r="D53" i="1"/>
  <c r="E53" i="1" s="1"/>
  <c r="H53" i="1" s="1"/>
  <c r="C141" i="1"/>
  <c r="D140" i="1"/>
  <c r="G140" i="1"/>
  <c r="L22" i="2" l="1"/>
  <c r="P22" i="2" s="1"/>
  <c r="J23" i="2"/>
  <c r="F174" i="2"/>
  <c r="Q173" i="2"/>
  <c r="J75" i="2"/>
  <c r="L74" i="2"/>
  <c r="J42" i="2"/>
  <c r="L41" i="2"/>
  <c r="P41" i="2" s="1"/>
  <c r="K139" i="1"/>
  <c r="E138" i="1"/>
  <c r="H138" i="1" s="1"/>
  <c r="C55" i="1"/>
  <c r="G54" i="1"/>
  <c r="D54" i="1"/>
  <c r="E54" i="1" s="1"/>
  <c r="H54" i="1" s="1"/>
  <c r="C215" i="1"/>
  <c r="D214" i="1"/>
  <c r="E214" i="1" s="1"/>
  <c r="H214" i="1" s="1"/>
  <c r="G214" i="1"/>
  <c r="G141" i="1"/>
  <c r="C142" i="1"/>
  <c r="D141" i="1"/>
  <c r="G17" i="1"/>
  <c r="H16" i="1"/>
  <c r="J76" i="2" l="1"/>
  <c r="L75" i="2"/>
  <c r="J43" i="2"/>
  <c r="L42" i="2"/>
  <c r="P42" i="2" s="1"/>
  <c r="F175" i="2"/>
  <c r="Q174" i="2"/>
  <c r="L23" i="2"/>
  <c r="J24" i="2"/>
  <c r="C56" i="1"/>
  <c r="G55" i="1"/>
  <c r="D55" i="1"/>
  <c r="E55" i="1" s="1"/>
  <c r="H55" i="1" s="1"/>
  <c r="D142" i="1"/>
  <c r="G142" i="1"/>
  <c r="C143" i="1"/>
  <c r="G215" i="1"/>
  <c r="D215" i="1"/>
  <c r="E215" i="1" s="1"/>
  <c r="H215" i="1" s="1"/>
  <c r="C216" i="1"/>
  <c r="G18" i="1"/>
  <c r="H17" i="1"/>
  <c r="K140" i="1"/>
  <c r="E139" i="1"/>
  <c r="H139" i="1" s="1"/>
  <c r="Q175" i="2" l="1"/>
  <c r="Q176" i="2" s="1"/>
  <c r="Q180" i="2" s="1"/>
  <c r="F176" i="2"/>
  <c r="L76" i="2"/>
  <c r="L77" i="2" s="1"/>
  <c r="L81" i="2" s="1"/>
  <c r="J77" i="2"/>
  <c r="P23" i="2"/>
  <c r="P24" i="2" s="1"/>
  <c r="L24" i="2"/>
  <c r="J44" i="2"/>
  <c r="L43" i="2"/>
  <c r="P43" i="2" s="1"/>
  <c r="G19" i="1"/>
  <c r="H18" i="1"/>
  <c r="D143" i="1"/>
  <c r="C144" i="1"/>
  <c r="G143" i="1"/>
  <c r="G216" i="1"/>
  <c r="D216" i="1"/>
  <c r="E216" i="1" s="1"/>
  <c r="H216" i="1" s="1"/>
  <c r="C217" i="1"/>
  <c r="C57" i="1"/>
  <c r="G56" i="1"/>
  <c r="D56" i="1"/>
  <c r="E56" i="1" s="1"/>
  <c r="H56" i="1" s="1"/>
  <c r="K141" i="1"/>
  <c r="E140" i="1"/>
  <c r="H140" i="1" s="1"/>
  <c r="L44" i="2" l="1"/>
  <c r="J45" i="2"/>
  <c r="J54" i="2"/>
  <c r="G217" i="1"/>
  <c r="C218" i="1"/>
  <c r="D217" i="1"/>
  <c r="E217" i="1" s="1"/>
  <c r="H217" i="1" s="1"/>
  <c r="K142" i="1"/>
  <c r="E141" i="1"/>
  <c r="H141" i="1" s="1"/>
  <c r="C145" i="1"/>
  <c r="D144" i="1"/>
  <c r="G144" i="1"/>
  <c r="C58" i="1"/>
  <c r="G57" i="1"/>
  <c r="D57" i="1"/>
  <c r="E57" i="1" s="1"/>
  <c r="H57" i="1" s="1"/>
  <c r="G20" i="1"/>
  <c r="H19" i="1"/>
  <c r="P44" i="2" l="1"/>
  <c r="P45" i="2" s="1"/>
  <c r="L45" i="2"/>
  <c r="J55" i="2"/>
  <c r="L54" i="2"/>
  <c r="C59" i="1"/>
  <c r="G58" i="1"/>
  <c r="D58" i="1"/>
  <c r="E58" i="1" s="1"/>
  <c r="H58" i="1" s="1"/>
  <c r="C219" i="1"/>
  <c r="D218" i="1"/>
  <c r="E218" i="1" s="1"/>
  <c r="H218" i="1" s="1"/>
  <c r="G218" i="1"/>
  <c r="G145" i="1"/>
  <c r="C146" i="1"/>
  <c r="D145" i="1"/>
  <c r="G21" i="1"/>
  <c r="H20" i="1"/>
  <c r="K143" i="1"/>
  <c r="E142" i="1"/>
  <c r="H142" i="1" s="1"/>
  <c r="P54" i="2" l="1"/>
  <c r="P55" i="2" s="1"/>
  <c r="L55" i="2"/>
  <c r="G22" i="1"/>
  <c r="H21" i="1"/>
  <c r="G219" i="1"/>
  <c r="D219" i="1"/>
  <c r="E219" i="1" s="1"/>
  <c r="H219" i="1" s="1"/>
  <c r="C220" i="1"/>
  <c r="K144" i="1"/>
  <c r="E143" i="1"/>
  <c r="H143" i="1" s="1"/>
  <c r="C147" i="1"/>
  <c r="G146" i="1"/>
  <c r="D146" i="1"/>
  <c r="C60" i="1"/>
  <c r="G59" i="1"/>
  <c r="D59" i="1"/>
  <c r="E59" i="1" s="1"/>
  <c r="H59" i="1" s="1"/>
  <c r="C61" i="1" l="1"/>
  <c r="G60" i="1"/>
  <c r="D60" i="1"/>
  <c r="E60" i="1" s="1"/>
  <c r="H60" i="1" s="1"/>
  <c r="D220" i="1"/>
  <c r="E220" i="1" s="1"/>
  <c r="H220" i="1" s="1"/>
  <c r="G220" i="1"/>
  <c r="C221" i="1"/>
  <c r="K145" i="1"/>
  <c r="E144" i="1"/>
  <c r="H144" i="1" s="1"/>
  <c r="C148" i="1"/>
  <c r="G147" i="1"/>
  <c r="D147" i="1"/>
  <c r="G23" i="1"/>
  <c r="H22" i="1"/>
  <c r="K146" i="1" l="1"/>
  <c r="E145" i="1"/>
  <c r="H145" i="1" s="1"/>
  <c r="D221" i="1"/>
  <c r="E221" i="1" s="1"/>
  <c r="H221" i="1" s="1"/>
  <c r="C222" i="1"/>
  <c r="G221" i="1"/>
  <c r="C149" i="1"/>
  <c r="D148" i="1"/>
  <c r="G148" i="1"/>
  <c r="G24" i="1"/>
  <c r="H23" i="1"/>
  <c r="C62" i="1"/>
  <c r="G61" i="1"/>
  <c r="D61" i="1"/>
  <c r="E61" i="1" s="1"/>
  <c r="H61" i="1" s="1"/>
  <c r="C63" i="1" l="1"/>
  <c r="G62" i="1"/>
  <c r="D62" i="1"/>
  <c r="E62" i="1" s="1"/>
  <c r="H62" i="1" s="1"/>
  <c r="G25" i="1"/>
  <c r="H24" i="1"/>
  <c r="K147" i="1"/>
  <c r="E146" i="1"/>
  <c r="H146" i="1" s="1"/>
  <c r="G149" i="1"/>
  <c r="D149" i="1"/>
  <c r="C150" i="1"/>
  <c r="C223" i="1"/>
  <c r="D222" i="1"/>
  <c r="E222" i="1" s="1"/>
  <c r="H222" i="1" s="1"/>
  <c r="G222" i="1"/>
  <c r="C151" i="1" l="1"/>
  <c r="D150" i="1"/>
  <c r="G150" i="1"/>
  <c r="K148" i="1"/>
  <c r="E147" i="1"/>
  <c r="H147" i="1" s="1"/>
  <c r="G223" i="1"/>
  <c r="C224" i="1"/>
  <c r="D223" i="1"/>
  <c r="E223" i="1" s="1"/>
  <c r="H223" i="1" s="1"/>
  <c r="H25" i="1"/>
  <c r="G26" i="1"/>
  <c r="G63" i="1"/>
  <c r="C64" i="1"/>
  <c r="D63" i="1"/>
  <c r="E63" i="1" s="1"/>
  <c r="H63" i="1" s="1"/>
  <c r="D224" i="1" l="1"/>
  <c r="E224" i="1" s="1"/>
  <c r="H224" i="1" s="1"/>
  <c r="C225" i="1"/>
  <c r="G224" i="1"/>
  <c r="K149" i="1"/>
  <c r="E148" i="1"/>
  <c r="H148" i="1" s="1"/>
  <c r="G27" i="1"/>
  <c r="H26" i="1"/>
  <c r="C65" i="1"/>
  <c r="G64" i="1"/>
  <c r="D64" i="1"/>
  <c r="E64" i="1" s="1"/>
  <c r="H64" i="1" s="1"/>
  <c r="G151" i="1"/>
  <c r="C152" i="1"/>
  <c r="D151" i="1"/>
  <c r="K150" i="1" l="1"/>
  <c r="E149" i="1"/>
  <c r="H149" i="1" s="1"/>
  <c r="G28" i="1"/>
  <c r="H27" i="1"/>
  <c r="D225" i="1"/>
  <c r="E225" i="1" s="1"/>
  <c r="H225" i="1" s="1"/>
  <c r="C226" i="1"/>
  <c r="G225" i="1"/>
  <c r="C153" i="1"/>
  <c r="D152" i="1"/>
  <c r="G152" i="1"/>
  <c r="G65" i="1"/>
  <c r="C66" i="1"/>
  <c r="D65" i="1"/>
  <c r="E65" i="1" s="1"/>
  <c r="H65" i="1" s="1"/>
  <c r="C227" i="1" l="1"/>
  <c r="D226" i="1"/>
  <c r="E226" i="1" s="1"/>
  <c r="H226" i="1" s="1"/>
  <c r="G226" i="1"/>
  <c r="G29" i="1"/>
  <c r="H28" i="1"/>
  <c r="G66" i="1"/>
  <c r="C67" i="1"/>
  <c r="D66" i="1"/>
  <c r="E66" i="1" s="1"/>
  <c r="H66" i="1" s="1"/>
  <c r="G153" i="1"/>
  <c r="D153" i="1"/>
  <c r="C154" i="1"/>
  <c r="K151" i="1"/>
  <c r="E150" i="1"/>
  <c r="H150" i="1" s="1"/>
  <c r="C155" i="1" l="1"/>
  <c r="G154" i="1"/>
  <c r="D154" i="1"/>
  <c r="C68" i="1"/>
  <c r="G67" i="1"/>
  <c r="D67" i="1"/>
  <c r="E67" i="1" s="1"/>
  <c r="H67" i="1" s="1"/>
  <c r="K152" i="1"/>
  <c r="E151" i="1"/>
  <c r="H151" i="1" s="1"/>
  <c r="H29" i="1"/>
  <c r="G30" i="1"/>
  <c r="G227" i="1"/>
  <c r="C228" i="1"/>
  <c r="D227" i="1"/>
  <c r="E227" i="1" s="1"/>
  <c r="H227" i="1" s="1"/>
  <c r="C69" i="1" l="1"/>
  <c r="G68" i="1"/>
  <c r="D68" i="1"/>
  <c r="E68" i="1" s="1"/>
  <c r="H68" i="1" s="1"/>
  <c r="G31" i="1"/>
  <c r="H30" i="1"/>
  <c r="K153" i="1"/>
  <c r="E152" i="1"/>
  <c r="H152" i="1" s="1"/>
  <c r="G228" i="1"/>
  <c r="C229" i="1"/>
  <c r="D228" i="1"/>
  <c r="E228" i="1" s="1"/>
  <c r="H228" i="1" s="1"/>
  <c r="C156" i="1"/>
  <c r="G155" i="1"/>
  <c r="D155" i="1"/>
  <c r="C157" i="1" l="1"/>
  <c r="D156" i="1"/>
  <c r="G156" i="1"/>
  <c r="D229" i="1"/>
  <c r="E229" i="1" s="1"/>
  <c r="H229" i="1" s="1"/>
  <c r="G229" i="1"/>
  <c r="C230" i="1"/>
  <c r="K154" i="1"/>
  <c r="E153" i="1"/>
  <c r="H153" i="1" s="1"/>
  <c r="G32" i="1"/>
  <c r="H32" i="1" s="1"/>
  <c r="H31" i="1"/>
  <c r="G69" i="1"/>
  <c r="C70" i="1"/>
  <c r="D69" i="1"/>
  <c r="E69" i="1" s="1"/>
  <c r="H69" i="1" s="1"/>
  <c r="K155" i="1" l="1"/>
  <c r="E154" i="1"/>
  <c r="H154" i="1" s="1"/>
  <c r="C231" i="1"/>
  <c r="G230" i="1"/>
  <c r="D230" i="1"/>
  <c r="E230" i="1" s="1"/>
  <c r="H230" i="1" s="1"/>
  <c r="C71" i="1"/>
  <c r="G70" i="1"/>
  <c r="D70" i="1"/>
  <c r="E70" i="1" s="1"/>
  <c r="H70" i="1" s="1"/>
  <c r="C158" i="1"/>
  <c r="G157" i="1"/>
  <c r="D157" i="1"/>
  <c r="C72" i="1" l="1"/>
  <c r="G71" i="1"/>
  <c r="D71" i="1"/>
  <c r="E71" i="1" s="1"/>
  <c r="H71" i="1" s="1"/>
  <c r="C159" i="1"/>
  <c r="G158" i="1"/>
  <c r="D158" i="1"/>
  <c r="K156" i="1"/>
  <c r="E155" i="1"/>
  <c r="H155" i="1" s="1"/>
  <c r="C232" i="1"/>
  <c r="D231" i="1"/>
  <c r="E231" i="1" s="1"/>
  <c r="H231" i="1" s="1"/>
  <c r="G231" i="1"/>
  <c r="K157" i="1" l="1"/>
  <c r="E156" i="1"/>
  <c r="H156" i="1" s="1"/>
  <c r="G232" i="1"/>
  <c r="D232" i="1"/>
  <c r="E232" i="1" s="1"/>
  <c r="H232" i="1" s="1"/>
  <c r="C233" i="1"/>
  <c r="C73" i="1"/>
  <c r="G72" i="1"/>
  <c r="D72" i="1"/>
  <c r="E72" i="1" s="1"/>
  <c r="H72" i="1" s="1"/>
  <c r="C160" i="1"/>
  <c r="G159" i="1"/>
  <c r="D159" i="1"/>
  <c r="C161" i="1" l="1"/>
  <c r="D160" i="1"/>
  <c r="G160" i="1"/>
  <c r="G73" i="1"/>
  <c r="C74" i="1"/>
  <c r="D73" i="1"/>
  <c r="E73" i="1" s="1"/>
  <c r="H73" i="1" s="1"/>
  <c r="C234" i="1"/>
  <c r="D233" i="1"/>
  <c r="E233" i="1" s="1"/>
  <c r="H233" i="1" s="1"/>
  <c r="G233" i="1"/>
  <c r="K158" i="1"/>
  <c r="E157" i="1"/>
  <c r="H157" i="1" s="1"/>
  <c r="G74" i="1" l="1"/>
  <c r="C75" i="1"/>
  <c r="D74" i="1"/>
  <c r="E74" i="1" s="1"/>
  <c r="H74" i="1" s="1"/>
  <c r="G161" i="1"/>
  <c r="D161" i="1"/>
  <c r="C162" i="1"/>
  <c r="G234" i="1"/>
  <c r="C235" i="1"/>
  <c r="D234" i="1"/>
  <c r="E234" i="1" s="1"/>
  <c r="H234" i="1" s="1"/>
  <c r="K159" i="1"/>
  <c r="E158" i="1"/>
  <c r="H158" i="1" s="1"/>
  <c r="K160" i="1" l="1"/>
  <c r="E159" i="1"/>
  <c r="H159" i="1" s="1"/>
  <c r="C163" i="1"/>
  <c r="D162" i="1"/>
  <c r="G162" i="1"/>
  <c r="C76" i="1"/>
  <c r="G75" i="1"/>
  <c r="D75" i="1"/>
  <c r="E75" i="1" s="1"/>
  <c r="H75" i="1" s="1"/>
  <c r="C236" i="1"/>
  <c r="D235" i="1"/>
  <c r="E235" i="1" s="1"/>
  <c r="H235" i="1" s="1"/>
  <c r="G235" i="1"/>
  <c r="G163" i="1" l="1"/>
  <c r="D163" i="1"/>
  <c r="C164" i="1"/>
  <c r="C77" i="1"/>
  <c r="G76" i="1"/>
  <c r="D76" i="1"/>
  <c r="E76" i="1" s="1"/>
  <c r="H76" i="1" s="1"/>
  <c r="G236" i="1"/>
  <c r="D236" i="1"/>
  <c r="E236" i="1" s="1"/>
  <c r="H236" i="1" s="1"/>
  <c r="C237" i="1"/>
  <c r="K161" i="1"/>
  <c r="E160" i="1"/>
  <c r="H160" i="1" s="1"/>
  <c r="K162" i="1" l="1"/>
  <c r="E161" i="1"/>
  <c r="H161" i="1" s="1"/>
  <c r="C238" i="1"/>
  <c r="D237" i="1"/>
  <c r="E237" i="1" s="1"/>
  <c r="H237" i="1" s="1"/>
  <c r="G237" i="1"/>
  <c r="C165" i="1"/>
  <c r="D164" i="1"/>
  <c r="G164" i="1"/>
  <c r="G77" i="1"/>
  <c r="C78" i="1"/>
  <c r="D77" i="1"/>
  <c r="E77" i="1" s="1"/>
  <c r="H77" i="1" s="1"/>
  <c r="K163" i="1" l="1"/>
  <c r="E162" i="1"/>
  <c r="H162" i="1" s="1"/>
  <c r="G238" i="1"/>
  <c r="C239" i="1"/>
  <c r="D238" i="1"/>
  <c r="E238" i="1" s="1"/>
  <c r="H238" i="1" s="1"/>
  <c r="C79" i="1"/>
  <c r="G78" i="1"/>
  <c r="D78" i="1"/>
  <c r="E78" i="1" s="1"/>
  <c r="H78" i="1" s="1"/>
  <c r="G165" i="1"/>
  <c r="D165" i="1"/>
  <c r="C166" i="1"/>
  <c r="C167" i="1" l="1"/>
  <c r="G166" i="1"/>
  <c r="D166" i="1"/>
  <c r="G79" i="1"/>
  <c r="C80" i="1"/>
  <c r="D79" i="1"/>
  <c r="E79" i="1" s="1"/>
  <c r="H79" i="1" s="1"/>
  <c r="C240" i="1"/>
  <c r="D239" i="1"/>
  <c r="E239" i="1" s="1"/>
  <c r="H239" i="1" s="1"/>
  <c r="G239" i="1"/>
  <c r="K164" i="1"/>
  <c r="E163" i="1"/>
  <c r="H163" i="1" s="1"/>
  <c r="C81" i="1" l="1"/>
  <c r="G80" i="1"/>
  <c r="D80" i="1"/>
  <c r="E80" i="1" s="1"/>
  <c r="H80" i="1" s="1"/>
  <c r="G240" i="1"/>
  <c r="C241" i="1"/>
  <c r="D240" i="1"/>
  <c r="E240" i="1" s="1"/>
  <c r="H240" i="1" s="1"/>
  <c r="K165" i="1"/>
  <c r="E164" i="1"/>
  <c r="H164" i="1" s="1"/>
  <c r="D167" i="1"/>
  <c r="C168" i="1"/>
  <c r="G167" i="1"/>
  <c r="K166" i="1" l="1"/>
  <c r="E165" i="1"/>
  <c r="H165" i="1" s="1"/>
  <c r="C242" i="1"/>
  <c r="D241" i="1"/>
  <c r="E241" i="1" s="1"/>
  <c r="H241" i="1" s="1"/>
  <c r="G241" i="1"/>
  <c r="C82" i="1"/>
  <c r="G81" i="1"/>
  <c r="D81" i="1"/>
  <c r="E81" i="1" s="1"/>
  <c r="H81" i="1" s="1"/>
  <c r="C169" i="1"/>
  <c r="D168" i="1"/>
  <c r="G168" i="1"/>
  <c r="G242" i="1" l="1"/>
  <c r="C243" i="1"/>
  <c r="D242" i="1"/>
  <c r="E242" i="1" s="1"/>
  <c r="H242" i="1" s="1"/>
  <c r="G82" i="1"/>
  <c r="C83" i="1"/>
  <c r="D82" i="1"/>
  <c r="E82" i="1" s="1"/>
  <c r="H82" i="1" s="1"/>
  <c r="G169" i="1"/>
  <c r="D169" i="1"/>
  <c r="C170" i="1"/>
  <c r="K167" i="1"/>
  <c r="E166" i="1"/>
  <c r="H166" i="1" s="1"/>
  <c r="K168" i="1" l="1"/>
  <c r="E167" i="1"/>
  <c r="H167" i="1" s="1"/>
  <c r="D170" i="1"/>
  <c r="G170" i="1"/>
  <c r="C171" i="1"/>
  <c r="C84" i="1"/>
  <c r="G83" i="1"/>
  <c r="D83" i="1"/>
  <c r="E83" i="1" s="1"/>
  <c r="H83" i="1" s="1"/>
  <c r="C244" i="1"/>
  <c r="D243" i="1"/>
  <c r="E243" i="1" s="1"/>
  <c r="H243" i="1" s="1"/>
  <c r="G243" i="1"/>
  <c r="G244" i="1" l="1"/>
  <c r="D244" i="1"/>
  <c r="E244" i="1" s="1"/>
  <c r="H244" i="1" s="1"/>
  <c r="C245" i="1"/>
  <c r="K169" i="1"/>
  <c r="E168" i="1"/>
  <c r="H168" i="1" s="1"/>
  <c r="D171" i="1"/>
  <c r="C172" i="1"/>
  <c r="G171" i="1"/>
  <c r="C85" i="1"/>
  <c r="G84" i="1"/>
  <c r="D84" i="1"/>
  <c r="E84" i="1" s="1"/>
  <c r="H84" i="1" s="1"/>
  <c r="K170" i="1" l="1"/>
  <c r="E169" i="1"/>
  <c r="H169" i="1" s="1"/>
  <c r="C173" i="1"/>
  <c r="D172" i="1"/>
  <c r="G172" i="1"/>
  <c r="C246" i="1"/>
  <c r="D245" i="1"/>
  <c r="E245" i="1" s="1"/>
  <c r="H245" i="1" s="1"/>
  <c r="G245" i="1"/>
  <c r="G85" i="1"/>
  <c r="C86" i="1"/>
  <c r="D85" i="1"/>
  <c r="E85" i="1" s="1"/>
  <c r="H85" i="1" s="1"/>
  <c r="G173" i="1" l="1"/>
  <c r="C174" i="1"/>
  <c r="D173" i="1"/>
  <c r="G86" i="1"/>
  <c r="C87" i="1"/>
  <c r="D86" i="1"/>
  <c r="E86" i="1" s="1"/>
  <c r="H86" i="1" s="1"/>
  <c r="G246" i="1"/>
  <c r="C247" i="1"/>
  <c r="D246" i="1"/>
  <c r="E246" i="1" s="1"/>
  <c r="H246" i="1" s="1"/>
  <c r="K171" i="1"/>
  <c r="E170" i="1"/>
  <c r="H170" i="1" s="1"/>
  <c r="C175" i="1" l="1"/>
  <c r="G174" i="1"/>
  <c r="D174" i="1"/>
  <c r="C248" i="1"/>
  <c r="D247" i="1"/>
  <c r="E247" i="1" s="1"/>
  <c r="H247" i="1" s="1"/>
  <c r="G247" i="1"/>
  <c r="K172" i="1"/>
  <c r="E171" i="1"/>
  <c r="H171" i="1" s="1"/>
  <c r="G87" i="1"/>
  <c r="C88" i="1"/>
  <c r="D87" i="1"/>
  <c r="E87" i="1" s="1"/>
  <c r="H87" i="1" s="1"/>
  <c r="K173" i="1" l="1"/>
  <c r="E172" i="1"/>
  <c r="H172" i="1" s="1"/>
  <c r="C89" i="1"/>
  <c r="G88" i="1"/>
  <c r="D88" i="1"/>
  <c r="E88" i="1" s="1"/>
  <c r="H88" i="1" s="1"/>
  <c r="C176" i="1"/>
  <c r="D175" i="1"/>
  <c r="G175" i="1"/>
  <c r="G248" i="1"/>
  <c r="C249" i="1"/>
  <c r="D248" i="1"/>
  <c r="E248" i="1" s="1"/>
  <c r="H248" i="1" s="1"/>
  <c r="C250" i="1" l="1"/>
  <c r="D249" i="1"/>
  <c r="E249" i="1" s="1"/>
  <c r="H249" i="1" s="1"/>
  <c r="G249" i="1"/>
  <c r="G89" i="1"/>
  <c r="C90" i="1"/>
  <c r="D89" i="1"/>
  <c r="E89" i="1" s="1"/>
  <c r="H89" i="1" s="1"/>
  <c r="C177" i="1"/>
  <c r="D176" i="1"/>
  <c r="G176" i="1"/>
  <c r="K174" i="1"/>
  <c r="E173" i="1"/>
  <c r="H173" i="1" s="1"/>
  <c r="G177" i="1" l="1"/>
  <c r="C178" i="1"/>
  <c r="D177" i="1"/>
  <c r="G90" i="1"/>
  <c r="C91" i="1"/>
  <c r="D90" i="1"/>
  <c r="E90" i="1" s="1"/>
  <c r="H90" i="1" s="1"/>
  <c r="K175" i="1"/>
  <c r="E174" i="1"/>
  <c r="H174" i="1" s="1"/>
  <c r="G250" i="1"/>
  <c r="C251" i="1"/>
  <c r="D250" i="1"/>
  <c r="E250" i="1" s="1"/>
  <c r="H250" i="1" s="1"/>
  <c r="D178" i="1" l="1"/>
  <c r="G178" i="1"/>
  <c r="C179" i="1"/>
  <c r="C252" i="1"/>
  <c r="D251" i="1"/>
  <c r="E251" i="1" s="1"/>
  <c r="H251" i="1" s="1"/>
  <c r="G251" i="1"/>
  <c r="K176" i="1"/>
  <c r="E175" i="1"/>
  <c r="H175" i="1" s="1"/>
  <c r="C92" i="1"/>
  <c r="G91" i="1"/>
  <c r="D91" i="1"/>
  <c r="E91" i="1" s="1"/>
  <c r="H91" i="1" s="1"/>
  <c r="K177" i="1" l="1"/>
  <c r="E176" i="1"/>
  <c r="H176" i="1" s="1"/>
  <c r="G179" i="1"/>
  <c r="C180" i="1"/>
  <c r="D179" i="1"/>
  <c r="C93" i="1"/>
  <c r="G92" i="1"/>
  <c r="D92" i="1"/>
  <c r="E92" i="1" s="1"/>
  <c r="H92" i="1" s="1"/>
  <c r="G252" i="1"/>
  <c r="D252" i="1"/>
  <c r="E252" i="1" s="1"/>
  <c r="H252" i="1" s="1"/>
  <c r="C253" i="1"/>
  <c r="C181" i="1" l="1"/>
  <c r="D180" i="1"/>
  <c r="G180" i="1"/>
  <c r="C94" i="1"/>
  <c r="G93" i="1"/>
  <c r="D93" i="1"/>
  <c r="E93" i="1" s="1"/>
  <c r="H93" i="1" s="1"/>
  <c r="C254" i="1"/>
  <c r="D253" i="1"/>
  <c r="E253" i="1" s="1"/>
  <c r="H253" i="1" s="1"/>
  <c r="G253" i="1"/>
  <c r="K178" i="1"/>
  <c r="E177" i="1"/>
  <c r="H177" i="1" s="1"/>
  <c r="G181" i="1" l="1"/>
  <c r="D181" i="1"/>
  <c r="C182" i="1"/>
  <c r="C95" i="1"/>
  <c r="G94" i="1"/>
  <c r="D94" i="1"/>
  <c r="E94" i="1" s="1"/>
  <c r="H94" i="1" s="1"/>
  <c r="K179" i="1"/>
  <c r="E178" i="1"/>
  <c r="H178" i="1" s="1"/>
  <c r="G254" i="1"/>
  <c r="C255" i="1"/>
  <c r="D254" i="1"/>
  <c r="E254" i="1" s="1"/>
  <c r="H254" i="1" s="1"/>
  <c r="K180" i="1" l="1"/>
  <c r="E179" i="1"/>
  <c r="H179" i="1" s="1"/>
  <c r="D182" i="1"/>
  <c r="G182" i="1"/>
  <c r="C183" i="1"/>
  <c r="C256" i="1"/>
  <c r="D255" i="1"/>
  <c r="E255" i="1" s="1"/>
  <c r="H255" i="1" s="1"/>
  <c r="G255" i="1"/>
  <c r="G95" i="1"/>
  <c r="C96" i="1"/>
  <c r="D95" i="1"/>
  <c r="E95" i="1" s="1"/>
  <c r="H95" i="1" s="1"/>
  <c r="G96" i="1" l="1"/>
  <c r="C97" i="1"/>
  <c r="D96" i="1"/>
  <c r="E96" i="1" s="1"/>
  <c r="H96" i="1" s="1"/>
  <c r="G256" i="1"/>
  <c r="C257" i="1"/>
  <c r="D256" i="1"/>
  <c r="E256" i="1" s="1"/>
  <c r="H256" i="1" s="1"/>
  <c r="D183" i="1"/>
  <c r="C184" i="1"/>
  <c r="G183" i="1"/>
  <c r="K181" i="1"/>
  <c r="E180" i="1"/>
  <c r="H180" i="1" s="1"/>
  <c r="C185" i="1" l="1"/>
  <c r="D184" i="1"/>
  <c r="G184" i="1"/>
  <c r="K182" i="1"/>
  <c r="E181" i="1"/>
  <c r="H181" i="1" s="1"/>
  <c r="C258" i="1"/>
  <c r="D257" i="1"/>
  <c r="E257" i="1" s="1"/>
  <c r="H257" i="1" s="1"/>
  <c r="G257" i="1"/>
  <c r="G97" i="1"/>
  <c r="C98" i="1"/>
  <c r="D97" i="1"/>
  <c r="E97" i="1" s="1"/>
  <c r="H97" i="1" s="1"/>
  <c r="G98" i="1" l="1"/>
  <c r="C99" i="1"/>
  <c r="D98" i="1"/>
  <c r="E98" i="1" s="1"/>
  <c r="H98" i="1" s="1"/>
  <c r="G258" i="1"/>
  <c r="D258" i="1"/>
  <c r="E258" i="1" s="1"/>
  <c r="H258" i="1" s="1"/>
  <c r="C259" i="1"/>
  <c r="K183" i="1"/>
  <c r="E182" i="1"/>
  <c r="H182" i="1" s="1"/>
  <c r="G185" i="1"/>
  <c r="C186" i="1"/>
  <c r="D185" i="1"/>
  <c r="D186" i="1" l="1"/>
  <c r="G186" i="1"/>
  <c r="C187" i="1"/>
  <c r="C260" i="1"/>
  <c r="D259" i="1"/>
  <c r="E259" i="1" s="1"/>
  <c r="H259" i="1" s="1"/>
  <c r="G259" i="1"/>
  <c r="C100" i="1"/>
  <c r="G99" i="1"/>
  <c r="D99" i="1"/>
  <c r="E99" i="1" s="1"/>
  <c r="H99" i="1" s="1"/>
  <c r="K184" i="1"/>
  <c r="E183" i="1"/>
  <c r="H183" i="1" s="1"/>
  <c r="C101" i="1" l="1"/>
  <c r="G100" i="1"/>
  <c r="D100" i="1"/>
  <c r="E100" i="1" s="1"/>
  <c r="H100" i="1" s="1"/>
  <c r="K185" i="1"/>
  <c r="E184" i="1"/>
  <c r="H184" i="1" s="1"/>
  <c r="D187" i="1"/>
  <c r="G187" i="1"/>
  <c r="C188" i="1"/>
  <c r="G260" i="1"/>
  <c r="D260" i="1"/>
  <c r="E260" i="1" s="1"/>
  <c r="H260" i="1" s="1"/>
  <c r="C261" i="1"/>
  <c r="C262" i="1" l="1"/>
  <c r="D261" i="1"/>
  <c r="E261" i="1" s="1"/>
  <c r="H261" i="1" s="1"/>
  <c r="G261" i="1"/>
  <c r="K186" i="1"/>
  <c r="E185" i="1"/>
  <c r="H185" i="1" s="1"/>
  <c r="C189" i="1"/>
  <c r="D188" i="1"/>
  <c r="G188" i="1"/>
  <c r="G101" i="1"/>
  <c r="C102" i="1"/>
  <c r="D101" i="1"/>
  <c r="E101" i="1" s="1"/>
  <c r="H101" i="1" s="1"/>
  <c r="C103" i="1" l="1"/>
  <c r="G102" i="1"/>
  <c r="D102" i="1"/>
  <c r="E102" i="1" s="1"/>
  <c r="H102" i="1" s="1"/>
  <c r="G189" i="1"/>
  <c r="C190" i="1"/>
  <c r="D189" i="1"/>
  <c r="G262" i="1"/>
  <c r="C263" i="1"/>
  <c r="D262" i="1"/>
  <c r="E262" i="1" s="1"/>
  <c r="H262" i="1" s="1"/>
  <c r="K187" i="1"/>
  <c r="E186" i="1"/>
  <c r="H186" i="1" s="1"/>
  <c r="C191" i="1" l="1"/>
  <c r="G190" i="1"/>
  <c r="D190" i="1"/>
  <c r="C104" i="1"/>
  <c r="G103" i="1"/>
  <c r="D103" i="1"/>
  <c r="E103" i="1" s="1"/>
  <c r="H103" i="1" s="1"/>
  <c r="K188" i="1"/>
  <c r="E187" i="1"/>
  <c r="H187" i="1" s="1"/>
  <c r="C264" i="1"/>
  <c r="D263" i="1"/>
  <c r="E263" i="1" s="1"/>
  <c r="H263" i="1" s="1"/>
  <c r="G263" i="1"/>
  <c r="K189" i="1" l="1"/>
  <c r="E188" i="1"/>
  <c r="H188" i="1" s="1"/>
  <c r="G264" i="1"/>
  <c r="C265" i="1"/>
  <c r="D264" i="1"/>
  <c r="E264" i="1" s="1"/>
  <c r="H264" i="1" s="1"/>
  <c r="C192" i="1"/>
  <c r="G191" i="1"/>
  <c r="D191" i="1"/>
  <c r="C105" i="1"/>
  <c r="G104" i="1"/>
  <c r="D104" i="1"/>
  <c r="E104" i="1" s="1"/>
  <c r="H104" i="1" s="1"/>
  <c r="C266" i="1" l="1"/>
  <c r="D265" i="1"/>
  <c r="E265" i="1" s="1"/>
  <c r="H265" i="1" s="1"/>
  <c r="G265" i="1"/>
  <c r="G105" i="1"/>
  <c r="C106" i="1"/>
  <c r="D105" i="1"/>
  <c r="E105" i="1" s="1"/>
  <c r="H105" i="1" s="1"/>
  <c r="C193" i="1"/>
  <c r="D192" i="1"/>
  <c r="G192" i="1"/>
  <c r="K190" i="1"/>
  <c r="E189" i="1"/>
  <c r="H189" i="1" s="1"/>
  <c r="K191" i="1" l="1"/>
  <c r="E190" i="1"/>
  <c r="H190" i="1" s="1"/>
  <c r="G193" i="1"/>
  <c r="D193" i="1"/>
  <c r="C194" i="1"/>
  <c r="G106" i="1"/>
  <c r="C107" i="1"/>
  <c r="D106" i="1"/>
  <c r="E106" i="1" s="1"/>
  <c r="H106" i="1" s="1"/>
  <c r="G266" i="1"/>
  <c r="C267" i="1"/>
  <c r="D266" i="1"/>
  <c r="E266" i="1" s="1"/>
  <c r="H266" i="1" s="1"/>
  <c r="C108" i="1" l="1"/>
  <c r="G107" i="1"/>
  <c r="D107" i="1"/>
  <c r="E107" i="1" s="1"/>
  <c r="H107" i="1" s="1"/>
  <c r="C268" i="1"/>
  <c r="D267" i="1"/>
  <c r="E267" i="1" s="1"/>
  <c r="H267" i="1" s="1"/>
  <c r="G267" i="1"/>
  <c r="D194" i="1"/>
  <c r="G194" i="1"/>
  <c r="C195" i="1"/>
  <c r="K192" i="1"/>
  <c r="E191" i="1"/>
  <c r="H191" i="1" s="1"/>
  <c r="G268" i="1" l="1"/>
  <c r="D268" i="1"/>
  <c r="E268" i="1" s="1"/>
  <c r="H268" i="1" s="1"/>
  <c r="C269" i="1"/>
  <c r="K193" i="1"/>
  <c r="E192" i="1"/>
  <c r="H192" i="1" s="1"/>
  <c r="G195" i="1"/>
  <c r="C196" i="1"/>
  <c r="D195" i="1"/>
  <c r="C109" i="1"/>
  <c r="G108" i="1"/>
  <c r="D108" i="1"/>
  <c r="E108" i="1" s="1"/>
  <c r="H108" i="1" s="1"/>
  <c r="C270" i="1" l="1"/>
  <c r="D269" i="1"/>
  <c r="E269" i="1" s="1"/>
  <c r="H269" i="1" s="1"/>
  <c r="G269" i="1"/>
  <c r="G109" i="1"/>
  <c r="C110" i="1"/>
  <c r="D109" i="1"/>
  <c r="E109" i="1" s="1"/>
  <c r="H109" i="1" s="1"/>
  <c r="C197" i="1"/>
  <c r="D196" i="1"/>
  <c r="G196" i="1"/>
  <c r="K194" i="1"/>
  <c r="E193" i="1"/>
  <c r="H193" i="1" s="1"/>
  <c r="G197" i="1" l="1"/>
  <c r="D197" i="1"/>
  <c r="C198" i="1"/>
  <c r="K195" i="1"/>
  <c r="E194" i="1"/>
  <c r="H194" i="1" s="1"/>
  <c r="C111" i="1"/>
  <c r="G110" i="1"/>
  <c r="D110" i="1"/>
  <c r="E110" i="1" s="1"/>
  <c r="H110" i="1" s="1"/>
  <c r="G270" i="1"/>
  <c r="C271" i="1"/>
  <c r="D270" i="1"/>
  <c r="E270" i="1" s="1"/>
  <c r="H270" i="1" s="1"/>
  <c r="C272" i="1" l="1"/>
  <c r="D271" i="1"/>
  <c r="E271" i="1" s="1"/>
  <c r="H271" i="1" s="1"/>
  <c r="G271" i="1"/>
  <c r="G111" i="1"/>
  <c r="C112" i="1"/>
  <c r="D111" i="1"/>
  <c r="E111" i="1" s="1"/>
  <c r="H111" i="1" s="1"/>
  <c r="D198" i="1"/>
  <c r="G198" i="1"/>
  <c r="C199" i="1"/>
  <c r="K196" i="1"/>
  <c r="E195" i="1"/>
  <c r="H195" i="1" s="1"/>
  <c r="K197" i="1" l="1"/>
  <c r="E196" i="1"/>
  <c r="H196" i="1" s="1"/>
  <c r="C200" i="1"/>
  <c r="G199" i="1"/>
  <c r="D199" i="1"/>
  <c r="C113" i="1"/>
  <c r="G112" i="1"/>
  <c r="D112" i="1"/>
  <c r="E112" i="1" s="1"/>
  <c r="H112" i="1" s="1"/>
  <c r="G272" i="1"/>
  <c r="C273" i="1"/>
  <c r="D272" i="1"/>
  <c r="E272" i="1" s="1"/>
  <c r="H272" i="1" s="1"/>
  <c r="C274" i="1" l="1"/>
  <c r="D273" i="1"/>
  <c r="E273" i="1" s="1"/>
  <c r="H273" i="1" s="1"/>
  <c r="G273" i="1"/>
  <c r="C114" i="1"/>
  <c r="G113" i="1"/>
  <c r="D113" i="1"/>
  <c r="E113" i="1" s="1"/>
  <c r="H113" i="1" s="1"/>
  <c r="C201" i="1"/>
  <c r="D200" i="1"/>
  <c r="G200" i="1"/>
  <c r="K198" i="1"/>
  <c r="E197" i="1"/>
  <c r="H197" i="1" s="1"/>
  <c r="G201" i="1" l="1"/>
  <c r="D201" i="1"/>
  <c r="K199" i="1"/>
  <c r="E198" i="1"/>
  <c r="H198" i="1" s="1"/>
  <c r="G114" i="1"/>
  <c r="C115" i="1"/>
  <c r="D114" i="1"/>
  <c r="E114" i="1" s="1"/>
  <c r="H114" i="1" s="1"/>
  <c r="G274" i="1"/>
  <c r="C275" i="1"/>
  <c r="D274" i="1"/>
  <c r="E274" i="1" s="1"/>
  <c r="H274" i="1" s="1"/>
  <c r="C276" i="1" l="1"/>
  <c r="D275" i="1"/>
  <c r="E275" i="1" s="1"/>
  <c r="H275" i="1" s="1"/>
  <c r="G275" i="1"/>
  <c r="C116" i="1"/>
  <c r="G115" i="1"/>
  <c r="D115" i="1"/>
  <c r="E115" i="1" s="1"/>
  <c r="H115" i="1" s="1"/>
  <c r="K200" i="1"/>
  <c r="E199" i="1"/>
  <c r="H199" i="1" s="1"/>
  <c r="K201" i="1" l="1"/>
  <c r="E201" i="1" s="1"/>
  <c r="H201" i="1" s="1"/>
  <c r="E200" i="1"/>
  <c r="H200" i="1" s="1"/>
  <c r="C117" i="1"/>
  <c r="G116" i="1"/>
  <c r="D116" i="1"/>
  <c r="E116" i="1" s="1"/>
  <c r="H116" i="1" s="1"/>
  <c r="G276" i="1"/>
  <c r="D276" i="1"/>
  <c r="E276" i="1" s="1"/>
  <c r="H276" i="1" s="1"/>
  <c r="G117" i="1" l="1"/>
  <c r="C118" i="1"/>
  <c r="D117" i="1"/>
  <c r="E117" i="1" s="1"/>
  <c r="H117" i="1" s="1"/>
  <c r="C119" i="1" l="1"/>
  <c r="G118" i="1"/>
  <c r="D118" i="1"/>
  <c r="E118" i="1" s="1"/>
  <c r="H118" i="1" s="1"/>
  <c r="G119" i="1" l="1"/>
  <c r="C120" i="1"/>
  <c r="D119" i="1"/>
  <c r="E119" i="1" s="1"/>
  <c r="H119" i="1" s="1"/>
  <c r="C121" i="1" l="1"/>
  <c r="G120" i="1"/>
  <c r="D120" i="1"/>
  <c r="E120" i="1" s="1"/>
  <c r="H120" i="1" s="1"/>
  <c r="G121" i="1" l="1"/>
  <c r="C122" i="1"/>
  <c r="D121" i="1"/>
  <c r="E121" i="1" s="1"/>
  <c r="H121" i="1" s="1"/>
  <c r="G122" i="1" l="1"/>
  <c r="C123" i="1"/>
  <c r="D122" i="1"/>
  <c r="E122" i="1" s="1"/>
  <c r="H122" i="1" s="1"/>
  <c r="C124" i="1" l="1"/>
  <c r="G123" i="1"/>
  <c r="D123" i="1"/>
  <c r="E123" i="1" s="1"/>
  <c r="H123" i="1" s="1"/>
  <c r="G124" i="1" l="1"/>
  <c r="D124" i="1"/>
  <c r="E124" i="1" s="1"/>
  <c r="H124" i="1" s="1"/>
</calcChain>
</file>

<file path=xl/sharedStrings.xml><?xml version="1.0" encoding="utf-8"?>
<sst xmlns="http://schemas.openxmlformats.org/spreadsheetml/2006/main" count="525" uniqueCount="175">
  <si>
    <t>Public Service Company of New Mexico</t>
  </si>
  <si>
    <t>Schedule 1C - Settlement Adjustments</t>
  </si>
  <si>
    <t>Transmission Plant</t>
  </si>
  <si>
    <t>Depreciation, calc at avg. rate</t>
  </si>
  <si>
    <t>Depreciation, per new study</t>
  </si>
  <si>
    <t>Change in Depreciation</t>
  </si>
  <si>
    <t>Change in Gross Plant</t>
  </si>
  <si>
    <t>Change in Accumulated Depreciation</t>
  </si>
  <si>
    <t>Impact to ADIT balances</t>
  </si>
  <si>
    <t>Gross Plant</t>
  </si>
  <si>
    <t>Increase / (Decrease)</t>
  </si>
  <si>
    <t>AFUDC Accrual on CWIP per ER11-1915</t>
  </si>
  <si>
    <t>CWIP in Rate Base as of June 1, 2011</t>
  </si>
  <si>
    <t>AFUDC Debt (Based on average AFUDC rate from 6/1/11-8/1/13)</t>
  </si>
  <si>
    <t>AFUDC Equity (Based on average AFUDC rate from 6/1/11-8/1/13)</t>
  </si>
  <si>
    <t>Additional AFUDC Debt, excluded per ER11-1915</t>
  </si>
  <si>
    <t>Additional AFUDC Equity, excluded per ER11-1915</t>
  </si>
  <si>
    <t>Total Adjustment Amount</t>
  </si>
  <si>
    <t>Annual Depreciation Rate</t>
  </si>
  <si>
    <t>Depreciation Expense</t>
  </si>
  <si>
    <t>Accumulated Depreciation Balance</t>
  </si>
  <si>
    <t>Net Plant in Service Balance</t>
  </si>
  <si>
    <t>ADIT Impact on AFUDC adjustment</t>
  </si>
  <si>
    <t>Tax Depreciation Expense</t>
  </si>
  <si>
    <t>Accumulated Tax Depreciation Balance</t>
  </si>
  <si>
    <t>Net Tax Plant Balance</t>
  </si>
  <si>
    <t>PV Commons</t>
  </si>
  <si>
    <t>Substations</t>
  </si>
  <si>
    <t>Schedule 1B - Projected Plant Calculations</t>
  </si>
  <si>
    <t>Note 1:</t>
  </si>
  <si>
    <t>Under "Plant in Service Calculation, Projected" - original cost of plant in service is included in the month the project is projected to be in-service.  These are the projections to be included in year 1, Attachment H-1</t>
  </si>
  <si>
    <t>Plant In Service Calculation, Projected</t>
  </si>
  <si>
    <t>Transmission Plant In Service</t>
  </si>
  <si>
    <t>Month</t>
  </si>
  <si>
    <t>Source</t>
  </si>
  <si>
    <t>Balance</t>
  </si>
  <si>
    <t>Settlement Adjustment</t>
  </si>
  <si>
    <t>Direct Assigned</t>
  </si>
  <si>
    <t>Adjusted Balance</t>
  </si>
  <si>
    <t xml:space="preserve">Actual </t>
  </si>
  <si>
    <t>Adjustment</t>
  </si>
  <si>
    <t>December</t>
  </si>
  <si>
    <t>page 207, line 58, column g</t>
  </si>
  <si>
    <t>January</t>
  </si>
  <si>
    <t>Estimated</t>
  </si>
  <si>
    <t>February</t>
  </si>
  <si>
    <t>March</t>
  </si>
  <si>
    <t>April</t>
  </si>
  <si>
    <t>May</t>
  </si>
  <si>
    <t>June</t>
  </si>
  <si>
    <t>July</t>
  </si>
  <si>
    <t>August</t>
  </si>
  <si>
    <t>September</t>
  </si>
  <si>
    <t>October</t>
  </si>
  <si>
    <t>November</t>
  </si>
  <si>
    <t>Average Transmission Plant In Service</t>
  </si>
  <si>
    <t>line 52, Attachment H-1</t>
  </si>
  <si>
    <t>Note 2:</t>
  </si>
  <si>
    <t>Accumulated Depreciation is estimated based on estimated depreciation expense calculated under "Calculated Depreciation Expense".  Balance is accumulated by summarizing each months of projected depreciation expense.</t>
  </si>
  <si>
    <t>Accumulated Depreciation Calculation, Projected</t>
  </si>
  <si>
    <t>Transmission Accumulated Depreciation</t>
  </si>
  <si>
    <t>page 219, line 25, column b</t>
  </si>
  <si>
    <t>Average Transmission Accumulated Depreciation</t>
  </si>
  <si>
    <t>line 53, Attachment H-1</t>
  </si>
  <si>
    <t>Note 3:</t>
  </si>
  <si>
    <t xml:space="preserve">Under "Accumulated Deferred Income Tax Calculation, projected" the associated ADIT balances are calculated, related to the new projected plant in service.  </t>
  </si>
  <si>
    <t>Accumulated Deferred Income Tax Calculation, Projected</t>
  </si>
  <si>
    <t>Transmission Accumulated Deferred Income Taxes</t>
  </si>
  <si>
    <t>Actual</t>
  </si>
  <si>
    <t>Average Transmission Accumulated Deferred Income Taxes</t>
  </si>
  <si>
    <t>line 54, Attachment H-1</t>
  </si>
  <si>
    <t>Note 4:</t>
  </si>
  <si>
    <t>Under "Calculated Depreciation Expense on Projected Projects" depreciation expense is estimated utilizing the composite transmission depreciation rate.  Depreciation expense is calculated starting on the first month following the month placed in service.</t>
  </si>
  <si>
    <t>Note 5:</t>
  </si>
  <si>
    <t>The composite transmission depreciation rate will be updated upon a new depreciation study performed by PNM, pursuant to protocols discussed in Attachment H-2.</t>
  </si>
  <si>
    <t>Calculated Depreciation Expense on Projected Projects</t>
  </si>
  <si>
    <t>Transmission Depreciation Expense</t>
  </si>
  <si>
    <t>Total Depreciation Expense</t>
  </si>
  <si>
    <t>page 336, line 7, column f</t>
  </si>
  <si>
    <t>line 124, Attachment H-1</t>
  </si>
  <si>
    <t>Composite Depreciation Transmission Rate</t>
  </si>
  <si>
    <t>Attachment H-7</t>
  </si>
  <si>
    <t>Note 6:</t>
  </si>
  <si>
    <t>The "Calculation of Tax Depreciation Expense on Projected Projects" schedule is used to calculate the ADIT balances discussed in Note 3.</t>
  </si>
  <si>
    <t>Calculation of Tax Depreciation Expense on Projected Projects</t>
  </si>
  <si>
    <t>Transmission Tax Depreciation Expense</t>
  </si>
  <si>
    <t>IRS Required Proration</t>
  </si>
  <si>
    <t>Total Tax Depreciation Expense</t>
  </si>
  <si>
    <t>Note 7:</t>
  </si>
  <si>
    <t>In the following section, a true-up calculation will be performed on projected plant from Year 1.  In Year 2, the actual plant in service original cost and in-service date, actual accumulated depreciation, depreciation expense, and ADIT balances will be calculated.</t>
  </si>
  <si>
    <t>In Year 2, under "Plant In Service Calculation, True-Up to Prior year" the actual original cost of plant in service and the actual month placed in service will be included for projects projected in Year 1.</t>
  </si>
  <si>
    <t>These amounts will be compared to amounts included in Year 1 filing.  Any adjustment, will be included in Attachment H-1, line 55 - line 57, and line 124.</t>
  </si>
  <si>
    <t>Plant In Service Calculation, True-Up to Prior Year</t>
  </si>
  <si>
    <t>Project 1</t>
  </si>
  <si>
    <t>Project 3</t>
  </si>
  <si>
    <t>Project 5</t>
  </si>
  <si>
    <t>Project 7</t>
  </si>
  <si>
    <t>Project 9</t>
  </si>
  <si>
    <t>Project 11</t>
  </si>
  <si>
    <t>company records</t>
  </si>
  <si>
    <t>Amount Reflected in Prior Year Formula Rate Schedule</t>
  </si>
  <si>
    <t>See Note 7</t>
  </si>
  <si>
    <t>Adjustment to Current year Formula Rate Schedule</t>
  </si>
  <si>
    <t>line 55, Attachment H-1</t>
  </si>
  <si>
    <t>Accumulated Depreciation Calculation, True-Up to Prior Year</t>
  </si>
  <si>
    <t>line 56, Attachment H-1</t>
  </si>
  <si>
    <t>Accumulated Deferred Income Taxes on Projected Projects, True-Up to Prior Year</t>
  </si>
  <si>
    <t>Total</t>
  </si>
  <si>
    <t>Average Accumulated Deferred Income Taxes</t>
  </si>
  <si>
    <t>line 57, Attachment H-1</t>
  </si>
  <si>
    <t xml:space="preserve"> Depreciation Expense on Projected Projects, True-Up To Prior Year</t>
  </si>
  <si>
    <t>Schedule 2 - Accumulated Deferred Income Taxes</t>
  </si>
  <si>
    <t xml:space="preserve">Note:  ADIT Balances are included in the formula rate based on amounts included in rate base.  ADIT amounts are reconciled to FERC Form No. 1 pages.  </t>
  </si>
  <si>
    <t>FERC Account 190</t>
  </si>
  <si>
    <t>Reference</t>
  </si>
  <si>
    <t>Average</t>
  </si>
  <si>
    <t>Transmission Allocator</t>
  </si>
  <si>
    <t>Transmission Balance</t>
  </si>
  <si>
    <t>Notes</t>
  </si>
  <si>
    <t>Injuries &amp; Damages</t>
  </si>
  <si>
    <t>Page 234 detail, Lines 12, 13, &amp; 21</t>
  </si>
  <si>
    <t>Calculated on amount included in rate base</t>
  </si>
  <si>
    <t>Prepaid Pension</t>
  </si>
  <si>
    <t>Page 234 detail, Line 1</t>
  </si>
  <si>
    <t>Eastern Interconnect Project</t>
  </si>
  <si>
    <t>NA</t>
  </si>
  <si>
    <t>Interest Capitalized for Tax Purposes</t>
  </si>
  <si>
    <t>Page 234 detail, Line 5</t>
  </si>
  <si>
    <t>Allocated on Net Plant</t>
  </si>
  <si>
    <t>Tax Credit Carryforwards to be allocated</t>
  </si>
  <si>
    <t>Company Records</t>
  </si>
  <si>
    <t>Tax Credits related to renewables</t>
  </si>
  <si>
    <t>Tax Credit Carryforwards per Form 1</t>
  </si>
  <si>
    <t>Page 234 detail, Line 30</t>
  </si>
  <si>
    <t>Net Operating Loss Carryforward to be allocated</t>
  </si>
  <si>
    <t>Not Operating Loss related to renewables</t>
  </si>
  <si>
    <t>Net Operating Loss Carryforward per Form 1</t>
  </si>
  <si>
    <t>Page 234 detail, Line 29 less Line 33</t>
  </si>
  <si>
    <t>Non-Transmission related accounts</t>
  </si>
  <si>
    <t>Total Account 190</t>
  </si>
  <si>
    <t>Page 234, Line 8, Columns (b) &amp; (c)</t>
  </si>
  <si>
    <t>FERC Account 281</t>
  </si>
  <si>
    <t>Total Account 281</t>
  </si>
  <si>
    <t>Pages 272 &amp; 273, Line 8, Columns (b) &amp;(k)</t>
  </si>
  <si>
    <t>FERC Account 282</t>
  </si>
  <si>
    <t>Liberalized Depreciation - Transmission</t>
  </si>
  <si>
    <t>FERC Customer Depreciation</t>
  </si>
  <si>
    <t>Debt AFUDC</t>
  </si>
  <si>
    <t>Repair Allowance on pre-1981 assets</t>
  </si>
  <si>
    <t>Total Account 282</t>
  </si>
  <si>
    <t>Pages 274 &amp; 275, Line 9, Columns (b) &amp;(k)</t>
  </si>
  <si>
    <t>Liberalized Depreciation - General &amp; Intangible</t>
  </si>
  <si>
    <t>Allocated based on SS plant allocation</t>
  </si>
  <si>
    <t xml:space="preserve">     (Corporate Allocation)</t>
  </si>
  <si>
    <t>Liberalized Depreciation on Direct Assignment</t>
  </si>
  <si>
    <t>Schedule 13</t>
  </si>
  <si>
    <t>Total Account 282, Corporate Allocation &amp; Direct Assignment</t>
  </si>
  <si>
    <t>Settlement Adjustments</t>
  </si>
  <si>
    <t>Schedule 1C</t>
  </si>
  <si>
    <t>Total Settlement Adjustments</t>
  </si>
  <si>
    <t>FERC Account 283</t>
  </si>
  <si>
    <t>Interest Capitalized for Book Purposes</t>
  </si>
  <si>
    <t>Footnote to Page 276.1, Line 7k</t>
  </si>
  <si>
    <t>Prepaid Expenses</t>
  </si>
  <si>
    <t>Footnote to Page 276.1, Line 7l</t>
  </si>
  <si>
    <t>Allocated on Prepayments</t>
  </si>
  <si>
    <t>Deferred Regulatory Commission Expenses</t>
  </si>
  <si>
    <t>Footnote to Page 276.1, Line 7m</t>
  </si>
  <si>
    <t>Pension Curtailment</t>
  </si>
  <si>
    <t>Footnote to Page 276.1, Line 7b</t>
  </si>
  <si>
    <t>Allocation included in 190 Pension</t>
  </si>
  <si>
    <t>Total Account 283</t>
  </si>
  <si>
    <t>Pages 276 &amp; 277, Line 9, Columns (b) &amp;(k)</t>
  </si>
  <si>
    <t>Total Accumulated Deferred Income Taxes</t>
  </si>
  <si>
    <t>line 65, Attachment H-1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</si>
</sst>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5" tint="0.79998168889431442"/>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3" fillId="0" borderId="0" xfId="0" applyFont="1" applyFill="1"/>
    <xf numFmtId="0" fontId="3" fillId="0" borderId="0" xfId="0" applyFont="1"/>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0" borderId="0" xfId="0" applyFont="1" applyAlignment="1">
      <alignment horizontal="center"/>
    </xf>
    <xf numFmtId="10" fontId="0" fillId="2" borderId="0" xfId="0" applyNumberFormat="1" applyFill="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14" fontId="0" fillId="0" borderId="0" xfId="0" applyNumberFormat="1" applyAlignment="1">
      <alignment horizontal="left"/>
    </xf>
    <xf numFmtId="164" fontId="0" fillId="3" borderId="0" xfId="1" applyNumberFormat="1" applyFont="1" applyFill="1" applyBorder="1"/>
    <xf numFmtId="10" fontId="0" fillId="0" borderId="0" xfId="0" applyNumberFormat="1" applyFill="1" applyAlignment="1">
      <alignment horizontal="center"/>
    </xf>
    <xf numFmtId="10" fontId="0" fillId="0" borderId="0" xfId="0" applyNumberFormat="1" applyFill="1"/>
    <xf numFmtId="0" fontId="0" fillId="0" borderId="4" xfId="0" applyBorder="1"/>
    <xf numFmtId="0" fontId="0" fillId="0" borderId="0" xfId="0" applyBorder="1"/>
    <xf numFmtId="0" fontId="0" fillId="0" borderId="5" xfId="0" applyBorder="1"/>
    <xf numFmtId="164" fontId="0" fillId="0" borderId="0" xfId="1" applyNumberFormat="1" applyFont="1"/>
    <xf numFmtId="164" fontId="0" fillId="0" borderId="0" xfId="0" applyNumberFormat="1"/>
    <xf numFmtId="164" fontId="0" fillId="0" borderId="4" xfId="0" applyNumberFormat="1" applyBorder="1"/>
    <xf numFmtId="164" fontId="0" fillId="0" borderId="0" xfId="0" applyNumberFormat="1" applyBorder="1"/>
    <xf numFmtId="41" fontId="0" fillId="0" borderId="5" xfId="0" applyNumberFormat="1" applyFill="1" applyBorder="1"/>
    <xf numFmtId="164" fontId="1" fillId="3" borderId="0" xfId="1" applyNumberFormat="1" applyFont="1" applyFill="1" applyBorder="1"/>
    <xf numFmtId="164" fontId="0" fillId="4" borderId="4" xfId="0" applyNumberFormat="1" applyFill="1" applyBorder="1"/>
    <xf numFmtId="164" fontId="0" fillId="4" borderId="0" xfId="0" applyNumberFormat="1" applyFill="1" applyBorder="1"/>
    <xf numFmtId="41" fontId="0" fillId="4" borderId="5" xfId="0" applyNumberFormat="1" applyFill="1" applyBorder="1"/>
    <xf numFmtId="164" fontId="0" fillId="0" borderId="6" xfId="0" applyNumberFormat="1" applyBorder="1"/>
    <xf numFmtId="0" fontId="0" fillId="0" borderId="5" xfId="0" applyFill="1" applyBorder="1"/>
    <xf numFmtId="0" fontId="3" fillId="0" borderId="0" xfId="0" applyFont="1" applyAlignment="1">
      <alignment horizontal="right"/>
    </xf>
    <xf numFmtId="164" fontId="0" fillId="0" borderId="0" xfId="1" applyNumberFormat="1" applyFont="1" applyAlignment="1">
      <alignment horizontal="left"/>
    </xf>
    <xf numFmtId="164" fontId="0" fillId="0" borderId="0" xfId="1" applyNumberFormat="1" applyFont="1" applyAlignment="1"/>
    <xf numFmtId="164" fontId="0" fillId="0" borderId="4" xfId="1" applyNumberFormat="1" applyFont="1" applyBorder="1" applyAlignment="1"/>
    <xf numFmtId="164" fontId="0" fillId="0" borderId="5" xfId="0" applyNumberFormat="1" applyBorder="1"/>
    <xf numFmtId="164" fontId="0" fillId="0" borderId="0" xfId="0" applyNumberFormat="1" applyFill="1" applyBorder="1"/>
    <xf numFmtId="165" fontId="0" fillId="0" borderId="0" xfId="2" applyNumberFormat="1" applyFont="1"/>
    <xf numFmtId="10" fontId="0" fillId="0" borderId="0" xfId="3" applyNumberFormat="1" applyFont="1" applyFill="1"/>
    <xf numFmtId="0" fontId="0" fillId="0" borderId="0" xfId="0" applyFill="1"/>
    <xf numFmtId="164" fontId="0" fillId="0" borderId="0" xfId="1" applyNumberFormat="1" applyFont="1" applyFill="1"/>
    <xf numFmtId="164" fontId="0" fillId="0" borderId="2" xfId="1" applyNumberFormat="1" applyFont="1" applyFill="1" applyBorder="1"/>
    <xf numFmtId="10" fontId="0" fillId="0" borderId="0" xfId="0" applyNumberFormat="1"/>
    <xf numFmtId="0" fontId="0" fillId="0" borderId="0" xfId="0" applyAlignment="1">
      <alignment wrapText="1"/>
    </xf>
    <xf numFmtId="0" fontId="3" fillId="0" borderId="0" xfId="0" applyFont="1" applyAlignment="1">
      <alignment horizontal="center" wrapText="1"/>
    </xf>
    <xf numFmtId="0" fontId="3" fillId="0" borderId="7" xfId="0" applyFont="1" applyBorder="1" applyAlignment="1">
      <alignment horizontal="center" wrapText="1"/>
    </xf>
    <xf numFmtId="0" fontId="3" fillId="0" borderId="7" xfId="0" applyFont="1" applyFill="1" applyBorder="1" applyAlignment="1">
      <alignment horizontal="center" wrapText="1"/>
    </xf>
    <xf numFmtId="41" fontId="3" fillId="0" borderId="7" xfId="0" applyNumberFormat="1" applyFont="1" applyFill="1" applyBorder="1" applyAlignment="1">
      <alignment horizontal="center" wrapText="1"/>
    </xf>
    <xf numFmtId="41" fontId="0" fillId="0" borderId="0" xfId="0" applyNumberFormat="1" applyFill="1"/>
    <xf numFmtId="41" fontId="0" fillId="0" borderId="5" xfId="0" applyNumberFormat="1" applyBorder="1"/>
    <xf numFmtId="14" fontId="0" fillId="0" borderId="0" xfId="0" applyNumberFormat="1" applyFill="1" applyAlignment="1">
      <alignment horizontal="left"/>
    </xf>
    <xf numFmtId="164" fontId="0" fillId="0" borderId="0" xfId="0" applyNumberFormat="1" applyFill="1"/>
    <xf numFmtId="164" fontId="0" fillId="0" borderId="4" xfId="0" applyNumberFormat="1" applyFill="1" applyBorder="1"/>
    <xf numFmtId="164" fontId="0" fillId="0" borderId="0" xfId="1" applyNumberFormat="1" applyFont="1" applyFill="1" applyAlignment="1">
      <alignment horizontal="left"/>
    </xf>
    <xf numFmtId="164" fontId="0" fillId="4" borderId="0" xfId="1" applyNumberFormat="1" applyFont="1" applyFill="1" applyAlignment="1">
      <alignment horizontal="left"/>
    </xf>
    <xf numFmtId="164" fontId="0" fillId="4" borderId="0" xfId="0" applyNumberFormat="1" applyFill="1"/>
    <xf numFmtId="43" fontId="0" fillId="0" borderId="0" xfId="1" applyNumberFormat="1" applyFont="1" applyFill="1" applyBorder="1"/>
    <xf numFmtId="0" fontId="0" fillId="0" borderId="0" xfId="0" applyAlignment="1">
      <alignment horizontal="right"/>
    </xf>
    <xf numFmtId="0" fontId="3" fillId="0" borderId="8" xfId="0" applyFont="1" applyBorder="1"/>
    <xf numFmtId="0" fontId="0" fillId="0" borderId="9" xfId="0" applyBorder="1"/>
    <xf numFmtId="164" fontId="0" fillId="0" borderId="9" xfId="1" applyNumberFormat="1" applyFont="1" applyBorder="1"/>
    <xf numFmtId="164" fontId="0" fillId="0" borderId="9" xfId="1" applyNumberFormat="1" applyFont="1" applyFill="1" applyBorder="1"/>
    <xf numFmtId="0" fontId="0" fillId="0" borderId="10" xfId="0" applyBorder="1"/>
    <xf numFmtId="0" fontId="0" fillId="0" borderId="11" xfId="0" applyBorder="1"/>
    <xf numFmtId="0" fontId="3" fillId="0" borderId="0" xfId="0" applyFont="1" applyBorder="1"/>
    <xf numFmtId="164" fontId="0" fillId="0" borderId="0" xfId="1" applyNumberFormat="1" applyFont="1" applyBorder="1"/>
    <xf numFmtId="164" fontId="0" fillId="0" borderId="0" xfId="1" applyNumberFormat="1" applyFont="1" applyFill="1" applyBorder="1"/>
    <xf numFmtId="0" fontId="0" fillId="0" borderId="12" xfId="0" applyBorder="1"/>
    <xf numFmtId="0" fontId="5" fillId="0" borderId="0" xfId="0" applyFont="1" applyBorder="1"/>
    <xf numFmtId="164" fontId="5" fillId="0" borderId="0" xfId="1" applyNumberFormat="1" applyFont="1" applyBorder="1" applyAlignment="1">
      <alignment horizontal="center"/>
    </xf>
    <xf numFmtId="164" fontId="5" fillId="0" borderId="0" xfId="1" applyNumberFormat="1" applyFont="1" applyFill="1" applyBorder="1" applyAlignment="1">
      <alignment horizontal="center"/>
    </xf>
    <xf numFmtId="164" fontId="0" fillId="0" borderId="7" xfId="1" applyNumberFormat="1" applyFont="1" applyFill="1" applyBorder="1"/>
    <xf numFmtId="164" fontId="0" fillId="3" borderId="7" xfId="1" applyNumberFormat="1" applyFont="1" applyFill="1" applyBorder="1"/>
    <xf numFmtId="164" fontId="0" fillId="0" borderId="2" xfId="1" applyNumberFormat="1" applyFont="1" applyBorder="1"/>
    <xf numFmtId="0" fontId="0" fillId="0" borderId="13" xfId="0" applyBorder="1"/>
    <xf numFmtId="0" fontId="0" fillId="0" borderId="14" xfId="0" applyBorder="1"/>
    <xf numFmtId="164" fontId="0" fillId="0" borderId="14" xfId="1" applyNumberFormat="1" applyFont="1" applyBorder="1"/>
    <xf numFmtId="164" fontId="0" fillId="0" borderId="14" xfId="1" applyNumberFormat="1" applyFont="1" applyFill="1" applyBorder="1"/>
    <xf numFmtId="0" fontId="0" fillId="0" borderId="15" xfId="0" applyBorder="1"/>
    <xf numFmtId="0" fontId="0" fillId="0" borderId="0" xfId="0" applyBorder="1" applyAlignment="1">
      <alignment horizontal="right"/>
    </xf>
    <xf numFmtId="164" fontId="0" fillId="3" borderId="0" xfId="0" applyNumberFormat="1" applyFill="1"/>
    <xf numFmtId="164" fontId="0" fillId="3" borderId="7" xfId="0" applyNumberFormat="1" applyFill="1" applyBorder="1"/>
    <xf numFmtId="0" fontId="0" fillId="0" borderId="0" xfId="0" applyFill="1" applyBorder="1"/>
    <xf numFmtId="164" fontId="5" fillId="0" borderId="0" xfId="1" applyNumberFormat="1" applyFont="1" applyBorder="1"/>
    <xf numFmtId="164" fontId="2" fillId="0" borderId="0" xfId="1" applyNumberFormat="1" applyFont="1" applyFill="1" applyBorder="1"/>
    <xf numFmtId="0" fontId="4" fillId="0" borderId="0" xfId="0" applyFont="1" applyFill="1" applyBorder="1"/>
    <xf numFmtId="0" fontId="4" fillId="0" borderId="12" xfId="0" applyFont="1" applyFill="1" applyBorder="1"/>
    <xf numFmtId="164" fontId="4" fillId="0" borderId="0" xfId="1" applyNumberFormat="1" applyFont="1" applyFill="1" applyBorder="1"/>
    <xf numFmtId="10" fontId="0" fillId="3" borderId="16" xfId="3" applyNumberFormat="1" applyFont="1" applyFill="1" applyBorder="1"/>
    <xf numFmtId="164" fontId="0" fillId="3" borderId="0" xfId="1" applyNumberFormat="1" applyFont="1" applyFill="1"/>
    <xf numFmtId="10" fontId="0" fillId="0" borderId="0" xfId="3" applyNumberFormat="1" applyFont="1" applyFill="1" applyBorder="1"/>
    <xf numFmtId="164" fontId="5" fillId="0" borderId="0" xfId="1" applyNumberFormat="1" applyFont="1" applyFill="1" applyBorder="1"/>
    <xf numFmtId="0" fontId="3" fillId="0" borderId="0" xfId="0" applyFont="1" applyFill="1" applyBorder="1"/>
    <xf numFmtId="0" fontId="0" fillId="0" borderId="11" xfId="0" applyBorder="1" applyAlignment="1">
      <alignment wrapText="1"/>
    </xf>
    <xf numFmtId="0" fontId="5" fillId="0" borderId="0" xfId="0" applyFont="1" applyBorder="1" applyAlignment="1">
      <alignment wrapText="1"/>
    </xf>
    <xf numFmtId="164" fontId="5" fillId="0" borderId="0" xfId="1" applyNumberFormat="1" applyFont="1" applyBorder="1" applyAlignment="1">
      <alignment wrapText="1"/>
    </xf>
    <xf numFmtId="164" fontId="5" fillId="0" borderId="0" xfId="1" applyNumberFormat="1" applyFont="1" applyFill="1" applyBorder="1" applyAlignment="1">
      <alignment wrapText="1"/>
    </xf>
    <xf numFmtId="0" fontId="0" fillId="0" borderId="12" xfId="0" applyBorder="1" applyAlignment="1">
      <alignment wrapText="1"/>
    </xf>
    <xf numFmtId="0" fontId="0" fillId="0" borderId="7" xfId="0" applyBorder="1"/>
    <xf numFmtId="0" fontId="0" fillId="3" borderId="7" xfId="0" applyFill="1" applyBorder="1"/>
    <xf numFmtId="164" fontId="0" fillId="0" borderId="17" xfId="0" applyNumberFormat="1" applyFill="1" applyBorder="1"/>
    <xf numFmtId="41" fontId="3" fillId="0" borderId="0" xfId="0" applyNumberFormat="1" applyFont="1"/>
    <xf numFmtId="41" fontId="0" fillId="0" borderId="0" xfId="0" applyNumberFormat="1"/>
    <xf numFmtId="41" fontId="3" fillId="0" borderId="0" xfId="0" applyNumberFormat="1" applyFont="1" applyAlignment="1">
      <alignment horizontal="center" wrapText="1"/>
    </xf>
    <xf numFmtId="41" fontId="3" fillId="0" borderId="18" xfId="0" applyNumberFormat="1" applyFont="1" applyBorder="1" applyAlignment="1">
      <alignment horizontal="left" wrapText="1"/>
    </xf>
    <xf numFmtId="41" fontId="3" fillId="0" borderId="19" xfId="0" applyNumberFormat="1" applyFont="1" applyBorder="1" applyAlignment="1">
      <alignment horizontal="center" wrapText="1"/>
    </xf>
    <xf numFmtId="14" fontId="3" fillId="0" borderId="19" xfId="0" applyNumberFormat="1" applyFont="1" applyBorder="1" applyAlignment="1">
      <alignment horizontal="center" wrapText="1"/>
    </xf>
    <xf numFmtId="10" fontId="3" fillId="0" borderId="19" xfId="0" applyNumberFormat="1" applyFont="1" applyBorder="1" applyAlignment="1">
      <alignment horizontal="center" wrapText="1"/>
    </xf>
    <xf numFmtId="41" fontId="3" fillId="0" borderId="20" xfId="0" applyNumberFormat="1" applyFont="1" applyBorder="1" applyAlignment="1">
      <alignment horizontal="center" wrapText="1"/>
    </xf>
    <xf numFmtId="41" fontId="0" fillId="0" borderId="11" xfId="0" applyNumberFormat="1" applyBorder="1"/>
    <xf numFmtId="41" fontId="0" fillId="0" borderId="0" xfId="0" applyNumberFormat="1" applyBorder="1"/>
    <xf numFmtId="10" fontId="0" fillId="0" borderId="0" xfId="0" applyNumberFormat="1" applyBorder="1"/>
    <xf numFmtId="41" fontId="0" fillId="0" borderId="12" xfId="0" applyNumberFormat="1" applyBorder="1"/>
    <xf numFmtId="41" fontId="0" fillId="3" borderId="0" xfId="0" applyNumberFormat="1" applyFill="1" applyBorder="1"/>
    <xf numFmtId="10" fontId="0" fillId="0" borderId="0" xfId="0" applyNumberFormat="1" applyFill="1" applyBorder="1"/>
    <xf numFmtId="41" fontId="0" fillId="0" borderId="21" xfId="0" applyNumberFormat="1" applyFill="1" applyBorder="1"/>
    <xf numFmtId="41" fontId="0" fillId="0" borderId="7" xfId="0" applyNumberFormat="1" applyFill="1" applyBorder="1"/>
    <xf numFmtId="41" fontId="0" fillId="3" borderId="7" xfId="0" applyNumberFormat="1" applyFill="1" applyBorder="1"/>
    <xf numFmtId="41" fontId="0" fillId="0" borderId="7" xfId="0" applyNumberFormat="1" applyBorder="1"/>
    <xf numFmtId="41" fontId="0" fillId="0" borderId="11" xfId="0" applyNumberFormat="1" applyFill="1" applyBorder="1"/>
    <xf numFmtId="41" fontId="0" fillId="0" borderId="0" xfId="0" applyNumberFormat="1" applyFill="1" applyBorder="1"/>
    <xf numFmtId="41" fontId="0" fillId="0" borderId="21" xfId="0" applyNumberFormat="1" applyBorder="1"/>
    <xf numFmtId="41" fontId="3" fillId="0" borderId="22" xfId="0" applyNumberFormat="1" applyFont="1" applyFill="1" applyBorder="1"/>
    <xf numFmtId="41" fontId="3" fillId="0" borderId="23" xfId="0" applyNumberFormat="1" applyFont="1" applyFill="1" applyBorder="1"/>
    <xf numFmtId="41" fontId="3" fillId="0" borderId="23" xfId="0" applyNumberFormat="1" applyFont="1" applyBorder="1"/>
    <xf numFmtId="41" fontId="0" fillId="0" borderId="24" xfId="0" applyNumberFormat="1" applyBorder="1"/>
    <xf numFmtId="41" fontId="0" fillId="0" borderId="24" xfId="0" applyNumberFormat="1" applyFill="1" applyBorder="1"/>
    <xf numFmtId="10" fontId="0" fillId="0" borderId="24" xfId="0" applyNumberFormat="1" applyBorder="1"/>
    <xf numFmtId="41" fontId="3" fillId="0" borderId="15" xfId="0" applyNumberFormat="1" applyFont="1" applyBorder="1"/>
    <xf numFmtId="41" fontId="3" fillId="0" borderId="18" xfId="0" applyNumberFormat="1" applyFont="1" applyBorder="1"/>
    <xf numFmtId="14" fontId="3" fillId="0" borderId="19" xfId="0" applyNumberFormat="1" applyFont="1" applyFill="1" applyBorder="1" applyAlignment="1">
      <alignment horizontal="center" wrapText="1"/>
    </xf>
    <xf numFmtId="41" fontId="0" fillId="0" borderId="11" xfId="0" applyNumberFormat="1" applyFont="1" applyBorder="1"/>
    <xf numFmtId="41" fontId="0" fillId="0" borderId="0" xfId="0" applyNumberFormat="1" applyFont="1" applyBorder="1"/>
    <xf numFmtId="10" fontId="0" fillId="0" borderId="7" xfId="0" applyNumberFormat="1" applyBorder="1"/>
    <xf numFmtId="41" fontId="3" fillId="0" borderId="11" xfId="0" applyNumberFormat="1" applyFont="1" applyFill="1" applyBorder="1"/>
    <xf numFmtId="41" fontId="3" fillId="0" borderId="0" xfId="0" applyNumberFormat="1" applyFont="1" applyFill="1" applyBorder="1"/>
    <xf numFmtId="41" fontId="0" fillId="0" borderId="12" xfId="0" applyNumberFormat="1" applyFill="1" applyBorder="1"/>
    <xf numFmtId="41" fontId="0" fillId="0" borderId="11" xfId="0" applyNumberFormat="1" applyFont="1" applyFill="1" applyBorder="1"/>
    <xf numFmtId="41" fontId="0" fillId="0" borderId="0" xfId="0" applyNumberFormat="1" applyFont="1" applyFill="1" applyBorder="1"/>
    <xf numFmtId="41" fontId="3" fillId="0" borderId="12" xfId="0" applyNumberFormat="1" applyFont="1" applyFill="1" applyBorder="1"/>
    <xf numFmtId="41" fontId="3" fillId="0" borderId="14" xfId="0" applyNumberFormat="1" applyFont="1" applyFill="1" applyBorder="1"/>
    <xf numFmtId="41" fontId="3" fillId="0" borderId="14" xfId="0" applyNumberFormat="1" applyFont="1" applyBorder="1"/>
    <xf numFmtId="41" fontId="3" fillId="0" borderId="8" xfId="0" applyNumberFormat="1" applyFont="1" applyFill="1" applyBorder="1"/>
    <xf numFmtId="41" fontId="3" fillId="0" borderId="9" xfId="0" applyNumberFormat="1" applyFont="1" applyFill="1" applyBorder="1"/>
    <xf numFmtId="41" fontId="3" fillId="0" borderId="9" xfId="0" applyNumberFormat="1" applyFont="1" applyBorder="1"/>
    <xf numFmtId="41" fontId="3" fillId="0" borderId="10" xfId="0" applyNumberFormat="1" applyFont="1" applyBorder="1"/>
    <xf numFmtId="10" fontId="0" fillId="0" borderId="7" xfId="0" applyNumberFormat="1" applyFill="1" applyBorder="1"/>
    <xf numFmtId="41" fontId="3" fillId="0" borderId="12" xfId="0" applyNumberFormat="1" applyFont="1" applyBorder="1"/>
    <xf numFmtId="41" fontId="3" fillId="0" borderId="13" xfId="0" applyNumberFormat="1" applyFont="1" applyFill="1" applyBorder="1"/>
    <xf numFmtId="41" fontId="0" fillId="0" borderId="14" xfId="0" applyNumberFormat="1" applyBorder="1"/>
    <xf numFmtId="10" fontId="0" fillId="0" borderId="14" xfId="0" applyNumberFormat="1" applyBorder="1"/>
    <xf numFmtId="41" fontId="3" fillId="0" borderId="24" xfId="0" applyNumberFormat="1" applyFont="1" applyFill="1" applyBorder="1"/>
    <xf numFmtId="41" fontId="3" fillId="0" borderId="25" xfId="0" applyNumberFormat="1" applyFont="1" applyFill="1" applyBorder="1"/>
    <xf numFmtId="41" fontId="3" fillId="0" borderId="24" xfId="0" applyNumberFormat="1" applyFont="1" applyBorder="1"/>
    <xf numFmtId="41" fontId="0" fillId="0" borderId="26" xfId="0" applyNumberFormat="1"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st%20of%20Service/Revenue%20Requirements/Rate%20Cases%20&amp;%20Filings/FERC/FERC%20Transmission/2016%20Transmission%20Filing/Corrections_Errors/Copy%20of%20Attachment%20H-1%20Formula%20Rate%202017%20-%20Run%201%20Posted%2005-01-17%20(effective%2006-0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ERC Form 1 Inputs"/>
      <sheetName val="Attachment H-1"/>
      <sheetName val="Schedule 1 - Plant"/>
      <sheetName val="Schedule 1A - Svcs Co Plant_Rev"/>
      <sheetName val="Schedule 1B - Projected Plant"/>
      <sheetName val="Schedule 1C - Settlement Adjust"/>
      <sheetName val="Schedule 2 - ADIT"/>
      <sheetName val="Schedule 3 - Transmission Wages"/>
      <sheetName val="Schedule 4 - Regulatory Assets"/>
      <sheetName val="Schedule 5 Misc Def Debits"/>
      <sheetName val="Schedule 6 (Reserved)"/>
      <sheetName val="Schedule 7 - Working capital"/>
      <sheetName val="Schedule 8 Other Deferred"/>
      <sheetName val="Schedule 9 O&amp;M"/>
      <sheetName val="Schedule 10 TOTI"/>
      <sheetName val="Schedule 11 Income Tax"/>
      <sheetName val="Schedule 12 Revenue Credits"/>
      <sheetName val="Schedule12A FERC p328"/>
      <sheetName val="Schedule 13 Direct Assignment"/>
      <sheetName val="Schedule 13 A - Detail"/>
      <sheetName val="Schedule 14 (Reserved)"/>
      <sheetName val="Schedule 15 Interest Expense"/>
      <sheetName val="Schedule 16 - Rate Design "/>
      <sheetName val="Sch 17 - Trans Demand Allocator"/>
      <sheetName val="Sch 18 - Imputed WAPA Trans Exp"/>
      <sheetName val="Schedule 19 - Third Party Trans"/>
      <sheetName val="Sch 20 - Gen Demand Allocator"/>
    </sheetNames>
    <sheetDataSet>
      <sheetData sheetId="0"/>
      <sheetData sheetId="1"/>
      <sheetData sheetId="2">
        <row r="28">
          <cell r="H28">
            <v>0.14599999999999999</v>
          </cell>
        </row>
        <row r="93">
          <cell r="H93">
            <v>-263721</v>
          </cell>
        </row>
        <row r="132">
          <cell r="H132">
            <v>17058649</v>
          </cell>
        </row>
        <row r="135">
          <cell r="H135">
            <v>49257.289125412513</v>
          </cell>
        </row>
        <row r="136">
          <cell r="H136">
            <v>2075786.6282936702</v>
          </cell>
        </row>
      </sheetData>
      <sheetData sheetId="3">
        <row r="7">
          <cell r="L7">
            <v>710286341.7840724</v>
          </cell>
        </row>
        <row r="8">
          <cell r="L8">
            <v>711312022.21407342</v>
          </cell>
        </row>
        <row r="9">
          <cell r="L9">
            <v>711628363.31407368</v>
          </cell>
        </row>
        <row r="10">
          <cell r="L10">
            <v>711330255.23407388</v>
          </cell>
        </row>
        <row r="11">
          <cell r="L11">
            <v>719653752.99407518</v>
          </cell>
        </row>
        <row r="12">
          <cell r="L12">
            <v>719810435.14407468</v>
          </cell>
        </row>
        <row r="13">
          <cell r="L13">
            <v>753649288.7840724</v>
          </cell>
        </row>
        <row r="14">
          <cell r="L14">
            <v>756487249.43407238</v>
          </cell>
        </row>
        <row r="15">
          <cell r="L15">
            <v>760503493.59407318</v>
          </cell>
        </row>
        <row r="16">
          <cell r="L16">
            <v>762813142.7840724</v>
          </cell>
        </row>
        <row r="17">
          <cell r="L17">
            <v>764123641.9740715</v>
          </cell>
        </row>
        <row r="18">
          <cell r="L18">
            <v>764680967.29407036</v>
          </cell>
        </row>
        <row r="19">
          <cell r="F19">
            <v>836742637</v>
          </cell>
          <cell r="L19">
            <v>780856288.09407234</v>
          </cell>
        </row>
        <row r="99">
          <cell r="L99">
            <v>294687073.06686872</v>
          </cell>
        </row>
        <row r="100">
          <cell r="L100">
            <v>296416622.24693507</v>
          </cell>
        </row>
        <row r="101">
          <cell r="L101">
            <v>297507303.49700409</v>
          </cell>
        </row>
        <row r="102">
          <cell r="L102">
            <v>297253508.87707055</v>
          </cell>
        </row>
        <row r="103">
          <cell r="L103">
            <v>299390558.85713875</v>
          </cell>
        </row>
        <row r="104">
          <cell r="L104">
            <v>300006130.86720562</v>
          </cell>
        </row>
        <row r="105">
          <cell r="L105">
            <v>299629186.61727238</v>
          </cell>
        </row>
        <row r="106">
          <cell r="L106">
            <v>299778149.33733952</v>
          </cell>
        </row>
        <row r="107">
          <cell r="L107">
            <v>300858282.55740625</v>
          </cell>
        </row>
        <row r="108">
          <cell r="L108">
            <v>300219885.68747425</v>
          </cell>
        </row>
        <row r="109">
          <cell r="L109">
            <v>303327692.74967462</v>
          </cell>
        </row>
        <row r="110">
          <cell r="L110">
            <v>304271322.95187521</v>
          </cell>
        </row>
        <row r="111">
          <cell r="F111">
            <v>326533647</v>
          </cell>
          <cell r="L111">
            <v>304452141.45407605</v>
          </cell>
        </row>
      </sheetData>
      <sheetData sheetId="4">
        <row r="16">
          <cell r="P16">
            <v>187052861.57307693</v>
          </cell>
        </row>
        <row r="22">
          <cell r="P22">
            <v>89110390.686153829</v>
          </cell>
        </row>
        <row r="28">
          <cell r="P28">
            <v>12252018.505416231</v>
          </cell>
        </row>
        <row r="32">
          <cell r="P32">
            <v>6038677.739165307</v>
          </cell>
        </row>
      </sheetData>
      <sheetData sheetId="5"/>
      <sheetData sheetId="6">
        <row r="32">
          <cell r="H32">
            <v>918865.72958832071</v>
          </cell>
        </row>
        <row r="100">
          <cell r="H100">
            <v>114147.81312198396</v>
          </cell>
        </row>
        <row r="112">
          <cell r="H112">
            <v>118270.62551961245</v>
          </cell>
        </row>
        <row r="177">
          <cell r="H177">
            <v>326796.25097136403</v>
          </cell>
        </row>
        <row r="189">
          <cell r="H189">
            <v>338399.11316376895</v>
          </cell>
        </row>
        <row r="252">
          <cell r="H252">
            <v>15836.61034583334</v>
          </cell>
        </row>
        <row r="264">
          <cell r="H264">
            <v>16398.887320833339</v>
          </cell>
        </row>
        <row r="278">
          <cell r="C278">
            <v>49257.289125412513</v>
          </cell>
        </row>
      </sheetData>
      <sheetData sheetId="7">
        <row r="32">
          <cell r="D32">
            <v>-102988171</v>
          </cell>
          <cell r="E32">
            <v>-122755205</v>
          </cell>
        </row>
        <row r="42">
          <cell r="D42">
            <v>6927462.0987899816</v>
          </cell>
          <cell r="E42">
            <v>7070547.5808699355</v>
          </cell>
        </row>
        <row r="47">
          <cell r="D47">
            <v>1375646.4040275021</v>
          </cell>
          <cell r="E47">
            <v>1391934.3555925353</v>
          </cell>
        </row>
      </sheetData>
      <sheetData sheetId="8"/>
      <sheetData sheetId="9"/>
      <sheetData sheetId="10">
        <row r="10">
          <cell r="E10">
            <v>0</v>
          </cell>
        </row>
        <row r="31">
          <cell r="E31">
            <v>0</v>
          </cell>
        </row>
      </sheetData>
      <sheetData sheetId="11"/>
      <sheetData sheetId="12">
        <row r="48">
          <cell r="E48">
            <v>63359391.000000007</v>
          </cell>
        </row>
        <row r="62">
          <cell r="E62">
            <v>62298315.540000007</v>
          </cell>
        </row>
        <row r="64">
          <cell r="E64">
            <v>3268727.7975000003</v>
          </cell>
        </row>
      </sheetData>
      <sheetData sheetId="13"/>
      <sheetData sheetId="14"/>
      <sheetData sheetId="15"/>
      <sheetData sheetId="16"/>
      <sheetData sheetId="17"/>
      <sheetData sheetId="18"/>
      <sheetData sheetId="19">
        <row r="23">
          <cell r="M23">
            <v>53529540.813802592</v>
          </cell>
        </row>
        <row r="43">
          <cell r="M43">
            <v>-24142135.693322428</v>
          </cell>
        </row>
        <row r="50">
          <cell r="M50">
            <v>-6927462.0987899816</v>
          </cell>
        </row>
        <row r="51">
          <cell r="M51">
            <v>-7070547.5808699355</v>
          </cell>
        </row>
        <row r="70">
          <cell r="M70">
            <v>186878.7020076148</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8"/>
  <sheetViews>
    <sheetView topLeftCell="A238" zoomScale="55" zoomScaleNormal="55" workbookViewId="0">
      <selection activeCell="A16" sqref="A16"/>
    </sheetView>
  </sheetViews>
  <sheetFormatPr defaultColWidth="9.109375" defaultRowHeight="14.4" x14ac:dyDescent="0.3"/>
  <cols>
    <col min="1" max="1" width="35.5546875" bestFit="1" customWidth="1"/>
    <col min="2" max="2" width="30.109375" bestFit="1" customWidth="1"/>
    <col min="3" max="4" width="30.5546875" customWidth="1"/>
    <col min="5" max="5" width="22" bestFit="1" customWidth="1"/>
    <col min="6" max="7" width="34.44140625" bestFit="1" customWidth="1"/>
    <col min="8" max="8" width="29.44140625" customWidth="1"/>
    <col min="9" max="11" width="22.5546875" customWidth="1"/>
  </cols>
  <sheetData>
    <row r="1" spans="1:9" x14ac:dyDescent="0.3">
      <c r="A1" s="1" t="s">
        <v>0</v>
      </c>
    </row>
    <row r="2" spans="1:9" x14ac:dyDescent="0.3">
      <c r="A2" s="1" t="s">
        <v>1</v>
      </c>
    </row>
    <row r="4" spans="1:9" x14ac:dyDescent="0.3">
      <c r="A4" s="2" t="s">
        <v>2</v>
      </c>
      <c r="C4" s="3" t="s">
        <v>3</v>
      </c>
      <c r="D4" s="3" t="s">
        <v>4</v>
      </c>
      <c r="E4" s="3" t="s">
        <v>5</v>
      </c>
      <c r="F4" s="4" t="s">
        <v>6</v>
      </c>
      <c r="G4" s="5" t="s">
        <v>7</v>
      </c>
      <c r="H4" s="6" t="s">
        <v>8</v>
      </c>
      <c r="I4" s="2"/>
    </row>
    <row r="5" spans="1:9" x14ac:dyDescent="0.3">
      <c r="B5" s="7" t="s">
        <v>9</v>
      </c>
      <c r="C5" s="8">
        <v>2.0899999999999998E-2</v>
      </c>
      <c r="D5" s="8">
        <v>2.2700000000000001E-2</v>
      </c>
      <c r="E5" s="3" t="s">
        <v>10</v>
      </c>
      <c r="F5" s="9" t="s">
        <v>10</v>
      </c>
      <c r="G5" s="10" t="s">
        <v>10</v>
      </c>
      <c r="H5" s="11" t="s">
        <v>10</v>
      </c>
    </row>
    <row r="6" spans="1:9" x14ac:dyDescent="0.3">
      <c r="A6" s="12">
        <v>40694</v>
      </c>
      <c r="B6" s="13">
        <v>561545494</v>
      </c>
      <c r="C6" s="14"/>
      <c r="D6" s="15"/>
      <c r="F6" s="16"/>
      <c r="G6" s="17"/>
      <c r="H6" s="18"/>
      <c r="I6" s="12"/>
    </row>
    <row r="7" spans="1:9" x14ac:dyDescent="0.3">
      <c r="A7" s="12">
        <v>40724</v>
      </c>
      <c r="B7" s="13">
        <v>561605075</v>
      </c>
      <c r="C7" s="19">
        <f>(B7*$C$5)/12</f>
        <v>978128.83895833325</v>
      </c>
      <c r="D7" s="19">
        <f>(B7*$D$5)/12</f>
        <v>1062369.6002083335</v>
      </c>
      <c r="E7" s="20">
        <f t="shared" ref="E7:E32" si="0">D7-C7</f>
        <v>84240.761250000214</v>
      </c>
      <c r="F7" s="21">
        <v>0</v>
      </c>
      <c r="G7" s="22">
        <f>E7</f>
        <v>84240.761250000214</v>
      </c>
      <c r="H7" s="23">
        <f>G7*0.3959</f>
        <v>33350.917378875085</v>
      </c>
      <c r="I7" s="12"/>
    </row>
    <row r="8" spans="1:9" x14ac:dyDescent="0.3">
      <c r="A8" s="12">
        <v>40755</v>
      </c>
      <c r="B8" s="13">
        <v>562768565</v>
      </c>
      <c r="C8" s="19">
        <f t="shared" ref="C8:C32" si="1">(B8*$C$5)/12</f>
        <v>980155.25070833322</v>
      </c>
      <c r="D8" s="19">
        <f t="shared" ref="D8:D32" si="2">(B8*$D$5)/12</f>
        <v>1064570.5354583333</v>
      </c>
      <c r="E8" s="20">
        <f t="shared" si="0"/>
        <v>84415.284750000108</v>
      </c>
      <c r="F8" s="21">
        <v>0</v>
      </c>
      <c r="G8" s="22">
        <f t="shared" ref="G8:G32" si="3">G7+E8</f>
        <v>168656.04600000032</v>
      </c>
      <c r="H8" s="23">
        <f t="shared" ref="H8:H32" si="4">G8*0.3959</f>
        <v>66770.92861140013</v>
      </c>
      <c r="I8" s="12"/>
    </row>
    <row r="9" spans="1:9" x14ac:dyDescent="0.3">
      <c r="A9" s="12">
        <v>40786</v>
      </c>
      <c r="B9" s="13">
        <v>567293325</v>
      </c>
      <c r="C9" s="19">
        <f t="shared" si="1"/>
        <v>988035.87437500001</v>
      </c>
      <c r="D9" s="19">
        <f t="shared" si="2"/>
        <v>1073129.8731250002</v>
      </c>
      <c r="E9" s="20">
        <f t="shared" si="0"/>
        <v>85093.998750000144</v>
      </c>
      <c r="F9" s="21">
        <v>0</v>
      </c>
      <c r="G9" s="22">
        <f t="shared" si="3"/>
        <v>253750.04475000047</v>
      </c>
      <c r="H9" s="23">
        <f t="shared" si="4"/>
        <v>100459.64271652518</v>
      </c>
      <c r="I9" s="12"/>
    </row>
    <row r="10" spans="1:9" x14ac:dyDescent="0.3">
      <c r="A10" s="12">
        <v>40816</v>
      </c>
      <c r="B10" s="13">
        <v>568194419</v>
      </c>
      <c r="C10" s="19">
        <f t="shared" si="1"/>
        <v>989605.27975833323</v>
      </c>
      <c r="D10" s="19">
        <f t="shared" si="2"/>
        <v>1074834.4426083334</v>
      </c>
      <c r="E10" s="20">
        <f t="shared" si="0"/>
        <v>85229.162850000197</v>
      </c>
      <c r="F10" s="21">
        <v>0</v>
      </c>
      <c r="G10" s="22">
        <f t="shared" si="3"/>
        <v>338979.20760000066</v>
      </c>
      <c r="H10" s="23">
        <f t="shared" si="4"/>
        <v>134201.86828884025</v>
      </c>
      <c r="I10" s="12"/>
    </row>
    <row r="11" spans="1:9" x14ac:dyDescent="0.3">
      <c r="A11" s="12">
        <v>40847</v>
      </c>
      <c r="B11" s="13">
        <v>588465377</v>
      </c>
      <c r="C11" s="19">
        <f t="shared" si="1"/>
        <v>1024910.5316083332</v>
      </c>
      <c r="D11" s="19">
        <f t="shared" si="2"/>
        <v>1113180.3381583334</v>
      </c>
      <c r="E11" s="20">
        <f t="shared" si="0"/>
        <v>88269.806550000212</v>
      </c>
      <c r="F11" s="21">
        <v>0</v>
      </c>
      <c r="G11" s="22">
        <f t="shared" si="3"/>
        <v>427249.01415000088</v>
      </c>
      <c r="H11" s="23">
        <f t="shared" si="4"/>
        <v>169147.88470198534</v>
      </c>
      <c r="I11" s="12"/>
    </row>
    <row r="12" spans="1:9" x14ac:dyDescent="0.3">
      <c r="A12" s="12">
        <v>40877</v>
      </c>
      <c r="B12" s="13">
        <v>587913413</v>
      </c>
      <c r="C12" s="19">
        <f t="shared" si="1"/>
        <v>1023949.1943083332</v>
      </c>
      <c r="D12" s="19">
        <f t="shared" si="2"/>
        <v>1112136.2062583335</v>
      </c>
      <c r="E12" s="20">
        <f t="shared" si="0"/>
        <v>88187.011950000306</v>
      </c>
      <c r="F12" s="21">
        <v>0</v>
      </c>
      <c r="G12" s="22">
        <f t="shared" si="3"/>
        <v>515436.02610000118</v>
      </c>
      <c r="H12" s="23">
        <f t="shared" si="4"/>
        <v>204061.12273299045</v>
      </c>
      <c r="I12" s="12"/>
    </row>
    <row r="13" spans="1:9" x14ac:dyDescent="0.3">
      <c r="A13" s="12">
        <v>40908</v>
      </c>
      <c r="B13" s="24">
        <v>588272716</v>
      </c>
      <c r="C13" s="19">
        <f t="shared" si="1"/>
        <v>1024574.9803666667</v>
      </c>
      <c r="D13" s="19">
        <f t="shared" si="2"/>
        <v>1112815.8877666667</v>
      </c>
      <c r="E13" s="20">
        <f t="shared" si="0"/>
        <v>88240.907400000026</v>
      </c>
      <c r="F13" s="25">
        <v>0</v>
      </c>
      <c r="G13" s="26">
        <f t="shared" si="3"/>
        <v>603676.93350000121</v>
      </c>
      <c r="H13" s="27">
        <f t="shared" si="4"/>
        <v>238995.69797265047</v>
      </c>
      <c r="I13" s="12"/>
    </row>
    <row r="14" spans="1:9" x14ac:dyDescent="0.3">
      <c r="A14" s="12">
        <v>40939</v>
      </c>
      <c r="B14" s="13">
        <v>589885723.38000023</v>
      </c>
      <c r="C14" s="19">
        <f t="shared" si="1"/>
        <v>1027384.3015535004</v>
      </c>
      <c r="D14" s="19">
        <f t="shared" si="2"/>
        <v>1115867.1600605005</v>
      </c>
      <c r="E14" s="20">
        <f t="shared" si="0"/>
        <v>88482.858507000143</v>
      </c>
      <c r="F14" s="25">
        <v>0</v>
      </c>
      <c r="G14" s="26">
        <f t="shared" si="3"/>
        <v>692159.79200700135</v>
      </c>
      <c r="H14" s="27">
        <f t="shared" si="4"/>
        <v>274026.0616555718</v>
      </c>
      <c r="I14" s="12"/>
    </row>
    <row r="15" spans="1:9" x14ac:dyDescent="0.3">
      <c r="A15" s="12">
        <v>40968</v>
      </c>
      <c r="B15" s="13">
        <v>589881236.2700001</v>
      </c>
      <c r="C15" s="19">
        <f t="shared" si="1"/>
        <v>1027376.4865035834</v>
      </c>
      <c r="D15" s="19">
        <f t="shared" si="2"/>
        <v>1115858.6719440836</v>
      </c>
      <c r="E15" s="20">
        <f t="shared" si="0"/>
        <v>88482.185440500267</v>
      </c>
      <c r="F15" s="25">
        <v>0</v>
      </c>
      <c r="G15" s="26">
        <f t="shared" si="3"/>
        <v>780641.97744750162</v>
      </c>
      <c r="H15" s="27">
        <f t="shared" si="4"/>
        <v>309056.15887146589</v>
      </c>
      <c r="I15" s="12"/>
    </row>
    <row r="16" spans="1:9" x14ac:dyDescent="0.3">
      <c r="A16" s="12">
        <v>40999</v>
      </c>
      <c r="B16" s="13">
        <v>583894061.02000046</v>
      </c>
      <c r="C16" s="19">
        <f t="shared" si="1"/>
        <v>1016948.8229431674</v>
      </c>
      <c r="D16" s="19">
        <f t="shared" si="2"/>
        <v>1104532.9320961677</v>
      </c>
      <c r="E16" s="20">
        <f t="shared" si="0"/>
        <v>87584.109153000289</v>
      </c>
      <c r="F16" s="25">
        <v>0</v>
      </c>
      <c r="G16" s="26">
        <f t="shared" si="3"/>
        <v>868226.08660050191</v>
      </c>
      <c r="H16" s="27">
        <f t="shared" si="4"/>
        <v>343730.70768513868</v>
      </c>
      <c r="I16" s="12"/>
    </row>
    <row r="17" spans="1:9" x14ac:dyDescent="0.3">
      <c r="A17" s="12">
        <v>41029</v>
      </c>
      <c r="B17" s="13">
        <v>589528503.54999936</v>
      </c>
      <c r="C17" s="19">
        <f t="shared" si="1"/>
        <v>1026762.1436829154</v>
      </c>
      <c r="D17" s="19">
        <f t="shared" si="2"/>
        <v>1115191.4192154154</v>
      </c>
      <c r="E17" s="20">
        <f t="shared" si="0"/>
        <v>88429.275532500003</v>
      </c>
      <c r="F17" s="25">
        <v>0</v>
      </c>
      <c r="G17" s="26">
        <f t="shared" si="3"/>
        <v>956655.36213300191</v>
      </c>
      <c r="H17" s="27">
        <f t="shared" si="4"/>
        <v>378739.85786845541</v>
      </c>
      <c r="I17" s="12"/>
    </row>
    <row r="18" spans="1:9" x14ac:dyDescent="0.3">
      <c r="A18" s="12">
        <v>41060</v>
      </c>
      <c r="B18" s="13">
        <v>598261158.70000088</v>
      </c>
      <c r="C18" s="19">
        <f t="shared" si="1"/>
        <v>1041971.5180691681</v>
      </c>
      <c r="D18" s="19">
        <f t="shared" si="2"/>
        <v>1131710.6918741683</v>
      </c>
      <c r="E18" s="20">
        <f t="shared" si="0"/>
        <v>89739.17380500026</v>
      </c>
      <c r="F18" s="25">
        <v>0</v>
      </c>
      <c r="G18" s="26">
        <f t="shared" si="3"/>
        <v>1046394.5359380022</v>
      </c>
      <c r="H18" s="27">
        <f t="shared" si="4"/>
        <v>414267.59677785501</v>
      </c>
      <c r="I18" s="12"/>
    </row>
    <row r="19" spans="1:9" x14ac:dyDescent="0.3">
      <c r="A19" s="12">
        <v>41090</v>
      </c>
      <c r="B19" s="13">
        <v>598294269.87000072</v>
      </c>
      <c r="C19" s="19">
        <f t="shared" si="1"/>
        <v>1042029.1866902512</v>
      </c>
      <c r="D19" s="19">
        <f t="shared" si="2"/>
        <v>1131773.3271707513</v>
      </c>
      <c r="E19" s="20">
        <f t="shared" si="0"/>
        <v>89744.140480500064</v>
      </c>
      <c r="F19" s="25">
        <v>0</v>
      </c>
      <c r="G19" s="26">
        <f t="shared" si="3"/>
        <v>1136138.6764185023</v>
      </c>
      <c r="H19" s="27">
        <f t="shared" si="4"/>
        <v>449797.30199408508</v>
      </c>
      <c r="I19" s="12"/>
    </row>
    <row r="20" spans="1:9" x14ac:dyDescent="0.3">
      <c r="A20" s="12">
        <v>41121</v>
      </c>
      <c r="B20" s="13">
        <v>598200036.03000057</v>
      </c>
      <c r="C20" s="19">
        <f t="shared" si="1"/>
        <v>1041865.0627522509</v>
      </c>
      <c r="D20" s="19">
        <f t="shared" si="2"/>
        <v>1131595.0681567511</v>
      </c>
      <c r="E20" s="20">
        <f t="shared" si="0"/>
        <v>89730.005404500174</v>
      </c>
      <c r="F20" s="25">
        <v>0</v>
      </c>
      <c r="G20" s="26">
        <f t="shared" si="3"/>
        <v>1225868.6818230026</v>
      </c>
      <c r="H20" s="27">
        <f t="shared" si="4"/>
        <v>485321.41113372671</v>
      </c>
      <c r="I20" s="12"/>
    </row>
    <row r="21" spans="1:9" x14ac:dyDescent="0.3">
      <c r="A21" s="12">
        <v>41152</v>
      </c>
      <c r="B21" s="13">
        <v>601271121.1600008</v>
      </c>
      <c r="C21" s="19">
        <f t="shared" si="1"/>
        <v>1047213.8693536679</v>
      </c>
      <c r="D21" s="19">
        <f t="shared" si="2"/>
        <v>1137404.5375276683</v>
      </c>
      <c r="E21" s="20">
        <f t="shared" si="0"/>
        <v>90190.668174000341</v>
      </c>
      <c r="F21" s="25">
        <v>0</v>
      </c>
      <c r="G21" s="26">
        <f t="shared" si="3"/>
        <v>1316059.3499970031</v>
      </c>
      <c r="H21" s="27">
        <f t="shared" si="4"/>
        <v>521027.8966638135</v>
      </c>
      <c r="I21" s="12"/>
    </row>
    <row r="22" spans="1:9" x14ac:dyDescent="0.3">
      <c r="A22" s="12">
        <v>41182</v>
      </c>
      <c r="B22" s="13">
        <v>601019324.70000088</v>
      </c>
      <c r="C22" s="19">
        <f t="shared" si="1"/>
        <v>1046775.3238525015</v>
      </c>
      <c r="D22" s="19">
        <f t="shared" si="2"/>
        <v>1136928.2225575016</v>
      </c>
      <c r="E22" s="20">
        <f t="shared" si="0"/>
        <v>90152.898705000174</v>
      </c>
      <c r="F22" s="25">
        <v>0</v>
      </c>
      <c r="G22" s="26">
        <f t="shared" si="3"/>
        <v>1406212.2487020032</v>
      </c>
      <c r="H22" s="27">
        <f t="shared" si="4"/>
        <v>556719.42926112306</v>
      </c>
      <c r="I22" s="12"/>
    </row>
    <row r="23" spans="1:9" x14ac:dyDescent="0.3">
      <c r="A23" s="12">
        <v>41213</v>
      </c>
      <c r="B23" s="13">
        <v>601637587.25000095</v>
      </c>
      <c r="C23" s="19">
        <f t="shared" si="1"/>
        <v>1047852.131127085</v>
      </c>
      <c r="D23" s="19">
        <f t="shared" si="2"/>
        <v>1138097.7692145852</v>
      </c>
      <c r="E23" s="20">
        <f t="shared" si="0"/>
        <v>90245.638087500236</v>
      </c>
      <c r="F23" s="25">
        <v>0</v>
      </c>
      <c r="G23" s="26">
        <f t="shared" si="3"/>
        <v>1496457.8867895035</v>
      </c>
      <c r="H23" s="27">
        <f t="shared" si="4"/>
        <v>592447.67737996439</v>
      </c>
      <c r="I23" s="12"/>
    </row>
    <row r="24" spans="1:9" x14ac:dyDescent="0.3">
      <c r="A24" s="12">
        <v>41243</v>
      </c>
      <c r="B24" s="13">
        <v>607319064.95000052</v>
      </c>
      <c r="C24" s="19">
        <f t="shared" si="1"/>
        <v>1057747.3714545842</v>
      </c>
      <c r="D24" s="19">
        <f t="shared" si="2"/>
        <v>1148845.2311970845</v>
      </c>
      <c r="E24" s="20">
        <f t="shared" si="0"/>
        <v>91097.859742500354</v>
      </c>
      <c r="F24" s="25">
        <v>0</v>
      </c>
      <c r="G24" s="26">
        <f t="shared" si="3"/>
        <v>1587555.7465320039</v>
      </c>
      <c r="H24" s="27">
        <f t="shared" si="4"/>
        <v>628513.32005202025</v>
      </c>
      <c r="I24" s="12"/>
    </row>
    <row r="25" spans="1:9" x14ac:dyDescent="0.3">
      <c r="A25" s="12">
        <v>41274</v>
      </c>
      <c r="B25" s="24">
        <v>609133959</v>
      </c>
      <c r="C25" s="19">
        <f t="shared" si="1"/>
        <v>1060908.3119249998</v>
      </c>
      <c r="D25" s="19">
        <f t="shared" si="2"/>
        <v>1152278.4057750001</v>
      </c>
      <c r="E25" s="20">
        <f t="shared" si="0"/>
        <v>91370.093850000296</v>
      </c>
      <c r="F25" s="25">
        <v>0</v>
      </c>
      <c r="G25" s="26">
        <f t="shared" si="3"/>
        <v>1678925.8403820042</v>
      </c>
      <c r="H25" s="27">
        <f t="shared" si="4"/>
        <v>664686.74020723545</v>
      </c>
      <c r="I25" s="12"/>
    </row>
    <row r="26" spans="1:9" x14ac:dyDescent="0.3">
      <c r="A26" s="12">
        <v>41305</v>
      </c>
      <c r="B26" s="24">
        <v>609704101</v>
      </c>
      <c r="C26" s="19">
        <f t="shared" si="1"/>
        <v>1061901.3092416667</v>
      </c>
      <c r="D26" s="19">
        <f t="shared" si="2"/>
        <v>1153356.9243916667</v>
      </c>
      <c r="E26" s="20">
        <f t="shared" si="0"/>
        <v>91455.615149999969</v>
      </c>
      <c r="F26" s="21">
        <v>0</v>
      </c>
      <c r="G26" s="22">
        <f t="shared" si="3"/>
        <v>1770381.4555320041</v>
      </c>
      <c r="H26" s="23">
        <f t="shared" si="4"/>
        <v>700894.01824512042</v>
      </c>
      <c r="I26" s="12"/>
    </row>
    <row r="27" spans="1:9" x14ac:dyDescent="0.3">
      <c r="A27" s="12">
        <v>41333</v>
      </c>
      <c r="B27" s="24">
        <v>609898303</v>
      </c>
      <c r="C27" s="19">
        <f t="shared" si="1"/>
        <v>1062239.5443916665</v>
      </c>
      <c r="D27" s="19">
        <f t="shared" si="2"/>
        <v>1153724.2898416666</v>
      </c>
      <c r="E27" s="20">
        <f t="shared" si="0"/>
        <v>91484.745450000046</v>
      </c>
      <c r="F27" s="21">
        <v>0</v>
      </c>
      <c r="G27" s="22">
        <f t="shared" si="3"/>
        <v>1861866.2009820042</v>
      </c>
      <c r="H27" s="23">
        <f t="shared" si="4"/>
        <v>737112.82896877546</v>
      </c>
      <c r="I27" s="12"/>
    </row>
    <row r="28" spans="1:9" x14ac:dyDescent="0.3">
      <c r="A28" s="12">
        <v>41364</v>
      </c>
      <c r="B28" s="24">
        <v>610153351</v>
      </c>
      <c r="C28" s="19">
        <f t="shared" si="1"/>
        <v>1062683.7529916666</v>
      </c>
      <c r="D28" s="19">
        <f t="shared" si="2"/>
        <v>1154206.7556416667</v>
      </c>
      <c r="E28" s="20">
        <f t="shared" si="0"/>
        <v>91523.002650000155</v>
      </c>
      <c r="F28" s="21">
        <v>0</v>
      </c>
      <c r="G28" s="22">
        <f t="shared" si="3"/>
        <v>1953389.2036320043</v>
      </c>
      <c r="H28" s="23">
        <f t="shared" si="4"/>
        <v>773346.7857179105</v>
      </c>
      <c r="I28" s="12"/>
    </row>
    <row r="29" spans="1:9" x14ac:dyDescent="0.3">
      <c r="A29" s="12">
        <v>41394</v>
      </c>
      <c r="B29" s="24">
        <v>610765127</v>
      </c>
      <c r="C29" s="19">
        <f t="shared" si="1"/>
        <v>1063749.2628583333</v>
      </c>
      <c r="D29" s="19">
        <f t="shared" si="2"/>
        <v>1155364.0319083335</v>
      </c>
      <c r="E29" s="20">
        <f t="shared" si="0"/>
        <v>91614.769050000235</v>
      </c>
      <c r="F29" s="21">
        <v>0</v>
      </c>
      <c r="G29" s="22">
        <f t="shared" si="3"/>
        <v>2045003.9726820046</v>
      </c>
      <c r="H29" s="23">
        <f t="shared" si="4"/>
        <v>809617.07278480555</v>
      </c>
      <c r="I29" s="12"/>
    </row>
    <row r="30" spans="1:9" x14ac:dyDescent="0.3">
      <c r="A30" s="12">
        <v>41425</v>
      </c>
      <c r="B30" s="24">
        <v>610969758</v>
      </c>
      <c r="C30" s="19">
        <f t="shared" si="1"/>
        <v>1064105.66185</v>
      </c>
      <c r="D30" s="19">
        <f t="shared" si="2"/>
        <v>1155751.12555</v>
      </c>
      <c r="E30" s="20">
        <f t="shared" si="0"/>
        <v>91645.463699999964</v>
      </c>
      <c r="F30" s="21">
        <v>0</v>
      </c>
      <c r="G30" s="22">
        <f t="shared" si="3"/>
        <v>2136649.4363820045</v>
      </c>
      <c r="H30" s="23">
        <f t="shared" si="4"/>
        <v>845899.5118636355</v>
      </c>
      <c r="I30" s="12"/>
    </row>
    <row r="31" spans="1:9" ht="15.75" customHeight="1" x14ac:dyDescent="0.3">
      <c r="A31" s="12">
        <v>41455</v>
      </c>
      <c r="B31" s="24">
        <v>613299095</v>
      </c>
      <c r="C31" s="19">
        <f t="shared" si="1"/>
        <v>1068162.5904583333</v>
      </c>
      <c r="D31" s="19">
        <f t="shared" si="2"/>
        <v>1160157.4547083334</v>
      </c>
      <c r="E31" s="20">
        <f t="shared" si="0"/>
        <v>91994.864250000101</v>
      </c>
      <c r="F31" s="21">
        <v>0</v>
      </c>
      <c r="G31" s="22">
        <f t="shared" si="3"/>
        <v>2228644.3006320046</v>
      </c>
      <c r="H31" s="23">
        <f t="shared" si="4"/>
        <v>882320.27862021059</v>
      </c>
      <c r="I31" s="12"/>
    </row>
    <row r="32" spans="1:9" x14ac:dyDescent="0.3">
      <c r="A32" s="12">
        <v>41486</v>
      </c>
      <c r="B32" s="24">
        <v>615398686</v>
      </c>
      <c r="C32" s="19">
        <f t="shared" si="1"/>
        <v>1071819.3781166666</v>
      </c>
      <c r="D32" s="19">
        <f t="shared" si="2"/>
        <v>1164129.1810166668</v>
      </c>
      <c r="E32" s="20">
        <f t="shared" si="0"/>
        <v>92309.802900000243</v>
      </c>
      <c r="F32" s="21">
        <v>0</v>
      </c>
      <c r="G32" s="22">
        <f t="shared" si="3"/>
        <v>2320954.1035320051</v>
      </c>
      <c r="H32" s="23">
        <f t="shared" si="4"/>
        <v>918865.72958832071</v>
      </c>
      <c r="I32" s="12"/>
    </row>
    <row r="33" spans="1:16" ht="15" thickBot="1" x14ac:dyDescent="0.35">
      <c r="C33" s="28">
        <f>SUM(C7:C32)</f>
        <v>26948855.979899347</v>
      </c>
      <c r="D33" s="28">
        <f>SUM(D7:D32)</f>
        <v>29269810.083431341</v>
      </c>
      <c r="E33" s="28">
        <f>SUM(E7:E32)</f>
        <v>2320954.1035320051</v>
      </c>
      <c r="F33" s="21"/>
      <c r="G33" s="22">
        <v>0</v>
      </c>
      <c r="H33" s="29"/>
    </row>
    <row r="34" spans="1:16" ht="15" thickTop="1" x14ac:dyDescent="0.3">
      <c r="F34" s="16"/>
      <c r="G34" s="17">
        <v>0</v>
      </c>
      <c r="H34" s="18"/>
    </row>
    <row r="35" spans="1:16" x14ac:dyDescent="0.3">
      <c r="B35" s="30"/>
      <c r="C35" s="31"/>
      <c r="E35" s="32"/>
      <c r="F35" s="33"/>
      <c r="G35" s="22">
        <v>0</v>
      </c>
      <c r="H35" s="34"/>
    </row>
    <row r="36" spans="1:16" x14ac:dyDescent="0.3">
      <c r="A36" s="2" t="s">
        <v>11</v>
      </c>
      <c r="F36" s="16"/>
      <c r="G36" s="35">
        <v>0</v>
      </c>
      <c r="H36" s="18"/>
      <c r="I36" s="2"/>
    </row>
    <row r="37" spans="1:16" x14ac:dyDescent="0.3">
      <c r="B37" s="36">
        <v>7915895</v>
      </c>
      <c r="C37" s="1" t="s">
        <v>12</v>
      </c>
      <c r="F37" s="16"/>
      <c r="G37" s="35">
        <v>0</v>
      </c>
      <c r="H37" s="18"/>
    </row>
    <row r="38" spans="1:16" x14ac:dyDescent="0.3">
      <c r="B38" s="37">
        <v>2.7788461538461599E-2</v>
      </c>
      <c r="C38" s="38" t="s">
        <v>13</v>
      </c>
      <c r="F38" s="16"/>
      <c r="G38" s="17"/>
      <c r="H38" s="18"/>
    </row>
    <row r="39" spans="1:16" x14ac:dyDescent="0.3">
      <c r="B39" s="37">
        <v>2.7630769230769216E-2</v>
      </c>
      <c r="C39" s="38" t="s">
        <v>14</v>
      </c>
      <c r="F39" s="16"/>
      <c r="G39" s="17"/>
      <c r="H39" s="18"/>
      <c r="J39" s="38"/>
      <c r="K39" s="38"/>
      <c r="L39" s="38"/>
      <c r="M39" s="38"/>
      <c r="N39" s="38"/>
      <c r="O39" s="38"/>
      <c r="P39" s="38"/>
    </row>
    <row r="40" spans="1:16" x14ac:dyDescent="0.3">
      <c r="B40" s="19">
        <f>B37*B38/12*26</f>
        <v>476602.84479166771</v>
      </c>
      <c r="C40" s="1" t="s">
        <v>15</v>
      </c>
      <c r="F40" s="16"/>
      <c r="G40" s="17"/>
      <c r="H40" s="18"/>
    </row>
    <row r="41" spans="1:16" x14ac:dyDescent="0.3">
      <c r="B41" s="39">
        <f>B37*B39/12*26</f>
        <v>473898.24733333313</v>
      </c>
      <c r="C41" s="1" t="s">
        <v>16</v>
      </c>
      <c r="F41" s="16"/>
      <c r="G41" s="17"/>
      <c r="H41" s="18"/>
    </row>
    <row r="42" spans="1:16" x14ac:dyDescent="0.3">
      <c r="B42" s="40">
        <f>B40+B41</f>
        <v>950501.0921250009</v>
      </c>
      <c r="C42" s="2" t="s">
        <v>17</v>
      </c>
      <c r="F42" s="16"/>
      <c r="G42" s="17"/>
      <c r="H42" s="18"/>
    </row>
    <row r="43" spans="1:16" x14ac:dyDescent="0.3">
      <c r="B43" s="41">
        <v>2.0899999999999998E-2</v>
      </c>
      <c r="C43" t="s">
        <v>18</v>
      </c>
      <c r="F43" s="16"/>
      <c r="G43" s="17"/>
      <c r="H43" s="18"/>
    </row>
    <row r="44" spans="1:16" x14ac:dyDescent="0.3">
      <c r="B44" s="41"/>
      <c r="F44" s="9" t="s">
        <v>6</v>
      </c>
      <c r="G44" s="10" t="s">
        <v>7</v>
      </c>
      <c r="H44" s="11" t="s">
        <v>8</v>
      </c>
    </row>
    <row r="45" spans="1:16" ht="28.8" x14ac:dyDescent="0.3">
      <c r="A45" s="42"/>
      <c r="B45" s="43" t="s">
        <v>19</v>
      </c>
      <c r="C45" s="44" t="s">
        <v>20</v>
      </c>
      <c r="D45" s="44" t="s">
        <v>21</v>
      </c>
      <c r="E45" s="44" t="s">
        <v>22</v>
      </c>
      <c r="F45" s="9" t="s">
        <v>10</v>
      </c>
      <c r="G45" s="10" t="s">
        <v>10</v>
      </c>
      <c r="H45" s="11" t="s">
        <v>10</v>
      </c>
      <c r="I45" s="45" t="s">
        <v>23</v>
      </c>
      <c r="J45" s="45" t="s">
        <v>24</v>
      </c>
      <c r="K45" s="46" t="s">
        <v>25</v>
      </c>
    </row>
    <row r="46" spans="1:16" x14ac:dyDescent="0.3">
      <c r="A46" s="12">
        <v>40724</v>
      </c>
      <c r="B46" s="19">
        <f>$B$42*$B$43/12</f>
        <v>1655.4560687843766</v>
      </c>
      <c r="C46" s="20">
        <f>B46</f>
        <v>1655.4560687843766</v>
      </c>
      <c r="D46" s="20">
        <f>$B$42-C46</f>
        <v>948845.63605621655</v>
      </c>
      <c r="E46" s="47">
        <f>-(D46*$B$38/(+$B$38+$B$39)+K46)*0.3959</f>
        <v>-13822.89999525259</v>
      </c>
      <c r="F46" s="21">
        <f>-$B$42</f>
        <v>-950501.0921250009</v>
      </c>
      <c r="G46" s="22">
        <f>-C46</f>
        <v>-1655.4560687843766</v>
      </c>
      <c r="H46" s="48">
        <f>-E46</f>
        <v>13822.89999525259</v>
      </c>
      <c r="I46" s="31">
        <f t="shared" ref="I46:I52" si="5">+$B$40*0.525/7</f>
        <v>35745.213359375084</v>
      </c>
      <c r="J46" s="20">
        <f>+I46</f>
        <v>35745.213359375084</v>
      </c>
      <c r="K46" s="20">
        <f>-B40+J46</f>
        <v>-440857.63143229263</v>
      </c>
    </row>
    <row r="47" spans="1:16" x14ac:dyDescent="0.3">
      <c r="A47" s="12">
        <v>40755</v>
      </c>
      <c r="B47" s="19">
        <f>$B$42*$B$43/12</f>
        <v>1655.4560687843766</v>
      </c>
      <c r="C47" s="20">
        <f>C46+B47</f>
        <v>3310.9121375687532</v>
      </c>
      <c r="D47" s="20">
        <f t="shared" ref="D47:D71" si="6">$B$42-C47</f>
        <v>947190.1799874322</v>
      </c>
      <c r="E47" s="47">
        <f t="shared" ref="E47:E110" si="7">-(D47*$B$38/(+$B$38+$B$39)+K47)*0.3959</f>
        <v>-27645.799990505202</v>
      </c>
      <c r="F47" s="21">
        <f t="shared" ref="F47:F110" si="8">-$B$42</f>
        <v>-950501.0921250009</v>
      </c>
      <c r="G47" s="22">
        <f t="shared" ref="G47:G110" si="9">-C47</f>
        <v>-3310.9121375687532</v>
      </c>
      <c r="H47" s="48">
        <f t="shared" ref="H47:H110" si="10">-E47</f>
        <v>27645.799990505202</v>
      </c>
      <c r="I47" s="31">
        <f t="shared" si="5"/>
        <v>35745.213359375084</v>
      </c>
      <c r="J47" s="20">
        <f t="shared" ref="J47:J64" si="11">+I47+J46</f>
        <v>71490.426718750168</v>
      </c>
      <c r="K47" s="20">
        <f t="shared" ref="K47:K64" si="12">+K46+I47</f>
        <v>-405112.41807291756</v>
      </c>
    </row>
    <row r="48" spans="1:16" x14ac:dyDescent="0.3">
      <c r="A48" s="12">
        <v>40786</v>
      </c>
      <c r="B48" s="19">
        <f t="shared" ref="B48:B110" si="13">$B$42*$B$43/12</f>
        <v>1655.4560687843766</v>
      </c>
      <c r="C48" s="20">
        <f t="shared" ref="C48:C71" si="14">C47+B48</f>
        <v>4966.3682063531296</v>
      </c>
      <c r="D48" s="20">
        <f t="shared" si="6"/>
        <v>945534.72391864774</v>
      </c>
      <c r="E48" s="47">
        <f t="shared" si="7"/>
        <v>-41468.699985757747</v>
      </c>
      <c r="F48" s="21">
        <f t="shared" si="8"/>
        <v>-950501.0921250009</v>
      </c>
      <c r="G48" s="22">
        <f t="shared" si="9"/>
        <v>-4966.3682063531296</v>
      </c>
      <c r="H48" s="48">
        <f t="shared" si="10"/>
        <v>41468.699985757747</v>
      </c>
      <c r="I48" s="31">
        <f t="shared" si="5"/>
        <v>35745.213359375084</v>
      </c>
      <c r="J48" s="20">
        <f t="shared" si="11"/>
        <v>107235.64007812526</v>
      </c>
      <c r="K48" s="20">
        <f t="shared" si="12"/>
        <v>-369367.20471354248</v>
      </c>
    </row>
    <row r="49" spans="1:11" x14ac:dyDescent="0.3">
      <c r="A49" s="12">
        <v>40816</v>
      </c>
      <c r="B49" s="19">
        <f t="shared" si="13"/>
        <v>1655.4560687843766</v>
      </c>
      <c r="C49" s="20">
        <f t="shared" si="14"/>
        <v>6621.8242751375064</v>
      </c>
      <c r="D49" s="20">
        <f t="shared" si="6"/>
        <v>943879.26784986339</v>
      </c>
      <c r="E49" s="47">
        <f t="shared" si="7"/>
        <v>-55291.599981010339</v>
      </c>
      <c r="F49" s="21">
        <f t="shared" si="8"/>
        <v>-950501.0921250009</v>
      </c>
      <c r="G49" s="22">
        <f t="shared" si="9"/>
        <v>-6621.8242751375064</v>
      </c>
      <c r="H49" s="48">
        <f t="shared" si="10"/>
        <v>55291.599981010339</v>
      </c>
      <c r="I49" s="31">
        <f t="shared" si="5"/>
        <v>35745.213359375084</v>
      </c>
      <c r="J49" s="20">
        <f t="shared" si="11"/>
        <v>142980.85343750034</v>
      </c>
      <c r="K49" s="20">
        <f t="shared" si="12"/>
        <v>-333621.9913541674</v>
      </c>
    </row>
    <row r="50" spans="1:11" x14ac:dyDescent="0.3">
      <c r="A50" s="12">
        <v>40847</v>
      </c>
      <c r="B50" s="19">
        <f t="shared" si="13"/>
        <v>1655.4560687843766</v>
      </c>
      <c r="C50" s="20">
        <f t="shared" si="14"/>
        <v>8277.2803439218824</v>
      </c>
      <c r="D50" s="20">
        <f t="shared" si="6"/>
        <v>942223.81178107904</v>
      </c>
      <c r="E50" s="47">
        <f t="shared" si="7"/>
        <v>-69114.499976262901</v>
      </c>
      <c r="F50" s="21">
        <f t="shared" si="8"/>
        <v>-950501.0921250009</v>
      </c>
      <c r="G50" s="22">
        <f t="shared" si="9"/>
        <v>-8277.2803439218824</v>
      </c>
      <c r="H50" s="48">
        <f t="shared" si="10"/>
        <v>69114.499976262901</v>
      </c>
      <c r="I50" s="31">
        <f t="shared" si="5"/>
        <v>35745.213359375084</v>
      </c>
      <c r="J50" s="20">
        <f t="shared" si="11"/>
        <v>178726.06679687541</v>
      </c>
      <c r="K50" s="20">
        <f t="shared" si="12"/>
        <v>-297876.77799479233</v>
      </c>
    </row>
    <row r="51" spans="1:11" x14ac:dyDescent="0.3">
      <c r="A51" s="12">
        <v>40877</v>
      </c>
      <c r="B51" s="19">
        <f t="shared" si="13"/>
        <v>1655.4560687843766</v>
      </c>
      <c r="C51" s="20">
        <f t="shared" si="14"/>
        <v>9932.7364127062592</v>
      </c>
      <c r="D51" s="20">
        <f t="shared" si="6"/>
        <v>940568.35571229469</v>
      </c>
      <c r="E51" s="47">
        <f t="shared" si="7"/>
        <v>-82937.399971515493</v>
      </c>
      <c r="F51" s="21">
        <f t="shared" si="8"/>
        <v>-950501.0921250009</v>
      </c>
      <c r="G51" s="22">
        <f t="shared" si="9"/>
        <v>-9932.7364127062592</v>
      </c>
      <c r="H51" s="48">
        <f t="shared" si="10"/>
        <v>82937.399971515493</v>
      </c>
      <c r="I51" s="31">
        <f t="shared" si="5"/>
        <v>35745.213359375084</v>
      </c>
      <c r="J51" s="20">
        <f t="shared" si="11"/>
        <v>214471.28015625049</v>
      </c>
      <c r="K51" s="20">
        <f t="shared" si="12"/>
        <v>-262131.56463541725</v>
      </c>
    </row>
    <row r="52" spans="1:11" s="38" customFormat="1" x14ac:dyDescent="0.3">
      <c r="A52" s="49">
        <v>40908</v>
      </c>
      <c r="B52" s="39">
        <f t="shared" si="13"/>
        <v>1655.4560687843766</v>
      </c>
      <c r="C52" s="50">
        <f t="shared" si="14"/>
        <v>11588.192481490636</v>
      </c>
      <c r="D52" s="50">
        <f t="shared" si="6"/>
        <v>938912.89964351023</v>
      </c>
      <c r="E52" s="47">
        <f t="shared" si="7"/>
        <v>-96760.299966768056</v>
      </c>
      <c r="F52" s="51">
        <f t="shared" si="8"/>
        <v>-950501.0921250009</v>
      </c>
      <c r="G52" s="22">
        <f t="shared" si="9"/>
        <v>-11588.192481490636</v>
      </c>
      <c r="H52" s="23">
        <f t="shared" si="10"/>
        <v>96760.299966768056</v>
      </c>
      <c r="I52" s="31">
        <f t="shared" si="5"/>
        <v>35745.213359375084</v>
      </c>
      <c r="J52" s="20">
        <f t="shared" si="11"/>
        <v>250216.49351562557</v>
      </c>
      <c r="K52" s="20">
        <f t="shared" si="12"/>
        <v>-226386.35127604217</v>
      </c>
    </row>
    <row r="53" spans="1:11" s="38" customFormat="1" x14ac:dyDescent="0.3">
      <c r="A53" s="49">
        <v>40939</v>
      </c>
      <c r="B53" s="39">
        <f t="shared" si="13"/>
        <v>1655.4560687843766</v>
      </c>
      <c r="C53" s="50">
        <f t="shared" si="14"/>
        <v>13243.648550275013</v>
      </c>
      <c r="D53" s="50">
        <f t="shared" si="6"/>
        <v>937257.44357472588</v>
      </c>
      <c r="E53" s="47">
        <f t="shared" si="7"/>
        <v>-97178.55629696227</v>
      </c>
      <c r="F53" s="51">
        <f t="shared" si="8"/>
        <v>-950501.0921250009</v>
      </c>
      <c r="G53" s="22">
        <f t="shared" si="9"/>
        <v>-13243.648550275013</v>
      </c>
      <c r="H53" s="23">
        <f t="shared" si="10"/>
        <v>97178.55629696227</v>
      </c>
      <c r="I53" s="31">
        <f>+$B$40*0.0475/12</f>
        <v>1886.5529273003513</v>
      </c>
      <c r="J53" s="20">
        <f t="shared" si="11"/>
        <v>252103.04644292593</v>
      </c>
      <c r="K53" s="20">
        <f t="shared" si="12"/>
        <v>-224499.79834874181</v>
      </c>
    </row>
    <row r="54" spans="1:11" s="38" customFormat="1" x14ac:dyDescent="0.3">
      <c r="A54" s="49">
        <v>40968</v>
      </c>
      <c r="B54" s="39">
        <f t="shared" si="13"/>
        <v>1655.4560687843766</v>
      </c>
      <c r="C54" s="50">
        <f t="shared" si="14"/>
        <v>14899.10461905939</v>
      </c>
      <c r="D54" s="50">
        <f t="shared" si="6"/>
        <v>935601.98750594154</v>
      </c>
      <c r="E54" s="47">
        <f t="shared" si="7"/>
        <v>-97596.812627156483</v>
      </c>
      <c r="F54" s="51">
        <f t="shared" si="8"/>
        <v>-950501.0921250009</v>
      </c>
      <c r="G54" s="22">
        <f t="shared" si="9"/>
        <v>-14899.10461905939</v>
      </c>
      <c r="H54" s="23">
        <f t="shared" si="10"/>
        <v>97596.812627156483</v>
      </c>
      <c r="I54" s="31">
        <f t="shared" ref="I54:I64" si="15">+$B$40*0.0475/12</f>
        <v>1886.5529273003513</v>
      </c>
      <c r="J54" s="20">
        <f t="shared" si="11"/>
        <v>253989.59937022629</v>
      </c>
      <c r="K54" s="20">
        <f t="shared" si="12"/>
        <v>-222613.24542144145</v>
      </c>
    </row>
    <row r="55" spans="1:11" s="38" customFormat="1" x14ac:dyDescent="0.3">
      <c r="A55" s="49">
        <v>40999</v>
      </c>
      <c r="B55" s="39">
        <f t="shared" si="13"/>
        <v>1655.4560687843766</v>
      </c>
      <c r="C55" s="50">
        <f t="shared" si="14"/>
        <v>16554.560687843765</v>
      </c>
      <c r="D55" s="50">
        <f t="shared" si="6"/>
        <v>933946.53143715719</v>
      </c>
      <c r="E55" s="47">
        <f t="shared" si="7"/>
        <v>-98015.068957350697</v>
      </c>
      <c r="F55" s="51">
        <f t="shared" si="8"/>
        <v>-950501.0921250009</v>
      </c>
      <c r="G55" s="22">
        <f t="shared" si="9"/>
        <v>-16554.560687843765</v>
      </c>
      <c r="H55" s="23">
        <f t="shared" si="10"/>
        <v>98015.068957350697</v>
      </c>
      <c r="I55" s="31">
        <f t="shared" si="15"/>
        <v>1886.5529273003513</v>
      </c>
      <c r="J55" s="20">
        <f t="shared" si="11"/>
        <v>255876.15229752666</v>
      </c>
      <c r="K55" s="20">
        <f t="shared" si="12"/>
        <v>-220726.69249414108</v>
      </c>
    </row>
    <row r="56" spans="1:11" s="38" customFormat="1" x14ac:dyDescent="0.3">
      <c r="A56" s="49">
        <v>41029</v>
      </c>
      <c r="B56" s="39">
        <f t="shared" si="13"/>
        <v>1655.4560687843766</v>
      </c>
      <c r="C56" s="50">
        <f t="shared" si="14"/>
        <v>18210.016756628142</v>
      </c>
      <c r="D56" s="50">
        <f t="shared" si="6"/>
        <v>932291.07536837272</v>
      </c>
      <c r="E56" s="47">
        <f t="shared" si="7"/>
        <v>-98433.325287544852</v>
      </c>
      <c r="F56" s="51">
        <f t="shared" si="8"/>
        <v>-950501.0921250009</v>
      </c>
      <c r="G56" s="22">
        <f t="shared" si="9"/>
        <v>-18210.016756628142</v>
      </c>
      <c r="H56" s="23">
        <f t="shared" si="10"/>
        <v>98433.325287544852</v>
      </c>
      <c r="I56" s="31">
        <f t="shared" si="15"/>
        <v>1886.5529273003513</v>
      </c>
      <c r="J56" s="20">
        <f t="shared" si="11"/>
        <v>257762.70522482702</v>
      </c>
      <c r="K56" s="20">
        <f t="shared" si="12"/>
        <v>-218840.13956684072</v>
      </c>
    </row>
    <row r="57" spans="1:11" s="38" customFormat="1" x14ac:dyDescent="0.3">
      <c r="A57" s="49">
        <v>41060</v>
      </c>
      <c r="B57" s="39">
        <f t="shared" si="13"/>
        <v>1655.4560687843766</v>
      </c>
      <c r="C57" s="50">
        <f t="shared" si="14"/>
        <v>19865.472825412518</v>
      </c>
      <c r="D57" s="50">
        <f t="shared" si="6"/>
        <v>930635.61929958838</v>
      </c>
      <c r="E57" s="47">
        <f t="shared" si="7"/>
        <v>-98851.581617739066</v>
      </c>
      <c r="F57" s="51">
        <f t="shared" si="8"/>
        <v>-950501.0921250009</v>
      </c>
      <c r="G57" s="22">
        <f t="shared" si="9"/>
        <v>-19865.472825412518</v>
      </c>
      <c r="H57" s="23">
        <f t="shared" si="10"/>
        <v>98851.581617739066</v>
      </c>
      <c r="I57" s="31">
        <f t="shared" si="15"/>
        <v>1886.5529273003513</v>
      </c>
      <c r="J57" s="20">
        <f t="shared" si="11"/>
        <v>259649.25815212738</v>
      </c>
      <c r="K57" s="20">
        <f t="shared" si="12"/>
        <v>-216953.58663954036</v>
      </c>
    </row>
    <row r="58" spans="1:11" s="38" customFormat="1" x14ac:dyDescent="0.3">
      <c r="A58" s="49">
        <v>41090</v>
      </c>
      <c r="B58" s="39">
        <f t="shared" si="13"/>
        <v>1655.4560687843766</v>
      </c>
      <c r="C58" s="50">
        <f t="shared" si="14"/>
        <v>21520.928894196895</v>
      </c>
      <c r="D58" s="50">
        <f t="shared" si="6"/>
        <v>928980.16323080403</v>
      </c>
      <c r="E58" s="47">
        <f t="shared" si="7"/>
        <v>-99269.837947933294</v>
      </c>
      <c r="F58" s="51">
        <f t="shared" si="8"/>
        <v>-950501.0921250009</v>
      </c>
      <c r="G58" s="22">
        <f t="shared" si="9"/>
        <v>-21520.928894196895</v>
      </c>
      <c r="H58" s="23">
        <f t="shared" si="10"/>
        <v>99269.837947933294</v>
      </c>
      <c r="I58" s="31">
        <f t="shared" si="15"/>
        <v>1886.5529273003513</v>
      </c>
      <c r="J58" s="20">
        <f t="shared" si="11"/>
        <v>261535.81107942775</v>
      </c>
      <c r="K58" s="20">
        <f t="shared" si="12"/>
        <v>-215067.03371223999</v>
      </c>
    </row>
    <row r="59" spans="1:11" s="38" customFormat="1" x14ac:dyDescent="0.3">
      <c r="A59" s="49">
        <v>41121</v>
      </c>
      <c r="B59" s="39">
        <f t="shared" si="13"/>
        <v>1655.4560687843766</v>
      </c>
      <c r="C59" s="50">
        <f t="shared" si="14"/>
        <v>23176.384962981272</v>
      </c>
      <c r="D59" s="50">
        <f t="shared" si="6"/>
        <v>927324.70716201968</v>
      </c>
      <c r="E59" s="47">
        <f t="shared" si="7"/>
        <v>-99688.094278127493</v>
      </c>
      <c r="F59" s="51">
        <f t="shared" si="8"/>
        <v>-950501.0921250009</v>
      </c>
      <c r="G59" s="22">
        <f t="shared" si="9"/>
        <v>-23176.384962981272</v>
      </c>
      <c r="H59" s="23">
        <f t="shared" si="10"/>
        <v>99688.094278127493</v>
      </c>
      <c r="I59" s="31">
        <f t="shared" si="15"/>
        <v>1886.5529273003513</v>
      </c>
      <c r="J59" s="20">
        <f t="shared" si="11"/>
        <v>263422.36400672811</v>
      </c>
      <c r="K59" s="20">
        <f t="shared" si="12"/>
        <v>-213180.48078493963</v>
      </c>
    </row>
    <row r="60" spans="1:11" s="38" customFormat="1" x14ac:dyDescent="0.3">
      <c r="A60" s="49">
        <v>41152</v>
      </c>
      <c r="B60" s="39">
        <f t="shared" si="13"/>
        <v>1655.4560687843766</v>
      </c>
      <c r="C60" s="50">
        <f t="shared" si="14"/>
        <v>24831.841031765649</v>
      </c>
      <c r="D60" s="50">
        <f t="shared" si="6"/>
        <v>925669.25109323522</v>
      </c>
      <c r="E60" s="47">
        <f t="shared" si="7"/>
        <v>-100106.35060832168</v>
      </c>
      <c r="F60" s="51">
        <f t="shared" si="8"/>
        <v>-950501.0921250009</v>
      </c>
      <c r="G60" s="22">
        <f t="shared" si="9"/>
        <v>-24831.841031765649</v>
      </c>
      <c r="H60" s="23">
        <f t="shared" si="10"/>
        <v>100106.35060832168</v>
      </c>
      <c r="I60" s="31">
        <f t="shared" si="15"/>
        <v>1886.5529273003513</v>
      </c>
      <c r="J60" s="20">
        <f t="shared" si="11"/>
        <v>265308.91693402844</v>
      </c>
      <c r="K60" s="20">
        <f t="shared" si="12"/>
        <v>-211293.92785763927</v>
      </c>
    </row>
    <row r="61" spans="1:11" s="38" customFormat="1" x14ac:dyDescent="0.3">
      <c r="A61" s="49">
        <v>41182</v>
      </c>
      <c r="B61" s="39">
        <f t="shared" si="13"/>
        <v>1655.4560687843766</v>
      </c>
      <c r="C61" s="50">
        <f t="shared" si="14"/>
        <v>26487.297100550026</v>
      </c>
      <c r="D61" s="50">
        <f t="shared" si="6"/>
        <v>924013.79502445087</v>
      </c>
      <c r="E61" s="47">
        <f t="shared" si="7"/>
        <v>-100524.60693851586</v>
      </c>
      <c r="F61" s="51">
        <f t="shared" si="8"/>
        <v>-950501.0921250009</v>
      </c>
      <c r="G61" s="22">
        <f t="shared" si="9"/>
        <v>-26487.297100550026</v>
      </c>
      <c r="H61" s="23">
        <f t="shared" si="10"/>
        <v>100524.60693851586</v>
      </c>
      <c r="I61" s="31">
        <f t="shared" si="15"/>
        <v>1886.5529273003513</v>
      </c>
      <c r="J61" s="20">
        <f t="shared" si="11"/>
        <v>267195.46986132878</v>
      </c>
      <c r="K61" s="20">
        <f t="shared" si="12"/>
        <v>-209407.3749303389</v>
      </c>
    </row>
    <row r="62" spans="1:11" s="38" customFormat="1" x14ac:dyDescent="0.3">
      <c r="A62" s="49">
        <v>41213</v>
      </c>
      <c r="B62" s="39">
        <f t="shared" si="13"/>
        <v>1655.4560687843766</v>
      </c>
      <c r="C62" s="50">
        <f t="shared" si="14"/>
        <v>28142.753169334403</v>
      </c>
      <c r="D62" s="50">
        <f t="shared" si="6"/>
        <v>922358.33895566652</v>
      </c>
      <c r="E62" s="47">
        <f t="shared" si="7"/>
        <v>-100942.86326871008</v>
      </c>
      <c r="F62" s="51">
        <f t="shared" si="8"/>
        <v>-950501.0921250009</v>
      </c>
      <c r="G62" s="22">
        <f t="shared" si="9"/>
        <v>-28142.753169334403</v>
      </c>
      <c r="H62" s="23">
        <f t="shared" si="10"/>
        <v>100942.86326871008</v>
      </c>
      <c r="I62" s="31">
        <f t="shared" si="15"/>
        <v>1886.5529273003513</v>
      </c>
      <c r="J62" s="20">
        <f t="shared" si="11"/>
        <v>269082.02278862911</v>
      </c>
      <c r="K62" s="20">
        <f t="shared" si="12"/>
        <v>-207520.82200303854</v>
      </c>
    </row>
    <row r="63" spans="1:11" s="38" customFormat="1" x14ac:dyDescent="0.3">
      <c r="A63" s="49">
        <v>41243</v>
      </c>
      <c r="B63" s="39">
        <f t="shared" si="13"/>
        <v>1655.4560687843766</v>
      </c>
      <c r="C63" s="50">
        <f t="shared" si="14"/>
        <v>29798.209238118779</v>
      </c>
      <c r="D63" s="50">
        <f t="shared" si="6"/>
        <v>920702.88288688217</v>
      </c>
      <c r="E63" s="47">
        <f t="shared" si="7"/>
        <v>-101361.1195989043</v>
      </c>
      <c r="F63" s="51">
        <f t="shared" si="8"/>
        <v>-950501.0921250009</v>
      </c>
      <c r="G63" s="22">
        <f t="shared" si="9"/>
        <v>-29798.209238118779</v>
      </c>
      <c r="H63" s="23">
        <f t="shared" si="10"/>
        <v>101361.1195989043</v>
      </c>
      <c r="I63" s="31">
        <f t="shared" si="15"/>
        <v>1886.5529273003513</v>
      </c>
      <c r="J63" s="20">
        <f t="shared" si="11"/>
        <v>270968.57571592944</v>
      </c>
      <c r="K63" s="20">
        <f t="shared" si="12"/>
        <v>-205634.26907573818</v>
      </c>
    </row>
    <row r="64" spans="1:11" s="38" customFormat="1" x14ac:dyDescent="0.3">
      <c r="A64" s="49">
        <v>41274</v>
      </c>
      <c r="B64" s="39">
        <f t="shared" si="13"/>
        <v>1655.4560687843766</v>
      </c>
      <c r="C64" s="50">
        <f t="shared" si="14"/>
        <v>31453.665306903156</v>
      </c>
      <c r="D64" s="50">
        <f t="shared" si="6"/>
        <v>919047.42681809771</v>
      </c>
      <c r="E64" s="47">
        <f t="shared" si="7"/>
        <v>-101779.37592909847</v>
      </c>
      <c r="F64" s="51">
        <f t="shared" si="8"/>
        <v>-950501.0921250009</v>
      </c>
      <c r="G64" s="22">
        <f t="shared" si="9"/>
        <v>-31453.665306903156</v>
      </c>
      <c r="H64" s="23">
        <f t="shared" si="10"/>
        <v>101779.37592909847</v>
      </c>
      <c r="I64" s="31">
        <f t="shared" si="15"/>
        <v>1886.5529273003513</v>
      </c>
      <c r="J64" s="20">
        <f t="shared" si="11"/>
        <v>272855.12864322978</v>
      </c>
      <c r="K64" s="20">
        <f t="shared" si="12"/>
        <v>-203747.71614843782</v>
      </c>
    </row>
    <row r="65" spans="1:11" x14ac:dyDescent="0.3">
      <c r="A65" s="12">
        <v>41305</v>
      </c>
      <c r="B65" s="19">
        <f t="shared" si="13"/>
        <v>1655.4560687843766</v>
      </c>
      <c r="C65" s="20">
        <f t="shared" si="14"/>
        <v>33109.12137568753</v>
      </c>
      <c r="D65" s="20">
        <f t="shared" si="6"/>
        <v>917391.97074931336</v>
      </c>
      <c r="E65" s="47">
        <f t="shared" si="7"/>
        <v>-102122.94362890086</v>
      </c>
      <c r="F65" s="51">
        <f t="shared" si="8"/>
        <v>-950501.0921250009</v>
      </c>
      <c r="G65" s="35">
        <f t="shared" si="9"/>
        <v>-33109.12137568753</v>
      </c>
      <c r="H65" s="23">
        <f t="shared" si="10"/>
        <v>102122.94362890086</v>
      </c>
      <c r="I65" s="52">
        <f>+$B$40*0.04275/12</f>
        <v>1697.8976345703165</v>
      </c>
      <c r="J65" s="50">
        <f>+I65+J64</f>
        <v>274553.02627780009</v>
      </c>
      <c r="K65" s="50">
        <f>+K64+I65</f>
        <v>-202049.8185138675</v>
      </c>
    </row>
    <row r="66" spans="1:11" x14ac:dyDescent="0.3">
      <c r="A66" s="12">
        <v>41333</v>
      </c>
      <c r="B66" s="19">
        <f t="shared" si="13"/>
        <v>1655.4560687843766</v>
      </c>
      <c r="C66" s="20">
        <f t="shared" si="14"/>
        <v>34764.577444471906</v>
      </c>
      <c r="D66" s="20">
        <f t="shared" si="6"/>
        <v>915736.51468052901</v>
      </c>
      <c r="E66" s="47">
        <f t="shared" si="7"/>
        <v>-102466.51132870324</v>
      </c>
      <c r="F66" s="51">
        <f t="shared" si="8"/>
        <v>-950501.0921250009</v>
      </c>
      <c r="G66" s="35">
        <f t="shared" si="9"/>
        <v>-34764.577444471906</v>
      </c>
      <c r="H66" s="23">
        <f t="shared" si="10"/>
        <v>102466.51132870324</v>
      </c>
      <c r="I66" s="52">
        <f t="shared" ref="I66:I124" si="16">+$B$40*0.04275/12</f>
        <v>1697.8976345703165</v>
      </c>
      <c r="J66" s="50">
        <f t="shared" ref="J66:J124" si="17">+I66+J65</f>
        <v>276250.9239123704</v>
      </c>
      <c r="K66" s="50">
        <f t="shared" ref="K66:K124" si="18">+K65+I66</f>
        <v>-200351.92087929719</v>
      </c>
    </row>
    <row r="67" spans="1:11" x14ac:dyDescent="0.3">
      <c r="A67" s="12">
        <v>41364</v>
      </c>
      <c r="B67" s="19">
        <f t="shared" si="13"/>
        <v>1655.4560687843766</v>
      </c>
      <c r="C67" s="20">
        <f t="shared" si="14"/>
        <v>36420.033513256283</v>
      </c>
      <c r="D67" s="20">
        <f t="shared" si="6"/>
        <v>914081.05861174467</v>
      </c>
      <c r="E67" s="47">
        <f t="shared" si="7"/>
        <v>-102810.0790285056</v>
      </c>
      <c r="F67" s="51">
        <f t="shared" si="8"/>
        <v>-950501.0921250009</v>
      </c>
      <c r="G67" s="35">
        <f t="shared" si="9"/>
        <v>-36420.033513256283</v>
      </c>
      <c r="H67" s="23">
        <f t="shared" si="10"/>
        <v>102810.0790285056</v>
      </c>
      <c r="I67" s="52">
        <f t="shared" si="16"/>
        <v>1697.8976345703165</v>
      </c>
      <c r="J67" s="50">
        <f t="shared" si="17"/>
        <v>277948.82154694072</v>
      </c>
      <c r="K67" s="50">
        <f t="shared" si="18"/>
        <v>-198654.02324472688</v>
      </c>
    </row>
    <row r="68" spans="1:11" x14ac:dyDescent="0.3">
      <c r="A68" s="12">
        <v>41394</v>
      </c>
      <c r="B68" s="19">
        <f t="shared" si="13"/>
        <v>1655.4560687843766</v>
      </c>
      <c r="C68" s="20">
        <f t="shared" si="14"/>
        <v>38075.48958204066</v>
      </c>
      <c r="D68" s="20">
        <f t="shared" si="6"/>
        <v>912425.6025429602</v>
      </c>
      <c r="E68" s="47">
        <f t="shared" si="7"/>
        <v>-103153.64672830798</v>
      </c>
      <c r="F68" s="51">
        <f t="shared" si="8"/>
        <v>-950501.0921250009</v>
      </c>
      <c r="G68" s="35">
        <f t="shared" si="9"/>
        <v>-38075.48958204066</v>
      </c>
      <c r="H68" s="23">
        <f t="shared" si="10"/>
        <v>103153.64672830798</v>
      </c>
      <c r="I68" s="52">
        <f t="shared" si="16"/>
        <v>1697.8976345703165</v>
      </c>
      <c r="J68" s="50">
        <f t="shared" si="17"/>
        <v>279646.71918151103</v>
      </c>
      <c r="K68" s="50">
        <f t="shared" si="18"/>
        <v>-196956.12561015657</v>
      </c>
    </row>
    <row r="69" spans="1:11" x14ac:dyDescent="0.3">
      <c r="A69" s="12">
        <v>41425</v>
      </c>
      <c r="B69" s="19">
        <f t="shared" si="13"/>
        <v>1655.4560687843766</v>
      </c>
      <c r="C69" s="20">
        <f t="shared" si="14"/>
        <v>39730.945650825037</v>
      </c>
      <c r="D69" s="20">
        <f t="shared" si="6"/>
        <v>910770.14647417585</v>
      </c>
      <c r="E69" s="47">
        <f t="shared" si="7"/>
        <v>-103497.21442811037</v>
      </c>
      <c r="F69" s="51">
        <f t="shared" si="8"/>
        <v>-950501.0921250009</v>
      </c>
      <c r="G69" s="35">
        <f t="shared" si="9"/>
        <v>-39730.945650825037</v>
      </c>
      <c r="H69" s="23">
        <f t="shared" si="10"/>
        <v>103497.21442811037</v>
      </c>
      <c r="I69" s="52">
        <f t="shared" si="16"/>
        <v>1697.8976345703165</v>
      </c>
      <c r="J69" s="50">
        <f t="shared" si="17"/>
        <v>281344.61681608134</v>
      </c>
      <c r="K69" s="50">
        <f t="shared" si="18"/>
        <v>-195258.22797558625</v>
      </c>
    </row>
    <row r="70" spans="1:11" x14ac:dyDescent="0.3">
      <c r="A70" s="12">
        <v>41455</v>
      </c>
      <c r="B70" s="19">
        <f t="shared" si="13"/>
        <v>1655.4560687843766</v>
      </c>
      <c r="C70" s="20">
        <f t="shared" si="14"/>
        <v>41386.401719609414</v>
      </c>
      <c r="D70" s="20">
        <f t="shared" si="6"/>
        <v>909114.69040539151</v>
      </c>
      <c r="E70" s="47">
        <f t="shared" si="7"/>
        <v>-103840.78212791274</v>
      </c>
      <c r="F70" s="51">
        <f t="shared" si="8"/>
        <v>-950501.0921250009</v>
      </c>
      <c r="G70" s="35">
        <f t="shared" si="9"/>
        <v>-41386.401719609414</v>
      </c>
      <c r="H70" s="23">
        <f t="shared" si="10"/>
        <v>103840.78212791274</v>
      </c>
      <c r="I70" s="52">
        <f t="shared" si="16"/>
        <v>1697.8976345703165</v>
      </c>
      <c r="J70" s="50">
        <f t="shared" si="17"/>
        <v>283042.51445065165</v>
      </c>
      <c r="K70" s="50">
        <f t="shared" si="18"/>
        <v>-193560.33034101594</v>
      </c>
    </row>
    <row r="71" spans="1:11" x14ac:dyDescent="0.3">
      <c r="A71" s="12">
        <v>41486</v>
      </c>
      <c r="B71" s="19">
        <f t="shared" si="13"/>
        <v>1655.4560687843766</v>
      </c>
      <c r="C71" s="20">
        <f t="shared" si="14"/>
        <v>43041.857788393791</v>
      </c>
      <c r="D71" s="20">
        <f t="shared" si="6"/>
        <v>907459.23433660716</v>
      </c>
      <c r="E71" s="47">
        <f t="shared" si="7"/>
        <v>-104184.34982771512</v>
      </c>
      <c r="F71" s="51">
        <f t="shared" si="8"/>
        <v>-950501.0921250009</v>
      </c>
      <c r="G71" s="35">
        <f t="shared" si="9"/>
        <v>-43041.857788393791</v>
      </c>
      <c r="H71" s="23">
        <f t="shared" si="10"/>
        <v>104184.34982771512</v>
      </c>
      <c r="I71" s="52">
        <f t="shared" si="16"/>
        <v>1697.8976345703165</v>
      </c>
      <c r="J71" s="50">
        <f t="shared" si="17"/>
        <v>284740.41208522196</v>
      </c>
      <c r="K71" s="50">
        <f t="shared" si="18"/>
        <v>-191862.43270644563</v>
      </c>
    </row>
    <row r="72" spans="1:11" x14ac:dyDescent="0.3">
      <c r="A72" s="12">
        <v>41517</v>
      </c>
      <c r="B72" s="19">
        <f t="shared" si="13"/>
        <v>1655.4560687843766</v>
      </c>
      <c r="C72" s="20">
        <f>C71+B72</f>
        <v>44697.313857178167</v>
      </c>
      <c r="D72" s="20">
        <f>$B$42-C72</f>
        <v>905803.77826782269</v>
      </c>
      <c r="E72" s="47">
        <f t="shared" si="7"/>
        <v>-104527.91752751748</v>
      </c>
      <c r="F72" s="51">
        <f t="shared" si="8"/>
        <v>-950501.0921250009</v>
      </c>
      <c r="G72" s="35">
        <f t="shared" si="9"/>
        <v>-44697.313857178167</v>
      </c>
      <c r="H72" s="23">
        <f t="shared" si="10"/>
        <v>104527.91752751748</v>
      </c>
      <c r="I72" s="52">
        <f t="shared" si="16"/>
        <v>1697.8976345703165</v>
      </c>
      <c r="J72" s="50">
        <f t="shared" si="17"/>
        <v>286438.30971979228</v>
      </c>
      <c r="K72" s="50">
        <f t="shared" si="18"/>
        <v>-190164.53507187532</v>
      </c>
    </row>
    <row r="73" spans="1:11" x14ac:dyDescent="0.3">
      <c r="A73" s="12">
        <v>41547</v>
      </c>
      <c r="B73" s="19">
        <f t="shared" si="13"/>
        <v>1655.4560687843766</v>
      </c>
      <c r="C73" s="20">
        <f>C72+B73</f>
        <v>46352.769925962544</v>
      </c>
      <c r="D73" s="20">
        <f>$B$42-C73</f>
        <v>904148.32219903835</v>
      </c>
      <c r="E73" s="47">
        <f t="shared" si="7"/>
        <v>-104871.48522731986</v>
      </c>
      <c r="F73" s="51">
        <f t="shared" si="8"/>
        <v>-950501.0921250009</v>
      </c>
      <c r="G73" s="35">
        <f t="shared" si="9"/>
        <v>-46352.769925962544</v>
      </c>
      <c r="H73" s="23">
        <f t="shared" si="10"/>
        <v>104871.48522731986</v>
      </c>
      <c r="I73" s="52">
        <f t="shared" si="16"/>
        <v>1697.8976345703165</v>
      </c>
      <c r="J73" s="50">
        <f t="shared" si="17"/>
        <v>288136.20735436259</v>
      </c>
      <c r="K73" s="50">
        <f t="shared" si="18"/>
        <v>-188466.63743730501</v>
      </c>
    </row>
    <row r="74" spans="1:11" x14ac:dyDescent="0.3">
      <c r="A74" s="12">
        <v>41578</v>
      </c>
      <c r="B74" s="19">
        <f t="shared" si="13"/>
        <v>1655.4560687843766</v>
      </c>
      <c r="C74" s="20">
        <f>C73+B74</f>
        <v>48008.225994746921</v>
      </c>
      <c r="D74" s="20">
        <f>$B$42-C74</f>
        <v>902492.866130254</v>
      </c>
      <c r="E74" s="47">
        <f t="shared" si="7"/>
        <v>-105215.05292712225</v>
      </c>
      <c r="F74" s="51">
        <f t="shared" si="8"/>
        <v>-950501.0921250009</v>
      </c>
      <c r="G74" s="35">
        <f t="shared" si="9"/>
        <v>-48008.225994746921</v>
      </c>
      <c r="H74" s="23">
        <f t="shared" si="10"/>
        <v>105215.05292712225</v>
      </c>
      <c r="I74" s="52">
        <f t="shared" si="16"/>
        <v>1697.8976345703165</v>
      </c>
      <c r="J74" s="50">
        <f t="shared" si="17"/>
        <v>289834.1049889329</v>
      </c>
      <c r="K74" s="50">
        <f t="shared" si="18"/>
        <v>-186768.73980273469</v>
      </c>
    </row>
    <row r="75" spans="1:11" x14ac:dyDescent="0.3">
      <c r="A75" s="12">
        <v>41608</v>
      </c>
      <c r="B75" s="19">
        <f t="shared" si="13"/>
        <v>1655.4560687843766</v>
      </c>
      <c r="C75" s="20">
        <f>C74+B75</f>
        <v>49663.682063531298</v>
      </c>
      <c r="D75" s="20">
        <f>$B$42-C75</f>
        <v>900837.41006146965</v>
      </c>
      <c r="E75" s="47">
        <f t="shared" si="7"/>
        <v>-105558.6206269246</v>
      </c>
      <c r="F75" s="51">
        <f t="shared" si="8"/>
        <v>-950501.0921250009</v>
      </c>
      <c r="G75" s="35">
        <f t="shared" si="9"/>
        <v>-49663.682063531298</v>
      </c>
      <c r="H75" s="23">
        <f t="shared" si="10"/>
        <v>105558.6206269246</v>
      </c>
      <c r="I75" s="52">
        <f t="shared" si="16"/>
        <v>1697.8976345703165</v>
      </c>
      <c r="J75" s="50">
        <f t="shared" si="17"/>
        <v>291532.00262350321</v>
      </c>
      <c r="K75" s="50">
        <f t="shared" si="18"/>
        <v>-185070.84216816438</v>
      </c>
    </row>
    <row r="76" spans="1:11" x14ac:dyDescent="0.3">
      <c r="A76" s="12">
        <v>41639</v>
      </c>
      <c r="B76" s="19">
        <f t="shared" si="13"/>
        <v>1655.4560687843766</v>
      </c>
      <c r="C76" s="20">
        <f>C75+B76</f>
        <v>51319.138132315675</v>
      </c>
      <c r="D76" s="20">
        <f>$B$42-C76</f>
        <v>899181.95399268519</v>
      </c>
      <c r="E76" s="47">
        <f t="shared" si="7"/>
        <v>-105902.18832672697</v>
      </c>
      <c r="F76" s="51">
        <f t="shared" si="8"/>
        <v>-950501.0921250009</v>
      </c>
      <c r="G76" s="35">
        <f t="shared" si="9"/>
        <v>-51319.138132315675</v>
      </c>
      <c r="H76" s="23">
        <f t="shared" si="10"/>
        <v>105902.18832672697</v>
      </c>
      <c r="I76" s="52">
        <f t="shared" si="16"/>
        <v>1697.8976345703165</v>
      </c>
      <c r="J76" s="50">
        <f t="shared" si="17"/>
        <v>293229.90025807353</v>
      </c>
      <c r="K76" s="50">
        <f t="shared" si="18"/>
        <v>-183372.94453359407</v>
      </c>
    </row>
    <row r="77" spans="1:11" x14ac:dyDescent="0.3">
      <c r="A77" s="12">
        <v>41670</v>
      </c>
      <c r="B77" s="19">
        <f t="shared" si="13"/>
        <v>1655.4560687843766</v>
      </c>
      <c r="C77" s="20">
        <f t="shared" ref="C77:C88" si="19">C76+B77</f>
        <v>52974.594201100052</v>
      </c>
      <c r="D77" s="20">
        <f t="shared" ref="D77:D88" si="20">$B$42-C77</f>
        <v>897526.49792390084</v>
      </c>
      <c r="E77" s="47">
        <f t="shared" si="7"/>
        <v>-106245.75602652936</v>
      </c>
      <c r="F77" s="51">
        <f t="shared" si="8"/>
        <v>-950501.0921250009</v>
      </c>
      <c r="G77" s="35">
        <f t="shared" si="9"/>
        <v>-52974.594201100052</v>
      </c>
      <c r="H77" s="23">
        <f t="shared" si="10"/>
        <v>106245.75602652936</v>
      </c>
      <c r="I77" s="52">
        <f t="shared" si="16"/>
        <v>1697.8976345703165</v>
      </c>
      <c r="J77" s="50">
        <f t="shared" si="17"/>
        <v>294927.79789264384</v>
      </c>
      <c r="K77" s="50">
        <f t="shared" si="18"/>
        <v>-181675.04689902376</v>
      </c>
    </row>
    <row r="78" spans="1:11" x14ac:dyDescent="0.3">
      <c r="A78" s="12">
        <v>41698</v>
      </c>
      <c r="B78" s="19">
        <f t="shared" si="13"/>
        <v>1655.4560687843766</v>
      </c>
      <c r="C78" s="20">
        <f t="shared" si="19"/>
        <v>54630.050269884428</v>
      </c>
      <c r="D78" s="20">
        <f t="shared" si="20"/>
        <v>895871.04185511649</v>
      </c>
      <c r="E78" s="47">
        <f t="shared" si="7"/>
        <v>-106589.32372633174</v>
      </c>
      <c r="F78" s="51">
        <f t="shared" si="8"/>
        <v>-950501.0921250009</v>
      </c>
      <c r="G78" s="35">
        <f t="shared" si="9"/>
        <v>-54630.050269884428</v>
      </c>
      <c r="H78" s="23">
        <f t="shared" si="10"/>
        <v>106589.32372633174</v>
      </c>
      <c r="I78" s="52">
        <f t="shared" si="16"/>
        <v>1697.8976345703165</v>
      </c>
      <c r="J78" s="50">
        <f t="shared" si="17"/>
        <v>296625.69552721415</v>
      </c>
      <c r="K78" s="50">
        <f t="shared" si="18"/>
        <v>-179977.14926445344</v>
      </c>
    </row>
    <row r="79" spans="1:11" x14ac:dyDescent="0.3">
      <c r="A79" s="12">
        <v>41729</v>
      </c>
      <c r="B79" s="19">
        <f t="shared" si="13"/>
        <v>1655.4560687843766</v>
      </c>
      <c r="C79" s="20">
        <f t="shared" si="19"/>
        <v>56285.506338668805</v>
      </c>
      <c r="D79" s="20">
        <f t="shared" si="20"/>
        <v>894215.58578633214</v>
      </c>
      <c r="E79" s="47">
        <f t="shared" si="7"/>
        <v>-106932.89142613413</v>
      </c>
      <c r="F79" s="51">
        <f t="shared" si="8"/>
        <v>-950501.0921250009</v>
      </c>
      <c r="G79" s="35">
        <f t="shared" si="9"/>
        <v>-56285.506338668805</v>
      </c>
      <c r="H79" s="23">
        <f t="shared" si="10"/>
        <v>106932.89142613413</v>
      </c>
      <c r="I79" s="52">
        <f t="shared" si="16"/>
        <v>1697.8976345703165</v>
      </c>
      <c r="J79" s="50">
        <f t="shared" si="17"/>
        <v>298323.59316178446</v>
      </c>
      <c r="K79" s="50">
        <f t="shared" si="18"/>
        <v>-178279.25162988313</v>
      </c>
    </row>
    <row r="80" spans="1:11" x14ac:dyDescent="0.3">
      <c r="A80" s="12">
        <v>41759</v>
      </c>
      <c r="B80" s="19">
        <f t="shared" si="13"/>
        <v>1655.4560687843766</v>
      </c>
      <c r="C80" s="20">
        <f t="shared" si="19"/>
        <v>57940.962407453182</v>
      </c>
      <c r="D80" s="20">
        <f t="shared" si="20"/>
        <v>892560.12971754768</v>
      </c>
      <c r="E80" s="47">
        <f t="shared" si="7"/>
        <v>-107276.45912593648</v>
      </c>
      <c r="F80" s="51">
        <f t="shared" si="8"/>
        <v>-950501.0921250009</v>
      </c>
      <c r="G80" s="35">
        <f t="shared" si="9"/>
        <v>-57940.962407453182</v>
      </c>
      <c r="H80" s="23">
        <f t="shared" si="10"/>
        <v>107276.45912593648</v>
      </c>
      <c r="I80" s="52">
        <f t="shared" si="16"/>
        <v>1697.8976345703165</v>
      </c>
      <c r="J80" s="50">
        <f t="shared" si="17"/>
        <v>300021.49079635477</v>
      </c>
      <c r="K80" s="50">
        <f t="shared" si="18"/>
        <v>-176581.35399531282</v>
      </c>
    </row>
    <row r="81" spans="1:11" x14ac:dyDescent="0.3">
      <c r="A81" s="12">
        <v>41790</v>
      </c>
      <c r="B81" s="19">
        <f t="shared" si="13"/>
        <v>1655.4560687843766</v>
      </c>
      <c r="C81" s="20">
        <f t="shared" si="19"/>
        <v>59596.418476237559</v>
      </c>
      <c r="D81" s="20">
        <f t="shared" si="20"/>
        <v>890904.67364876333</v>
      </c>
      <c r="E81" s="47">
        <f t="shared" si="7"/>
        <v>-107620.02682573884</v>
      </c>
      <c r="F81" s="51">
        <f t="shared" si="8"/>
        <v>-950501.0921250009</v>
      </c>
      <c r="G81" s="35">
        <f t="shared" si="9"/>
        <v>-59596.418476237559</v>
      </c>
      <c r="H81" s="23">
        <f t="shared" si="10"/>
        <v>107620.02682573884</v>
      </c>
      <c r="I81" s="52">
        <f t="shared" si="16"/>
        <v>1697.8976345703165</v>
      </c>
      <c r="J81" s="50">
        <f t="shared" si="17"/>
        <v>301719.38843092509</v>
      </c>
      <c r="K81" s="50">
        <f t="shared" si="18"/>
        <v>-174883.45636074251</v>
      </c>
    </row>
    <row r="82" spans="1:11" x14ac:dyDescent="0.3">
      <c r="A82" s="12">
        <v>41820</v>
      </c>
      <c r="B82" s="19">
        <f t="shared" si="13"/>
        <v>1655.4560687843766</v>
      </c>
      <c r="C82" s="20">
        <f t="shared" si="19"/>
        <v>61251.874545021936</v>
      </c>
      <c r="D82" s="20">
        <f t="shared" si="20"/>
        <v>889249.21757997898</v>
      </c>
      <c r="E82" s="47">
        <f t="shared" si="7"/>
        <v>-107963.59452554122</v>
      </c>
      <c r="F82" s="51">
        <f t="shared" si="8"/>
        <v>-950501.0921250009</v>
      </c>
      <c r="G82" s="35">
        <f t="shared" si="9"/>
        <v>-61251.874545021936</v>
      </c>
      <c r="H82" s="23">
        <f t="shared" si="10"/>
        <v>107963.59452554122</v>
      </c>
      <c r="I82" s="52">
        <f t="shared" si="16"/>
        <v>1697.8976345703165</v>
      </c>
      <c r="J82" s="50">
        <f t="shared" si="17"/>
        <v>303417.2860654954</v>
      </c>
      <c r="K82" s="50">
        <f t="shared" si="18"/>
        <v>-173185.5587261722</v>
      </c>
    </row>
    <row r="83" spans="1:11" x14ac:dyDescent="0.3">
      <c r="A83" s="12">
        <v>41851</v>
      </c>
      <c r="B83" s="19">
        <f t="shared" si="13"/>
        <v>1655.4560687843766</v>
      </c>
      <c r="C83" s="20">
        <f t="shared" si="19"/>
        <v>62907.330613806313</v>
      </c>
      <c r="D83" s="20">
        <f t="shared" si="20"/>
        <v>887593.76151119464</v>
      </c>
      <c r="E83" s="47">
        <f t="shared" si="7"/>
        <v>-108307.16222534361</v>
      </c>
      <c r="F83" s="51">
        <f t="shared" si="8"/>
        <v>-950501.0921250009</v>
      </c>
      <c r="G83" s="35">
        <f t="shared" si="9"/>
        <v>-62907.330613806313</v>
      </c>
      <c r="H83" s="23">
        <f t="shared" si="10"/>
        <v>108307.16222534361</v>
      </c>
      <c r="I83" s="52">
        <f t="shared" si="16"/>
        <v>1697.8976345703165</v>
      </c>
      <c r="J83" s="50">
        <f t="shared" si="17"/>
        <v>305115.18370006571</v>
      </c>
      <c r="K83" s="50">
        <f t="shared" si="18"/>
        <v>-171487.66109160188</v>
      </c>
    </row>
    <row r="84" spans="1:11" x14ac:dyDescent="0.3">
      <c r="A84" s="12">
        <v>41882</v>
      </c>
      <c r="B84" s="19">
        <f t="shared" si="13"/>
        <v>1655.4560687843766</v>
      </c>
      <c r="C84" s="20">
        <f t="shared" si="19"/>
        <v>64562.786682590689</v>
      </c>
      <c r="D84" s="20">
        <f t="shared" si="20"/>
        <v>885938.30544241017</v>
      </c>
      <c r="E84" s="47">
        <f t="shared" si="7"/>
        <v>-108650.72992514598</v>
      </c>
      <c r="F84" s="51">
        <f t="shared" si="8"/>
        <v>-950501.0921250009</v>
      </c>
      <c r="G84" s="35">
        <f t="shared" si="9"/>
        <v>-64562.786682590689</v>
      </c>
      <c r="H84" s="23">
        <f t="shared" si="10"/>
        <v>108650.72992514598</v>
      </c>
      <c r="I84" s="52">
        <f t="shared" si="16"/>
        <v>1697.8976345703165</v>
      </c>
      <c r="J84" s="50">
        <f t="shared" si="17"/>
        <v>306813.08133463602</v>
      </c>
      <c r="K84" s="50">
        <f t="shared" si="18"/>
        <v>-169789.76345703157</v>
      </c>
    </row>
    <row r="85" spans="1:11" x14ac:dyDescent="0.3">
      <c r="A85" s="12">
        <v>41912</v>
      </c>
      <c r="B85" s="19">
        <f t="shared" si="13"/>
        <v>1655.4560687843766</v>
      </c>
      <c r="C85" s="20">
        <f t="shared" si="19"/>
        <v>66218.242751375059</v>
      </c>
      <c r="D85" s="20">
        <f t="shared" si="20"/>
        <v>884282.84937362582</v>
      </c>
      <c r="E85" s="47">
        <f t="shared" si="7"/>
        <v>-108994.29762494836</v>
      </c>
      <c r="F85" s="51">
        <f t="shared" si="8"/>
        <v>-950501.0921250009</v>
      </c>
      <c r="G85" s="35">
        <f t="shared" si="9"/>
        <v>-66218.242751375059</v>
      </c>
      <c r="H85" s="23">
        <f t="shared" si="10"/>
        <v>108994.29762494836</v>
      </c>
      <c r="I85" s="52">
        <f t="shared" si="16"/>
        <v>1697.8976345703165</v>
      </c>
      <c r="J85" s="50">
        <f t="shared" si="17"/>
        <v>308510.97896920634</v>
      </c>
      <c r="K85" s="50">
        <f t="shared" si="18"/>
        <v>-168091.86582246126</v>
      </c>
    </row>
    <row r="86" spans="1:11" x14ac:dyDescent="0.3">
      <c r="A86" s="12">
        <v>41943</v>
      </c>
      <c r="B86" s="19">
        <f t="shared" si="13"/>
        <v>1655.4560687843766</v>
      </c>
      <c r="C86" s="20">
        <f t="shared" si="19"/>
        <v>67873.698820159436</v>
      </c>
      <c r="D86" s="20">
        <f t="shared" si="20"/>
        <v>882627.39330484148</v>
      </c>
      <c r="E86" s="47">
        <f t="shared" si="7"/>
        <v>-109337.86532475072</v>
      </c>
      <c r="F86" s="51">
        <f t="shared" si="8"/>
        <v>-950501.0921250009</v>
      </c>
      <c r="G86" s="35">
        <f t="shared" si="9"/>
        <v>-67873.698820159436</v>
      </c>
      <c r="H86" s="23">
        <f t="shared" si="10"/>
        <v>109337.86532475072</v>
      </c>
      <c r="I86" s="52">
        <f t="shared" si="16"/>
        <v>1697.8976345703165</v>
      </c>
      <c r="J86" s="50">
        <f t="shared" si="17"/>
        <v>310208.87660377665</v>
      </c>
      <c r="K86" s="50">
        <f t="shared" si="18"/>
        <v>-166393.96818789095</v>
      </c>
    </row>
    <row r="87" spans="1:11" x14ac:dyDescent="0.3">
      <c r="A87" s="12">
        <v>41973</v>
      </c>
      <c r="B87" s="19">
        <f t="shared" si="13"/>
        <v>1655.4560687843766</v>
      </c>
      <c r="C87" s="20">
        <f t="shared" si="19"/>
        <v>69529.154888943813</v>
      </c>
      <c r="D87" s="20">
        <f t="shared" si="20"/>
        <v>880971.93723605713</v>
      </c>
      <c r="E87" s="47">
        <f t="shared" si="7"/>
        <v>-109681.4330245531</v>
      </c>
      <c r="F87" s="51">
        <f t="shared" si="8"/>
        <v>-950501.0921250009</v>
      </c>
      <c r="G87" s="35">
        <f t="shared" si="9"/>
        <v>-69529.154888943813</v>
      </c>
      <c r="H87" s="23">
        <f t="shared" si="10"/>
        <v>109681.4330245531</v>
      </c>
      <c r="I87" s="52">
        <f t="shared" si="16"/>
        <v>1697.8976345703165</v>
      </c>
      <c r="J87" s="50">
        <f t="shared" si="17"/>
        <v>311906.77423834696</v>
      </c>
      <c r="K87" s="50">
        <f t="shared" si="18"/>
        <v>-164696.07055332063</v>
      </c>
    </row>
    <row r="88" spans="1:11" x14ac:dyDescent="0.3">
      <c r="A88" s="12">
        <v>42004</v>
      </c>
      <c r="B88" s="19">
        <f t="shared" si="13"/>
        <v>1655.4560687843766</v>
      </c>
      <c r="C88" s="20">
        <f t="shared" si="19"/>
        <v>71184.61095772819</v>
      </c>
      <c r="D88" s="20">
        <f t="shared" si="20"/>
        <v>879316.48116727266</v>
      </c>
      <c r="E88" s="47">
        <f t="shared" si="7"/>
        <v>-110025.00072435549</v>
      </c>
      <c r="F88" s="51">
        <f t="shared" si="8"/>
        <v>-950501.0921250009</v>
      </c>
      <c r="G88" s="35">
        <f t="shared" si="9"/>
        <v>-71184.61095772819</v>
      </c>
      <c r="H88" s="23">
        <f t="shared" si="10"/>
        <v>110025.00072435549</v>
      </c>
      <c r="I88" s="52">
        <f t="shared" si="16"/>
        <v>1697.8976345703165</v>
      </c>
      <c r="J88" s="50">
        <f t="shared" si="17"/>
        <v>313604.67187291727</v>
      </c>
      <c r="K88" s="50">
        <f t="shared" si="18"/>
        <v>-162998.17291875032</v>
      </c>
    </row>
    <row r="89" spans="1:11" x14ac:dyDescent="0.3">
      <c r="A89" s="12">
        <v>42035</v>
      </c>
      <c r="B89" s="19">
        <f t="shared" si="13"/>
        <v>1655.4560687843766</v>
      </c>
      <c r="C89" s="20">
        <f>C88+B89</f>
        <v>72840.067026512566</v>
      </c>
      <c r="D89" s="20">
        <f>$B$42-C89</f>
        <v>877661.02509848832</v>
      </c>
      <c r="E89" s="47">
        <f t="shared" si="7"/>
        <v>-110368.56842415784</v>
      </c>
      <c r="F89" s="51">
        <f t="shared" si="8"/>
        <v>-950501.0921250009</v>
      </c>
      <c r="G89" s="35">
        <f t="shared" si="9"/>
        <v>-72840.067026512566</v>
      </c>
      <c r="H89" s="23">
        <f t="shared" si="10"/>
        <v>110368.56842415784</v>
      </c>
      <c r="I89" s="52">
        <f t="shared" si="16"/>
        <v>1697.8976345703165</v>
      </c>
      <c r="J89" s="50">
        <f t="shared" si="17"/>
        <v>315302.56950748758</v>
      </c>
      <c r="K89" s="50">
        <f t="shared" si="18"/>
        <v>-161300.27528418001</v>
      </c>
    </row>
    <row r="90" spans="1:11" x14ac:dyDescent="0.3">
      <c r="A90" s="12">
        <v>42063</v>
      </c>
      <c r="B90" s="19">
        <f t="shared" si="13"/>
        <v>1655.4560687843766</v>
      </c>
      <c r="C90" s="20">
        <f t="shared" ref="C90:C124" si="21">C89+B90</f>
        <v>74495.523095296943</v>
      </c>
      <c r="D90" s="20">
        <f t="shared" ref="D90:D124" si="22">$B$42-C90</f>
        <v>876005.56902970397</v>
      </c>
      <c r="E90" s="47">
        <f t="shared" si="7"/>
        <v>-110712.13612396023</v>
      </c>
      <c r="F90" s="51">
        <f t="shared" si="8"/>
        <v>-950501.0921250009</v>
      </c>
      <c r="G90" s="35">
        <f t="shared" si="9"/>
        <v>-74495.523095296943</v>
      </c>
      <c r="H90" s="23">
        <f t="shared" si="10"/>
        <v>110712.13612396023</v>
      </c>
      <c r="I90" s="52">
        <f t="shared" si="16"/>
        <v>1697.8976345703165</v>
      </c>
      <c r="J90" s="50">
        <f t="shared" si="17"/>
        <v>317000.4671420579</v>
      </c>
      <c r="K90" s="50">
        <f t="shared" si="18"/>
        <v>-159602.3776496097</v>
      </c>
    </row>
    <row r="91" spans="1:11" x14ac:dyDescent="0.3">
      <c r="A91" s="12">
        <v>42094</v>
      </c>
      <c r="B91" s="19">
        <f t="shared" si="13"/>
        <v>1655.4560687843766</v>
      </c>
      <c r="C91" s="20">
        <f t="shared" si="21"/>
        <v>76150.97916408132</v>
      </c>
      <c r="D91" s="20">
        <f t="shared" si="22"/>
        <v>874350.11296091962</v>
      </c>
      <c r="E91" s="47">
        <f t="shared" si="7"/>
        <v>-111055.70382376261</v>
      </c>
      <c r="F91" s="51">
        <f t="shared" si="8"/>
        <v>-950501.0921250009</v>
      </c>
      <c r="G91" s="35">
        <f t="shared" si="9"/>
        <v>-76150.97916408132</v>
      </c>
      <c r="H91" s="23">
        <f t="shared" si="10"/>
        <v>111055.70382376261</v>
      </c>
      <c r="I91" s="52">
        <f t="shared" si="16"/>
        <v>1697.8976345703165</v>
      </c>
      <c r="J91" s="50">
        <f t="shared" si="17"/>
        <v>318698.36477662821</v>
      </c>
      <c r="K91" s="50">
        <f t="shared" si="18"/>
        <v>-157904.48001503939</v>
      </c>
    </row>
    <row r="92" spans="1:11" x14ac:dyDescent="0.3">
      <c r="A92" s="12">
        <v>42124</v>
      </c>
      <c r="B92" s="19">
        <f t="shared" si="13"/>
        <v>1655.4560687843766</v>
      </c>
      <c r="C92" s="20">
        <f t="shared" si="21"/>
        <v>77806.435232865697</v>
      </c>
      <c r="D92" s="20">
        <f t="shared" si="22"/>
        <v>872694.65689213516</v>
      </c>
      <c r="E92" s="47">
        <f t="shared" si="7"/>
        <v>-111399.27152356495</v>
      </c>
      <c r="F92" s="51">
        <f t="shared" si="8"/>
        <v>-950501.0921250009</v>
      </c>
      <c r="G92" s="35">
        <f t="shared" si="9"/>
        <v>-77806.435232865697</v>
      </c>
      <c r="H92" s="23">
        <f t="shared" si="10"/>
        <v>111399.27152356495</v>
      </c>
      <c r="I92" s="52">
        <f t="shared" si="16"/>
        <v>1697.8976345703165</v>
      </c>
      <c r="J92" s="50">
        <f t="shared" si="17"/>
        <v>320396.26241119852</v>
      </c>
      <c r="K92" s="50">
        <f t="shared" si="18"/>
        <v>-156206.58238046907</v>
      </c>
    </row>
    <row r="93" spans="1:11" x14ac:dyDescent="0.3">
      <c r="A93" s="12">
        <v>42155</v>
      </c>
      <c r="B93" s="19">
        <f t="shared" si="13"/>
        <v>1655.4560687843766</v>
      </c>
      <c r="C93" s="20">
        <f t="shared" si="21"/>
        <v>79461.891301650074</v>
      </c>
      <c r="D93" s="20">
        <f t="shared" si="22"/>
        <v>871039.20082335081</v>
      </c>
      <c r="E93" s="47">
        <f t="shared" si="7"/>
        <v>-111742.83922336737</v>
      </c>
      <c r="F93" s="51">
        <f t="shared" si="8"/>
        <v>-950501.0921250009</v>
      </c>
      <c r="G93" s="35">
        <f t="shared" si="9"/>
        <v>-79461.891301650074</v>
      </c>
      <c r="H93" s="23">
        <f t="shared" si="10"/>
        <v>111742.83922336737</v>
      </c>
      <c r="I93" s="52">
        <f t="shared" si="16"/>
        <v>1697.8976345703165</v>
      </c>
      <c r="J93" s="50">
        <f t="shared" si="17"/>
        <v>322094.16004576883</v>
      </c>
      <c r="K93" s="50">
        <f t="shared" si="18"/>
        <v>-154508.68474589876</v>
      </c>
    </row>
    <row r="94" spans="1:11" x14ac:dyDescent="0.3">
      <c r="A94" s="12">
        <v>42185</v>
      </c>
      <c r="B94" s="19">
        <f t="shared" si="13"/>
        <v>1655.4560687843766</v>
      </c>
      <c r="C94" s="20">
        <f t="shared" si="21"/>
        <v>81117.347370434451</v>
      </c>
      <c r="D94" s="20">
        <f t="shared" si="22"/>
        <v>869383.74475456646</v>
      </c>
      <c r="E94" s="47">
        <f t="shared" si="7"/>
        <v>-112086.40692316972</v>
      </c>
      <c r="F94" s="51">
        <f t="shared" si="8"/>
        <v>-950501.0921250009</v>
      </c>
      <c r="G94" s="35">
        <f t="shared" si="9"/>
        <v>-81117.347370434451</v>
      </c>
      <c r="H94" s="23">
        <f t="shared" si="10"/>
        <v>112086.40692316972</v>
      </c>
      <c r="I94" s="52">
        <f t="shared" si="16"/>
        <v>1697.8976345703165</v>
      </c>
      <c r="J94" s="50">
        <f t="shared" si="17"/>
        <v>323792.05768033915</v>
      </c>
      <c r="K94" s="50">
        <f t="shared" si="18"/>
        <v>-152810.78711132845</v>
      </c>
    </row>
    <row r="95" spans="1:11" x14ac:dyDescent="0.3">
      <c r="A95" s="12">
        <v>42216</v>
      </c>
      <c r="B95" s="19">
        <f t="shared" si="13"/>
        <v>1655.4560687843766</v>
      </c>
      <c r="C95" s="20">
        <f t="shared" si="21"/>
        <v>82772.803439218827</v>
      </c>
      <c r="D95" s="20">
        <f t="shared" si="22"/>
        <v>867728.28868578211</v>
      </c>
      <c r="E95" s="47">
        <f t="shared" si="7"/>
        <v>-112429.97462297211</v>
      </c>
      <c r="F95" s="51">
        <f t="shared" si="8"/>
        <v>-950501.0921250009</v>
      </c>
      <c r="G95" s="35">
        <f t="shared" si="9"/>
        <v>-82772.803439218827</v>
      </c>
      <c r="H95" s="23">
        <f t="shared" si="10"/>
        <v>112429.97462297211</v>
      </c>
      <c r="I95" s="52">
        <f t="shared" si="16"/>
        <v>1697.8976345703165</v>
      </c>
      <c r="J95" s="50">
        <f t="shared" si="17"/>
        <v>325489.95531490946</v>
      </c>
      <c r="K95" s="50">
        <f t="shared" si="18"/>
        <v>-151112.88947675814</v>
      </c>
    </row>
    <row r="96" spans="1:11" x14ac:dyDescent="0.3">
      <c r="A96" s="12">
        <v>42247</v>
      </c>
      <c r="B96" s="19">
        <f t="shared" si="13"/>
        <v>1655.4560687843766</v>
      </c>
      <c r="C96" s="20">
        <f t="shared" si="21"/>
        <v>84428.259508003204</v>
      </c>
      <c r="D96" s="20">
        <f t="shared" si="22"/>
        <v>866072.83261699765</v>
      </c>
      <c r="E96" s="47">
        <f t="shared" si="7"/>
        <v>-112773.54232277446</v>
      </c>
      <c r="F96" s="51">
        <f t="shared" si="8"/>
        <v>-950501.0921250009</v>
      </c>
      <c r="G96" s="35">
        <f t="shared" si="9"/>
        <v>-84428.259508003204</v>
      </c>
      <c r="H96" s="23">
        <f t="shared" si="10"/>
        <v>112773.54232277446</v>
      </c>
      <c r="I96" s="52">
        <f t="shared" si="16"/>
        <v>1697.8976345703165</v>
      </c>
      <c r="J96" s="50">
        <f t="shared" si="17"/>
        <v>327187.85294947977</v>
      </c>
      <c r="K96" s="50">
        <f t="shared" si="18"/>
        <v>-149414.99184218782</v>
      </c>
    </row>
    <row r="97" spans="1:11" x14ac:dyDescent="0.3">
      <c r="A97" s="12">
        <v>42277</v>
      </c>
      <c r="B97" s="19">
        <f t="shared" si="13"/>
        <v>1655.4560687843766</v>
      </c>
      <c r="C97" s="20">
        <f t="shared" si="21"/>
        <v>86083.715576787581</v>
      </c>
      <c r="D97" s="20">
        <f t="shared" si="22"/>
        <v>864417.3765482133</v>
      </c>
      <c r="E97" s="47">
        <f t="shared" si="7"/>
        <v>-113117.11002257683</v>
      </c>
      <c r="F97" s="51">
        <f t="shared" si="8"/>
        <v>-950501.0921250009</v>
      </c>
      <c r="G97" s="35">
        <f t="shared" si="9"/>
        <v>-86083.715576787581</v>
      </c>
      <c r="H97" s="23">
        <f t="shared" si="10"/>
        <v>113117.11002257683</v>
      </c>
      <c r="I97" s="52">
        <f t="shared" si="16"/>
        <v>1697.8976345703165</v>
      </c>
      <c r="J97" s="50">
        <f t="shared" si="17"/>
        <v>328885.75058405008</v>
      </c>
      <c r="K97" s="50">
        <f t="shared" si="18"/>
        <v>-147717.09420761751</v>
      </c>
    </row>
    <row r="98" spans="1:11" x14ac:dyDescent="0.3">
      <c r="A98" s="12">
        <v>42308</v>
      </c>
      <c r="B98" s="19">
        <f t="shared" si="13"/>
        <v>1655.4560687843766</v>
      </c>
      <c r="C98" s="20">
        <f t="shared" si="21"/>
        <v>87739.171645571958</v>
      </c>
      <c r="D98" s="20">
        <f t="shared" si="22"/>
        <v>862761.92047942895</v>
      </c>
      <c r="E98" s="47">
        <f t="shared" si="7"/>
        <v>-113460.67772237923</v>
      </c>
      <c r="F98" s="51">
        <f t="shared" si="8"/>
        <v>-950501.0921250009</v>
      </c>
      <c r="G98" s="35">
        <f t="shared" si="9"/>
        <v>-87739.171645571958</v>
      </c>
      <c r="H98" s="23">
        <f t="shared" si="10"/>
        <v>113460.67772237923</v>
      </c>
      <c r="I98" s="52">
        <f t="shared" si="16"/>
        <v>1697.8976345703165</v>
      </c>
      <c r="J98" s="50">
        <f t="shared" si="17"/>
        <v>330583.64821862039</v>
      </c>
      <c r="K98" s="50">
        <f t="shared" si="18"/>
        <v>-146019.1965730472</v>
      </c>
    </row>
    <row r="99" spans="1:11" x14ac:dyDescent="0.3">
      <c r="A99" s="12">
        <v>42338</v>
      </c>
      <c r="B99" s="19">
        <f t="shared" si="13"/>
        <v>1655.4560687843766</v>
      </c>
      <c r="C99" s="20">
        <f t="shared" si="21"/>
        <v>89394.627714356335</v>
      </c>
      <c r="D99" s="20">
        <f t="shared" si="22"/>
        <v>861106.46441064461</v>
      </c>
      <c r="E99" s="47">
        <f t="shared" si="7"/>
        <v>-113804.24542218162</v>
      </c>
      <c r="F99" s="51">
        <f t="shared" si="8"/>
        <v>-950501.0921250009</v>
      </c>
      <c r="G99" s="35">
        <f t="shared" si="9"/>
        <v>-89394.627714356335</v>
      </c>
      <c r="H99" s="23">
        <f t="shared" si="10"/>
        <v>113804.24542218162</v>
      </c>
      <c r="I99" s="52">
        <f t="shared" si="16"/>
        <v>1697.8976345703165</v>
      </c>
      <c r="J99" s="50">
        <f t="shared" si="17"/>
        <v>332281.54585319071</v>
      </c>
      <c r="K99" s="50">
        <f t="shared" si="18"/>
        <v>-144321.29893847689</v>
      </c>
    </row>
    <row r="100" spans="1:11" x14ac:dyDescent="0.3">
      <c r="A100" s="12">
        <v>42369</v>
      </c>
      <c r="B100" s="19">
        <f t="shared" si="13"/>
        <v>1655.4560687843766</v>
      </c>
      <c r="C100" s="20">
        <f t="shared" si="21"/>
        <v>91050.083783140712</v>
      </c>
      <c r="D100" s="20">
        <f t="shared" si="22"/>
        <v>859451.00834186014</v>
      </c>
      <c r="E100" s="47">
        <f t="shared" si="7"/>
        <v>-114147.81312198396</v>
      </c>
      <c r="F100" s="51">
        <f t="shared" si="8"/>
        <v>-950501.0921250009</v>
      </c>
      <c r="G100" s="35">
        <f t="shared" si="9"/>
        <v>-91050.083783140712</v>
      </c>
      <c r="H100" s="23">
        <f t="shared" si="10"/>
        <v>114147.81312198396</v>
      </c>
      <c r="I100" s="52">
        <f t="shared" si="16"/>
        <v>1697.8976345703165</v>
      </c>
      <c r="J100" s="50">
        <f t="shared" si="17"/>
        <v>333979.44348776102</v>
      </c>
      <c r="K100" s="50">
        <f t="shared" si="18"/>
        <v>-142623.40130390658</v>
      </c>
    </row>
    <row r="101" spans="1:11" x14ac:dyDescent="0.3">
      <c r="A101" s="12">
        <v>42400</v>
      </c>
      <c r="B101" s="19">
        <f t="shared" si="13"/>
        <v>1655.4560687843766</v>
      </c>
      <c r="C101" s="20">
        <f t="shared" si="21"/>
        <v>92705.539851925088</v>
      </c>
      <c r="D101" s="20">
        <f t="shared" si="22"/>
        <v>857795.55227307579</v>
      </c>
      <c r="E101" s="47">
        <f t="shared" si="7"/>
        <v>-114491.38082178634</v>
      </c>
      <c r="F101" s="25">
        <f t="shared" si="8"/>
        <v>-950501.0921250009</v>
      </c>
      <c r="G101" s="26">
        <f t="shared" si="9"/>
        <v>-92705.539851925088</v>
      </c>
      <c r="H101" s="27">
        <f t="shared" si="10"/>
        <v>114491.38082178634</v>
      </c>
      <c r="I101" s="53">
        <f t="shared" si="16"/>
        <v>1697.8976345703165</v>
      </c>
      <c r="J101" s="54">
        <f t="shared" si="17"/>
        <v>335677.34112233133</v>
      </c>
      <c r="K101" s="54">
        <f t="shared" si="18"/>
        <v>-140925.50366933626</v>
      </c>
    </row>
    <row r="102" spans="1:11" x14ac:dyDescent="0.3">
      <c r="A102" s="12">
        <v>42429</v>
      </c>
      <c r="B102" s="19">
        <f t="shared" si="13"/>
        <v>1655.4560687843766</v>
      </c>
      <c r="C102" s="20">
        <f t="shared" si="21"/>
        <v>94360.995920709465</v>
      </c>
      <c r="D102" s="20">
        <f t="shared" si="22"/>
        <v>856140.09620429145</v>
      </c>
      <c r="E102" s="47">
        <f t="shared" si="7"/>
        <v>-114834.94852158873</v>
      </c>
      <c r="F102" s="25">
        <f t="shared" si="8"/>
        <v>-950501.0921250009</v>
      </c>
      <c r="G102" s="26">
        <f t="shared" si="9"/>
        <v>-94360.995920709465</v>
      </c>
      <c r="H102" s="27">
        <f t="shared" si="10"/>
        <v>114834.94852158873</v>
      </c>
      <c r="I102" s="53">
        <f t="shared" si="16"/>
        <v>1697.8976345703165</v>
      </c>
      <c r="J102" s="54">
        <f t="shared" si="17"/>
        <v>337375.23875690164</v>
      </c>
      <c r="K102" s="54">
        <f t="shared" si="18"/>
        <v>-139227.60603476595</v>
      </c>
    </row>
    <row r="103" spans="1:11" x14ac:dyDescent="0.3">
      <c r="A103" s="12">
        <v>42460</v>
      </c>
      <c r="B103" s="19">
        <f t="shared" si="13"/>
        <v>1655.4560687843766</v>
      </c>
      <c r="C103" s="20">
        <f t="shared" si="21"/>
        <v>96016.451989493842</v>
      </c>
      <c r="D103" s="20">
        <f t="shared" si="22"/>
        <v>854484.6401355071</v>
      </c>
      <c r="E103" s="47">
        <f t="shared" si="7"/>
        <v>-115178.51622139111</v>
      </c>
      <c r="F103" s="25">
        <f t="shared" si="8"/>
        <v>-950501.0921250009</v>
      </c>
      <c r="G103" s="26">
        <f t="shared" si="9"/>
        <v>-96016.451989493842</v>
      </c>
      <c r="H103" s="27">
        <f t="shared" si="10"/>
        <v>115178.51622139111</v>
      </c>
      <c r="I103" s="53">
        <f t="shared" si="16"/>
        <v>1697.8976345703165</v>
      </c>
      <c r="J103" s="54">
        <f t="shared" si="17"/>
        <v>339073.13639147195</v>
      </c>
      <c r="K103" s="54">
        <f t="shared" si="18"/>
        <v>-137529.70840019564</v>
      </c>
    </row>
    <row r="104" spans="1:11" x14ac:dyDescent="0.3">
      <c r="A104" s="12">
        <v>42490</v>
      </c>
      <c r="B104" s="19">
        <f t="shared" si="13"/>
        <v>1655.4560687843766</v>
      </c>
      <c r="C104" s="20">
        <f t="shared" si="21"/>
        <v>97671.908058278219</v>
      </c>
      <c r="D104" s="20">
        <f t="shared" si="22"/>
        <v>852829.18406672264</v>
      </c>
      <c r="E104" s="47">
        <f t="shared" si="7"/>
        <v>-115522.08392119347</v>
      </c>
      <c r="F104" s="25">
        <f t="shared" si="8"/>
        <v>-950501.0921250009</v>
      </c>
      <c r="G104" s="26">
        <f t="shared" si="9"/>
        <v>-97671.908058278219</v>
      </c>
      <c r="H104" s="27">
        <f t="shared" si="10"/>
        <v>115522.08392119347</v>
      </c>
      <c r="I104" s="53">
        <f t="shared" si="16"/>
        <v>1697.8976345703165</v>
      </c>
      <c r="J104" s="54">
        <f t="shared" si="17"/>
        <v>340771.03402604227</v>
      </c>
      <c r="K104" s="54">
        <f t="shared" si="18"/>
        <v>-135831.81076562533</v>
      </c>
    </row>
    <row r="105" spans="1:11" x14ac:dyDescent="0.3">
      <c r="A105" s="12">
        <v>42521</v>
      </c>
      <c r="B105" s="19">
        <f t="shared" si="13"/>
        <v>1655.4560687843766</v>
      </c>
      <c r="C105" s="20">
        <f t="shared" si="21"/>
        <v>99327.364127062596</v>
      </c>
      <c r="D105" s="20">
        <f t="shared" si="22"/>
        <v>851173.72799793829</v>
      </c>
      <c r="E105" s="47">
        <f t="shared" si="7"/>
        <v>-115865.65162099585</v>
      </c>
      <c r="F105" s="25">
        <f t="shared" si="8"/>
        <v>-950501.0921250009</v>
      </c>
      <c r="G105" s="26">
        <f t="shared" si="9"/>
        <v>-99327.364127062596</v>
      </c>
      <c r="H105" s="27">
        <f t="shared" si="10"/>
        <v>115865.65162099585</v>
      </c>
      <c r="I105" s="53">
        <f t="shared" si="16"/>
        <v>1697.8976345703165</v>
      </c>
      <c r="J105" s="54">
        <f t="shared" si="17"/>
        <v>342468.93166061258</v>
      </c>
      <c r="K105" s="54">
        <f t="shared" si="18"/>
        <v>-134133.91313105501</v>
      </c>
    </row>
    <row r="106" spans="1:11" x14ac:dyDescent="0.3">
      <c r="A106" s="12">
        <v>42551</v>
      </c>
      <c r="B106" s="19">
        <f t="shared" si="13"/>
        <v>1655.4560687843766</v>
      </c>
      <c r="C106" s="20">
        <f t="shared" si="21"/>
        <v>100982.82019584697</v>
      </c>
      <c r="D106" s="20">
        <f t="shared" si="22"/>
        <v>849518.27192915394</v>
      </c>
      <c r="E106" s="47">
        <f t="shared" si="7"/>
        <v>-116209.21932079822</v>
      </c>
      <c r="F106" s="25">
        <f t="shared" si="8"/>
        <v>-950501.0921250009</v>
      </c>
      <c r="G106" s="26">
        <f t="shared" si="9"/>
        <v>-100982.82019584697</v>
      </c>
      <c r="H106" s="27">
        <f t="shared" si="10"/>
        <v>116209.21932079822</v>
      </c>
      <c r="I106" s="53">
        <f t="shared" si="16"/>
        <v>1697.8976345703165</v>
      </c>
      <c r="J106" s="54">
        <f t="shared" si="17"/>
        <v>344166.82929518289</v>
      </c>
      <c r="K106" s="54">
        <f t="shared" si="18"/>
        <v>-132436.0154964847</v>
      </c>
    </row>
    <row r="107" spans="1:11" x14ac:dyDescent="0.3">
      <c r="A107" s="12">
        <v>42582</v>
      </c>
      <c r="B107" s="19">
        <f t="shared" si="13"/>
        <v>1655.4560687843766</v>
      </c>
      <c r="C107" s="20">
        <f t="shared" si="21"/>
        <v>102638.27626463135</v>
      </c>
      <c r="D107" s="20">
        <f t="shared" si="22"/>
        <v>847862.81586036959</v>
      </c>
      <c r="E107" s="47">
        <f t="shared" si="7"/>
        <v>-116552.7870206006</v>
      </c>
      <c r="F107" s="25">
        <f t="shared" si="8"/>
        <v>-950501.0921250009</v>
      </c>
      <c r="G107" s="26">
        <f t="shared" si="9"/>
        <v>-102638.27626463135</v>
      </c>
      <c r="H107" s="27">
        <f t="shared" si="10"/>
        <v>116552.7870206006</v>
      </c>
      <c r="I107" s="53">
        <f t="shared" si="16"/>
        <v>1697.8976345703165</v>
      </c>
      <c r="J107" s="54">
        <f t="shared" si="17"/>
        <v>345864.7269297532</v>
      </c>
      <c r="K107" s="54">
        <f t="shared" si="18"/>
        <v>-130738.11786191439</v>
      </c>
    </row>
    <row r="108" spans="1:11" x14ac:dyDescent="0.3">
      <c r="A108" s="12">
        <v>42613</v>
      </c>
      <c r="B108" s="19">
        <f t="shared" si="13"/>
        <v>1655.4560687843766</v>
      </c>
      <c r="C108" s="20">
        <f t="shared" si="21"/>
        <v>104293.73233341573</v>
      </c>
      <c r="D108" s="20">
        <f t="shared" si="22"/>
        <v>846207.35979158513</v>
      </c>
      <c r="E108" s="47">
        <f t="shared" si="7"/>
        <v>-116896.35472040293</v>
      </c>
      <c r="F108" s="25">
        <f t="shared" si="8"/>
        <v>-950501.0921250009</v>
      </c>
      <c r="G108" s="26">
        <f t="shared" si="9"/>
        <v>-104293.73233341573</v>
      </c>
      <c r="H108" s="27">
        <f t="shared" si="10"/>
        <v>116896.35472040293</v>
      </c>
      <c r="I108" s="53">
        <f t="shared" si="16"/>
        <v>1697.8976345703165</v>
      </c>
      <c r="J108" s="54">
        <f t="shared" si="17"/>
        <v>347562.62456432352</v>
      </c>
      <c r="K108" s="54">
        <f t="shared" si="18"/>
        <v>-129040.22022734408</v>
      </c>
    </row>
    <row r="109" spans="1:11" x14ac:dyDescent="0.3">
      <c r="A109" s="12">
        <v>42643</v>
      </c>
      <c r="B109" s="19">
        <f t="shared" si="13"/>
        <v>1655.4560687843766</v>
      </c>
      <c r="C109" s="20">
        <f t="shared" si="21"/>
        <v>105949.1884022001</v>
      </c>
      <c r="D109" s="20">
        <f t="shared" si="22"/>
        <v>844551.90372280078</v>
      </c>
      <c r="E109" s="47">
        <f t="shared" si="7"/>
        <v>-117239.92242020534</v>
      </c>
      <c r="F109" s="25">
        <f t="shared" si="8"/>
        <v>-950501.0921250009</v>
      </c>
      <c r="G109" s="26">
        <f t="shared" si="9"/>
        <v>-105949.1884022001</v>
      </c>
      <c r="H109" s="27">
        <f t="shared" si="10"/>
        <v>117239.92242020534</v>
      </c>
      <c r="I109" s="53">
        <f t="shared" si="16"/>
        <v>1697.8976345703165</v>
      </c>
      <c r="J109" s="54">
        <f t="shared" si="17"/>
        <v>349260.52219889383</v>
      </c>
      <c r="K109" s="54">
        <f t="shared" si="18"/>
        <v>-127342.32259277377</v>
      </c>
    </row>
    <row r="110" spans="1:11" x14ac:dyDescent="0.3">
      <c r="A110" s="12">
        <v>42674</v>
      </c>
      <c r="B110" s="19">
        <f t="shared" si="13"/>
        <v>1655.4560687843766</v>
      </c>
      <c r="C110" s="20">
        <f t="shared" si="21"/>
        <v>107604.64447098448</v>
      </c>
      <c r="D110" s="20">
        <f t="shared" si="22"/>
        <v>842896.44765401643</v>
      </c>
      <c r="E110" s="47">
        <f t="shared" si="7"/>
        <v>-117583.49012000773</v>
      </c>
      <c r="F110" s="25">
        <f t="shared" si="8"/>
        <v>-950501.0921250009</v>
      </c>
      <c r="G110" s="26">
        <f t="shared" si="9"/>
        <v>-107604.64447098448</v>
      </c>
      <c r="H110" s="27">
        <f t="shared" si="10"/>
        <v>117583.49012000773</v>
      </c>
      <c r="I110" s="53">
        <f t="shared" si="16"/>
        <v>1697.8976345703165</v>
      </c>
      <c r="J110" s="54">
        <f t="shared" si="17"/>
        <v>350958.41983346414</v>
      </c>
      <c r="K110" s="54">
        <f t="shared" si="18"/>
        <v>-125644.42495820345</v>
      </c>
    </row>
    <row r="111" spans="1:11" x14ac:dyDescent="0.3">
      <c r="A111" s="12">
        <v>42704</v>
      </c>
      <c r="B111" s="19">
        <f>$B$42*$B$43/12</f>
        <v>1655.4560687843766</v>
      </c>
      <c r="C111" s="20">
        <f t="shared" si="21"/>
        <v>109260.10053976886</v>
      </c>
      <c r="D111" s="20">
        <f t="shared" si="22"/>
        <v>841240.99158523208</v>
      </c>
      <c r="E111" s="47">
        <f t="shared" ref="E111:E145" si="23">-(D111*$B$38/(+$B$38+$B$39)+K111)*0.3959</f>
        <v>-117927.05781981008</v>
      </c>
      <c r="F111" s="25">
        <f>-$B$42</f>
        <v>-950501.0921250009</v>
      </c>
      <c r="G111" s="26">
        <f t="shared" ref="G111:G146" si="24">-C111</f>
        <v>-109260.10053976886</v>
      </c>
      <c r="H111" s="27">
        <f t="shared" ref="H111:H135" si="25">-E111</f>
        <v>117927.05781981008</v>
      </c>
      <c r="I111" s="53">
        <f t="shared" si="16"/>
        <v>1697.8976345703165</v>
      </c>
      <c r="J111" s="54">
        <f t="shared" si="17"/>
        <v>352656.31746803445</v>
      </c>
      <c r="K111" s="54">
        <f t="shared" si="18"/>
        <v>-123946.52732363314</v>
      </c>
    </row>
    <row r="112" spans="1:11" x14ac:dyDescent="0.3">
      <c r="A112" s="12">
        <v>42735</v>
      </c>
      <c r="B112" s="19">
        <f>$B$42*$B$43/12</f>
        <v>1655.4560687843766</v>
      </c>
      <c r="C112" s="20">
        <f t="shared" si="21"/>
        <v>110915.55660855323</v>
      </c>
      <c r="D112" s="20">
        <f t="shared" si="22"/>
        <v>839585.53551644762</v>
      </c>
      <c r="E112" s="47">
        <f t="shared" si="23"/>
        <v>-118270.62551961245</v>
      </c>
      <c r="F112" s="25">
        <f>-$B$42</f>
        <v>-950501.0921250009</v>
      </c>
      <c r="G112" s="26">
        <f t="shared" si="24"/>
        <v>-110915.55660855323</v>
      </c>
      <c r="H112" s="27">
        <f t="shared" si="25"/>
        <v>118270.62551961245</v>
      </c>
      <c r="I112" s="53">
        <f t="shared" si="16"/>
        <v>1697.8976345703165</v>
      </c>
      <c r="J112" s="54">
        <f t="shared" si="17"/>
        <v>354354.21510260476</v>
      </c>
      <c r="K112" s="54">
        <f t="shared" si="18"/>
        <v>-122248.62968906283</v>
      </c>
    </row>
    <row r="113" spans="1:11" x14ac:dyDescent="0.3">
      <c r="A113" s="12">
        <v>42766</v>
      </c>
      <c r="B113" s="19">
        <f t="shared" ref="B113:B124" si="26">$B$42*$B$43/12</f>
        <v>1655.4560687843766</v>
      </c>
      <c r="C113" s="20">
        <f t="shared" si="21"/>
        <v>112571.01267733761</v>
      </c>
      <c r="D113" s="20">
        <f t="shared" si="22"/>
        <v>837930.07944766327</v>
      </c>
      <c r="E113" s="47">
        <f t="shared" si="23"/>
        <v>-118614.19321941485</v>
      </c>
      <c r="F113" s="25">
        <f t="shared" ref="F113:F124" si="27">-$B$42</f>
        <v>-950501.0921250009</v>
      </c>
      <c r="G113" s="26">
        <f t="shared" si="24"/>
        <v>-112571.01267733761</v>
      </c>
      <c r="H113" s="27">
        <f t="shared" si="25"/>
        <v>118614.19321941485</v>
      </c>
      <c r="I113" s="53">
        <f t="shared" si="16"/>
        <v>1697.8976345703165</v>
      </c>
      <c r="J113" s="54">
        <f t="shared" si="17"/>
        <v>356052.11273717508</v>
      </c>
      <c r="K113" s="54">
        <f t="shared" si="18"/>
        <v>-120550.73205449252</v>
      </c>
    </row>
    <row r="114" spans="1:11" x14ac:dyDescent="0.3">
      <c r="A114" s="12">
        <v>42794</v>
      </c>
      <c r="B114" s="19">
        <f t="shared" si="26"/>
        <v>1655.4560687843766</v>
      </c>
      <c r="C114" s="20">
        <f t="shared" si="21"/>
        <v>114226.46874612199</v>
      </c>
      <c r="D114" s="20">
        <f t="shared" si="22"/>
        <v>836274.62337887892</v>
      </c>
      <c r="E114" s="47">
        <f t="shared" si="23"/>
        <v>-118957.76091921722</v>
      </c>
      <c r="F114" s="25">
        <f t="shared" si="27"/>
        <v>-950501.0921250009</v>
      </c>
      <c r="G114" s="26">
        <f t="shared" si="24"/>
        <v>-114226.46874612199</v>
      </c>
      <c r="H114" s="27">
        <f t="shared" si="25"/>
        <v>118957.76091921722</v>
      </c>
      <c r="I114" s="53">
        <f t="shared" si="16"/>
        <v>1697.8976345703165</v>
      </c>
      <c r="J114" s="54">
        <f t="shared" si="17"/>
        <v>357750.01037174539</v>
      </c>
      <c r="K114" s="54">
        <f t="shared" si="18"/>
        <v>-118852.8344199222</v>
      </c>
    </row>
    <row r="115" spans="1:11" x14ac:dyDescent="0.3">
      <c r="A115" s="12">
        <v>42825</v>
      </c>
      <c r="B115" s="19">
        <f t="shared" si="26"/>
        <v>1655.4560687843766</v>
      </c>
      <c r="C115" s="20">
        <f t="shared" si="21"/>
        <v>115881.92481490636</v>
      </c>
      <c r="D115" s="20">
        <f t="shared" si="22"/>
        <v>834619.16731009458</v>
      </c>
      <c r="E115" s="47">
        <f t="shared" si="23"/>
        <v>-119301.32861901961</v>
      </c>
      <c r="F115" s="25">
        <f t="shared" si="27"/>
        <v>-950501.0921250009</v>
      </c>
      <c r="G115" s="26">
        <f t="shared" si="24"/>
        <v>-115881.92481490636</v>
      </c>
      <c r="H115" s="27">
        <f t="shared" si="25"/>
        <v>119301.32861901961</v>
      </c>
      <c r="I115" s="53">
        <f t="shared" si="16"/>
        <v>1697.8976345703165</v>
      </c>
      <c r="J115" s="54">
        <f t="shared" si="17"/>
        <v>359447.9080063157</v>
      </c>
      <c r="K115" s="54">
        <f t="shared" si="18"/>
        <v>-117154.93678535189</v>
      </c>
    </row>
    <row r="116" spans="1:11" x14ac:dyDescent="0.3">
      <c r="A116" s="12">
        <v>42855</v>
      </c>
      <c r="B116" s="19">
        <f t="shared" si="26"/>
        <v>1655.4560687843766</v>
      </c>
      <c r="C116" s="20">
        <f t="shared" si="21"/>
        <v>117537.38088369074</v>
      </c>
      <c r="D116" s="20">
        <f t="shared" si="22"/>
        <v>832963.71124131011</v>
      </c>
      <c r="E116" s="47">
        <f t="shared" si="23"/>
        <v>-119644.89631882196</v>
      </c>
      <c r="F116" s="25">
        <f t="shared" si="27"/>
        <v>-950501.0921250009</v>
      </c>
      <c r="G116" s="26">
        <f t="shared" si="24"/>
        <v>-117537.38088369074</v>
      </c>
      <c r="H116" s="27">
        <f t="shared" si="25"/>
        <v>119644.89631882196</v>
      </c>
      <c r="I116" s="53">
        <f t="shared" si="16"/>
        <v>1697.8976345703165</v>
      </c>
      <c r="J116" s="54">
        <f t="shared" si="17"/>
        <v>361145.80564088601</v>
      </c>
      <c r="K116" s="54">
        <f t="shared" si="18"/>
        <v>-115457.03915078158</v>
      </c>
    </row>
    <row r="117" spans="1:11" x14ac:dyDescent="0.3">
      <c r="A117" s="12">
        <v>42886</v>
      </c>
      <c r="B117" s="19">
        <f t="shared" si="26"/>
        <v>1655.4560687843766</v>
      </c>
      <c r="C117" s="20">
        <f t="shared" si="21"/>
        <v>119192.83695247512</v>
      </c>
      <c r="D117" s="20">
        <f t="shared" si="22"/>
        <v>831308.25517252577</v>
      </c>
      <c r="E117" s="47">
        <f t="shared" si="23"/>
        <v>-119988.46401862432</v>
      </c>
      <c r="F117" s="25">
        <f t="shared" si="27"/>
        <v>-950501.0921250009</v>
      </c>
      <c r="G117" s="26">
        <f t="shared" si="24"/>
        <v>-119192.83695247512</v>
      </c>
      <c r="H117" s="27">
        <f t="shared" si="25"/>
        <v>119988.46401862432</v>
      </c>
      <c r="I117" s="53">
        <f t="shared" si="16"/>
        <v>1697.8976345703165</v>
      </c>
      <c r="J117" s="54">
        <f t="shared" si="17"/>
        <v>362843.70327545633</v>
      </c>
      <c r="K117" s="54">
        <f t="shared" si="18"/>
        <v>-113759.14151621127</v>
      </c>
    </row>
    <row r="118" spans="1:11" x14ac:dyDescent="0.3">
      <c r="A118" s="12">
        <v>42916</v>
      </c>
      <c r="B118" s="19">
        <f t="shared" si="26"/>
        <v>1655.4560687843766</v>
      </c>
      <c r="C118" s="20">
        <f t="shared" si="21"/>
        <v>120848.29302125949</v>
      </c>
      <c r="D118" s="20">
        <f t="shared" si="22"/>
        <v>829652.79910374142</v>
      </c>
      <c r="E118" s="47">
        <f t="shared" si="23"/>
        <v>-120332.03171842673</v>
      </c>
      <c r="F118" s="25">
        <f t="shared" si="27"/>
        <v>-950501.0921250009</v>
      </c>
      <c r="G118" s="26">
        <f t="shared" si="24"/>
        <v>-120848.29302125949</v>
      </c>
      <c r="H118" s="27">
        <f t="shared" si="25"/>
        <v>120332.03171842673</v>
      </c>
      <c r="I118" s="53">
        <f t="shared" si="16"/>
        <v>1697.8976345703165</v>
      </c>
      <c r="J118" s="54">
        <f t="shared" si="17"/>
        <v>364541.60091002664</v>
      </c>
      <c r="K118" s="54">
        <f t="shared" si="18"/>
        <v>-112061.24388164096</v>
      </c>
    </row>
    <row r="119" spans="1:11" x14ac:dyDescent="0.3">
      <c r="A119" s="12">
        <v>42947</v>
      </c>
      <c r="B119" s="19">
        <f t="shared" si="26"/>
        <v>1655.4560687843766</v>
      </c>
      <c r="C119" s="20">
        <f t="shared" si="21"/>
        <v>122503.74909004387</v>
      </c>
      <c r="D119" s="20">
        <f t="shared" si="22"/>
        <v>827997.34303495707</v>
      </c>
      <c r="E119" s="47">
        <f t="shared" si="23"/>
        <v>-120675.59941822909</v>
      </c>
      <c r="F119" s="25">
        <f t="shared" si="27"/>
        <v>-950501.0921250009</v>
      </c>
      <c r="G119" s="26">
        <f t="shared" si="24"/>
        <v>-122503.74909004387</v>
      </c>
      <c r="H119" s="27">
        <f t="shared" si="25"/>
        <v>120675.59941822909</v>
      </c>
      <c r="I119" s="53">
        <f t="shared" si="16"/>
        <v>1697.8976345703165</v>
      </c>
      <c r="J119" s="54">
        <f t="shared" si="17"/>
        <v>366239.49854459695</v>
      </c>
      <c r="K119" s="54">
        <f t="shared" si="18"/>
        <v>-110363.34624707064</v>
      </c>
    </row>
    <row r="120" spans="1:11" x14ac:dyDescent="0.3">
      <c r="A120" s="12">
        <v>42978</v>
      </c>
      <c r="B120" s="19">
        <f t="shared" si="26"/>
        <v>1655.4560687843766</v>
      </c>
      <c r="C120" s="20">
        <f t="shared" si="21"/>
        <v>124159.20515882825</v>
      </c>
      <c r="D120" s="20">
        <f t="shared" si="22"/>
        <v>826341.88696617261</v>
      </c>
      <c r="E120" s="47">
        <f t="shared" si="23"/>
        <v>-121019.16711803146</v>
      </c>
      <c r="F120" s="25">
        <f t="shared" si="27"/>
        <v>-950501.0921250009</v>
      </c>
      <c r="G120" s="26">
        <f t="shared" si="24"/>
        <v>-124159.20515882825</v>
      </c>
      <c r="H120" s="27">
        <f t="shared" si="25"/>
        <v>121019.16711803146</v>
      </c>
      <c r="I120" s="53">
        <f t="shared" si="16"/>
        <v>1697.8976345703165</v>
      </c>
      <c r="J120" s="54">
        <f t="shared" si="17"/>
        <v>367937.39617916726</v>
      </c>
      <c r="K120" s="54">
        <f t="shared" si="18"/>
        <v>-108665.44861250033</v>
      </c>
    </row>
    <row r="121" spans="1:11" x14ac:dyDescent="0.3">
      <c r="A121" s="12">
        <v>43008</v>
      </c>
      <c r="B121" s="19">
        <f t="shared" si="26"/>
        <v>1655.4560687843766</v>
      </c>
      <c r="C121" s="20">
        <f t="shared" si="21"/>
        <v>125814.66122761263</v>
      </c>
      <c r="D121" s="20">
        <f t="shared" si="22"/>
        <v>824686.43089738826</v>
      </c>
      <c r="E121" s="47">
        <f t="shared" si="23"/>
        <v>-121362.73481783384</v>
      </c>
      <c r="F121" s="25">
        <f t="shared" si="27"/>
        <v>-950501.0921250009</v>
      </c>
      <c r="G121" s="26">
        <f t="shared" si="24"/>
        <v>-125814.66122761263</v>
      </c>
      <c r="H121" s="27">
        <f t="shared" si="25"/>
        <v>121362.73481783384</v>
      </c>
      <c r="I121" s="53">
        <f t="shared" si="16"/>
        <v>1697.8976345703165</v>
      </c>
      <c r="J121" s="54">
        <f t="shared" si="17"/>
        <v>369635.29381373757</v>
      </c>
      <c r="K121" s="54">
        <f t="shared" si="18"/>
        <v>-106967.55097793002</v>
      </c>
    </row>
    <row r="122" spans="1:11" x14ac:dyDescent="0.3">
      <c r="A122" s="12">
        <v>43039</v>
      </c>
      <c r="B122" s="19">
        <f t="shared" si="26"/>
        <v>1655.4560687843766</v>
      </c>
      <c r="C122" s="20">
        <f t="shared" si="21"/>
        <v>127470.117296397</v>
      </c>
      <c r="D122" s="20">
        <f t="shared" si="22"/>
        <v>823030.97482860391</v>
      </c>
      <c r="E122" s="47">
        <f t="shared" si="23"/>
        <v>-121706.3025176362</v>
      </c>
      <c r="F122" s="25">
        <f t="shared" si="27"/>
        <v>-950501.0921250009</v>
      </c>
      <c r="G122" s="26">
        <f t="shared" si="24"/>
        <v>-127470.117296397</v>
      </c>
      <c r="H122" s="27">
        <f t="shared" si="25"/>
        <v>121706.3025176362</v>
      </c>
      <c r="I122" s="53">
        <f t="shared" si="16"/>
        <v>1697.8976345703165</v>
      </c>
      <c r="J122" s="54">
        <f t="shared" si="17"/>
        <v>371333.19144830789</v>
      </c>
      <c r="K122" s="54">
        <f t="shared" si="18"/>
        <v>-105269.65334335971</v>
      </c>
    </row>
    <row r="123" spans="1:11" x14ac:dyDescent="0.3">
      <c r="A123" s="12">
        <v>43069</v>
      </c>
      <c r="B123" s="19">
        <f t="shared" si="26"/>
        <v>1655.4560687843766</v>
      </c>
      <c r="C123" s="20">
        <f t="shared" si="21"/>
        <v>129125.57336518138</v>
      </c>
      <c r="D123" s="20">
        <f t="shared" si="22"/>
        <v>821375.51875981956</v>
      </c>
      <c r="E123" s="47">
        <f t="shared" si="23"/>
        <v>-122049.87021743861</v>
      </c>
      <c r="F123" s="25">
        <f t="shared" si="27"/>
        <v>-950501.0921250009</v>
      </c>
      <c r="G123" s="26">
        <f t="shared" si="24"/>
        <v>-129125.57336518138</v>
      </c>
      <c r="H123" s="27">
        <f t="shared" si="25"/>
        <v>122049.87021743861</v>
      </c>
      <c r="I123" s="53">
        <f t="shared" si="16"/>
        <v>1697.8976345703165</v>
      </c>
      <c r="J123" s="54">
        <f t="shared" si="17"/>
        <v>373031.0890828782</v>
      </c>
      <c r="K123" s="54">
        <f t="shared" si="18"/>
        <v>-103571.75570878939</v>
      </c>
    </row>
    <row r="124" spans="1:11" x14ac:dyDescent="0.3">
      <c r="A124" s="12">
        <v>43100</v>
      </c>
      <c r="B124" s="19">
        <f t="shared" si="26"/>
        <v>1655.4560687843766</v>
      </c>
      <c r="C124" s="20">
        <f t="shared" si="21"/>
        <v>130781.02943396576</v>
      </c>
      <c r="D124" s="20">
        <f t="shared" si="22"/>
        <v>819720.0626910351</v>
      </c>
      <c r="E124" s="47">
        <f t="shared" si="23"/>
        <v>-122393.43791724097</v>
      </c>
      <c r="F124" s="25">
        <f t="shared" si="27"/>
        <v>-950501.0921250009</v>
      </c>
      <c r="G124" s="26">
        <f t="shared" si="24"/>
        <v>-130781.02943396576</v>
      </c>
      <c r="H124" s="27">
        <f t="shared" si="25"/>
        <v>122393.43791724097</v>
      </c>
      <c r="I124" s="53">
        <f t="shared" si="16"/>
        <v>1697.8976345703165</v>
      </c>
      <c r="J124" s="54">
        <f t="shared" si="17"/>
        <v>374728.98671744851</v>
      </c>
      <c r="K124" s="54">
        <f t="shared" si="18"/>
        <v>-101873.85807421908</v>
      </c>
    </row>
    <row r="125" spans="1:11" x14ac:dyDescent="0.3">
      <c r="A125" s="12"/>
      <c r="B125" s="19"/>
      <c r="C125" s="20"/>
      <c r="D125" s="20"/>
      <c r="E125" s="47"/>
      <c r="F125" s="25"/>
      <c r="G125" s="26">
        <f t="shared" si="24"/>
        <v>0</v>
      </c>
      <c r="H125" s="27">
        <f t="shared" si="25"/>
        <v>0</v>
      </c>
      <c r="I125" s="53"/>
      <c r="J125" s="54"/>
      <c r="K125" s="54"/>
    </row>
    <row r="126" spans="1:11" x14ac:dyDescent="0.3">
      <c r="F126" s="9" t="s">
        <v>6</v>
      </c>
      <c r="G126" s="10" t="s">
        <v>7</v>
      </c>
      <c r="H126" s="11" t="s">
        <v>8</v>
      </c>
    </row>
    <row r="127" spans="1:11" x14ac:dyDescent="0.3">
      <c r="F127" s="9" t="s">
        <v>10</v>
      </c>
      <c r="G127" s="10" t="s">
        <v>10</v>
      </c>
      <c r="H127" s="11" t="s">
        <v>10</v>
      </c>
    </row>
    <row r="128" spans="1:11" ht="28.8" x14ac:dyDescent="0.3">
      <c r="A128" s="3" t="s">
        <v>26</v>
      </c>
      <c r="B128" s="43" t="s">
        <v>19</v>
      </c>
      <c r="C128" s="44" t="s">
        <v>20</v>
      </c>
      <c r="D128" s="44" t="s">
        <v>21</v>
      </c>
      <c r="E128" s="44" t="s">
        <v>22</v>
      </c>
      <c r="F128" s="16"/>
      <c r="G128" s="17"/>
      <c r="H128" s="18"/>
      <c r="I128" s="45" t="s">
        <v>23</v>
      </c>
      <c r="J128" s="45" t="s">
        <v>24</v>
      </c>
      <c r="K128" s="46" t="s">
        <v>25</v>
      </c>
    </row>
    <row r="129" spans="1:11" x14ac:dyDescent="0.3">
      <c r="A129" s="12">
        <v>40908</v>
      </c>
      <c r="B129" s="35">
        <v>-1341307</v>
      </c>
      <c r="C129" s="35">
        <f>-B129*$C$5/12</f>
        <v>2336.1096916666665</v>
      </c>
      <c r="D129" s="20">
        <f>+B129+C129</f>
        <v>-1338970.8903083333</v>
      </c>
      <c r="E129" s="47">
        <f>(-D129+K129)*0.3959</f>
        <v>277862.44085556915</v>
      </c>
      <c r="F129" s="51">
        <f>B129</f>
        <v>-1341307</v>
      </c>
      <c r="G129" s="35">
        <f>-C129</f>
        <v>-2336.1096916666665</v>
      </c>
      <c r="H129" s="23">
        <f t="shared" ref="H129:H192" si="28">E129</f>
        <v>277862.44085556915</v>
      </c>
      <c r="I129" s="31">
        <f>+$B$129*0.525</f>
        <v>-704186.17500000005</v>
      </c>
      <c r="J129" s="20">
        <f>+I129</f>
        <v>-704186.17500000005</v>
      </c>
      <c r="K129" s="20">
        <f>+B129-I129</f>
        <v>-637120.82499999995</v>
      </c>
    </row>
    <row r="130" spans="1:11" x14ac:dyDescent="0.3">
      <c r="A130" s="12">
        <v>40939</v>
      </c>
      <c r="B130" s="35">
        <v>-1341307</v>
      </c>
      <c r="C130" s="35">
        <f>-B130*$C$5/12+C129</f>
        <v>4672.2193833333331</v>
      </c>
      <c r="D130" s="20">
        <f t="shared" ref="D130:D188" si="29">+B130+C130</f>
        <v>-1336634.7806166667</v>
      </c>
      <c r="E130" s="47">
        <f t="shared" ref="E130:E193" si="30">(-D130+K130)*0.3959</f>
        <v>279039.54281711747</v>
      </c>
      <c r="F130" s="51">
        <f t="shared" ref="F130:F187" si="31">B130</f>
        <v>-1341307</v>
      </c>
      <c r="G130" s="35">
        <f t="shared" ref="G130:G193" si="32">-C130</f>
        <v>-4672.2193833333331</v>
      </c>
      <c r="H130" s="23">
        <f t="shared" si="28"/>
        <v>279039.54281711747</v>
      </c>
      <c r="I130" s="31">
        <f>+$B$129*0.0475/12</f>
        <v>-5309.340208333334</v>
      </c>
      <c r="J130" s="20">
        <f t="shared" ref="J130:J188" si="33">+I130+J129</f>
        <v>-709495.51520833338</v>
      </c>
      <c r="K130" s="20">
        <f>+K129-I130</f>
        <v>-631811.48479166662</v>
      </c>
    </row>
    <row r="131" spans="1:11" x14ac:dyDescent="0.3">
      <c r="A131" s="12">
        <v>40968</v>
      </c>
      <c r="B131" s="35">
        <v>-1341307</v>
      </c>
      <c r="C131" s="35">
        <f t="shared" ref="C131:C194" si="34">-B131*$C$5/12+C130</f>
        <v>7008.3290749999996</v>
      </c>
      <c r="D131" s="20">
        <f t="shared" si="29"/>
        <v>-1334298.670925</v>
      </c>
      <c r="E131" s="47">
        <f t="shared" si="30"/>
        <v>280216.64477866585</v>
      </c>
      <c r="F131" s="51">
        <f t="shared" si="31"/>
        <v>-1341307</v>
      </c>
      <c r="G131" s="35">
        <f t="shared" si="32"/>
        <v>-7008.3290749999996</v>
      </c>
      <c r="H131" s="23">
        <f t="shared" si="28"/>
        <v>280216.64477866585</v>
      </c>
      <c r="I131" s="31">
        <f t="shared" ref="I131:I141" si="35">+$B$129*0.0475/12</f>
        <v>-5309.340208333334</v>
      </c>
      <c r="J131" s="20">
        <f t="shared" si="33"/>
        <v>-714804.85541666672</v>
      </c>
      <c r="K131" s="20">
        <f t="shared" ref="K131:K188" si="36">+K130-I131</f>
        <v>-626502.14458333328</v>
      </c>
    </row>
    <row r="132" spans="1:11" x14ac:dyDescent="0.3">
      <c r="A132" s="12">
        <v>40999</v>
      </c>
      <c r="B132" s="35">
        <v>-1341307</v>
      </c>
      <c r="C132" s="35">
        <f t="shared" si="34"/>
        <v>9344.4387666666662</v>
      </c>
      <c r="D132" s="20">
        <f t="shared" si="29"/>
        <v>-1331962.5612333333</v>
      </c>
      <c r="E132" s="47">
        <f t="shared" si="30"/>
        <v>281393.74674021418</v>
      </c>
      <c r="F132" s="51">
        <f t="shared" si="31"/>
        <v>-1341307</v>
      </c>
      <c r="G132" s="35">
        <f t="shared" si="32"/>
        <v>-9344.4387666666662</v>
      </c>
      <c r="H132" s="23">
        <f t="shared" si="28"/>
        <v>281393.74674021418</v>
      </c>
      <c r="I132" s="31">
        <f t="shared" si="35"/>
        <v>-5309.340208333334</v>
      </c>
      <c r="J132" s="20">
        <f t="shared" si="33"/>
        <v>-720114.19562500005</v>
      </c>
      <c r="K132" s="20">
        <f t="shared" si="36"/>
        <v>-621192.80437499995</v>
      </c>
    </row>
    <row r="133" spans="1:11" x14ac:dyDescent="0.3">
      <c r="A133" s="12">
        <v>41029</v>
      </c>
      <c r="B133" s="35">
        <v>-1341307</v>
      </c>
      <c r="C133" s="35">
        <f t="shared" si="34"/>
        <v>11680.548458333333</v>
      </c>
      <c r="D133" s="20">
        <f t="shared" si="29"/>
        <v>-1329626.4515416666</v>
      </c>
      <c r="E133" s="47">
        <f t="shared" si="30"/>
        <v>282570.8487017625</v>
      </c>
      <c r="F133" s="51">
        <f t="shared" si="31"/>
        <v>-1341307</v>
      </c>
      <c r="G133" s="35">
        <f t="shared" si="32"/>
        <v>-11680.548458333333</v>
      </c>
      <c r="H133" s="23">
        <f t="shared" si="28"/>
        <v>282570.8487017625</v>
      </c>
      <c r="I133" s="31">
        <f t="shared" si="35"/>
        <v>-5309.340208333334</v>
      </c>
      <c r="J133" s="20">
        <f t="shared" si="33"/>
        <v>-725423.53583333339</v>
      </c>
      <c r="K133" s="20">
        <f t="shared" si="36"/>
        <v>-615883.46416666661</v>
      </c>
    </row>
    <row r="134" spans="1:11" x14ac:dyDescent="0.3">
      <c r="A134" s="12">
        <v>41060</v>
      </c>
      <c r="B134" s="35">
        <v>-1341307</v>
      </c>
      <c r="C134" s="35">
        <f t="shared" si="34"/>
        <v>14016.658149999999</v>
      </c>
      <c r="D134" s="20">
        <f t="shared" si="29"/>
        <v>-1327290.34185</v>
      </c>
      <c r="E134" s="47">
        <f t="shared" si="30"/>
        <v>283747.95066331082</v>
      </c>
      <c r="F134" s="51">
        <f t="shared" si="31"/>
        <v>-1341307</v>
      </c>
      <c r="G134" s="35">
        <f t="shared" si="32"/>
        <v>-14016.658149999999</v>
      </c>
      <c r="H134" s="23">
        <f t="shared" si="28"/>
        <v>283747.95066331082</v>
      </c>
      <c r="I134" s="31">
        <f t="shared" si="35"/>
        <v>-5309.340208333334</v>
      </c>
      <c r="J134" s="20">
        <f t="shared" si="33"/>
        <v>-730732.87604166672</v>
      </c>
      <c r="K134" s="20">
        <f t="shared" si="36"/>
        <v>-610574.12395833328</v>
      </c>
    </row>
    <row r="135" spans="1:11" x14ac:dyDescent="0.3">
      <c r="A135" s="12">
        <v>41090</v>
      </c>
      <c r="B135" s="35">
        <v>-1341307</v>
      </c>
      <c r="C135" s="35">
        <f t="shared" si="34"/>
        <v>16352.767841666666</v>
      </c>
      <c r="D135" s="20">
        <f t="shared" si="29"/>
        <v>-1324954.2321583333</v>
      </c>
      <c r="E135" s="47">
        <f t="shared" si="30"/>
        <v>284925.05262485915</v>
      </c>
      <c r="F135" s="51">
        <f t="shared" si="31"/>
        <v>-1341307</v>
      </c>
      <c r="G135" s="35">
        <f t="shared" si="32"/>
        <v>-16352.767841666666</v>
      </c>
      <c r="H135" s="23">
        <f t="shared" si="28"/>
        <v>284925.05262485915</v>
      </c>
      <c r="I135" s="31">
        <f t="shared" si="35"/>
        <v>-5309.340208333334</v>
      </c>
      <c r="J135" s="20">
        <f t="shared" si="33"/>
        <v>-736042.21625000006</v>
      </c>
      <c r="K135" s="20">
        <f t="shared" si="36"/>
        <v>-605264.78374999994</v>
      </c>
    </row>
    <row r="136" spans="1:11" x14ac:dyDescent="0.3">
      <c r="A136" s="12">
        <v>41121</v>
      </c>
      <c r="B136" s="35">
        <v>-1341307</v>
      </c>
      <c r="C136" s="35">
        <f t="shared" si="34"/>
        <v>18688.877533333332</v>
      </c>
      <c r="D136" s="20">
        <f t="shared" si="29"/>
        <v>-1322618.1224666666</v>
      </c>
      <c r="E136" s="47">
        <f t="shared" si="30"/>
        <v>286102.15458640747</v>
      </c>
      <c r="F136" s="51">
        <f t="shared" si="31"/>
        <v>-1341307</v>
      </c>
      <c r="G136" s="35">
        <f t="shared" si="32"/>
        <v>-18688.877533333332</v>
      </c>
      <c r="H136" s="23">
        <f t="shared" si="28"/>
        <v>286102.15458640747</v>
      </c>
      <c r="I136" s="31">
        <f t="shared" si="35"/>
        <v>-5309.340208333334</v>
      </c>
      <c r="J136" s="20">
        <f t="shared" si="33"/>
        <v>-741351.55645833339</v>
      </c>
      <c r="K136" s="20">
        <f t="shared" si="36"/>
        <v>-599955.44354166661</v>
      </c>
    </row>
    <row r="137" spans="1:11" x14ac:dyDescent="0.3">
      <c r="A137" s="12">
        <v>41152</v>
      </c>
      <c r="B137" s="35">
        <v>-1341307</v>
      </c>
      <c r="C137" s="35">
        <f t="shared" si="34"/>
        <v>21024.987224999997</v>
      </c>
      <c r="D137" s="20">
        <f t="shared" si="29"/>
        <v>-1320282.012775</v>
      </c>
      <c r="E137" s="47">
        <f t="shared" si="30"/>
        <v>287279.2565479558</v>
      </c>
      <c r="F137" s="51">
        <f t="shared" si="31"/>
        <v>-1341307</v>
      </c>
      <c r="G137" s="35">
        <f t="shared" si="32"/>
        <v>-21024.987224999997</v>
      </c>
      <c r="H137" s="23">
        <f t="shared" si="28"/>
        <v>287279.2565479558</v>
      </c>
      <c r="I137" s="31">
        <f t="shared" si="35"/>
        <v>-5309.340208333334</v>
      </c>
      <c r="J137" s="20">
        <f t="shared" si="33"/>
        <v>-746660.89666666673</v>
      </c>
      <c r="K137" s="20">
        <f t="shared" si="36"/>
        <v>-594646.10333333327</v>
      </c>
    </row>
    <row r="138" spans="1:11" x14ac:dyDescent="0.3">
      <c r="A138" s="12">
        <v>41182</v>
      </c>
      <c r="B138" s="35">
        <v>-1341307</v>
      </c>
      <c r="C138" s="35">
        <f t="shared" si="34"/>
        <v>23361.096916666662</v>
      </c>
      <c r="D138" s="20">
        <f t="shared" si="29"/>
        <v>-1317945.9030833333</v>
      </c>
      <c r="E138" s="47">
        <f t="shared" si="30"/>
        <v>288456.35850950418</v>
      </c>
      <c r="F138" s="51">
        <f t="shared" si="31"/>
        <v>-1341307</v>
      </c>
      <c r="G138" s="35">
        <f t="shared" si="32"/>
        <v>-23361.096916666662</v>
      </c>
      <c r="H138" s="23">
        <f t="shared" si="28"/>
        <v>288456.35850950418</v>
      </c>
      <c r="I138" s="31">
        <f t="shared" si="35"/>
        <v>-5309.340208333334</v>
      </c>
      <c r="J138" s="20">
        <f t="shared" si="33"/>
        <v>-751970.23687500006</v>
      </c>
      <c r="K138" s="20">
        <f t="shared" si="36"/>
        <v>-589336.76312499994</v>
      </c>
    </row>
    <row r="139" spans="1:11" x14ac:dyDescent="0.3">
      <c r="A139" s="12">
        <v>41213</v>
      </c>
      <c r="B139" s="35">
        <v>-1341307</v>
      </c>
      <c r="C139" s="35">
        <f t="shared" si="34"/>
        <v>25697.206608333327</v>
      </c>
      <c r="D139" s="20">
        <f t="shared" si="29"/>
        <v>-1315609.7933916666</v>
      </c>
      <c r="E139" s="47">
        <f t="shared" si="30"/>
        <v>289633.4604710525</v>
      </c>
      <c r="F139" s="51">
        <f t="shared" si="31"/>
        <v>-1341307</v>
      </c>
      <c r="G139" s="35">
        <f t="shared" si="32"/>
        <v>-25697.206608333327</v>
      </c>
      <c r="H139" s="23">
        <f t="shared" si="28"/>
        <v>289633.4604710525</v>
      </c>
      <c r="I139" s="31">
        <f t="shared" si="35"/>
        <v>-5309.340208333334</v>
      </c>
      <c r="J139" s="20">
        <f t="shared" si="33"/>
        <v>-757279.5770833334</v>
      </c>
      <c r="K139" s="20">
        <f t="shared" si="36"/>
        <v>-584027.4229166666</v>
      </c>
    </row>
    <row r="140" spans="1:11" x14ac:dyDescent="0.3">
      <c r="A140" s="12">
        <v>41243</v>
      </c>
      <c r="B140" s="35">
        <v>-1341307</v>
      </c>
      <c r="C140" s="35">
        <f t="shared" si="34"/>
        <v>28033.316299999991</v>
      </c>
      <c r="D140" s="20">
        <f t="shared" si="29"/>
        <v>-1313273.6836999999</v>
      </c>
      <c r="E140" s="47">
        <f t="shared" si="30"/>
        <v>290810.56243260083</v>
      </c>
      <c r="F140" s="51">
        <f t="shared" si="31"/>
        <v>-1341307</v>
      </c>
      <c r="G140" s="35">
        <f t="shared" si="32"/>
        <v>-28033.316299999991</v>
      </c>
      <c r="H140" s="23">
        <f t="shared" si="28"/>
        <v>290810.56243260083</v>
      </c>
      <c r="I140" s="31">
        <f t="shared" si="35"/>
        <v>-5309.340208333334</v>
      </c>
      <c r="J140" s="20">
        <f t="shared" si="33"/>
        <v>-762588.91729166673</v>
      </c>
      <c r="K140" s="20">
        <f t="shared" si="36"/>
        <v>-578718.08270833327</v>
      </c>
    </row>
    <row r="141" spans="1:11" x14ac:dyDescent="0.3">
      <c r="A141" s="12">
        <v>41274</v>
      </c>
      <c r="B141" s="35">
        <v>-1341307</v>
      </c>
      <c r="C141" s="35">
        <f t="shared" si="34"/>
        <v>30369.425991666656</v>
      </c>
      <c r="D141" s="20">
        <f t="shared" si="29"/>
        <v>-1310937.5740083333</v>
      </c>
      <c r="E141" s="47">
        <f t="shared" si="30"/>
        <v>291987.66439414915</v>
      </c>
      <c r="F141" s="51">
        <f t="shared" si="31"/>
        <v>-1341307</v>
      </c>
      <c r="G141" s="35">
        <f t="shared" si="32"/>
        <v>-30369.425991666656</v>
      </c>
      <c r="H141" s="23">
        <f t="shared" si="28"/>
        <v>291987.66439414915</v>
      </c>
      <c r="I141" s="31">
        <f t="shared" si="35"/>
        <v>-5309.340208333334</v>
      </c>
      <c r="J141" s="20">
        <f t="shared" si="33"/>
        <v>-767898.25750000007</v>
      </c>
      <c r="K141" s="20">
        <f t="shared" si="36"/>
        <v>-573408.74249999993</v>
      </c>
    </row>
    <row r="142" spans="1:11" s="38" customFormat="1" x14ac:dyDescent="0.3">
      <c r="A142" s="49">
        <v>41305</v>
      </c>
      <c r="B142" s="35">
        <v>-1341307</v>
      </c>
      <c r="C142" s="35">
        <f t="shared" si="34"/>
        <v>32705.535683333321</v>
      </c>
      <c r="D142" s="50">
        <f t="shared" si="29"/>
        <v>-1308601.4643166666</v>
      </c>
      <c r="E142" s="47">
        <f t="shared" si="30"/>
        <v>292954.56957684958</v>
      </c>
      <c r="F142" s="51">
        <f t="shared" si="31"/>
        <v>-1341307</v>
      </c>
      <c r="G142" s="35">
        <f t="shared" si="32"/>
        <v>-32705.535683333321</v>
      </c>
      <c r="H142" s="23">
        <f t="shared" si="28"/>
        <v>292954.56957684958</v>
      </c>
      <c r="I142" s="52">
        <f>+$B$129*0.04275/12</f>
        <v>-4778.4061875000007</v>
      </c>
      <c r="J142" s="50">
        <f t="shared" si="33"/>
        <v>-772676.66368750005</v>
      </c>
      <c r="K142" s="50">
        <f t="shared" si="36"/>
        <v>-568630.33631249995</v>
      </c>
    </row>
    <row r="143" spans="1:11" s="38" customFormat="1" x14ac:dyDescent="0.3">
      <c r="A143" s="49">
        <v>41333</v>
      </c>
      <c r="B143" s="35">
        <v>-1341307</v>
      </c>
      <c r="C143" s="35">
        <f t="shared" si="34"/>
        <v>35041.645374999986</v>
      </c>
      <c r="D143" s="50">
        <f t="shared" si="29"/>
        <v>-1306265.3546249999</v>
      </c>
      <c r="E143" s="47">
        <f t="shared" si="30"/>
        <v>293921.47475954995</v>
      </c>
      <c r="F143" s="51">
        <f t="shared" si="31"/>
        <v>-1341307</v>
      </c>
      <c r="G143" s="35">
        <f t="shared" si="32"/>
        <v>-35041.645374999986</v>
      </c>
      <c r="H143" s="23">
        <f t="shared" si="28"/>
        <v>293921.47475954995</v>
      </c>
      <c r="I143" s="52">
        <f t="shared" ref="I143:I201" si="37">+$B$129*0.04275/12</f>
        <v>-4778.4061875000007</v>
      </c>
      <c r="J143" s="50">
        <f t="shared" si="33"/>
        <v>-777455.06987500004</v>
      </c>
      <c r="K143" s="50">
        <f t="shared" si="36"/>
        <v>-563851.93012499996</v>
      </c>
    </row>
    <row r="144" spans="1:11" s="38" customFormat="1" x14ac:dyDescent="0.3">
      <c r="A144" s="49">
        <v>41364</v>
      </c>
      <c r="B144" s="35">
        <v>-1341307</v>
      </c>
      <c r="C144" s="35">
        <f t="shared" si="34"/>
        <v>37377.75506666665</v>
      </c>
      <c r="D144" s="50">
        <f t="shared" si="29"/>
        <v>-1303929.2449333332</v>
      </c>
      <c r="E144" s="47">
        <f t="shared" si="30"/>
        <v>294888.37994225038</v>
      </c>
      <c r="F144" s="51">
        <f t="shared" si="31"/>
        <v>-1341307</v>
      </c>
      <c r="G144" s="35">
        <f t="shared" si="32"/>
        <v>-37377.75506666665</v>
      </c>
      <c r="H144" s="23">
        <f t="shared" si="28"/>
        <v>294888.37994225038</v>
      </c>
      <c r="I144" s="52">
        <f t="shared" si="37"/>
        <v>-4778.4061875000007</v>
      </c>
      <c r="J144" s="50">
        <f t="shared" si="33"/>
        <v>-782233.47606250003</v>
      </c>
      <c r="K144" s="50">
        <f t="shared" si="36"/>
        <v>-559073.52393749997</v>
      </c>
    </row>
    <row r="145" spans="1:11" s="38" customFormat="1" x14ac:dyDescent="0.3">
      <c r="A145" s="49">
        <v>41394</v>
      </c>
      <c r="B145" s="35">
        <v>-1341307</v>
      </c>
      <c r="C145" s="35">
        <f t="shared" si="34"/>
        <v>39713.864758333315</v>
      </c>
      <c r="D145" s="50">
        <f t="shared" si="29"/>
        <v>-1301593.1352416666</v>
      </c>
      <c r="E145" s="47">
        <f t="shared" si="30"/>
        <v>295855.28512495081</v>
      </c>
      <c r="F145" s="51">
        <f t="shared" si="31"/>
        <v>-1341307</v>
      </c>
      <c r="G145" s="35">
        <f t="shared" si="32"/>
        <v>-39713.864758333315</v>
      </c>
      <c r="H145" s="23">
        <f t="shared" si="28"/>
        <v>295855.28512495081</v>
      </c>
      <c r="I145" s="52">
        <f t="shared" si="37"/>
        <v>-4778.4061875000007</v>
      </c>
      <c r="J145" s="50">
        <f t="shared" si="33"/>
        <v>-787011.88225000002</v>
      </c>
      <c r="K145" s="50">
        <f t="shared" si="36"/>
        <v>-554295.11774999998</v>
      </c>
    </row>
    <row r="146" spans="1:11" s="38" customFormat="1" x14ac:dyDescent="0.3">
      <c r="A146" s="49">
        <v>41425</v>
      </c>
      <c r="B146" s="35">
        <v>-1341307</v>
      </c>
      <c r="C146" s="35">
        <f t="shared" si="34"/>
        <v>42049.97444999998</v>
      </c>
      <c r="D146" s="50">
        <f t="shared" si="29"/>
        <v>-1299257.0255499999</v>
      </c>
      <c r="E146" s="47">
        <f t="shared" si="30"/>
        <v>296822.19030765118</v>
      </c>
      <c r="F146" s="51">
        <f t="shared" si="31"/>
        <v>-1341307</v>
      </c>
      <c r="G146" s="35">
        <f t="shared" si="32"/>
        <v>-42049.97444999998</v>
      </c>
      <c r="H146" s="23">
        <f t="shared" si="28"/>
        <v>296822.19030765118</v>
      </c>
      <c r="I146" s="52">
        <f t="shared" si="37"/>
        <v>-4778.4061875000007</v>
      </c>
      <c r="J146" s="50">
        <f t="shared" si="33"/>
        <v>-791790.28843750001</v>
      </c>
      <c r="K146" s="50">
        <f t="shared" si="36"/>
        <v>-549516.71156249999</v>
      </c>
    </row>
    <row r="147" spans="1:11" s="38" customFormat="1" x14ac:dyDescent="0.3">
      <c r="A147" s="49">
        <v>41455</v>
      </c>
      <c r="B147" s="35">
        <v>-1341307</v>
      </c>
      <c r="C147" s="35">
        <f t="shared" si="34"/>
        <v>44386.084141666644</v>
      </c>
      <c r="D147" s="50">
        <f t="shared" si="29"/>
        <v>-1296920.9158583335</v>
      </c>
      <c r="E147" s="47">
        <f t="shared" si="30"/>
        <v>297789.09549035173</v>
      </c>
      <c r="F147" s="51">
        <f t="shared" si="31"/>
        <v>-1341307</v>
      </c>
      <c r="G147" s="35">
        <f t="shared" si="32"/>
        <v>-44386.084141666644</v>
      </c>
      <c r="H147" s="23">
        <f t="shared" si="28"/>
        <v>297789.09549035173</v>
      </c>
      <c r="I147" s="52">
        <f t="shared" si="37"/>
        <v>-4778.4061875000007</v>
      </c>
      <c r="J147" s="50">
        <f t="shared" si="33"/>
        <v>-796568.694625</v>
      </c>
      <c r="K147" s="50">
        <f t="shared" si="36"/>
        <v>-544738.305375</v>
      </c>
    </row>
    <row r="148" spans="1:11" s="38" customFormat="1" x14ac:dyDescent="0.3">
      <c r="A148" s="49">
        <v>41486</v>
      </c>
      <c r="B148" s="35">
        <v>-1341307</v>
      </c>
      <c r="C148" s="35">
        <f t="shared" si="34"/>
        <v>46722.193833333309</v>
      </c>
      <c r="D148" s="50">
        <f t="shared" si="29"/>
        <v>-1294584.8061666668</v>
      </c>
      <c r="E148" s="47">
        <f t="shared" si="30"/>
        <v>298756.0006730521</v>
      </c>
      <c r="F148" s="51">
        <f t="shared" si="31"/>
        <v>-1341307</v>
      </c>
      <c r="G148" s="35">
        <f t="shared" si="32"/>
        <v>-46722.193833333309</v>
      </c>
      <c r="H148" s="23">
        <f t="shared" si="28"/>
        <v>298756.0006730521</v>
      </c>
      <c r="I148" s="52">
        <f t="shared" si="37"/>
        <v>-4778.4061875000007</v>
      </c>
      <c r="J148" s="50">
        <f t="shared" si="33"/>
        <v>-801347.10081249999</v>
      </c>
      <c r="K148" s="50">
        <f t="shared" si="36"/>
        <v>-539959.89918750001</v>
      </c>
    </row>
    <row r="149" spans="1:11" s="38" customFormat="1" x14ac:dyDescent="0.3">
      <c r="A149" s="49">
        <v>41517</v>
      </c>
      <c r="B149" s="35">
        <v>-1341307</v>
      </c>
      <c r="C149" s="35">
        <f t="shared" si="34"/>
        <v>49058.303524999974</v>
      </c>
      <c r="D149" s="50">
        <f t="shared" si="29"/>
        <v>-1292248.6964750001</v>
      </c>
      <c r="E149" s="47">
        <f t="shared" si="30"/>
        <v>299722.90585575253</v>
      </c>
      <c r="F149" s="51">
        <f t="shared" si="31"/>
        <v>-1341307</v>
      </c>
      <c r="G149" s="35">
        <f t="shared" si="32"/>
        <v>-49058.303524999974</v>
      </c>
      <c r="H149" s="23">
        <f t="shared" si="28"/>
        <v>299722.90585575253</v>
      </c>
      <c r="I149" s="52">
        <f t="shared" si="37"/>
        <v>-4778.4061875000007</v>
      </c>
      <c r="J149" s="50">
        <f t="shared" si="33"/>
        <v>-806125.50699999998</v>
      </c>
      <c r="K149" s="50">
        <f t="shared" si="36"/>
        <v>-535181.49300000002</v>
      </c>
    </row>
    <row r="150" spans="1:11" s="38" customFormat="1" x14ac:dyDescent="0.3">
      <c r="A150" s="49">
        <v>41547</v>
      </c>
      <c r="B150" s="35">
        <v>-1341307</v>
      </c>
      <c r="C150" s="35">
        <f t="shared" si="34"/>
        <v>51394.413216666639</v>
      </c>
      <c r="D150" s="50">
        <f t="shared" si="29"/>
        <v>-1289912.5867833334</v>
      </c>
      <c r="E150" s="47">
        <f t="shared" si="30"/>
        <v>300689.81103845296</v>
      </c>
      <c r="F150" s="51">
        <f t="shared" si="31"/>
        <v>-1341307</v>
      </c>
      <c r="G150" s="35">
        <f t="shared" si="32"/>
        <v>-51394.413216666639</v>
      </c>
      <c r="H150" s="23">
        <f t="shared" si="28"/>
        <v>300689.81103845296</v>
      </c>
      <c r="I150" s="52">
        <f t="shared" si="37"/>
        <v>-4778.4061875000007</v>
      </c>
      <c r="J150" s="50">
        <f t="shared" si="33"/>
        <v>-810903.91318749997</v>
      </c>
      <c r="K150" s="50">
        <f t="shared" si="36"/>
        <v>-530403.08681250003</v>
      </c>
    </row>
    <row r="151" spans="1:11" s="38" customFormat="1" x14ac:dyDescent="0.3">
      <c r="A151" s="49">
        <v>41578</v>
      </c>
      <c r="B151" s="35">
        <v>-1341307</v>
      </c>
      <c r="C151" s="35">
        <f t="shared" si="34"/>
        <v>53730.522908333303</v>
      </c>
      <c r="D151" s="50">
        <f t="shared" si="29"/>
        <v>-1287576.4770916668</v>
      </c>
      <c r="E151" s="47">
        <f t="shared" si="30"/>
        <v>301656.71622115333</v>
      </c>
      <c r="F151" s="51">
        <f t="shared" si="31"/>
        <v>-1341307</v>
      </c>
      <c r="G151" s="35">
        <f t="shared" si="32"/>
        <v>-53730.522908333303</v>
      </c>
      <c r="H151" s="23">
        <f t="shared" si="28"/>
        <v>301656.71622115333</v>
      </c>
      <c r="I151" s="52">
        <f t="shared" si="37"/>
        <v>-4778.4061875000007</v>
      </c>
      <c r="J151" s="50">
        <f t="shared" si="33"/>
        <v>-815682.31937499996</v>
      </c>
      <c r="K151" s="50">
        <f t="shared" si="36"/>
        <v>-525624.68062500004</v>
      </c>
    </row>
    <row r="152" spans="1:11" s="38" customFormat="1" x14ac:dyDescent="0.3">
      <c r="A152" s="49">
        <v>41608</v>
      </c>
      <c r="B152" s="35">
        <v>-1341307</v>
      </c>
      <c r="C152" s="35">
        <f t="shared" si="34"/>
        <v>56066.632599999968</v>
      </c>
      <c r="D152" s="50">
        <f t="shared" si="29"/>
        <v>-1285240.3674000001</v>
      </c>
      <c r="E152" s="47">
        <f t="shared" si="30"/>
        <v>302623.62140385376</v>
      </c>
      <c r="F152" s="51">
        <f t="shared" si="31"/>
        <v>-1341307</v>
      </c>
      <c r="G152" s="35">
        <f t="shared" si="32"/>
        <v>-56066.632599999968</v>
      </c>
      <c r="H152" s="23">
        <f t="shared" si="28"/>
        <v>302623.62140385376</v>
      </c>
      <c r="I152" s="52">
        <f t="shared" si="37"/>
        <v>-4778.4061875000007</v>
      </c>
      <c r="J152" s="50">
        <f t="shared" si="33"/>
        <v>-820460.72556249995</v>
      </c>
      <c r="K152" s="50">
        <f t="shared" si="36"/>
        <v>-520846.27443750005</v>
      </c>
    </row>
    <row r="153" spans="1:11" s="38" customFormat="1" x14ac:dyDescent="0.3">
      <c r="A153" s="49">
        <v>41639</v>
      </c>
      <c r="B153" s="35">
        <v>-1341307</v>
      </c>
      <c r="C153" s="35">
        <f t="shared" si="34"/>
        <v>58402.742291666633</v>
      </c>
      <c r="D153" s="50">
        <f t="shared" si="29"/>
        <v>-1282904.2577083334</v>
      </c>
      <c r="E153" s="47">
        <f t="shared" si="30"/>
        <v>303590.52658655419</v>
      </c>
      <c r="F153" s="51">
        <f t="shared" si="31"/>
        <v>-1341307</v>
      </c>
      <c r="G153" s="35">
        <f t="shared" si="32"/>
        <v>-58402.742291666633</v>
      </c>
      <c r="H153" s="23">
        <f t="shared" si="28"/>
        <v>303590.52658655419</v>
      </c>
      <c r="I153" s="52">
        <f t="shared" si="37"/>
        <v>-4778.4061875000007</v>
      </c>
      <c r="J153" s="50">
        <f t="shared" si="33"/>
        <v>-825239.13174999994</v>
      </c>
      <c r="K153" s="50">
        <f t="shared" si="36"/>
        <v>-516067.86825000006</v>
      </c>
    </row>
    <row r="154" spans="1:11" x14ac:dyDescent="0.3">
      <c r="A154" s="12">
        <v>41670</v>
      </c>
      <c r="B154" s="35">
        <v>-1341307</v>
      </c>
      <c r="C154" s="35">
        <f t="shared" si="34"/>
        <v>60738.851983333298</v>
      </c>
      <c r="D154" s="20">
        <f t="shared" si="29"/>
        <v>-1280568.1480166668</v>
      </c>
      <c r="E154" s="47">
        <f t="shared" si="30"/>
        <v>304557.43176925456</v>
      </c>
      <c r="F154" s="51">
        <f t="shared" si="31"/>
        <v>-1341307</v>
      </c>
      <c r="G154" s="35">
        <f t="shared" si="32"/>
        <v>-60738.851983333298</v>
      </c>
      <c r="H154" s="23">
        <f t="shared" si="28"/>
        <v>304557.43176925456</v>
      </c>
      <c r="I154" s="31">
        <f t="shared" si="37"/>
        <v>-4778.4061875000007</v>
      </c>
      <c r="J154" s="20">
        <f t="shared" si="33"/>
        <v>-830017.53793749993</v>
      </c>
      <c r="K154" s="20">
        <f t="shared" si="36"/>
        <v>-511289.46206250007</v>
      </c>
    </row>
    <row r="155" spans="1:11" x14ac:dyDescent="0.3">
      <c r="A155" s="12">
        <v>41698</v>
      </c>
      <c r="B155" s="35">
        <v>-1341307</v>
      </c>
      <c r="C155" s="35">
        <f t="shared" si="34"/>
        <v>63074.961674999962</v>
      </c>
      <c r="D155" s="20">
        <f t="shared" si="29"/>
        <v>-1278232.0383250001</v>
      </c>
      <c r="E155" s="47">
        <f t="shared" si="30"/>
        <v>305524.33695195499</v>
      </c>
      <c r="F155" s="51">
        <f t="shared" si="31"/>
        <v>-1341307</v>
      </c>
      <c r="G155" s="35">
        <f t="shared" si="32"/>
        <v>-63074.961674999962</v>
      </c>
      <c r="H155" s="23">
        <f t="shared" si="28"/>
        <v>305524.33695195499</v>
      </c>
      <c r="I155" s="31">
        <f t="shared" si="37"/>
        <v>-4778.4061875000007</v>
      </c>
      <c r="J155" s="20">
        <f t="shared" si="33"/>
        <v>-834795.94412499992</v>
      </c>
      <c r="K155" s="20">
        <f t="shared" si="36"/>
        <v>-506511.05587500008</v>
      </c>
    </row>
    <row r="156" spans="1:11" x14ac:dyDescent="0.3">
      <c r="A156" s="12">
        <v>41729</v>
      </c>
      <c r="B156" s="35">
        <v>-1341307</v>
      </c>
      <c r="C156" s="35">
        <f t="shared" si="34"/>
        <v>65411.071366666627</v>
      </c>
      <c r="D156" s="20">
        <f t="shared" si="29"/>
        <v>-1275895.9286333334</v>
      </c>
      <c r="E156" s="47">
        <f t="shared" si="30"/>
        <v>306491.24213465542</v>
      </c>
      <c r="F156" s="51">
        <f t="shared" si="31"/>
        <v>-1341307</v>
      </c>
      <c r="G156" s="35">
        <f t="shared" si="32"/>
        <v>-65411.071366666627</v>
      </c>
      <c r="H156" s="23">
        <f t="shared" si="28"/>
        <v>306491.24213465542</v>
      </c>
      <c r="I156" s="31">
        <f t="shared" si="37"/>
        <v>-4778.4061875000007</v>
      </c>
      <c r="J156" s="20">
        <f t="shared" si="33"/>
        <v>-839574.35031249991</v>
      </c>
      <c r="K156" s="20">
        <f t="shared" si="36"/>
        <v>-501732.64968750009</v>
      </c>
    </row>
    <row r="157" spans="1:11" x14ac:dyDescent="0.3">
      <c r="A157" s="12">
        <v>41759</v>
      </c>
      <c r="B157" s="35">
        <v>-1341307</v>
      </c>
      <c r="C157" s="35">
        <f t="shared" si="34"/>
        <v>67747.181058333299</v>
      </c>
      <c r="D157" s="20">
        <f t="shared" si="29"/>
        <v>-1273559.8189416667</v>
      </c>
      <c r="E157" s="47">
        <f t="shared" si="30"/>
        <v>307458.14731735579</v>
      </c>
      <c r="F157" s="51">
        <f t="shared" si="31"/>
        <v>-1341307</v>
      </c>
      <c r="G157" s="35">
        <f t="shared" si="32"/>
        <v>-67747.181058333299</v>
      </c>
      <c r="H157" s="23">
        <f t="shared" si="28"/>
        <v>307458.14731735579</v>
      </c>
      <c r="I157" s="31">
        <f t="shared" si="37"/>
        <v>-4778.4061875000007</v>
      </c>
      <c r="J157" s="20">
        <f t="shared" si="33"/>
        <v>-844352.7564999999</v>
      </c>
      <c r="K157" s="20">
        <f t="shared" si="36"/>
        <v>-496954.2435000001</v>
      </c>
    </row>
    <row r="158" spans="1:11" x14ac:dyDescent="0.3">
      <c r="A158" s="12">
        <v>41790</v>
      </c>
      <c r="B158" s="35">
        <v>-1341307</v>
      </c>
      <c r="C158" s="35">
        <f t="shared" si="34"/>
        <v>70083.290749999971</v>
      </c>
      <c r="D158" s="20">
        <f t="shared" si="29"/>
        <v>-1271223.7092500001</v>
      </c>
      <c r="E158" s="47">
        <f t="shared" si="30"/>
        <v>308425.05250005622</v>
      </c>
      <c r="F158" s="51">
        <f t="shared" si="31"/>
        <v>-1341307</v>
      </c>
      <c r="G158" s="35">
        <f t="shared" si="32"/>
        <v>-70083.290749999971</v>
      </c>
      <c r="H158" s="23">
        <f t="shared" si="28"/>
        <v>308425.05250005622</v>
      </c>
      <c r="I158" s="31">
        <f t="shared" si="37"/>
        <v>-4778.4061875000007</v>
      </c>
      <c r="J158" s="20">
        <f t="shared" si="33"/>
        <v>-849131.16268749989</v>
      </c>
      <c r="K158" s="20">
        <f t="shared" si="36"/>
        <v>-492175.83731250011</v>
      </c>
    </row>
    <row r="159" spans="1:11" x14ac:dyDescent="0.3">
      <c r="A159" s="12">
        <v>41820</v>
      </c>
      <c r="B159" s="35">
        <v>-1341307</v>
      </c>
      <c r="C159" s="35">
        <f t="shared" si="34"/>
        <v>72419.400441666643</v>
      </c>
      <c r="D159" s="20">
        <f t="shared" si="29"/>
        <v>-1268887.5995583334</v>
      </c>
      <c r="E159" s="47">
        <f t="shared" si="30"/>
        <v>309391.95768275665</v>
      </c>
      <c r="F159" s="51">
        <f t="shared" si="31"/>
        <v>-1341307</v>
      </c>
      <c r="G159" s="35">
        <f t="shared" si="32"/>
        <v>-72419.400441666643</v>
      </c>
      <c r="H159" s="23">
        <f t="shared" si="28"/>
        <v>309391.95768275665</v>
      </c>
      <c r="I159" s="31">
        <f t="shared" si="37"/>
        <v>-4778.4061875000007</v>
      </c>
      <c r="J159" s="20">
        <f t="shared" si="33"/>
        <v>-853909.56887499988</v>
      </c>
      <c r="K159" s="20">
        <f t="shared" si="36"/>
        <v>-487397.43112500012</v>
      </c>
    </row>
    <row r="160" spans="1:11" x14ac:dyDescent="0.3">
      <c r="A160" s="12">
        <v>41851</v>
      </c>
      <c r="B160" s="35">
        <v>-1341307</v>
      </c>
      <c r="C160" s="35">
        <f t="shared" si="34"/>
        <v>74755.510133333315</v>
      </c>
      <c r="D160" s="20">
        <f t="shared" si="29"/>
        <v>-1266551.4898666667</v>
      </c>
      <c r="E160" s="47">
        <f t="shared" si="30"/>
        <v>310358.86286545702</v>
      </c>
      <c r="F160" s="51">
        <f t="shared" si="31"/>
        <v>-1341307</v>
      </c>
      <c r="G160" s="35">
        <f t="shared" si="32"/>
        <v>-74755.510133333315</v>
      </c>
      <c r="H160" s="23">
        <f t="shared" si="28"/>
        <v>310358.86286545702</v>
      </c>
      <c r="I160" s="31">
        <f t="shared" si="37"/>
        <v>-4778.4061875000007</v>
      </c>
      <c r="J160" s="20">
        <f t="shared" si="33"/>
        <v>-858687.97506249987</v>
      </c>
      <c r="K160" s="20">
        <f t="shared" si="36"/>
        <v>-482619.02493750013</v>
      </c>
    </row>
    <row r="161" spans="1:11" x14ac:dyDescent="0.3">
      <c r="A161" s="12">
        <v>41882</v>
      </c>
      <c r="B161" s="35">
        <v>-1341307</v>
      </c>
      <c r="C161" s="35">
        <f t="shared" si="34"/>
        <v>77091.619824999987</v>
      </c>
      <c r="D161" s="20">
        <f t="shared" si="29"/>
        <v>-1264215.3801750001</v>
      </c>
      <c r="E161" s="47">
        <f t="shared" si="30"/>
        <v>311325.76804815745</v>
      </c>
      <c r="F161" s="51">
        <f t="shared" si="31"/>
        <v>-1341307</v>
      </c>
      <c r="G161" s="35">
        <f t="shared" si="32"/>
        <v>-77091.619824999987</v>
      </c>
      <c r="H161" s="23">
        <f t="shared" si="28"/>
        <v>311325.76804815745</v>
      </c>
      <c r="I161" s="31">
        <f t="shared" si="37"/>
        <v>-4778.4061875000007</v>
      </c>
      <c r="J161" s="20">
        <f t="shared" si="33"/>
        <v>-863466.38124999986</v>
      </c>
      <c r="K161" s="20">
        <f t="shared" si="36"/>
        <v>-477840.61875000014</v>
      </c>
    </row>
    <row r="162" spans="1:11" x14ac:dyDescent="0.3">
      <c r="A162" s="12">
        <v>41912</v>
      </c>
      <c r="B162" s="35">
        <v>-1341307</v>
      </c>
      <c r="C162" s="35">
        <f t="shared" si="34"/>
        <v>79427.729516666659</v>
      </c>
      <c r="D162" s="20">
        <f t="shared" si="29"/>
        <v>-1261879.2704833334</v>
      </c>
      <c r="E162" s="47">
        <f t="shared" si="30"/>
        <v>312292.67323085788</v>
      </c>
      <c r="F162" s="51">
        <f t="shared" si="31"/>
        <v>-1341307</v>
      </c>
      <c r="G162" s="35">
        <f t="shared" si="32"/>
        <v>-79427.729516666659</v>
      </c>
      <c r="H162" s="23">
        <f t="shared" si="28"/>
        <v>312292.67323085788</v>
      </c>
      <c r="I162" s="31">
        <f t="shared" si="37"/>
        <v>-4778.4061875000007</v>
      </c>
      <c r="J162" s="20">
        <f t="shared" si="33"/>
        <v>-868244.78743749985</v>
      </c>
      <c r="K162" s="20">
        <f t="shared" si="36"/>
        <v>-473062.21256250015</v>
      </c>
    </row>
    <row r="163" spans="1:11" x14ac:dyDescent="0.3">
      <c r="A163" s="12">
        <v>41943</v>
      </c>
      <c r="B163" s="35">
        <v>-1341307</v>
      </c>
      <c r="C163" s="35">
        <f t="shared" si="34"/>
        <v>81763.839208333331</v>
      </c>
      <c r="D163" s="20">
        <f t="shared" si="29"/>
        <v>-1259543.1607916667</v>
      </c>
      <c r="E163" s="47">
        <f t="shared" si="30"/>
        <v>313259.57841355825</v>
      </c>
      <c r="F163" s="51">
        <f t="shared" si="31"/>
        <v>-1341307</v>
      </c>
      <c r="G163" s="35">
        <f t="shared" si="32"/>
        <v>-81763.839208333331</v>
      </c>
      <c r="H163" s="23">
        <f t="shared" si="28"/>
        <v>313259.57841355825</v>
      </c>
      <c r="I163" s="31">
        <f t="shared" si="37"/>
        <v>-4778.4061875000007</v>
      </c>
      <c r="J163" s="20">
        <f t="shared" si="33"/>
        <v>-873023.19362499984</v>
      </c>
      <c r="K163" s="20">
        <f t="shared" si="36"/>
        <v>-468283.80637500016</v>
      </c>
    </row>
    <row r="164" spans="1:11" x14ac:dyDescent="0.3">
      <c r="A164" s="12">
        <v>41973</v>
      </c>
      <c r="B164" s="35">
        <v>-1341307</v>
      </c>
      <c r="C164" s="35">
        <f t="shared" si="34"/>
        <v>84099.948900000003</v>
      </c>
      <c r="D164" s="20">
        <f t="shared" si="29"/>
        <v>-1257207.0511</v>
      </c>
      <c r="E164" s="47">
        <f t="shared" si="30"/>
        <v>314226.48359625868</v>
      </c>
      <c r="F164" s="51">
        <f t="shared" si="31"/>
        <v>-1341307</v>
      </c>
      <c r="G164" s="35">
        <f t="shared" si="32"/>
        <v>-84099.948900000003</v>
      </c>
      <c r="H164" s="23">
        <f t="shared" si="28"/>
        <v>314226.48359625868</v>
      </c>
      <c r="I164" s="31">
        <f t="shared" si="37"/>
        <v>-4778.4061875000007</v>
      </c>
      <c r="J164" s="20">
        <f t="shared" si="33"/>
        <v>-877801.59981249983</v>
      </c>
      <c r="K164" s="20">
        <f t="shared" si="36"/>
        <v>-463505.40018750017</v>
      </c>
    </row>
    <row r="165" spans="1:11" x14ac:dyDescent="0.3">
      <c r="A165" s="12">
        <v>42004</v>
      </c>
      <c r="B165" s="35">
        <v>-1341307</v>
      </c>
      <c r="C165" s="35">
        <f t="shared" si="34"/>
        <v>86436.058591666675</v>
      </c>
      <c r="D165" s="20">
        <f t="shared" si="29"/>
        <v>-1254870.9414083334</v>
      </c>
      <c r="E165" s="47">
        <f t="shared" si="30"/>
        <v>315193.38877895911</v>
      </c>
      <c r="F165" s="51">
        <f t="shared" si="31"/>
        <v>-1341307</v>
      </c>
      <c r="G165" s="35">
        <f t="shared" si="32"/>
        <v>-86436.058591666675</v>
      </c>
      <c r="H165" s="23">
        <f t="shared" si="28"/>
        <v>315193.38877895911</v>
      </c>
      <c r="I165" s="31">
        <f t="shared" si="37"/>
        <v>-4778.4061875000007</v>
      </c>
      <c r="J165" s="20">
        <f t="shared" si="33"/>
        <v>-882580.00599999982</v>
      </c>
      <c r="K165" s="20">
        <f t="shared" si="36"/>
        <v>-458726.99400000018</v>
      </c>
    </row>
    <row r="166" spans="1:11" x14ac:dyDescent="0.3">
      <c r="A166" s="12">
        <v>42035</v>
      </c>
      <c r="B166" s="35">
        <v>-1341307</v>
      </c>
      <c r="C166" s="35">
        <f t="shared" si="34"/>
        <v>88772.168283333347</v>
      </c>
      <c r="D166" s="20">
        <f t="shared" si="29"/>
        <v>-1252534.8317166667</v>
      </c>
      <c r="E166" s="47">
        <f t="shared" si="30"/>
        <v>316160.29396165948</v>
      </c>
      <c r="F166" s="51">
        <f t="shared" si="31"/>
        <v>-1341307</v>
      </c>
      <c r="G166" s="35">
        <f t="shared" si="32"/>
        <v>-88772.168283333347</v>
      </c>
      <c r="H166" s="23">
        <f t="shared" si="28"/>
        <v>316160.29396165948</v>
      </c>
      <c r="I166" s="31">
        <f t="shared" si="37"/>
        <v>-4778.4061875000007</v>
      </c>
      <c r="J166" s="20">
        <f t="shared" si="33"/>
        <v>-887358.41218749981</v>
      </c>
      <c r="K166" s="20">
        <f t="shared" si="36"/>
        <v>-453948.58781250019</v>
      </c>
    </row>
    <row r="167" spans="1:11" x14ac:dyDescent="0.3">
      <c r="A167" s="12">
        <v>42063</v>
      </c>
      <c r="B167" s="35">
        <v>-1341307</v>
      </c>
      <c r="C167" s="35">
        <f t="shared" si="34"/>
        <v>91108.277975000019</v>
      </c>
      <c r="D167" s="20">
        <f t="shared" si="29"/>
        <v>-1250198.722025</v>
      </c>
      <c r="E167" s="47">
        <f t="shared" si="30"/>
        <v>317127.19914435991</v>
      </c>
      <c r="F167" s="51">
        <f t="shared" si="31"/>
        <v>-1341307</v>
      </c>
      <c r="G167" s="35">
        <f t="shared" si="32"/>
        <v>-91108.277975000019</v>
      </c>
      <c r="H167" s="23">
        <f t="shared" si="28"/>
        <v>317127.19914435991</v>
      </c>
      <c r="I167" s="31">
        <f t="shared" si="37"/>
        <v>-4778.4061875000007</v>
      </c>
      <c r="J167" s="20">
        <f t="shared" si="33"/>
        <v>-892136.8183749998</v>
      </c>
      <c r="K167" s="20">
        <f t="shared" si="36"/>
        <v>-449170.1816250002</v>
      </c>
    </row>
    <row r="168" spans="1:11" x14ac:dyDescent="0.3">
      <c r="A168" s="12">
        <v>42094</v>
      </c>
      <c r="B168" s="35">
        <v>-1341307</v>
      </c>
      <c r="C168" s="35">
        <f t="shared" si="34"/>
        <v>93444.387666666691</v>
      </c>
      <c r="D168" s="20">
        <f t="shared" si="29"/>
        <v>-1247862.6123333334</v>
      </c>
      <c r="E168" s="47">
        <f t="shared" si="30"/>
        <v>318094.10432706034</v>
      </c>
      <c r="F168" s="51">
        <f t="shared" si="31"/>
        <v>-1341307</v>
      </c>
      <c r="G168" s="35">
        <f t="shared" si="32"/>
        <v>-93444.387666666691</v>
      </c>
      <c r="H168" s="23">
        <f t="shared" si="28"/>
        <v>318094.10432706034</v>
      </c>
      <c r="I168" s="31">
        <f t="shared" si="37"/>
        <v>-4778.4061875000007</v>
      </c>
      <c r="J168" s="20">
        <f t="shared" si="33"/>
        <v>-896915.22456249979</v>
      </c>
      <c r="K168" s="20">
        <f t="shared" si="36"/>
        <v>-444391.77543750021</v>
      </c>
    </row>
    <row r="169" spans="1:11" x14ac:dyDescent="0.3">
      <c r="A169" s="12">
        <v>42124</v>
      </c>
      <c r="B169" s="35">
        <v>-1341307</v>
      </c>
      <c r="C169" s="35">
        <f t="shared" si="34"/>
        <v>95780.497358333363</v>
      </c>
      <c r="D169" s="20">
        <f t="shared" si="29"/>
        <v>-1245526.5026416667</v>
      </c>
      <c r="E169" s="47">
        <f t="shared" si="30"/>
        <v>319061.00950976071</v>
      </c>
      <c r="F169" s="51">
        <f t="shared" si="31"/>
        <v>-1341307</v>
      </c>
      <c r="G169" s="35">
        <f t="shared" si="32"/>
        <v>-95780.497358333363</v>
      </c>
      <c r="H169" s="23">
        <f t="shared" si="28"/>
        <v>319061.00950976071</v>
      </c>
      <c r="I169" s="31">
        <f t="shared" si="37"/>
        <v>-4778.4061875000007</v>
      </c>
      <c r="J169" s="20">
        <f t="shared" si="33"/>
        <v>-901693.63074999978</v>
      </c>
      <c r="K169" s="20">
        <f t="shared" si="36"/>
        <v>-439613.36925000022</v>
      </c>
    </row>
    <row r="170" spans="1:11" x14ac:dyDescent="0.3">
      <c r="A170" s="12">
        <v>42155</v>
      </c>
      <c r="B170" s="35">
        <v>-1341307</v>
      </c>
      <c r="C170" s="35">
        <f t="shared" si="34"/>
        <v>98116.607050000035</v>
      </c>
      <c r="D170" s="20">
        <f t="shared" si="29"/>
        <v>-1243190.39295</v>
      </c>
      <c r="E170" s="47">
        <f t="shared" si="30"/>
        <v>320027.91469246114</v>
      </c>
      <c r="F170" s="51">
        <f t="shared" si="31"/>
        <v>-1341307</v>
      </c>
      <c r="G170" s="35">
        <f t="shared" si="32"/>
        <v>-98116.607050000035</v>
      </c>
      <c r="H170" s="23">
        <f t="shared" si="28"/>
        <v>320027.91469246114</v>
      </c>
      <c r="I170" s="31">
        <f t="shared" si="37"/>
        <v>-4778.4061875000007</v>
      </c>
      <c r="J170" s="20">
        <f t="shared" si="33"/>
        <v>-906472.03693749977</v>
      </c>
      <c r="K170" s="20">
        <f t="shared" si="36"/>
        <v>-434834.96306250023</v>
      </c>
    </row>
    <row r="171" spans="1:11" x14ac:dyDescent="0.3">
      <c r="A171" s="12">
        <v>42185</v>
      </c>
      <c r="B171" s="35">
        <v>-1341307</v>
      </c>
      <c r="C171" s="35">
        <f t="shared" si="34"/>
        <v>100452.71674166671</v>
      </c>
      <c r="D171" s="20">
        <f t="shared" si="29"/>
        <v>-1240854.2832583333</v>
      </c>
      <c r="E171" s="47">
        <f t="shared" si="30"/>
        <v>320994.81987516157</v>
      </c>
      <c r="F171" s="51">
        <f t="shared" si="31"/>
        <v>-1341307</v>
      </c>
      <c r="G171" s="35">
        <f t="shared" si="32"/>
        <v>-100452.71674166671</v>
      </c>
      <c r="H171" s="23">
        <f t="shared" si="28"/>
        <v>320994.81987516157</v>
      </c>
      <c r="I171" s="31">
        <f t="shared" si="37"/>
        <v>-4778.4061875000007</v>
      </c>
      <c r="J171" s="20">
        <f t="shared" si="33"/>
        <v>-911250.44312499976</v>
      </c>
      <c r="K171" s="20">
        <f t="shared" si="36"/>
        <v>-430056.55687500024</v>
      </c>
    </row>
    <row r="172" spans="1:11" x14ac:dyDescent="0.3">
      <c r="A172" s="12">
        <v>42216</v>
      </c>
      <c r="B172" s="35">
        <v>-1341307</v>
      </c>
      <c r="C172" s="35">
        <f t="shared" si="34"/>
        <v>102788.82643333338</v>
      </c>
      <c r="D172" s="20">
        <f t="shared" si="29"/>
        <v>-1238518.1735666667</v>
      </c>
      <c r="E172" s="47">
        <f t="shared" si="30"/>
        <v>321961.72505786194</v>
      </c>
      <c r="F172" s="51">
        <f t="shared" si="31"/>
        <v>-1341307</v>
      </c>
      <c r="G172" s="35">
        <f t="shared" si="32"/>
        <v>-102788.82643333338</v>
      </c>
      <c r="H172" s="23">
        <f t="shared" si="28"/>
        <v>321961.72505786194</v>
      </c>
      <c r="I172" s="31">
        <f t="shared" si="37"/>
        <v>-4778.4061875000007</v>
      </c>
      <c r="J172" s="20">
        <f t="shared" si="33"/>
        <v>-916028.84931249975</v>
      </c>
      <c r="K172" s="20">
        <f t="shared" si="36"/>
        <v>-425278.15068750025</v>
      </c>
    </row>
    <row r="173" spans="1:11" x14ac:dyDescent="0.3">
      <c r="A173" s="12">
        <v>42247</v>
      </c>
      <c r="B173" s="35">
        <v>-1341307</v>
      </c>
      <c r="C173" s="35">
        <f t="shared" si="34"/>
        <v>105124.93612500005</v>
      </c>
      <c r="D173" s="20">
        <f t="shared" si="29"/>
        <v>-1236182.063875</v>
      </c>
      <c r="E173" s="47">
        <f t="shared" si="30"/>
        <v>322928.63024056237</v>
      </c>
      <c r="F173" s="51">
        <f t="shared" si="31"/>
        <v>-1341307</v>
      </c>
      <c r="G173" s="35">
        <f t="shared" si="32"/>
        <v>-105124.93612500005</v>
      </c>
      <c r="H173" s="23">
        <f t="shared" si="28"/>
        <v>322928.63024056237</v>
      </c>
      <c r="I173" s="31">
        <f t="shared" si="37"/>
        <v>-4778.4061875000007</v>
      </c>
      <c r="J173" s="20">
        <f t="shared" si="33"/>
        <v>-920807.25549999974</v>
      </c>
      <c r="K173" s="20">
        <f t="shared" si="36"/>
        <v>-420499.74450000026</v>
      </c>
    </row>
    <row r="174" spans="1:11" x14ac:dyDescent="0.3">
      <c r="A174" s="12">
        <v>42277</v>
      </c>
      <c r="B174" s="35">
        <v>-1341307</v>
      </c>
      <c r="C174" s="35">
        <f t="shared" si="34"/>
        <v>107461.04581666672</v>
      </c>
      <c r="D174" s="20">
        <f t="shared" si="29"/>
        <v>-1233845.9541833333</v>
      </c>
      <c r="E174" s="47">
        <f t="shared" si="30"/>
        <v>323895.5354232628</v>
      </c>
      <c r="F174" s="51">
        <f t="shared" si="31"/>
        <v>-1341307</v>
      </c>
      <c r="G174" s="35">
        <f t="shared" si="32"/>
        <v>-107461.04581666672</v>
      </c>
      <c r="H174" s="23">
        <f t="shared" si="28"/>
        <v>323895.5354232628</v>
      </c>
      <c r="I174" s="31">
        <f t="shared" si="37"/>
        <v>-4778.4061875000007</v>
      </c>
      <c r="J174" s="20">
        <f t="shared" si="33"/>
        <v>-925585.66168749973</v>
      </c>
      <c r="K174" s="20">
        <f t="shared" si="36"/>
        <v>-415721.33831250027</v>
      </c>
    </row>
    <row r="175" spans="1:11" x14ac:dyDescent="0.3">
      <c r="A175" s="12">
        <v>42308</v>
      </c>
      <c r="B175" s="35">
        <v>-1341307</v>
      </c>
      <c r="C175" s="35">
        <f t="shared" si="34"/>
        <v>109797.1555083334</v>
      </c>
      <c r="D175" s="20">
        <f t="shared" si="29"/>
        <v>-1231509.8444916666</v>
      </c>
      <c r="E175" s="47">
        <f t="shared" si="30"/>
        <v>324862.44060596317</v>
      </c>
      <c r="F175" s="51">
        <f t="shared" si="31"/>
        <v>-1341307</v>
      </c>
      <c r="G175" s="35">
        <f t="shared" si="32"/>
        <v>-109797.1555083334</v>
      </c>
      <c r="H175" s="23">
        <f t="shared" si="28"/>
        <v>324862.44060596317</v>
      </c>
      <c r="I175" s="31">
        <f t="shared" si="37"/>
        <v>-4778.4061875000007</v>
      </c>
      <c r="J175" s="20">
        <f t="shared" si="33"/>
        <v>-930364.06787499972</v>
      </c>
      <c r="K175" s="20">
        <f t="shared" si="36"/>
        <v>-410942.93212500028</v>
      </c>
    </row>
    <row r="176" spans="1:11" x14ac:dyDescent="0.3">
      <c r="A176" s="12">
        <v>42338</v>
      </c>
      <c r="B176" s="35">
        <v>-1341307</v>
      </c>
      <c r="C176" s="35">
        <f t="shared" si="34"/>
        <v>112133.26520000007</v>
      </c>
      <c r="D176" s="20">
        <f t="shared" si="29"/>
        <v>-1229173.7348</v>
      </c>
      <c r="E176" s="47">
        <f t="shared" si="30"/>
        <v>325829.3457886636</v>
      </c>
      <c r="F176" s="51">
        <f t="shared" si="31"/>
        <v>-1341307</v>
      </c>
      <c r="G176" s="35">
        <f t="shared" si="32"/>
        <v>-112133.26520000007</v>
      </c>
      <c r="H176" s="23">
        <f t="shared" si="28"/>
        <v>325829.3457886636</v>
      </c>
      <c r="I176" s="31">
        <f t="shared" si="37"/>
        <v>-4778.4061875000007</v>
      </c>
      <c r="J176" s="20">
        <f t="shared" si="33"/>
        <v>-935142.47406249971</v>
      </c>
      <c r="K176" s="20">
        <f t="shared" si="36"/>
        <v>-406164.52593750029</v>
      </c>
    </row>
    <row r="177" spans="1:11" x14ac:dyDescent="0.3">
      <c r="A177" s="12">
        <v>42369</v>
      </c>
      <c r="B177" s="35">
        <v>-1341307</v>
      </c>
      <c r="C177" s="35">
        <f t="shared" si="34"/>
        <v>114469.37489166674</v>
      </c>
      <c r="D177" s="20">
        <f t="shared" si="29"/>
        <v>-1226837.6251083333</v>
      </c>
      <c r="E177" s="47">
        <f t="shared" si="30"/>
        <v>326796.25097136403</v>
      </c>
      <c r="F177" s="51">
        <f t="shared" si="31"/>
        <v>-1341307</v>
      </c>
      <c r="G177" s="35">
        <f t="shared" si="32"/>
        <v>-114469.37489166674</v>
      </c>
      <c r="H177" s="23">
        <f t="shared" si="28"/>
        <v>326796.25097136403</v>
      </c>
      <c r="I177" s="31">
        <f t="shared" si="37"/>
        <v>-4778.4061875000007</v>
      </c>
      <c r="J177" s="20">
        <f t="shared" si="33"/>
        <v>-939920.8802499997</v>
      </c>
      <c r="K177" s="20">
        <f t="shared" si="36"/>
        <v>-401386.1197500003</v>
      </c>
    </row>
    <row r="178" spans="1:11" x14ac:dyDescent="0.3">
      <c r="A178" s="12">
        <v>42400</v>
      </c>
      <c r="B178" s="35">
        <v>-1341307</v>
      </c>
      <c r="C178" s="35">
        <f t="shared" si="34"/>
        <v>116805.48458333341</v>
      </c>
      <c r="D178" s="20">
        <f t="shared" si="29"/>
        <v>-1224501.5154166666</v>
      </c>
      <c r="E178" s="47">
        <f t="shared" si="30"/>
        <v>327763.1561540644</v>
      </c>
      <c r="F178" s="25">
        <f t="shared" si="31"/>
        <v>-1341307</v>
      </c>
      <c r="G178" s="26">
        <f t="shared" si="32"/>
        <v>-116805.48458333341</v>
      </c>
      <c r="H178" s="27">
        <f t="shared" si="28"/>
        <v>327763.1561540644</v>
      </c>
      <c r="I178" s="31">
        <f t="shared" si="37"/>
        <v>-4778.4061875000007</v>
      </c>
      <c r="J178" s="20">
        <f t="shared" si="33"/>
        <v>-944699.28643749969</v>
      </c>
      <c r="K178" s="20">
        <f t="shared" si="36"/>
        <v>-396607.71356250031</v>
      </c>
    </row>
    <row r="179" spans="1:11" x14ac:dyDescent="0.3">
      <c r="A179" s="12">
        <v>42429</v>
      </c>
      <c r="B179" s="35">
        <v>-1341307</v>
      </c>
      <c r="C179" s="35">
        <f t="shared" si="34"/>
        <v>119141.59427500008</v>
      </c>
      <c r="D179" s="20">
        <f t="shared" si="29"/>
        <v>-1222165.405725</v>
      </c>
      <c r="E179" s="47">
        <f t="shared" si="30"/>
        <v>328730.06133676483</v>
      </c>
      <c r="F179" s="25">
        <f t="shared" si="31"/>
        <v>-1341307</v>
      </c>
      <c r="G179" s="26">
        <f t="shared" si="32"/>
        <v>-119141.59427500008</v>
      </c>
      <c r="H179" s="27">
        <f t="shared" si="28"/>
        <v>328730.06133676483</v>
      </c>
      <c r="I179" s="31">
        <f t="shared" si="37"/>
        <v>-4778.4061875000007</v>
      </c>
      <c r="J179" s="20">
        <f t="shared" si="33"/>
        <v>-949477.69262499968</v>
      </c>
      <c r="K179" s="20">
        <f t="shared" si="36"/>
        <v>-391829.30737500032</v>
      </c>
    </row>
    <row r="180" spans="1:11" x14ac:dyDescent="0.3">
      <c r="A180" s="12">
        <v>42460</v>
      </c>
      <c r="B180" s="35">
        <v>-1341307</v>
      </c>
      <c r="C180" s="35">
        <f t="shared" si="34"/>
        <v>121477.70396666676</v>
      </c>
      <c r="D180" s="20">
        <f t="shared" si="29"/>
        <v>-1219829.2960333333</v>
      </c>
      <c r="E180" s="47">
        <f t="shared" si="30"/>
        <v>329696.96651946526</v>
      </c>
      <c r="F180" s="25">
        <f t="shared" si="31"/>
        <v>-1341307</v>
      </c>
      <c r="G180" s="26">
        <f t="shared" si="32"/>
        <v>-121477.70396666676</v>
      </c>
      <c r="H180" s="27">
        <f t="shared" si="28"/>
        <v>329696.96651946526</v>
      </c>
      <c r="I180" s="31">
        <f t="shared" si="37"/>
        <v>-4778.4061875000007</v>
      </c>
      <c r="J180" s="20">
        <f t="shared" si="33"/>
        <v>-954256.09881249967</v>
      </c>
      <c r="K180" s="20">
        <f t="shared" si="36"/>
        <v>-387050.90118750033</v>
      </c>
    </row>
    <row r="181" spans="1:11" x14ac:dyDescent="0.3">
      <c r="A181" s="12">
        <v>42490</v>
      </c>
      <c r="B181" s="35">
        <v>-1341307</v>
      </c>
      <c r="C181" s="35">
        <f t="shared" si="34"/>
        <v>123813.81365833343</v>
      </c>
      <c r="D181" s="20">
        <f t="shared" si="29"/>
        <v>-1217493.1863416666</v>
      </c>
      <c r="E181" s="47">
        <f t="shared" si="30"/>
        <v>330663.87170216563</v>
      </c>
      <c r="F181" s="25">
        <f t="shared" si="31"/>
        <v>-1341307</v>
      </c>
      <c r="G181" s="26">
        <f t="shared" si="32"/>
        <v>-123813.81365833343</v>
      </c>
      <c r="H181" s="27">
        <f t="shared" si="28"/>
        <v>330663.87170216563</v>
      </c>
      <c r="I181" s="31">
        <f t="shared" si="37"/>
        <v>-4778.4061875000007</v>
      </c>
      <c r="J181" s="20">
        <f t="shared" si="33"/>
        <v>-959034.50499999966</v>
      </c>
      <c r="K181" s="20">
        <f t="shared" si="36"/>
        <v>-382272.49500000034</v>
      </c>
    </row>
    <row r="182" spans="1:11" x14ac:dyDescent="0.3">
      <c r="A182" s="12">
        <v>42521</v>
      </c>
      <c r="B182" s="35">
        <v>-1341307</v>
      </c>
      <c r="C182" s="35">
        <f t="shared" si="34"/>
        <v>126149.9233500001</v>
      </c>
      <c r="D182" s="20">
        <f t="shared" si="29"/>
        <v>-1215157.0766499999</v>
      </c>
      <c r="E182" s="47">
        <f t="shared" si="30"/>
        <v>331630.77688486606</v>
      </c>
      <c r="F182" s="25">
        <f t="shared" si="31"/>
        <v>-1341307</v>
      </c>
      <c r="G182" s="26">
        <f t="shared" si="32"/>
        <v>-126149.9233500001</v>
      </c>
      <c r="H182" s="27">
        <f t="shared" si="28"/>
        <v>331630.77688486606</v>
      </c>
      <c r="I182" s="31">
        <f t="shared" si="37"/>
        <v>-4778.4061875000007</v>
      </c>
      <c r="J182" s="20">
        <f t="shared" si="33"/>
        <v>-963812.91118749965</v>
      </c>
      <c r="K182" s="20">
        <f t="shared" si="36"/>
        <v>-377494.08881250035</v>
      </c>
    </row>
    <row r="183" spans="1:11" x14ac:dyDescent="0.3">
      <c r="A183" s="12">
        <v>42551</v>
      </c>
      <c r="B183" s="35">
        <v>-1341307</v>
      </c>
      <c r="C183" s="35">
        <f t="shared" si="34"/>
        <v>128486.03304166677</v>
      </c>
      <c r="D183" s="20">
        <f t="shared" si="29"/>
        <v>-1212820.9669583333</v>
      </c>
      <c r="E183" s="47">
        <f t="shared" si="30"/>
        <v>332597.68206756649</v>
      </c>
      <c r="F183" s="25">
        <f t="shared" si="31"/>
        <v>-1341307</v>
      </c>
      <c r="G183" s="26">
        <f t="shared" si="32"/>
        <v>-128486.03304166677</v>
      </c>
      <c r="H183" s="27">
        <f t="shared" si="28"/>
        <v>332597.68206756649</v>
      </c>
      <c r="I183" s="31">
        <f t="shared" si="37"/>
        <v>-4778.4061875000007</v>
      </c>
      <c r="J183" s="20">
        <f t="shared" si="33"/>
        <v>-968591.31737499963</v>
      </c>
      <c r="K183" s="20">
        <f t="shared" si="36"/>
        <v>-372715.68262500037</v>
      </c>
    </row>
    <row r="184" spans="1:11" x14ac:dyDescent="0.3">
      <c r="A184" s="12">
        <v>42582</v>
      </c>
      <c r="B184" s="35">
        <v>-1341307</v>
      </c>
      <c r="C184" s="35">
        <f t="shared" si="34"/>
        <v>130822.14273333344</v>
      </c>
      <c r="D184" s="20">
        <f t="shared" si="29"/>
        <v>-1210484.8572666666</v>
      </c>
      <c r="E184" s="47">
        <f t="shared" si="30"/>
        <v>333564.58725026686</v>
      </c>
      <c r="F184" s="25">
        <f t="shared" si="31"/>
        <v>-1341307</v>
      </c>
      <c r="G184" s="26">
        <f t="shared" si="32"/>
        <v>-130822.14273333344</v>
      </c>
      <c r="H184" s="27">
        <f t="shared" si="28"/>
        <v>333564.58725026686</v>
      </c>
      <c r="I184" s="31">
        <f t="shared" si="37"/>
        <v>-4778.4061875000007</v>
      </c>
      <c r="J184" s="20">
        <f t="shared" si="33"/>
        <v>-973369.72356249962</v>
      </c>
      <c r="K184" s="20">
        <f t="shared" si="36"/>
        <v>-367937.27643750038</v>
      </c>
    </row>
    <row r="185" spans="1:11" x14ac:dyDescent="0.3">
      <c r="A185" s="12">
        <v>42613</v>
      </c>
      <c r="B185" s="35">
        <v>-1341307</v>
      </c>
      <c r="C185" s="35">
        <f t="shared" si="34"/>
        <v>133158.2524250001</v>
      </c>
      <c r="D185" s="20">
        <f t="shared" si="29"/>
        <v>-1208148.7475749999</v>
      </c>
      <c r="E185" s="47">
        <f t="shared" si="30"/>
        <v>334531.49243296729</v>
      </c>
      <c r="F185" s="25">
        <f t="shared" si="31"/>
        <v>-1341307</v>
      </c>
      <c r="G185" s="26">
        <f t="shared" si="32"/>
        <v>-133158.2524250001</v>
      </c>
      <c r="H185" s="27">
        <f t="shared" si="28"/>
        <v>334531.49243296729</v>
      </c>
      <c r="I185" s="31">
        <f t="shared" si="37"/>
        <v>-4778.4061875000007</v>
      </c>
      <c r="J185" s="20">
        <f t="shared" si="33"/>
        <v>-978148.12974999961</v>
      </c>
      <c r="K185" s="20">
        <f t="shared" si="36"/>
        <v>-363158.87025000039</v>
      </c>
    </row>
    <row r="186" spans="1:11" x14ac:dyDescent="0.3">
      <c r="A186" s="12">
        <v>42643</v>
      </c>
      <c r="B186" s="35">
        <v>-1341307</v>
      </c>
      <c r="C186" s="35">
        <f t="shared" si="34"/>
        <v>135494.36211666677</v>
      </c>
      <c r="D186" s="20">
        <f t="shared" si="29"/>
        <v>-1205812.6378833333</v>
      </c>
      <c r="E186" s="47">
        <f t="shared" si="30"/>
        <v>335498.39761566772</v>
      </c>
      <c r="F186" s="25">
        <f t="shared" si="31"/>
        <v>-1341307</v>
      </c>
      <c r="G186" s="26">
        <f t="shared" si="32"/>
        <v>-135494.36211666677</v>
      </c>
      <c r="H186" s="27">
        <f t="shared" si="28"/>
        <v>335498.39761566772</v>
      </c>
      <c r="I186" s="31">
        <f t="shared" si="37"/>
        <v>-4778.4061875000007</v>
      </c>
      <c r="J186" s="20">
        <f t="shared" si="33"/>
        <v>-982926.5359374996</v>
      </c>
      <c r="K186" s="20">
        <f t="shared" si="36"/>
        <v>-358380.4640625004</v>
      </c>
    </row>
    <row r="187" spans="1:11" x14ac:dyDescent="0.3">
      <c r="A187" s="12">
        <v>42674</v>
      </c>
      <c r="B187" s="35">
        <v>-1341307</v>
      </c>
      <c r="C187" s="35">
        <f t="shared" si="34"/>
        <v>137830.47180833344</v>
      </c>
      <c r="D187" s="20">
        <f t="shared" si="29"/>
        <v>-1203476.5281916666</v>
      </c>
      <c r="E187" s="47">
        <f t="shared" si="30"/>
        <v>336465.30279836809</v>
      </c>
      <c r="F187" s="25">
        <f t="shared" si="31"/>
        <v>-1341307</v>
      </c>
      <c r="G187" s="26">
        <f t="shared" si="32"/>
        <v>-137830.47180833344</v>
      </c>
      <c r="H187" s="27">
        <f t="shared" si="28"/>
        <v>336465.30279836809</v>
      </c>
      <c r="I187" s="31">
        <f t="shared" si="37"/>
        <v>-4778.4061875000007</v>
      </c>
      <c r="J187" s="20">
        <f t="shared" si="33"/>
        <v>-987704.94212499959</v>
      </c>
      <c r="K187" s="20">
        <f t="shared" si="36"/>
        <v>-353602.05787500041</v>
      </c>
    </row>
    <row r="188" spans="1:11" x14ac:dyDescent="0.3">
      <c r="A188" s="12">
        <v>42704</v>
      </c>
      <c r="B188" s="35">
        <v>-1341307</v>
      </c>
      <c r="C188" s="35">
        <f t="shared" si="34"/>
        <v>140166.58150000012</v>
      </c>
      <c r="D188" s="20">
        <f t="shared" si="29"/>
        <v>-1201140.4184999999</v>
      </c>
      <c r="E188" s="47">
        <f t="shared" si="30"/>
        <v>337432.20798106852</v>
      </c>
      <c r="F188" s="25">
        <f>B188</f>
        <v>-1341307</v>
      </c>
      <c r="G188" s="26">
        <f t="shared" si="32"/>
        <v>-140166.58150000012</v>
      </c>
      <c r="H188" s="27">
        <f t="shared" si="28"/>
        <v>337432.20798106852</v>
      </c>
      <c r="I188" s="31">
        <f t="shared" si="37"/>
        <v>-4778.4061875000007</v>
      </c>
      <c r="J188" s="20">
        <f t="shared" si="33"/>
        <v>-992483.34831249958</v>
      </c>
      <c r="K188" s="20">
        <f t="shared" si="36"/>
        <v>-348823.65168750042</v>
      </c>
    </row>
    <row r="189" spans="1:11" x14ac:dyDescent="0.3">
      <c r="A189" s="12">
        <v>42735</v>
      </c>
      <c r="B189" s="35">
        <v>-1341307</v>
      </c>
      <c r="C189" s="35">
        <f t="shared" si="34"/>
        <v>142502.69119166679</v>
      </c>
      <c r="D189" s="20">
        <f>+B189+C189</f>
        <v>-1198804.3088083332</v>
      </c>
      <c r="E189" s="47">
        <f t="shared" si="30"/>
        <v>338399.11316376895</v>
      </c>
      <c r="F189" s="25">
        <f>B189</f>
        <v>-1341307</v>
      </c>
      <c r="G189" s="26">
        <f t="shared" si="32"/>
        <v>-142502.69119166679</v>
      </c>
      <c r="H189" s="27">
        <f t="shared" si="28"/>
        <v>338399.11316376895</v>
      </c>
      <c r="I189" s="31">
        <f t="shared" si="37"/>
        <v>-4778.4061875000007</v>
      </c>
      <c r="J189" s="20">
        <f>+I189+J188</f>
        <v>-997261.75449999957</v>
      </c>
      <c r="K189" s="20">
        <f>+K188-I189</f>
        <v>-344045.24550000043</v>
      </c>
    </row>
    <row r="190" spans="1:11" x14ac:dyDescent="0.3">
      <c r="A190" s="12">
        <v>42766</v>
      </c>
      <c r="B190" s="35">
        <v>-1341307</v>
      </c>
      <c r="C190" s="35">
        <f t="shared" si="34"/>
        <v>144838.80088333346</v>
      </c>
      <c r="D190" s="20">
        <f t="shared" ref="D190:D201" si="38">+B190+C190</f>
        <v>-1196468.1991166666</v>
      </c>
      <c r="E190" s="47">
        <f t="shared" si="30"/>
        <v>339366.01834646933</v>
      </c>
      <c r="F190" s="25">
        <f t="shared" ref="F190:F201" si="39">B190</f>
        <v>-1341307</v>
      </c>
      <c r="G190" s="26">
        <f t="shared" si="32"/>
        <v>-144838.80088333346</v>
      </c>
      <c r="H190" s="27">
        <f t="shared" si="28"/>
        <v>339366.01834646933</v>
      </c>
      <c r="I190" s="31">
        <f t="shared" si="37"/>
        <v>-4778.4061875000007</v>
      </c>
      <c r="J190" s="20">
        <f t="shared" ref="J190:J201" si="40">+I190+J189</f>
        <v>-1002040.1606874996</v>
      </c>
      <c r="K190" s="20">
        <f t="shared" ref="K190:K201" si="41">+K189-I190</f>
        <v>-339266.83931250044</v>
      </c>
    </row>
    <row r="191" spans="1:11" x14ac:dyDescent="0.3">
      <c r="A191" s="12">
        <v>42794</v>
      </c>
      <c r="B191" s="35">
        <v>-1341307</v>
      </c>
      <c r="C191" s="35">
        <f t="shared" si="34"/>
        <v>147174.91057500013</v>
      </c>
      <c r="D191" s="20">
        <f t="shared" si="38"/>
        <v>-1194132.0894249999</v>
      </c>
      <c r="E191" s="47">
        <f t="shared" si="30"/>
        <v>340332.92352916976</v>
      </c>
      <c r="F191" s="25">
        <f t="shared" si="39"/>
        <v>-1341307</v>
      </c>
      <c r="G191" s="26">
        <f t="shared" si="32"/>
        <v>-147174.91057500013</v>
      </c>
      <c r="H191" s="27">
        <f t="shared" si="28"/>
        <v>340332.92352916976</v>
      </c>
      <c r="I191" s="31">
        <f t="shared" si="37"/>
        <v>-4778.4061875000007</v>
      </c>
      <c r="J191" s="20">
        <f t="shared" si="40"/>
        <v>-1006818.5668749996</v>
      </c>
      <c r="K191" s="20">
        <f t="shared" si="41"/>
        <v>-334488.43312500045</v>
      </c>
    </row>
    <row r="192" spans="1:11" x14ac:dyDescent="0.3">
      <c r="A192" s="12">
        <v>42825</v>
      </c>
      <c r="B192" s="35">
        <v>-1341307</v>
      </c>
      <c r="C192" s="35">
        <f t="shared" si="34"/>
        <v>149511.0202666668</v>
      </c>
      <c r="D192" s="20">
        <f t="shared" si="38"/>
        <v>-1191795.9797333332</v>
      </c>
      <c r="E192" s="47">
        <f t="shared" si="30"/>
        <v>341299.82871187018</v>
      </c>
      <c r="F192" s="25">
        <f t="shared" si="39"/>
        <v>-1341307</v>
      </c>
      <c r="G192" s="26">
        <f t="shared" si="32"/>
        <v>-149511.0202666668</v>
      </c>
      <c r="H192" s="27">
        <f t="shared" si="28"/>
        <v>341299.82871187018</v>
      </c>
      <c r="I192" s="31">
        <f t="shared" si="37"/>
        <v>-4778.4061875000007</v>
      </c>
      <c r="J192" s="20">
        <f t="shared" si="40"/>
        <v>-1011596.9730624995</v>
      </c>
      <c r="K192" s="20">
        <f t="shared" si="41"/>
        <v>-329710.02693750046</v>
      </c>
    </row>
    <row r="193" spans="1:11" x14ac:dyDescent="0.3">
      <c r="A193" s="12">
        <v>42855</v>
      </c>
      <c r="B193" s="35">
        <v>-1341307</v>
      </c>
      <c r="C193" s="35">
        <f t="shared" si="34"/>
        <v>151847.12995833348</v>
      </c>
      <c r="D193" s="20">
        <f t="shared" si="38"/>
        <v>-1189459.8700416666</v>
      </c>
      <c r="E193" s="47">
        <f t="shared" si="30"/>
        <v>342266.73389457056</v>
      </c>
      <c r="F193" s="25">
        <f t="shared" si="39"/>
        <v>-1341307</v>
      </c>
      <c r="G193" s="26">
        <f t="shared" si="32"/>
        <v>-151847.12995833348</v>
      </c>
      <c r="H193" s="27">
        <f t="shared" ref="H193:H216" si="42">E193</f>
        <v>342266.73389457056</v>
      </c>
      <c r="I193" s="31">
        <f t="shared" si="37"/>
        <v>-4778.4061875000007</v>
      </c>
      <c r="J193" s="20">
        <f t="shared" si="40"/>
        <v>-1016375.3792499995</v>
      </c>
      <c r="K193" s="20">
        <f t="shared" si="41"/>
        <v>-324931.62075000047</v>
      </c>
    </row>
    <row r="194" spans="1:11" x14ac:dyDescent="0.3">
      <c r="A194" s="12">
        <v>42886</v>
      </c>
      <c r="B194" s="35">
        <v>-1341307</v>
      </c>
      <c r="C194" s="35">
        <f t="shared" si="34"/>
        <v>154183.23965000015</v>
      </c>
      <c r="D194" s="20">
        <f t="shared" si="38"/>
        <v>-1187123.7603499999</v>
      </c>
      <c r="E194" s="47">
        <f t="shared" ref="E194:E217" si="43">(-D194+K194)*0.3959</f>
        <v>343233.63907727099</v>
      </c>
      <c r="F194" s="25">
        <f t="shared" si="39"/>
        <v>-1341307</v>
      </c>
      <c r="G194" s="26">
        <f t="shared" ref="G194:G217" si="44">-C194</f>
        <v>-154183.23965000015</v>
      </c>
      <c r="H194" s="27">
        <f t="shared" si="42"/>
        <v>343233.63907727099</v>
      </c>
      <c r="I194" s="31">
        <f t="shared" si="37"/>
        <v>-4778.4061875000007</v>
      </c>
      <c r="J194" s="20">
        <f t="shared" si="40"/>
        <v>-1021153.7854374995</v>
      </c>
      <c r="K194" s="20">
        <f t="shared" si="41"/>
        <v>-320153.21456250048</v>
      </c>
    </row>
    <row r="195" spans="1:11" x14ac:dyDescent="0.3">
      <c r="A195" s="12">
        <v>42916</v>
      </c>
      <c r="B195" s="35">
        <v>-1341307</v>
      </c>
      <c r="C195" s="35">
        <f t="shared" ref="C195:C201" si="45">-B195*$C$5/12+C194</f>
        <v>156519.34934166682</v>
      </c>
      <c r="D195" s="20">
        <f t="shared" si="38"/>
        <v>-1184787.6506583332</v>
      </c>
      <c r="E195" s="47">
        <f t="shared" si="43"/>
        <v>344200.54425997142</v>
      </c>
      <c r="F195" s="25">
        <f t="shared" si="39"/>
        <v>-1341307</v>
      </c>
      <c r="G195" s="26">
        <f t="shared" si="44"/>
        <v>-156519.34934166682</v>
      </c>
      <c r="H195" s="27">
        <f t="shared" si="42"/>
        <v>344200.54425997142</v>
      </c>
      <c r="I195" s="31">
        <f t="shared" si="37"/>
        <v>-4778.4061875000007</v>
      </c>
      <c r="J195" s="20">
        <f t="shared" si="40"/>
        <v>-1025932.1916249995</v>
      </c>
      <c r="K195" s="20">
        <f t="shared" si="41"/>
        <v>-315374.80837500049</v>
      </c>
    </row>
    <row r="196" spans="1:11" x14ac:dyDescent="0.3">
      <c r="A196" s="12">
        <v>42947</v>
      </c>
      <c r="B196" s="35">
        <v>-1341307</v>
      </c>
      <c r="C196" s="35">
        <f t="shared" si="45"/>
        <v>158855.45903333349</v>
      </c>
      <c r="D196" s="20">
        <f t="shared" si="38"/>
        <v>-1182451.5409666665</v>
      </c>
      <c r="E196" s="47">
        <f t="shared" si="43"/>
        <v>345167.44944267179</v>
      </c>
      <c r="F196" s="25">
        <f t="shared" si="39"/>
        <v>-1341307</v>
      </c>
      <c r="G196" s="26">
        <f t="shared" si="44"/>
        <v>-158855.45903333349</v>
      </c>
      <c r="H196" s="27">
        <f t="shared" si="42"/>
        <v>345167.44944267179</v>
      </c>
      <c r="I196" s="31">
        <f t="shared" si="37"/>
        <v>-4778.4061875000007</v>
      </c>
      <c r="J196" s="20">
        <f t="shared" si="40"/>
        <v>-1030710.5978124995</v>
      </c>
      <c r="K196" s="20">
        <f t="shared" si="41"/>
        <v>-310596.4021875005</v>
      </c>
    </row>
    <row r="197" spans="1:11" x14ac:dyDescent="0.3">
      <c r="A197" s="12">
        <v>42978</v>
      </c>
      <c r="B197" s="35">
        <v>-1341307</v>
      </c>
      <c r="C197" s="35">
        <f t="shared" si="45"/>
        <v>161191.56872500016</v>
      </c>
      <c r="D197" s="20">
        <f t="shared" si="38"/>
        <v>-1180115.4312749999</v>
      </c>
      <c r="E197" s="47">
        <f t="shared" si="43"/>
        <v>346134.35462537222</v>
      </c>
      <c r="F197" s="25">
        <f t="shared" si="39"/>
        <v>-1341307</v>
      </c>
      <c r="G197" s="26">
        <f t="shared" si="44"/>
        <v>-161191.56872500016</v>
      </c>
      <c r="H197" s="27">
        <f t="shared" si="42"/>
        <v>346134.35462537222</v>
      </c>
      <c r="I197" s="31">
        <f t="shared" si="37"/>
        <v>-4778.4061875000007</v>
      </c>
      <c r="J197" s="20">
        <f t="shared" si="40"/>
        <v>-1035489.0039999995</v>
      </c>
      <c r="K197" s="20">
        <f t="shared" si="41"/>
        <v>-305817.99600000051</v>
      </c>
    </row>
    <row r="198" spans="1:11" x14ac:dyDescent="0.3">
      <c r="A198" s="12">
        <v>43008</v>
      </c>
      <c r="B198" s="35">
        <v>-1341307</v>
      </c>
      <c r="C198" s="35">
        <f t="shared" si="45"/>
        <v>163527.67841666684</v>
      </c>
      <c r="D198" s="20">
        <f t="shared" si="38"/>
        <v>-1177779.3215833332</v>
      </c>
      <c r="E198" s="47">
        <f t="shared" si="43"/>
        <v>347101.25980807265</v>
      </c>
      <c r="F198" s="25">
        <f t="shared" si="39"/>
        <v>-1341307</v>
      </c>
      <c r="G198" s="26">
        <f t="shared" si="44"/>
        <v>-163527.67841666684</v>
      </c>
      <c r="H198" s="27">
        <f t="shared" si="42"/>
        <v>347101.25980807265</v>
      </c>
      <c r="I198" s="31">
        <f t="shared" si="37"/>
        <v>-4778.4061875000007</v>
      </c>
      <c r="J198" s="20">
        <f t="shared" si="40"/>
        <v>-1040267.4101874995</v>
      </c>
      <c r="K198" s="20">
        <f t="shared" si="41"/>
        <v>-301039.58981250052</v>
      </c>
    </row>
    <row r="199" spans="1:11" x14ac:dyDescent="0.3">
      <c r="A199" s="12">
        <v>43039</v>
      </c>
      <c r="B199" s="35">
        <v>-1341307</v>
      </c>
      <c r="C199" s="35">
        <f t="shared" si="45"/>
        <v>165863.78810833351</v>
      </c>
      <c r="D199" s="20">
        <f t="shared" si="38"/>
        <v>-1175443.2118916665</v>
      </c>
      <c r="E199" s="47">
        <f t="shared" si="43"/>
        <v>348068.16499077302</v>
      </c>
      <c r="F199" s="25">
        <f t="shared" si="39"/>
        <v>-1341307</v>
      </c>
      <c r="G199" s="26">
        <f t="shared" si="44"/>
        <v>-165863.78810833351</v>
      </c>
      <c r="H199" s="27">
        <f t="shared" si="42"/>
        <v>348068.16499077302</v>
      </c>
      <c r="I199" s="31">
        <f t="shared" si="37"/>
        <v>-4778.4061875000007</v>
      </c>
      <c r="J199" s="20">
        <f t="shared" si="40"/>
        <v>-1045045.8163749995</v>
      </c>
      <c r="K199" s="20">
        <f t="shared" si="41"/>
        <v>-296261.18362500053</v>
      </c>
    </row>
    <row r="200" spans="1:11" x14ac:dyDescent="0.3">
      <c r="A200" s="12">
        <v>43069</v>
      </c>
      <c r="B200" s="35">
        <v>-1341307</v>
      </c>
      <c r="C200" s="35">
        <f t="shared" si="45"/>
        <v>168199.89780000018</v>
      </c>
      <c r="D200" s="20">
        <f t="shared" si="38"/>
        <v>-1173107.1021999998</v>
      </c>
      <c r="E200" s="47">
        <f t="shared" si="43"/>
        <v>349035.07017347345</v>
      </c>
      <c r="F200" s="25">
        <f t="shared" si="39"/>
        <v>-1341307</v>
      </c>
      <c r="G200" s="26">
        <f t="shared" si="44"/>
        <v>-168199.89780000018</v>
      </c>
      <c r="H200" s="27">
        <f t="shared" si="42"/>
        <v>349035.07017347345</v>
      </c>
      <c r="I200" s="31">
        <f t="shared" si="37"/>
        <v>-4778.4061875000007</v>
      </c>
      <c r="J200" s="20">
        <f t="shared" si="40"/>
        <v>-1049824.2225624996</v>
      </c>
      <c r="K200" s="20">
        <f t="shared" si="41"/>
        <v>-291482.77743750054</v>
      </c>
    </row>
    <row r="201" spans="1:11" x14ac:dyDescent="0.3">
      <c r="A201" s="12">
        <v>43100</v>
      </c>
      <c r="B201" s="35">
        <v>-1341307</v>
      </c>
      <c r="C201" s="35">
        <f t="shared" si="45"/>
        <v>170536.00749166685</v>
      </c>
      <c r="D201" s="20">
        <f t="shared" si="38"/>
        <v>-1170770.9925083332</v>
      </c>
      <c r="E201" s="47">
        <f t="shared" si="43"/>
        <v>350001.97535617388</v>
      </c>
      <c r="F201" s="25">
        <f t="shared" si="39"/>
        <v>-1341307</v>
      </c>
      <c r="G201" s="26">
        <f t="shared" si="44"/>
        <v>-170536.00749166685</v>
      </c>
      <c r="H201" s="27">
        <f t="shared" si="42"/>
        <v>350001.97535617388</v>
      </c>
      <c r="I201" s="31">
        <f t="shared" si="37"/>
        <v>-4778.4061875000007</v>
      </c>
      <c r="J201" s="20">
        <f t="shared" si="40"/>
        <v>-1054602.6287499997</v>
      </c>
      <c r="K201" s="20">
        <f t="shared" si="41"/>
        <v>-286704.37125000055</v>
      </c>
    </row>
    <row r="202" spans="1:11" x14ac:dyDescent="0.3">
      <c r="B202" s="35"/>
      <c r="E202" s="47"/>
      <c r="F202" s="21"/>
      <c r="G202" s="22"/>
      <c r="H202" s="48"/>
    </row>
    <row r="203" spans="1:11" x14ac:dyDescent="0.3">
      <c r="A203" s="3" t="s">
        <v>27</v>
      </c>
      <c r="B203" s="35"/>
      <c r="E203" s="47"/>
      <c r="F203" s="21"/>
      <c r="G203" s="22"/>
      <c r="H203" s="48"/>
      <c r="I203" s="3"/>
    </row>
    <row r="204" spans="1:11" x14ac:dyDescent="0.3">
      <c r="A204" s="12">
        <v>40908</v>
      </c>
      <c r="B204" s="35">
        <v>-65000</v>
      </c>
      <c r="C204" s="35">
        <f>-B204*$C$5/12</f>
        <v>113.20833333333333</v>
      </c>
      <c r="D204" s="20">
        <f>+B204+C204</f>
        <v>-64886.791666666664</v>
      </c>
      <c r="E204" s="47">
        <f>(-D204+K204)*0.3959</f>
        <v>13465.268320833331</v>
      </c>
      <c r="F204" s="51">
        <f t="shared" ref="F204:F267" si="46">B204</f>
        <v>-65000</v>
      </c>
      <c r="G204" s="35">
        <f>-C204</f>
        <v>-113.20833333333333</v>
      </c>
      <c r="H204" s="23">
        <f t="shared" ref="H204:H267" si="47">E204</f>
        <v>13465.268320833331</v>
      </c>
      <c r="I204" s="31">
        <f>+$B$204*0.525</f>
        <v>-34125</v>
      </c>
      <c r="J204" s="20">
        <f>+I204</f>
        <v>-34125</v>
      </c>
      <c r="K204" s="20">
        <f>+B204-I204</f>
        <v>-30875</v>
      </c>
    </row>
    <row r="205" spans="1:11" x14ac:dyDescent="0.3">
      <c r="A205" s="12">
        <v>40939</v>
      </c>
      <c r="B205" s="35">
        <v>-65000</v>
      </c>
      <c r="C205" s="35">
        <f>-B205*$C$5/12+C204</f>
        <v>226.41666666666666</v>
      </c>
      <c r="D205" s="20">
        <f t="shared" ref="D205:D268" si="48">+B205+C205</f>
        <v>-64773.583333333336</v>
      </c>
      <c r="E205" s="47">
        <f t="shared" ref="E205:E268" si="49">(-D205+K205)*0.3959</f>
        <v>13522.310912499999</v>
      </c>
      <c r="F205" s="51">
        <f t="shared" si="46"/>
        <v>-65000</v>
      </c>
      <c r="G205" s="35">
        <f t="shared" ref="G205:G268" si="50">-C205</f>
        <v>-226.41666666666666</v>
      </c>
      <c r="H205" s="23">
        <f t="shared" si="47"/>
        <v>13522.310912499999</v>
      </c>
      <c r="I205" s="31">
        <f>+$B$204*0.0475/12</f>
        <v>-257.29166666666669</v>
      </c>
      <c r="J205" s="20">
        <f t="shared" ref="J205:J268" si="51">+I205+J204</f>
        <v>-34382.291666666664</v>
      </c>
      <c r="K205" s="20">
        <f>+K204-I205</f>
        <v>-30617.708333333332</v>
      </c>
    </row>
    <row r="206" spans="1:11" x14ac:dyDescent="0.3">
      <c r="A206" s="12">
        <v>40968</v>
      </c>
      <c r="B206" s="35">
        <v>-65000</v>
      </c>
      <c r="C206" s="35">
        <f t="shared" ref="C206:C269" si="52">-B206*$C$5/12+C205</f>
        <v>339.625</v>
      </c>
      <c r="D206" s="20">
        <f t="shared" si="48"/>
        <v>-64660.375</v>
      </c>
      <c r="E206" s="47">
        <f t="shared" si="49"/>
        <v>13579.353504166667</v>
      </c>
      <c r="F206" s="51">
        <f t="shared" si="46"/>
        <v>-65000</v>
      </c>
      <c r="G206" s="35">
        <f t="shared" si="50"/>
        <v>-339.625</v>
      </c>
      <c r="H206" s="23">
        <f t="shared" si="47"/>
        <v>13579.353504166667</v>
      </c>
      <c r="I206" s="31">
        <f t="shared" ref="I206:I216" si="53">+$B$204*0.0475/12</f>
        <v>-257.29166666666669</v>
      </c>
      <c r="J206" s="20">
        <f t="shared" si="51"/>
        <v>-34639.583333333328</v>
      </c>
      <c r="K206" s="20">
        <f t="shared" ref="K206:K269" si="54">+K205-I206</f>
        <v>-30360.416666666664</v>
      </c>
    </row>
    <row r="207" spans="1:11" x14ac:dyDescent="0.3">
      <c r="A207" s="12">
        <v>40999</v>
      </c>
      <c r="B207" s="35">
        <v>-65000</v>
      </c>
      <c r="C207" s="35">
        <f t="shared" si="52"/>
        <v>452.83333333333331</v>
      </c>
      <c r="D207" s="20">
        <f t="shared" si="48"/>
        <v>-64547.166666666664</v>
      </c>
      <c r="E207" s="47">
        <f t="shared" si="49"/>
        <v>13636.396095833334</v>
      </c>
      <c r="F207" s="51">
        <f t="shared" si="46"/>
        <v>-65000</v>
      </c>
      <c r="G207" s="35">
        <f t="shared" si="50"/>
        <v>-452.83333333333331</v>
      </c>
      <c r="H207" s="23">
        <f t="shared" si="47"/>
        <v>13636.396095833334</v>
      </c>
      <c r="I207" s="31">
        <f t="shared" si="53"/>
        <v>-257.29166666666669</v>
      </c>
      <c r="J207" s="20">
        <f t="shared" si="51"/>
        <v>-34896.874999999993</v>
      </c>
      <c r="K207" s="20">
        <f t="shared" si="54"/>
        <v>-30103.124999999996</v>
      </c>
    </row>
    <row r="208" spans="1:11" x14ac:dyDescent="0.3">
      <c r="A208" s="12">
        <v>41029</v>
      </c>
      <c r="B208" s="35">
        <v>-65000</v>
      </c>
      <c r="C208" s="35">
        <f t="shared" si="52"/>
        <v>566.04166666666663</v>
      </c>
      <c r="D208" s="20">
        <f t="shared" si="48"/>
        <v>-64433.958333333336</v>
      </c>
      <c r="E208" s="47">
        <f t="shared" si="49"/>
        <v>13693.438687500002</v>
      </c>
      <c r="F208" s="51">
        <f t="shared" si="46"/>
        <v>-65000</v>
      </c>
      <c r="G208" s="35">
        <f t="shared" si="50"/>
        <v>-566.04166666666663</v>
      </c>
      <c r="H208" s="23">
        <f t="shared" si="47"/>
        <v>13693.438687500002</v>
      </c>
      <c r="I208" s="31">
        <f t="shared" si="53"/>
        <v>-257.29166666666669</v>
      </c>
      <c r="J208" s="20">
        <f t="shared" si="51"/>
        <v>-35154.166666666657</v>
      </c>
      <c r="K208" s="20">
        <f t="shared" si="54"/>
        <v>-29845.833333333328</v>
      </c>
    </row>
    <row r="209" spans="1:11" x14ac:dyDescent="0.3">
      <c r="A209" s="12">
        <v>41060</v>
      </c>
      <c r="B209" s="35">
        <v>-65000</v>
      </c>
      <c r="C209" s="35">
        <f t="shared" si="52"/>
        <v>679.25</v>
      </c>
      <c r="D209" s="20">
        <f t="shared" si="48"/>
        <v>-64320.75</v>
      </c>
      <c r="E209" s="47">
        <f t="shared" si="49"/>
        <v>13750.48127916667</v>
      </c>
      <c r="F209" s="51">
        <f t="shared" si="46"/>
        <v>-65000</v>
      </c>
      <c r="G209" s="35">
        <f t="shared" si="50"/>
        <v>-679.25</v>
      </c>
      <c r="H209" s="23">
        <f t="shared" si="47"/>
        <v>13750.48127916667</v>
      </c>
      <c r="I209" s="31">
        <f t="shared" si="53"/>
        <v>-257.29166666666669</v>
      </c>
      <c r="J209" s="20">
        <f t="shared" si="51"/>
        <v>-35411.458333333321</v>
      </c>
      <c r="K209" s="20">
        <f t="shared" si="54"/>
        <v>-29588.541666666661</v>
      </c>
    </row>
    <row r="210" spans="1:11" x14ac:dyDescent="0.3">
      <c r="A210" s="12">
        <v>41090</v>
      </c>
      <c r="B210" s="35">
        <v>-65000</v>
      </c>
      <c r="C210" s="35">
        <f t="shared" si="52"/>
        <v>792.45833333333337</v>
      </c>
      <c r="D210" s="20">
        <f t="shared" si="48"/>
        <v>-64207.541666666664</v>
      </c>
      <c r="E210" s="47">
        <f t="shared" si="49"/>
        <v>13807.523870833335</v>
      </c>
      <c r="F210" s="51">
        <f t="shared" si="46"/>
        <v>-65000</v>
      </c>
      <c r="G210" s="35">
        <f t="shared" si="50"/>
        <v>-792.45833333333337</v>
      </c>
      <c r="H210" s="23">
        <f t="shared" si="47"/>
        <v>13807.523870833335</v>
      </c>
      <c r="I210" s="31">
        <f t="shared" si="53"/>
        <v>-257.29166666666669</v>
      </c>
      <c r="J210" s="20">
        <f t="shared" si="51"/>
        <v>-35668.749999999985</v>
      </c>
      <c r="K210" s="20">
        <f t="shared" si="54"/>
        <v>-29331.249999999993</v>
      </c>
    </row>
    <row r="211" spans="1:11" x14ac:dyDescent="0.3">
      <c r="A211" s="12">
        <v>41121</v>
      </c>
      <c r="B211" s="35">
        <v>-65000</v>
      </c>
      <c r="C211" s="35">
        <f t="shared" si="52"/>
        <v>905.66666666666674</v>
      </c>
      <c r="D211" s="20">
        <f t="shared" si="48"/>
        <v>-64094.333333333336</v>
      </c>
      <c r="E211" s="47">
        <f t="shared" si="49"/>
        <v>13864.566462500004</v>
      </c>
      <c r="F211" s="51">
        <f t="shared" si="46"/>
        <v>-65000</v>
      </c>
      <c r="G211" s="35">
        <f t="shared" si="50"/>
        <v>-905.66666666666674</v>
      </c>
      <c r="H211" s="23">
        <f t="shared" si="47"/>
        <v>13864.566462500004</v>
      </c>
      <c r="I211" s="31">
        <f t="shared" si="53"/>
        <v>-257.29166666666669</v>
      </c>
      <c r="J211" s="20">
        <f t="shared" si="51"/>
        <v>-35926.04166666665</v>
      </c>
      <c r="K211" s="20">
        <f t="shared" si="54"/>
        <v>-29073.958333333325</v>
      </c>
    </row>
    <row r="212" spans="1:11" x14ac:dyDescent="0.3">
      <c r="A212" s="12">
        <v>41152</v>
      </c>
      <c r="B212" s="35">
        <v>-65000</v>
      </c>
      <c r="C212" s="35">
        <f t="shared" si="52"/>
        <v>1018.8750000000001</v>
      </c>
      <c r="D212" s="20">
        <f t="shared" si="48"/>
        <v>-63981.125</v>
      </c>
      <c r="E212" s="47">
        <f t="shared" si="49"/>
        <v>13921.609054166669</v>
      </c>
      <c r="F212" s="51">
        <f t="shared" si="46"/>
        <v>-65000</v>
      </c>
      <c r="G212" s="35">
        <f t="shared" si="50"/>
        <v>-1018.8750000000001</v>
      </c>
      <c r="H212" s="23">
        <f t="shared" si="47"/>
        <v>13921.609054166669</v>
      </c>
      <c r="I212" s="31">
        <f t="shared" si="53"/>
        <v>-257.29166666666669</v>
      </c>
      <c r="J212" s="20">
        <f t="shared" si="51"/>
        <v>-36183.333333333314</v>
      </c>
      <c r="K212" s="20">
        <f t="shared" si="54"/>
        <v>-28816.666666666657</v>
      </c>
    </row>
    <row r="213" spans="1:11" x14ac:dyDescent="0.3">
      <c r="A213" s="12">
        <v>41182</v>
      </c>
      <c r="B213" s="35">
        <v>-65000</v>
      </c>
      <c r="C213" s="35">
        <f t="shared" si="52"/>
        <v>1132.0833333333335</v>
      </c>
      <c r="D213" s="20">
        <f t="shared" si="48"/>
        <v>-63867.916666666664</v>
      </c>
      <c r="E213" s="47">
        <f t="shared" si="49"/>
        <v>13978.651645833334</v>
      </c>
      <c r="F213" s="51">
        <f t="shared" si="46"/>
        <v>-65000</v>
      </c>
      <c r="G213" s="35">
        <f t="shared" si="50"/>
        <v>-1132.0833333333335</v>
      </c>
      <c r="H213" s="23">
        <f t="shared" si="47"/>
        <v>13978.651645833334</v>
      </c>
      <c r="I213" s="31">
        <f t="shared" si="53"/>
        <v>-257.29166666666669</v>
      </c>
      <c r="J213" s="20">
        <f t="shared" si="51"/>
        <v>-36440.624999999978</v>
      </c>
      <c r="K213" s="20">
        <f t="shared" si="54"/>
        <v>-28559.374999999989</v>
      </c>
    </row>
    <row r="214" spans="1:11" x14ac:dyDescent="0.3">
      <c r="A214" s="12">
        <v>41213</v>
      </c>
      <c r="B214" s="35">
        <v>-65000</v>
      </c>
      <c r="C214" s="35">
        <f t="shared" si="52"/>
        <v>1245.2916666666667</v>
      </c>
      <c r="D214" s="20">
        <f t="shared" si="48"/>
        <v>-63754.708333333336</v>
      </c>
      <c r="E214" s="47">
        <f t="shared" si="49"/>
        <v>14035.694237500005</v>
      </c>
      <c r="F214" s="51">
        <f t="shared" si="46"/>
        <v>-65000</v>
      </c>
      <c r="G214" s="35">
        <f t="shared" si="50"/>
        <v>-1245.2916666666667</v>
      </c>
      <c r="H214" s="23">
        <f t="shared" si="47"/>
        <v>14035.694237500005</v>
      </c>
      <c r="I214" s="31">
        <f t="shared" si="53"/>
        <v>-257.29166666666669</v>
      </c>
      <c r="J214" s="20">
        <f t="shared" si="51"/>
        <v>-36697.916666666642</v>
      </c>
      <c r="K214" s="20">
        <f t="shared" si="54"/>
        <v>-28302.083333333321</v>
      </c>
    </row>
    <row r="215" spans="1:11" x14ac:dyDescent="0.3">
      <c r="A215" s="12">
        <v>41243</v>
      </c>
      <c r="B215" s="35">
        <v>-65000</v>
      </c>
      <c r="C215" s="35">
        <f t="shared" si="52"/>
        <v>1358.5</v>
      </c>
      <c r="D215" s="20">
        <f t="shared" si="48"/>
        <v>-63641.5</v>
      </c>
      <c r="E215" s="47">
        <f t="shared" si="49"/>
        <v>14092.73682916667</v>
      </c>
      <c r="F215" s="51">
        <f t="shared" si="46"/>
        <v>-65000</v>
      </c>
      <c r="G215" s="35">
        <f t="shared" si="50"/>
        <v>-1358.5</v>
      </c>
      <c r="H215" s="23">
        <f t="shared" si="47"/>
        <v>14092.73682916667</v>
      </c>
      <c r="I215" s="31">
        <f t="shared" si="53"/>
        <v>-257.29166666666669</v>
      </c>
      <c r="J215" s="20">
        <f t="shared" si="51"/>
        <v>-36955.208333333307</v>
      </c>
      <c r="K215" s="20">
        <f t="shared" si="54"/>
        <v>-28044.791666666653</v>
      </c>
    </row>
    <row r="216" spans="1:11" x14ac:dyDescent="0.3">
      <c r="A216" s="12">
        <v>41274</v>
      </c>
      <c r="B216" s="35">
        <v>-65000</v>
      </c>
      <c r="C216" s="35">
        <f t="shared" si="52"/>
        <v>1471.7083333333333</v>
      </c>
      <c r="D216" s="20">
        <f t="shared" si="48"/>
        <v>-63528.291666666664</v>
      </c>
      <c r="E216" s="47">
        <f t="shared" si="49"/>
        <v>14149.779420833338</v>
      </c>
      <c r="F216" s="51">
        <f t="shared" si="46"/>
        <v>-65000</v>
      </c>
      <c r="G216" s="35">
        <f t="shared" si="50"/>
        <v>-1471.7083333333333</v>
      </c>
      <c r="H216" s="23">
        <f t="shared" si="47"/>
        <v>14149.779420833338</v>
      </c>
      <c r="I216" s="31">
        <f t="shared" si="53"/>
        <v>-257.29166666666669</v>
      </c>
      <c r="J216" s="20">
        <f t="shared" si="51"/>
        <v>-37212.499999999971</v>
      </c>
      <c r="K216" s="20">
        <f t="shared" si="54"/>
        <v>-27787.499999999985</v>
      </c>
    </row>
    <row r="217" spans="1:11" x14ac:dyDescent="0.3">
      <c r="A217" s="12">
        <v>41305</v>
      </c>
      <c r="B217" s="35">
        <v>-65000</v>
      </c>
      <c r="C217" s="35">
        <f t="shared" si="52"/>
        <v>1584.9166666666665</v>
      </c>
      <c r="D217" s="20">
        <f t="shared" si="48"/>
        <v>-63415.083333333336</v>
      </c>
      <c r="E217" s="47">
        <f t="shared" si="49"/>
        <v>14196.635835416673</v>
      </c>
      <c r="F217" s="51">
        <f t="shared" si="46"/>
        <v>-65000</v>
      </c>
      <c r="G217" s="35">
        <f t="shared" si="50"/>
        <v>-1584.9166666666665</v>
      </c>
      <c r="H217" s="23">
        <f t="shared" si="47"/>
        <v>14196.635835416673</v>
      </c>
      <c r="I217" s="31">
        <f>+$B$204*0.04275/12</f>
        <v>-231.5625</v>
      </c>
      <c r="J217" s="20">
        <f t="shared" si="51"/>
        <v>-37444.062499999971</v>
      </c>
      <c r="K217" s="20">
        <f t="shared" si="54"/>
        <v>-27555.937499999985</v>
      </c>
    </row>
    <row r="218" spans="1:11" x14ac:dyDescent="0.3">
      <c r="A218" s="12">
        <v>41333</v>
      </c>
      <c r="B218" s="35">
        <v>-65000</v>
      </c>
      <c r="C218" s="35">
        <f t="shared" si="52"/>
        <v>1698.1249999999998</v>
      </c>
      <c r="D218" s="20">
        <f t="shared" si="48"/>
        <v>-63301.875</v>
      </c>
      <c r="E218" s="47">
        <f t="shared" si="49"/>
        <v>14243.492250000005</v>
      </c>
      <c r="F218" s="51">
        <f t="shared" si="46"/>
        <v>-65000</v>
      </c>
      <c r="G218" s="35">
        <f t="shared" si="50"/>
        <v>-1698.1249999999998</v>
      </c>
      <c r="H218" s="23">
        <f t="shared" si="47"/>
        <v>14243.492250000005</v>
      </c>
      <c r="I218" s="31">
        <f t="shared" ref="I218:I276" si="55">+$B$204*0.04275/12</f>
        <v>-231.5625</v>
      </c>
      <c r="J218" s="20">
        <f t="shared" si="51"/>
        <v>-37675.624999999971</v>
      </c>
      <c r="K218" s="20">
        <f t="shared" si="54"/>
        <v>-27324.374999999985</v>
      </c>
    </row>
    <row r="219" spans="1:11" x14ac:dyDescent="0.3">
      <c r="A219" s="12">
        <v>41364</v>
      </c>
      <c r="B219" s="35">
        <v>-65000</v>
      </c>
      <c r="C219" s="35">
        <f t="shared" si="52"/>
        <v>1811.333333333333</v>
      </c>
      <c r="D219" s="20">
        <f t="shared" si="48"/>
        <v>-63188.666666666664</v>
      </c>
      <c r="E219" s="47">
        <f t="shared" si="49"/>
        <v>14290.348664583336</v>
      </c>
      <c r="F219" s="51">
        <f t="shared" si="46"/>
        <v>-65000</v>
      </c>
      <c r="G219" s="35">
        <f t="shared" si="50"/>
        <v>-1811.333333333333</v>
      </c>
      <c r="H219" s="23">
        <f t="shared" si="47"/>
        <v>14290.348664583336</v>
      </c>
      <c r="I219" s="31">
        <f t="shared" si="55"/>
        <v>-231.5625</v>
      </c>
      <c r="J219" s="20">
        <f t="shared" si="51"/>
        <v>-37907.187499999971</v>
      </c>
      <c r="K219" s="20">
        <f t="shared" si="54"/>
        <v>-27092.812499999985</v>
      </c>
    </row>
    <row r="220" spans="1:11" x14ac:dyDescent="0.3">
      <c r="A220" s="12">
        <v>41394</v>
      </c>
      <c r="B220" s="35">
        <v>-65000</v>
      </c>
      <c r="C220" s="35">
        <f t="shared" si="52"/>
        <v>1924.5416666666663</v>
      </c>
      <c r="D220" s="20">
        <f t="shared" si="48"/>
        <v>-63075.458333333336</v>
      </c>
      <c r="E220" s="47">
        <f t="shared" si="49"/>
        <v>14337.205079166672</v>
      </c>
      <c r="F220" s="51">
        <f t="shared" si="46"/>
        <v>-65000</v>
      </c>
      <c r="G220" s="35">
        <f t="shared" si="50"/>
        <v>-1924.5416666666663</v>
      </c>
      <c r="H220" s="23">
        <f t="shared" si="47"/>
        <v>14337.205079166672</v>
      </c>
      <c r="I220" s="31">
        <f t="shared" si="55"/>
        <v>-231.5625</v>
      </c>
      <c r="J220" s="20">
        <f t="shared" si="51"/>
        <v>-38138.749999999971</v>
      </c>
      <c r="K220" s="20">
        <f t="shared" si="54"/>
        <v>-26861.249999999985</v>
      </c>
    </row>
    <row r="221" spans="1:11" x14ac:dyDescent="0.3">
      <c r="A221" s="12">
        <v>41425</v>
      </c>
      <c r="B221" s="35">
        <v>-65000</v>
      </c>
      <c r="C221" s="35">
        <f t="shared" si="52"/>
        <v>2037.7499999999995</v>
      </c>
      <c r="D221" s="20">
        <f t="shared" si="48"/>
        <v>-62962.25</v>
      </c>
      <c r="E221" s="47">
        <f t="shared" si="49"/>
        <v>14384.061493750005</v>
      </c>
      <c r="F221" s="51">
        <f t="shared" si="46"/>
        <v>-65000</v>
      </c>
      <c r="G221" s="35">
        <f t="shared" si="50"/>
        <v>-2037.7499999999995</v>
      </c>
      <c r="H221" s="23">
        <f t="shared" si="47"/>
        <v>14384.061493750005</v>
      </c>
      <c r="I221" s="31">
        <f t="shared" si="55"/>
        <v>-231.5625</v>
      </c>
      <c r="J221" s="20">
        <f t="shared" si="51"/>
        <v>-38370.312499999971</v>
      </c>
      <c r="K221" s="20">
        <f t="shared" si="54"/>
        <v>-26629.687499999985</v>
      </c>
    </row>
    <row r="222" spans="1:11" x14ac:dyDescent="0.3">
      <c r="A222" s="12">
        <v>41455</v>
      </c>
      <c r="B222" s="35">
        <v>-65000</v>
      </c>
      <c r="C222" s="35">
        <f t="shared" si="52"/>
        <v>2150.958333333333</v>
      </c>
      <c r="D222" s="20">
        <f t="shared" si="48"/>
        <v>-62849.041666666664</v>
      </c>
      <c r="E222" s="47">
        <f t="shared" si="49"/>
        <v>14430.917908333337</v>
      </c>
      <c r="F222" s="51">
        <f t="shared" si="46"/>
        <v>-65000</v>
      </c>
      <c r="G222" s="35">
        <f t="shared" si="50"/>
        <v>-2150.958333333333</v>
      </c>
      <c r="H222" s="23">
        <f t="shared" si="47"/>
        <v>14430.917908333337</v>
      </c>
      <c r="I222" s="31">
        <f t="shared" si="55"/>
        <v>-231.5625</v>
      </c>
      <c r="J222" s="20">
        <f t="shared" si="51"/>
        <v>-38601.874999999971</v>
      </c>
      <c r="K222" s="20">
        <f t="shared" si="54"/>
        <v>-26398.124999999985</v>
      </c>
    </row>
    <row r="223" spans="1:11" x14ac:dyDescent="0.3">
      <c r="A223" s="12">
        <v>41486</v>
      </c>
      <c r="B223" s="35">
        <v>-65000</v>
      </c>
      <c r="C223" s="35">
        <f t="shared" si="52"/>
        <v>2264.1666666666665</v>
      </c>
      <c r="D223" s="20">
        <f t="shared" si="48"/>
        <v>-62735.833333333336</v>
      </c>
      <c r="E223" s="47">
        <f t="shared" si="49"/>
        <v>14477.774322916672</v>
      </c>
      <c r="F223" s="51">
        <f t="shared" si="46"/>
        <v>-65000</v>
      </c>
      <c r="G223" s="35">
        <f t="shared" si="50"/>
        <v>-2264.1666666666665</v>
      </c>
      <c r="H223" s="23">
        <f t="shared" si="47"/>
        <v>14477.774322916672</v>
      </c>
      <c r="I223" s="31">
        <f t="shared" si="55"/>
        <v>-231.5625</v>
      </c>
      <c r="J223" s="20">
        <f t="shared" si="51"/>
        <v>-38833.437499999971</v>
      </c>
      <c r="K223" s="20">
        <f t="shared" si="54"/>
        <v>-26166.562499999985</v>
      </c>
    </row>
    <row r="224" spans="1:11" x14ac:dyDescent="0.3">
      <c r="A224" s="12">
        <v>41517</v>
      </c>
      <c r="B224" s="35">
        <v>-65000</v>
      </c>
      <c r="C224" s="35">
        <f t="shared" si="52"/>
        <v>2377.375</v>
      </c>
      <c r="D224" s="20">
        <f t="shared" si="48"/>
        <v>-62622.625</v>
      </c>
      <c r="E224" s="47">
        <f t="shared" si="49"/>
        <v>14524.630737500005</v>
      </c>
      <c r="F224" s="51">
        <f t="shared" si="46"/>
        <v>-65000</v>
      </c>
      <c r="G224" s="35">
        <f t="shared" si="50"/>
        <v>-2377.375</v>
      </c>
      <c r="H224" s="23">
        <f t="shared" si="47"/>
        <v>14524.630737500005</v>
      </c>
      <c r="I224" s="31">
        <f t="shared" si="55"/>
        <v>-231.5625</v>
      </c>
      <c r="J224" s="20">
        <f t="shared" si="51"/>
        <v>-39064.999999999971</v>
      </c>
      <c r="K224" s="20">
        <f t="shared" si="54"/>
        <v>-25934.999999999985</v>
      </c>
    </row>
    <row r="225" spans="1:11" x14ac:dyDescent="0.3">
      <c r="A225" s="12">
        <v>41547</v>
      </c>
      <c r="B225" s="35">
        <v>-65000</v>
      </c>
      <c r="C225" s="35">
        <f t="shared" si="52"/>
        <v>2490.5833333333335</v>
      </c>
      <c r="D225" s="20">
        <f t="shared" si="48"/>
        <v>-62509.416666666664</v>
      </c>
      <c r="E225" s="47">
        <f t="shared" si="49"/>
        <v>14571.487152083337</v>
      </c>
      <c r="F225" s="51">
        <f t="shared" si="46"/>
        <v>-65000</v>
      </c>
      <c r="G225" s="35">
        <f t="shared" si="50"/>
        <v>-2490.5833333333335</v>
      </c>
      <c r="H225" s="23">
        <f t="shared" si="47"/>
        <v>14571.487152083337</v>
      </c>
      <c r="I225" s="31">
        <f t="shared" si="55"/>
        <v>-231.5625</v>
      </c>
      <c r="J225" s="20">
        <f t="shared" si="51"/>
        <v>-39296.562499999971</v>
      </c>
      <c r="K225" s="20">
        <f t="shared" si="54"/>
        <v>-25703.437499999985</v>
      </c>
    </row>
    <row r="226" spans="1:11" x14ac:dyDescent="0.3">
      <c r="A226" s="12">
        <v>41578</v>
      </c>
      <c r="B226" s="35">
        <v>-65000</v>
      </c>
      <c r="C226" s="35">
        <f t="shared" si="52"/>
        <v>2603.791666666667</v>
      </c>
      <c r="D226" s="20">
        <f t="shared" si="48"/>
        <v>-62396.208333333336</v>
      </c>
      <c r="E226" s="47">
        <f t="shared" si="49"/>
        <v>14618.343566666672</v>
      </c>
      <c r="F226" s="51">
        <f t="shared" si="46"/>
        <v>-65000</v>
      </c>
      <c r="G226" s="35">
        <f t="shared" si="50"/>
        <v>-2603.791666666667</v>
      </c>
      <c r="H226" s="23">
        <f t="shared" si="47"/>
        <v>14618.343566666672</v>
      </c>
      <c r="I226" s="31">
        <f t="shared" si="55"/>
        <v>-231.5625</v>
      </c>
      <c r="J226" s="20">
        <f t="shared" si="51"/>
        <v>-39528.124999999971</v>
      </c>
      <c r="K226" s="20">
        <f t="shared" si="54"/>
        <v>-25471.874999999985</v>
      </c>
    </row>
    <row r="227" spans="1:11" x14ac:dyDescent="0.3">
      <c r="A227" s="12">
        <v>41608</v>
      </c>
      <c r="B227" s="35">
        <v>-65000</v>
      </c>
      <c r="C227" s="35">
        <f t="shared" si="52"/>
        <v>2717.0000000000005</v>
      </c>
      <c r="D227" s="20">
        <f t="shared" si="48"/>
        <v>-62283</v>
      </c>
      <c r="E227" s="47">
        <f t="shared" si="49"/>
        <v>14665.199981250005</v>
      </c>
      <c r="F227" s="51">
        <f t="shared" si="46"/>
        <v>-65000</v>
      </c>
      <c r="G227" s="35">
        <f t="shared" si="50"/>
        <v>-2717.0000000000005</v>
      </c>
      <c r="H227" s="23">
        <f t="shared" si="47"/>
        <v>14665.199981250005</v>
      </c>
      <c r="I227" s="31">
        <f t="shared" si="55"/>
        <v>-231.5625</v>
      </c>
      <c r="J227" s="20">
        <f t="shared" si="51"/>
        <v>-39759.687499999971</v>
      </c>
      <c r="K227" s="20">
        <f t="shared" si="54"/>
        <v>-25240.312499999985</v>
      </c>
    </row>
    <row r="228" spans="1:11" x14ac:dyDescent="0.3">
      <c r="A228" s="12">
        <v>41639</v>
      </c>
      <c r="B228" s="35">
        <v>-65000</v>
      </c>
      <c r="C228" s="35">
        <f t="shared" si="52"/>
        <v>2830.2083333333339</v>
      </c>
      <c r="D228" s="20">
        <f t="shared" si="48"/>
        <v>-62169.791666666664</v>
      </c>
      <c r="E228" s="47">
        <f t="shared" si="49"/>
        <v>14712.056395833337</v>
      </c>
      <c r="F228" s="51">
        <f t="shared" si="46"/>
        <v>-65000</v>
      </c>
      <c r="G228" s="35">
        <f t="shared" si="50"/>
        <v>-2830.2083333333339</v>
      </c>
      <c r="H228" s="23">
        <f t="shared" si="47"/>
        <v>14712.056395833337</v>
      </c>
      <c r="I228" s="31">
        <f t="shared" si="55"/>
        <v>-231.5625</v>
      </c>
      <c r="J228" s="20">
        <f t="shared" si="51"/>
        <v>-39991.249999999971</v>
      </c>
      <c r="K228" s="20">
        <f t="shared" si="54"/>
        <v>-25008.749999999985</v>
      </c>
    </row>
    <row r="229" spans="1:11" x14ac:dyDescent="0.3">
      <c r="A229" s="12">
        <v>41670</v>
      </c>
      <c r="B229" s="35">
        <v>-65000</v>
      </c>
      <c r="C229" s="35">
        <f t="shared" si="52"/>
        <v>2943.4166666666674</v>
      </c>
      <c r="D229" s="20">
        <f t="shared" si="48"/>
        <v>-62056.583333333336</v>
      </c>
      <c r="E229" s="47">
        <f t="shared" si="49"/>
        <v>14758.912810416672</v>
      </c>
      <c r="F229" s="51">
        <f t="shared" si="46"/>
        <v>-65000</v>
      </c>
      <c r="G229" s="35">
        <f t="shared" si="50"/>
        <v>-2943.4166666666674</v>
      </c>
      <c r="H229" s="23">
        <f t="shared" si="47"/>
        <v>14758.912810416672</v>
      </c>
      <c r="I229" s="31">
        <f t="shared" si="55"/>
        <v>-231.5625</v>
      </c>
      <c r="J229" s="20">
        <f t="shared" si="51"/>
        <v>-40222.812499999971</v>
      </c>
      <c r="K229" s="20">
        <f t="shared" si="54"/>
        <v>-24777.187499999985</v>
      </c>
    </row>
    <row r="230" spans="1:11" x14ac:dyDescent="0.3">
      <c r="A230" s="12">
        <v>41698</v>
      </c>
      <c r="B230" s="35">
        <v>-65000</v>
      </c>
      <c r="C230" s="35">
        <f t="shared" si="52"/>
        <v>3056.6250000000009</v>
      </c>
      <c r="D230" s="20">
        <f t="shared" si="48"/>
        <v>-61943.375</v>
      </c>
      <c r="E230" s="47">
        <f t="shared" si="49"/>
        <v>14805.769225000005</v>
      </c>
      <c r="F230" s="51">
        <f t="shared" si="46"/>
        <v>-65000</v>
      </c>
      <c r="G230" s="35">
        <f t="shared" si="50"/>
        <v>-3056.6250000000009</v>
      </c>
      <c r="H230" s="23">
        <f t="shared" si="47"/>
        <v>14805.769225000005</v>
      </c>
      <c r="I230" s="31">
        <f t="shared" si="55"/>
        <v>-231.5625</v>
      </c>
      <c r="J230" s="20">
        <f t="shared" si="51"/>
        <v>-40454.374999999971</v>
      </c>
      <c r="K230" s="20">
        <f t="shared" si="54"/>
        <v>-24545.624999999985</v>
      </c>
    </row>
    <row r="231" spans="1:11" x14ac:dyDescent="0.3">
      <c r="A231" s="12">
        <v>41729</v>
      </c>
      <c r="B231" s="35">
        <v>-65000</v>
      </c>
      <c r="C231" s="35">
        <f t="shared" si="52"/>
        <v>3169.8333333333344</v>
      </c>
      <c r="D231" s="20">
        <f t="shared" si="48"/>
        <v>-61830.166666666664</v>
      </c>
      <c r="E231" s="47">
        <f t="shared" si="49"/>
        <v>14852.625639583337</v>
      </c>
      <c r="F231" s="51">
        <f t="shared" si="46"/>
        <v>-65000</v>
      </c>
      <c r="G231" s="35">
        <f t="shared" si="50"/>
        <v>-3169.8333333333344</v>
      </c>
      <c r="H231" s="23">
        <f t="shared" si="47"/>
        <v>14852.625639583337</v>
      </c>
      <c r="I231" s="31">
        <f t="shared" si="55"/>
        <v>-231.5625</v>
      </c>
      <c r="J231" s="20">
        <f t="shared" si="51"/>
        <v>-40685.937499999971</v>
      </c>
      <c r="K231" s="20">
        <f t="shared" si="54"/>
        <v>-24314.062499999985</v>
      </c>
    </row>
    <row r="232" spans="1:11" x14ac:dyDescent="0.3">
      <c r="A232" s="12">
        <v>41759</v>
      </c>
      <c r="B232" s="35">
        <v>-65000</v>
      </c>
      <c r="C232" s="35">
        <f t="shared" si="52"/>
        <v>3283.0416666666679</v>
      </c>
      <c r="D232" s="20">
        <f t="shared" si="48"/>
        <v>-61716.958333333328</v>
      </c>
      <c r="E232" s="47">
        <f t="shared" si="49"/>
        <v>14899.48205416667</v>
      </c>
      <c r="F232" s="51">
        <f t="shared" si="46"/>
        <v>-65000</v>
      </c>
      <c r="G232" s="35">
        <f t="shared" si="50"/>
        <v>-3283.0416666666679</v>
      </c>
      <c r="H232" s="23">
        <f t="shared" si="47"/>
        <v>14899.48205416667</v>
      </c>
      <c r="I232" s="31">
        <f t="shared" si="55"/>
        <v>-231.5625</v>
      </c>
      <c r="J232" s="20">
        <f t="shared" si="51"/>
        <v>-40917.499999999971</v>
      </c>
      <c r="K232" s="20">
        <f t="shared" si="54"/>
        <v>-24082.499999999985</v>
      </c>
    </row>
    <row r="233" spans="1:11" x14ac:dyDescent="0.3">
      <c r="A233" s="12">
        <v>41790</v>
      </c>
      <c r="B233" s="35">
        <v>-65000</v>
      </c>
      <c r="C233" s="35">
        <f t="shared" si="52"/>
        <v>3396.2500000000014</v>
      </c>
      <c r="D233" s="20">
        <f t="shared" si="48"/>
        <v>-61603.75</v>
      </c>
      <c r="E233" s="47">
        <f t="shared" si="49"/>
        <v>14946.338468750006</v>
      </c>
      <c r="F233" s="51">
        <f t="shared" si="46"/>
        <v>-65000</v>
      </c>
      <c r="G233" s="35">
        <f t="shared" si="50"/>
        <v>-3396.2500000000014</v>
      </c>
      <c r="H233" s="23">
        <f t="shared" si="47"/>
        <v>14946.338468750006</v>
      </c>
      <c r="I233" s="31">
        <f t="shared" si="55"/>
        <v>-231.5625</v>
      </c>
      <c r="J233" s="20">
        <f t="shared" si="51"/>
        <v>-41149.062499999971</v>
      </c>
      <c r="K233" s="20">
        <f t="shared" si="54"/>
        <v>-23850.937499999985</v>
      </c>
    </row>
    <row r="234" spans="1:11" x14ac:dyDescent="0.3">
      <c r="A234" s="12">
        <v>41820</v>
      </c>
      <c r="B234" s="35">
        <v>-65000</v>
      </c>
      <c r="C234" s="35">
        <f t="shared" si="52"/>
        <v>3509.4583333333348</v>
      </c>
      <c r="D234" s="20">
        <f t="shared" si="48"/>
        <v>-61490.541666666664</v>
      </c>
      <c r="E234" s="47">
        <f t="shared" si="49"/>
        <v>14993.194883333337</v>
      </c>
      <c r="F234" s="51">
        <f t="shared" si="46"/>
        <v>-65000</v>
      </c>
      <c r="G234" s="35">
        <f t="shared" si="50"/>
        <v>-3509.4583333333348</v>
      </c>
      <c r="H234" s="23">
        <f t="shared" si="47"/>
        <v>14993.194883333337</v>
      </c>
      <c r="I234" s="31">
        <f t="shared" si="55"/>
        <v>-231.5625</v>
      </c>
      <c r="J234" s="20">
        <f t="shared" si="51"/>
        <v>-41380.624999999971</v>
      </c>
      <c r="K234" s="20">
        <f t="shared" si="54"/>
        <v>-23619.374999999985</v>
      </c>
    </row>
    <row r="235" spans="1:11" x14ac:dyDescent="0.3">
      <c r="A235" s="12">
        <v>41851</v>
      </c>
      <c r="B235" s="35">
        <v>-65000</v>
      </c>
      <c r="C235" s="35">
        <f t="shared" si="52"/>
        <v>3622.6666666666683</v>
      </c>
      <c r="D235" s="20">
        <f t="shared" si="48"/>
        <v>-61377.333333333328</v>
      </c>
      <c r="E235" s="47">
        <f t="shared" si="49"/>
        <v>15040.051297916669</v>
      </c>
      <c r="F235" s="51">
        <f t="shared" si="46"/>
        <v>-65000</v>
      </c>
      <c r="G235" s="35">
        <f t="shared" si="50"/>
        <v>-3622.6666666666683</v>
      </c>
      <c r="H235" s="23">
        <f t="shared" si="47"/>
        <v>15040.051297916669</v>
      </c>
      <c r="I235" s="31">
        <f t="shared" si="55"/>
        <v>-231.5625</v>
      </c>
      <c r="J235" s="20">
        <f t="shared" si="51"/>
        <v>-41612.187499999971</v>
      </c>
      <c r="K235" s="20">
        <f t="shared" si="54"/>
        <v>-23387.812499999985</v>
      </c>
    </row>
    <row r="236" spans="1:11" x14ac:dyDescent="0.3">
      <c r="A236" s="12">
        <v>41882</v>
      </c>
      <c r="B236" s="35">
        <v>-65000</v>
      </c>
      <c r="C236" s="35">
        <f t="shared" si="52"/>
        <v>3735.8750000000018</v>
      </c>
      <c r="D236" s="20">
        <f t="shared" si="48"/>
        <v>-61264.125</v>
      </c>
      <c r="E236" s="47">
        <f t="shared" si="49"/>
        <v>15086.907712500004</v>
      </c>
      <c r="F236" s="51">
        <f t="shared" si="46"/>
        <v>-65000</v>
      </c>
      <c r="G236" s="35">
        <f t="shared" si="50"/>
        <v>-3735.8750000000018</v>
      </c>
      <c r="H236" s="23">
        <f t="shared" si="47"/>
        <v>15086.907712500004</v>
      </c>
      <c r="I236" s="31">
        <f t="shared" si="55"/>
        <v>-231.5625</v>
      </c>
      <c r="J236" s="20">
        <f t="shared" si="51"/>
        <v>-41843.749999999971</v>
      </c>
      <c r="K236" s="20">
        <f t="shared" si="54"/>
        <v>-23156.249999999985</v>
      </c>
    </row>
    <row r="237" spans="1:11" x14ac:dyDescent="0.3">
      <c r="A237" s="12">
        <v>41912</v>
      </c>
      <c r="B237" s="35">
        <v>-65000</v>
      </c>
      <c r="C237" s="35">
        <f t="shared" si="52"/>
        <v>3849.0833333333353</v>
      </c>
      <c r="D237" s="20">
        <f t="shared" si="48"/>
        <v>-61150.916666666664</v>
      </c>
      <c r="E237" s="47">
        <f t="shared" si="49"/>
        <v>15133.764127083337</v>
      </c>
      <c r="F237" s="51">
        <f t="shared" si="46"/>
        <v>-65000</v>
      </c>
      <c r="G237" s="35">
        <f t="shared" si="50"/>
        <v>-3849.0833333333353</v>
      </c>
      <c r="H237" s="23">
        <f t="shared" si="47"/>
        <v>15133.764127083337</v>
      </c>
      <c r="I237" s="31">
        <f t="shared" si="55"/>
        <v>-231.5625</v>
      </c>
      <c r="J237" s="20">
        <f t="shared" si="51"/>
        <v>-42075.312499999971</v>
      </c>
      <c r="K237" s="20">
        <f t="shared" si="54"/>
        <v>-22924.687499999985</v>
      </c>
    </row>
    <row r="238" spans="1:11" x14ac:dyDescent="0.3">
      <c r="A238" s="12">
        <v>41943</v>
      </c>
      <c r="B238" s="35">
        <v>-65000</v>
      </c>
      <c r="C238" s="35">
        <f t="shared" si="52"/>
        <v>3962.2916666666688</v>
      </c>
      <c r="D238" s="20">
        <f t="shared" si="48"/>
        <v>-61037.708333333328</v>
      </c>
      <c r="E238" s="47">
        <f t="shared" si="49"/>
        <v>15180.620541666669</v>
      </c>
      <c r="F238" s="51">
        <f t="shared" si="46"/>
        <v>-65000</v>
      </c>
      <c r="G238" s="35">
        <f t="shared" si="50"/>
        <v>-3962.2916666666688</v>
      </c>
      <c r="H238" s="23">
        <f t="shared" si="47"/>
        <v>15180.620541666669</v>
      </c>
      <c r="I238" s="31">
        <f t="shared" si="55"/>
        <v>-231.5625</v>
      </c>
      <c r="J238" s="20">
        <f t="shared" si="51"/>
        <v>-42306.874999999971</v>
      </c>
      <c r="K238" s="20">
        <f t="shared" si="54"/>
        <v>-22693.124999999985</v>
      </c>
    </row>
    <row r="239" spans="1:11" ht="15.6" customHeight="1" x14ac:dyDescent="0.3">
      <c r="A239" s="12">
        <v>41973</v>
      </c>
      <c r="B239" s="35">
        <v>-65000</v>
      </c>
      <c r="C239" s="35">
        <f t="shared" si="52"/>
        <v>4075.5000000000023</v>
      </c>
      <c r="D239" s="20">
        <f t="shared" si="48"/>
        <v>-60924.5</v>
      </c>
      <c r="E239" s="47">
        <f t="shared" si="49"/>
        <v>15227.476956250004</v>
      </c>
      <c r="F239" s="51">
        <f t="shared" si="46"/>
        <v>-65000</v>
      </c>
      <c r="G239" s="35">
        <f t="shared" si="50"/>
        <v>-4075.5000000000023</v>
      </c>
      <c r="H239" s="23">
        <f t="shared" si="47"/>
        <v>15227.476956250004</v>
      </c>
      <c r="I239" s="31">
        <f t="shared" si="55"/>
        <v>-231.5625</v>
      </c>
      <c r="J239" s="20">
        <f t="shared" si="51"/>
        <v>-42538.437499999971</v>
      </c>
      <c r="K239" s="20">
        <f t="shared" si="54"/>
        <v>-22461.562499999985</v>
      </c>
    </row>
    <row r="240" spans="1:11" x14ac:dyDescent="0.3">
      <c r="A240" s="12">
        <v>42004</v>
      </c>
      <c r="B240" s="35">
        <v>-65000</v>
      </c>
      <c r="C240" s="35">
        <f t="shared" si="52"/>
        <v>4188.7083333333358</v>
      </c>
      <c r="D240" s="20">
        <f t="shared" si="48"/>
        <v>-60811.291666666664</v>
      </c>
      <c r="E240" s="47">
        <f t="shared" si="49"/>
        <v>15274.333370833338</v>
      </c>
      <c r="F240" s="51">
        <f t="shared" si="46"/>
        <v>-65000</v>
      </c>
      <c r="G240" s="35">
        <f t="shared" si="50"/>
        <v>-4188.7083333333358</v>
      </c>
      <c r="H240" s="23">
        <f t="shared" si="47"/>
        <v>15274.333370833338</v>
      </c>
      <c r="I240" s="31">
        <f t="shared" si="55"/>
        <v>-231.5625</v>
      </c>
      <c r="J240" s="20">
        <f t="shared" si="51"/>
        <v>-42769.999999999971</v>
      </c>
      <c r="K240" s="20">
        <f t="shared" si="54"/>
        <v>-22229.999999999985</v>
      </c>
    </row>
    <row r="241" spans="1:11" x14ac:dyDescent="0.3">
      <c r="A241" s="12">
        <v>42035</v>
      </c>
      <c r="B241" s="35">
        <v>-65000</v>
      </c>
      <c r="C241" s="35">
        <f t="shared" si="52"/>
        <v>4301.9166666666688</v>
      </c>
      <c r="D241" s="20">
        <f t="shared" si="48"/>
        <v>-60698.083333333328</v>
      </c>
      <c r="E241" s="47">
        <f t="shared" si="49"/>
        <v>15321.189785416669</v>
      </c>
      <c r="F241" s="51">
        <f t="shared" si="46"/>
        <v>-65000</v>
      </c>
      <c r="G241" s="35">
        <f t="shared" si="50"/>
        <v>-4301.9166666666688</v>
      </c>
      <c r="H241" s="23">
        <f t="shared" si="47"/>
        <v>15321.189785416669</v>
      </c>
      <c r="I241" s="31">
        <f t="shared" si="55"/>
        <v>-231.5625</v>
      </c>
      <c r="J241" s="20">
        <f t="shared" si="51"/>
        <v>-43001.562499999971</v>
      </c>
      <c r="K241" s="20">
        <f t="shared" si="54"/>
        <v>-21998.437499999985</v>
      </c>
    </row>
    <row r="242" spans="1:11" x14ac:dyDescent="0.3">
      <c r="A242" s="12">
        <v>42063</v>
      </c>
      <c r="B242" s="35">
        <v>-65000</v>
      </c>
      <c r="C242" s="35">
        <f t="shared" si="52"/>
        <v>4415.1250000000018</v>
      </c>
      <c r="D242" s="20">
        <f t="shared" si="48"/>
        <v>-60584.875</v>
      </c>
      <c r="E242" s="47">
        <f t="shared" si="49"/>
        <v>15368.046200000004</v>
      </c>
      <c r="F242" s="51">
        <f t="shared" si="46"/>
        <v>-65000</v>
      </c>
      <c r="G242" s="35">
        <f t="shared" si="50"/>
        <v>-4415.1250000000018</v>
      </c>
      <c r="H242" s="23">
        <f t="shared" si="47"/>
        <v>15368.046200000004</v>
      </c>
      <c r="I242" s="31">
        <f t="shared" si="55"/>
        <v>-231.5625</v>
      </c>
      <c r="J242" s="20">
        <f t="shared" si="51"/>
        <v>-43233.124999999971</v>
      </c>
      <c r="K242" s="20">
        <f t="shared" si="54"/>
        <v>-21766.874999999985</v>
      </c>
    </row>
    <row r="243" spans="1:11" x14ac:dyDescent="0.3">
      <c r="A243" s="12">
        <v>42094</v>
      </c>
      <c r="B243" s="35">
        <v>-65000</v>
      </c>
      <c r="C243" s="35">
        <f t="shared" si="52"/>
        <v>4528.3333333333348</v>
      </c>
      <c r="D243" s="20">
        <f t="shared" si="48"/>
        <v>-60471.666666666664</v>
      </c>
      <c r="E243" s="47">
        <f t="shared" si="49"/>
        <v>15414.902614583338</v>
      </c>
      <c r="F243" s="51">
        <f t="shared" si="46"/>
        <v>-65000</v>
      </c>
      <c r="G243" s="35">
        <f t="shared" si="50"/>
        <v>-4528.3333333333348</v>
      </c>
      <c r="H243" s="23">
        <f t="shared" si="47"/>
        <v>15414.902614583338</v>
      </c>
      <c r="I243" s="31">
        <f t="shared" si="55"/>
        <v>-231.5625</v>
      </c>
      <c r="J243" s="20">
        <f t="shared" si="51"/>
        <v>-43464.687499999971</v>
      </c>
      <c r="K243" s="20">
        <f t="shared" si="54"/>
        <v>-21535.312499999985</v>
      </c>
    </row>
    <row r="244" spans="1:11" x14ac:dyDescent="0.3">
      <c r="A244" s="12">
        <v>42124</v>
      </c>
      <c r="B244" s="35">
        <v>-65000</v>
      </c>
      <c r="C244" s="35">
        <f t="shared" si="52"/>
        <v>4641.5416666666679</v>
      </c>
      <c r="D244" s="20">
        <f t="shared" si="48"/>
        <v>-60358.458333333328</v>
      </c>
      <c r="E244" s="47">
        <f t="shared" si="49"/>
        <v>15461.759029166669</v>
      </c>
      <c r="F244" s="51">
        <f t="shared" si="46"/>
        <v>-65000</v>
      </c>
      <c r="G244" s="35">
        <f t="shared" si="50"/>
        <v>-4641.5416666666679</v>
      </c>
      <c r="H244" s="23">
        <f t="shared" si="47"/>
        <v>15461.759029166669</v>
      </c>
      <c r="I244" s="31">
        <f t="shared" si="55"/>
        <v>-231.5625</v>
      </c>
      <c r="J244" s="20">
        <f t="shared" si="51"/>
        <v>-43696.249999999971</v>
      </c>
      <c r="K244" s="20">
        <f t="shared" si="54"/>
        <v>-21303.749999999985</v>
      </c>
    </row>
    <row r="245" spans="1:11" x14ac:dyDescent="0.3">
      <c r="A245" s="12">
        <v>42155</v>
      </c>
      <c r="B245" s="35">
        <v>-65000</v>
      </c>
      <c r="C245" s="35">
        <f t="shared" si="52"/>
        <v>4754.7500000000009</v>
      </c>
      <c r="D245" s="20">
        <f t="shared" si="48"/>
        <v>-60245.25</v>
      </c>
      <c r="E245" s="47">
        <f t="shared" si="49"/>
        <v>15508.615443750004</v>
      </c>
      <c r="F245" s="51">
        <f>B245</f>
        <v>-65000</v>
      </c>
      <c r="G245" s="35">
        <f t="shared" si="50"/>
        <v>-4754.7500000000009</v>
      </c>
      <c r="H245" s="23">
        <f t="shared" si="47"/>
        <v>15508.615443750004</v>
      </c>
      <c r="I245" s="31">
        <f t="shared" si="55"/>
        <v>-231.5625</v>
      </c>
      <c r="J245" s="20">
        <f t="shared" si="51"/>
        <v>-43927.812499999971</v>
      </c>
      <c r="K245" s="20">
        <f t="shared" si="54"/>
        <v>-21072.187499999985</v>
      </c>
    </row>
    <row r="246" spans="1:11" x14ac:dyDescent="0.3">
      <c r="A246" s="12">
        <v>42185</v>
      </c>
      <c r="B246" s="35">
        <v>-65000</v>
      </c>
      <c r="C246" s="35">
        <f t="shared" si="52"/>
        <v>4867.9583333333339</v>
      </c>
      <c r="D246" s="20">
        <f t="shared" si="48"/>
        <v>-60132.041666666664</v>
      </c>
      <c r="E246" s="47">
        <f t="shared" si="49"/>
        <v>15555.471858333338</v>
      </c>
      <c r="F246" s="51">
        <f t="shared" si="46"/>
        <v>-65000</v>
      </c>
      <c r="G246" s="35">
        <f t="shared" si="50"/>
        <v>-4867.9583333333339</v>
      </c>
      <c r="H246" s="23">
        <f t="shared" si="47"/>
        <v>15555.471858333338</v>
      </c>
      <c r="I246" s="31">
        <f t="shared" si="55"/>
        <v>-231.5625</v>
      </c>
      <c r="J246" s="20">
        <f t="shared" si="51"/>
        <v>-44159.374999999971</v>
      </c>
      <c r="K246" s="20">
        <f t="shared" si="54"/>
        <v>-20840.624999999985</v>
      </c>
    </row>
    <row r="247" spans="1:11" x14ac:dyDescent="0.3">
      <c r="A247" s="12">
        <v>42216</v>
      </c>
      <c r="B247" s="35">
        <v>-65000</v>
      </c>
      <c r="C247" s="35">
        <f t="shared" si="52"/>
        <v>4981.166666666667</v>
      </c>
      <c r="D247" s="20">
        <f t="shared" si="48"/>
        <v>-60018.833333333336</v>
      </c>
      <c r="E247" s="47">
        <f t="shared" si="49"/>
        <v>15602.328272916673</v>
      </c>
      <c r="F247" s="51">
        <f t="shared" si="46"/>
        <v>-65000</v>
      </c>
      <c r="G247" s="35">
        <f t="shared" si="50"/>
        <v>-4981.166666666667</v>
      </c>
      <c r="H247" s="23">
        <f t="shared" si="47"/>
        <v>15602.328272916673</v>
      </c>
      <c r="I247" s="31">
        <f t="shared" si="55"/>
        <v>-231.5625</v>
      </c>
      <c r="J247" s="20">
        <f t="shared" si="51"/>
        <v>-44390.937499999971</v>
      </c>
      <c r="K247" s="20">
        <f t="shared" si="54"/>
        <v>-20609.062499999985</v>
      </c>
    </row>
    <row r="248" spans="1:11" x14ac:dyDescent="0.3">
      <c r="A248" s="12">
        <v>42247</v>
      </c>
      <c r="B248" s="35">
        <v>-65000</v>
      </c>
      <c r="C248" s="35">
        <f t="shared" si="52"/>
        <v>5094.375</v>
      </c>
      <c r="D248" s="20">
        <f t="shared" si="48"/>
        <v>-59905.625</v>
      </c>
      <c r="E248" s="47">
        <f t="shared" si="49"/>
        <v>15649.184687500005</v>
      </c>
      <c r="F248" s="51">
        <f t="shared" si="46"/>
        <v>-65000</v>
      </c>
      <c r="G248" s="35">
        <f t="shared" si="50"/>
        <v>-5094.375</v>
      </c>
      <c r="H248" s="23">
        <f t="shared" si="47"/>
        <v>15649.184687500005</v>
      </c>
      <c r="I248" s="31">
        <f t="shared" si="55"/>
        <v>-231.5625</v>
      </c>
      <c r="J248" s="20">
        <f t="shared" si="51"/>
        <v>-44622.499999999971</v>
      </c>
      <c r="K248" s="20">
        <f t="shared" si="54"/>
        <v>-20377.499999999985</v>
      </c>
    </row>
    <row r="249" spans="1:11" x14ac:dyDescent="0.3">
      <c r="A249" s="12">
        <v>42277</v>
      </c>
      <c r="B249" s="35">
        <v>-65000</v>
      </c>
      <c r="C249" s="35">
        <f t="shared" si="52"/>
        <v>5207.583333333333</v>
      </c>
      <c r="D249" s="20">
        <f t="shared" si="48"/>
        <v>-59792.416666666664</v>
      </c>
      <c r="E249" s="47">
        <f t="shared" si="49"/>
        <v>15696.041102083336</v>
      </c>
      <c r="F249" s="51">
        <f t="shared" si="46"/>
        <v>-65000</v>
      </c>
      <c r="G249" s="35">
        <f t="shared" si="50"/>
        <v>-5207.583333333333</v>
      </c>
      <c r="H249" s="23">
        <f t="shared" si="47"/>
        <v>15696.041102083336</v>
      </c>
      <c r="I249" s="31">
        <f t="shared" si="55"/>
        <v>-231.5625</v>
      </c>
      <c r="J249" s="20">
        <f t="shared" si="51"/>
        <v>-44854.062499999971</v>
      </c>
      <c r="K249" s="20">
        <f t="shared" si="54"/>
        <v>-20145.937499999985</v>
      </c>
    </row>
    <row r="250" spans="1:11" x14ac:dyDescent="0.3">
      <c r="A250" s="12">
        <v>42308</v>
      </c>
      <c r="B250" s="35">
        <v>-65000</v>
      </c>
      <c r="C250" s="35">
        <f t="shared" si="52"/>
        <v>5320.7916666666661</v>
      </c>
      <c r="D250" s="20">
        <f t="shared" si="48"/>
        <v>-59679.208333333336</v>
      </c>
      <c r="E250" s="47">
        <f t="shared" si="49"/>
        <v>15742.897516666673</v>
      </c>
      <c r="F250" s="51">
        <f t="shared" si="46"/>
        <v>-65000</v>
      </c>
      <c r="G250" s="35">
        <f t="shared" si="50"/>
        <v>-5320.7916666666661</v>
      </c>
      <c r="H250" s="23">
        <f t="shared" si="47"/>
        <v>15742.897516666673</v>
      </c>
      <c r="I250" s="31">
        <f t="shared" si="55"/>
        <v>-231.5625</v>
      </c>
      <c r="J250" s="20">
        <f t="shared" si="51"/>
        <v>-45085.624999999971</v>
      </c>
      <c r="K250" s="20">
        <f t="shared" si="54"/>
        <v>-19914.374999999985</v>
      </c>
    </row>
    <row r="251" spans="1:11" x14ac:dyDescent="0.3">
      <c r="A251" s="12">
        <v>42338</v>
      </c>
      <c r="B251" s="35">
        <v>-65000</v>
      </c>
      <c r="C251" s="35">
        <f t="shared" si="52"/>
        <v>5433.9999999999991</v>
      </c>
      <c r="D251" s="20">
        <f t="shared" si="48"/>
        <v>-59566</v>
      </c>
      <c r="E251" s="47">
        <f t="shared" si="49"/>
        <v>15789.753931250005</v>
      </c>
      <c r="F251" s="51">
        <f t="shared" si="46"/>
        <v>-65000</v>
      </c>
      <c r="G251" s="35">
        <f t="shared" si="50"/>
        <v>-5433.9999999999991</v>
      </c>
      <c r="H251" s="23">
        <f t="shared" si="47"/>
        <v>15789.753931250005</v>
      </c>
      <c r="I251" s="31">
        <f t="shared" si="55"/>
        <v>-231.5625</v>
      </c>
      <c r="J251" s="20">
        <f t="shared" si="51"/>
        <v>-45317.187499999971</v>
      </c>
      <c r="K251" s="20">
        <f t="shared" si="54"/>
        <v>-19682.812499999985</v>
      </c>
    </row>
    <row r="252" spans="1:11" x14ac:dyDescent="0.3">
      <c r="A252" s="12">
        <v>42369</v>
      </c>
      <c r="B252" s="35">
        <v>-65000</v>
      </c>
      <c r="C252" s="35">
        <f t="shared" si="52"/>
        <v>5547.2083333333321</v>
      </c>
      <c r="D252" s="20">
        <f t="shared" si="48"/>
        <v>-59452.791666666672</v>
      </c>
      <c r="E252" s="47">
        <f t="shared" si="49"/>
        <v>15836.61034583334</v>
      </c>
      <c r="F252" s="51">
        <f t="shared" si="46"/>
        <v>-65000</v>
      </c>
      <c r="G252" s="35">
        <f t="shared" si="50"/>
        <v>-5547.2083333333321</v>
      </c>
      <c r="H252" s="23">
        <f t="shared" si="47"/>
        <v>15836.61034583334</v>
      </c>
      <c r="I252" s="31">
        <f t="shared" si="55"/>
        <v>-231.5625</v>
      </c>
      <c r="J252" s="20">
        <f t="shared" si="51"/>
        <v>-45548.749999999971</v>
      </c>
      <c r="K252" s="20">
        <f t="shared" si="54"/>
        <v>-19451.249999999985</v>
      </c>
    </row>
    <row r="253" spans="1:11" x14ac:dyDescent="0.3">
      <c r="A253" s="12">
        <v>42400</v>
      </c>
      <c r="B253" s="35">
        <v>-65000</v>
      </c>
      <c r="C253" s="35">
        <f t="shared" si="52"/>
        <v>5660.4166666666652</v>
      </c>
      <c r="D253" s="20">
        <f t="shared" si="48"/>
        <v>-59339.583333333336</v>
      </c>
      <c r="E253" s="47">
        <f t="shared" si="49"/>
        <v>15883.466760416672</v>
      </c>
      <c r="F253" s="25">
        <f t="shared" si="46"/>
        <v>-65000</v>
      </c>
      <c r="G253" s="26">
        <f t="shared" si="50"/>
        <v>-5660.4166666666652</v>
      </c>
      <c r="H253" s="27">
        <f t="shared" si="47"/>
        <v>15883.466760416672</v>
      </c>
      <c r="I253" s="31">
        <f t="shared" si="55"/>
        <v>-231.5625</v>
      </c>
      <c r="J253" s="20">
        <f t="shared" si="51"/>
        <v>-45780.312499999971</v>
      </c>
      <c r="K253" s="20">
        <f t="shared" si="54"/>
        <v>-19219.687499999985</v>
      </c>
    </row>
    <row r="254" spans="1:11" x14ac:dyDescent="0.3">
      <c r="A254" s="12">
        <v>42429</v>
      </c>
      <c r="B254" s="35">
        <v>-65000</v>
      </c>
      <c r="C254" s="35">
        <f t="shared" si="52"/>
        <v>5773.6249999999982</v>
      </c>
      <c r="D254" s="20">
        <f t="shared" si="48"/>
        <v>-59226.375</v>
      </c>
      <c r="E254" s="47">
        <f t="shared" si="49"/>
        <v>15930.323175000005</v>
      </c>
      <c r="F254" s="25">
        <f t="shared" si="46"/>
        <v>-65000</v>
      </c>
      <c r="G254" s="26">
        <f t="shared" si="50"/>
        <v>-5773.6249999999982</v>
      </c>
      <c r="H254" s="27">
        <f t="shared" si="47"/>
        <v>15930.323175000005</v>
      </c>
      <c r="I254" s="31">
        <f t="shared" si="55"/>
        <v>-231.5625</v>
      </c>
      <c r="J254" s="20">
        <f t="shared" si="51"/>
        <v>-46011.874999999971</v>
      </c>
      <c r="K254" s="20">
        <f t="shared" si="54"/>
        <v>-18988.124999999985</v>
      </c>
    </row>
    <row r="255" spans="1:11" x14ac:dyDescent="0.3">
      <c r="A255" s="12">
        <v>42460</v>
      </c>
      <c r="B255" s="35">
        <v>-65000</v>
      </c>
      <c r="C255" s="35">
        <f t="shared" si="52"/>
        <v>5886.8333333333312</v>
      </c>
      <c r="D255" s="20">
        <f t="shared" si="48"/>
        <v>-59113.166666666672</v>
      </c>
      <c r="E255" s="47">
        <f t="shared" si="49"/>
        <v>15977.17958958334</v>
      </c>
      <c r="F255" s="25">
        <f t="shared" si="46"/>
        <v>-65000</v>
      </c>
      <c r="G255" s="26">
        <f t="shared" si="50"/>
        <v>-5886.8333333333312</v>
      </c>
      <c r="H255" s="27">
        <f t="shared" si="47"/>
        <v>15977.17958958334</v>
      </c>
      <c r="I255" s="31">
        <f t="shared" si="55"/>
        <v>-231.5625</v>
      </c>
      <c r="J255" s="20">
        <f t="shared" si="51"/>
        <v>-46243.437499999971</v>
      </c>
      <c r="K255" s="20">
        <f t="shared" si="54"/>
        <v>-18756.562499999985</v>
      </c>
    </row>
    <row r="256" spans="1:11" x14ac:dyDescent="0.3">
      <c r="A256" s="12">
        <v>42490</v>
      </c>
      <c r="B256" s="35">
        <v>-65000</v>
      </c>
      <c r="C256" s="35">
        <f t="shared" si="52"/>
        <v>6000.0416666666642</v>
      </c>
      <c r="D256" s="20">
        <f t="shared" si="48"/>
        <v>-58999.958333333336</v>
      </c>
      <c r="E256" s="47">
        <f t="shared" si="49"/>
        <v>16024.036004166672</v>
      </c>
      <c r="F256" s="25">
        <f t="shared" si="46"/>
        <v>-65000</v>
      </c>
      <c r="G256" s="26">
        <f t="shared" si="50"/>
        <v>-6000.0416666666642</v>
      </c>
      <c r="H256" s="27">
        <f t="shared" si="47"/>
        <v>16024.036004166672</v>
      </c>
      <c r="I256" s="31">
        <f t="shared" si="55"/>
        <v>-231.5625</v>
      </c>
      <c r="J256" s="20">
        <f t="shared" si="51"/>
        <v>-46474.999999999971</v>
      </c>
      <c r="K256" s="20">
        <f t="shared" si="54"/>
        <v>-18524.999999999985</v>
      </c>
    </row>
    <row r="257" spans="1:11" x14ac:dyDescent="0.3">
      <c r="A257" s="12">
        <v>42521</v>
      </c>
      <c r="B257" s="35">
        <v>-65000</v>
      </c>
      <c r="C257" s="35">
        <f t="shared" si="52"/>
        <v>6113.2499999999973</v>
      </c>
      <c r="D257" s="20">
        <f t="shared" si="48"/>
        <v>-58886.75</v>
      </c>
      <c r="E257" s="47">
        <f t="shared" si="49"/>
        <v>16070.892418750005</v>
      </c>
      <c r="F257" s="25">
        <f t="shared" si="46"/>
        <v>-65000</v>
      </c>
      <c r="G257" s="26">
        <f t="shared" si="50"/>
        <v>-6113.2499999999973</v>
      </c>
      <c r="H257" s="27">
        <f t="shared" si="47"/>
        <v>16070.892418750005</v>
      </c>
      <c r="I257" s="31">
        <f t="shared" si="55"/>
        <v>-231.5625</v>
      </c>
      <c r="J257" s="20">
        <f t="shared" si="51"/>
        <v>-46706.562499999971</v>
      </c>
      <c r="K257" s="20">
        <f t="shared" si="54"/>
        <v>-18293.437499999985</v>
      </c>
    </row>
    <row r="258" spans="1:11" x14ac:dyDescent="0.3">
      <c r="A258" s="12">
        <v>42551</v>
      </c>
      <c r="B258" s="35">
        <v>-65000</v>
      </c>
      <c r="C258" s="35">
        <f t="shared" si="52"/>
        <v>6226.4583333333303</v>
      </c>
      <c r="D258" s="20">
        <f t="shared" si="48"/>
        <v>-58773.541666666672</v>
      </c>
      <c r="E258" s="47">
        <f t="shared" si="49"/>
        <v>16117.74883333334</v>
      </c>
      <c r="F258" s="25">
        <f t="shared" si="46"/>
        <v>-65000</v>
      </c>
      <c r="G258" s="26">
        <f t="shared" si="50"/>
        <v>-6226.4583333333303</v>
      </c>
      <c r="H258" s="27">
        <f t="shared" si="47"/>
        <v>16117.74883333334</v>
      </c>
      <c r="I258" s="31">
        <f t="shared" si="55"/>
        <v>-231.5625</v>
      </c>
      <c r="J258" s="20">
        <f t="shared" si="51"/>
        <v>-46938.124999999971</v>
      </c>
      <c r="K258" s="20">
        <f t="shared" si="54"/>
        <v>-18061.874999999985</v>
      </c>
    </row>
    <row r="259" spans="1:11" x14ac:dyDescent="0.3">
      <c r="A259" s="12">
        <v>42582</v>
      </c>
      <c r="B259" s="35">
        <v>-65000</v>
      </c>
      <c r="C259" s="35">
        <f t="shared" si="52"/>
        <v>6339.6666666666633</v>
      </c>
      <c r="D259" s="20">
        <f t="shared" si="48"/>
        <v>-58660.333333333336</v>
      </c>
      <c r="E259" s="47">
        <f t="shared" si="49"/>
        <v>16164.605247916672</v>
      </c>
      <c r="F259" s="25">
        <f t="shared" si="46"/>
        <v>-65000</v>
      </c>
      <c r="G259" s="26">
        <f t="shared" si="50"/>
        <v>-6339.6666666666633</v>
      </c>
      <c r="H259" s="27">
        <f t="shared" si="47"/>
        <v>16164.605247916672</v>
      </c>
      <c r="I259" s="31">
        <f t="shared" si="55"/>
        <v>-231.5625</v>
      </c>
      <c r="J259" s="20">
        <f t="shared" si="51"/>
        <v>-47169.687499999971</v>
      </c>
      <c r="K259" s="20">
        <f t="shared" si="54"/>
        <v>-17830.312499999985</v>
      </c>
    </row>
    <row r="260" spans="1:11" x14ac:dyDescent="0.3">
      <c r="A260" s="12">
        <v>42613</v>
      </c>
      <c r="B260" s="35">
        <v>-65000</v>
      </c>
      <c r="C260" s="35">
        <f t="shared" si="52"/>
        <v>6452.8749999999964</v>
      </c>
      <c r="D260" s="20">
        <f t="shared" si="48"/>
        <v>-58547.125</v>
      </c>
      <c r="E260" s="47">
        <f t="shared" si="49"/>
        <v>16211.461662500005</v>
      </c>
      <c r="F260" s="25">
        <f t="shared" si="46"/>
        <v>-65000</v>
      </c>
      <c r="G260" s="26">
        <f t="shared" si="50"/>
        <v>-6452.8749999999964</v>
      </c>
      <c r="H260" s="27">
        <f t="shared" si="47"/>
        <v>16211.461662500005</v>
      </c>
      <c r="I260" s="31">
        <f t="shared" si="55"/>
        <v>-231.5625</v>
      </c>
      <c r="J260" s="20">
        <f t="shared" si="51"/>
        <v>-47401.249999999971</v>
      </c>
      <c r="K260" s="20">
        <f t="shared" si="54"/>
        <v>-17598.749999999985</v>
      </c>
    </row>
    <row r="261" spans="1:11" x14ac:dyDescent="0.3">
      <c r="A261" s="12">
        <v>42643</v>
      </c>
      <c r="B261" s="35">
        <v>-65000</v>
      </c>
      <c r="C261" s="35">
        <f t="shared" si="52"/>
        <v>6566.0833333333294</v>
      </c>
      <c r="D261" s="20">
        <f t="shared" si="48"/>
        <v>-58433.916666666672</v>
      </c>
      <c r="E261" s="47">
        <f t="shared" si="49"/>
        <v>16258.318077083341</v>
      </c>
      <c r="F261" s="25">
        <f t="shared" si="46"/>
        <v>-65000</v>
      </c>
      <c r="G261" s="26">
        <f t="shared" si="50"/>
        <v>-6566.0833333333294</v>
      </c>
      <c r="H261" s="27">
        <f t="shared" si="47"/>
        <v>16258.318077083341</v>
      </c>
      <c r="I261" s="31">
        <f t="shared" si="55"/>
        <v>-231.5625</v>
      </c>
      <c r="J261" s="20">
        <f t="shared" si="51"/>
        <v>-47632.812499999971</v>
      </c>
      <c r="K261" s="20">
        <f t="shared" si="54"/>
        <v>-17367.187499999985</v>
      </c>
    </row>
    <row r="262" spans="1:11" x14ac:dyDescent="0.3">
      <c r="A262" s="12">
        <v>42674</v>
      </c>
      <c r="B262" s="35">
        <v>-65000</v>
      </c>
      <c r="C262" s="35">
        <f t="shared" si="52"/>
        <v>6679.2916666666624</v>
      </c>
      <c r="D262" s="20">
        <f t="shared" si="48"/>
        <v>-58320.708333333336</v>
      </c>
      <c r="E262" s="47">
        <f t="shared" si="49"/>
        <v>16305.174491666672</v>
      </c>
      <c r="F262" s="25">
        <f t="shared" si="46"/>
        <v>-65000</v>
      </c>
      <c r="G262" s="26">
        <f t="shared" si="50"/>
        <v>-6679.2916666666624</v>
      </c>
      <c r="H262" s="27">
        <f t="shared" si="47"/>
        <v>16305.174491666672</v>
      </c>
      <c r="I262" s="31">
        <f t="shared" si="55"/>
        <v>-231.5625</v>
      </c>
      <c r="J262" s="20">
        <f t="shared" si="51"/>
        <v>-47864.374999999971</v>
      </c>
      <c r="K262" s="20">
        <f t="shared" si="54"/>
        <v>-17135.624999999985</v>
      </c>
    </row>
    <row r="263" spans="1:11" x14ac:dyDescent="0.3">
      <c r="A263" s="12">
        <v>42704</v>
      </c>
      <c r="B263" s="35">
        <v>-65000</v>
      </c>
      <c r="C263" s="35">
        <f t="shared" si="52"/>
        <v>6792.4999999999955</v>
      </c>
      <c r="D263" s="20">
        <f t="shared" si="48"/>
        <v>-58207.500000000007</v>
      </c>
      <c r="E263" s="47">
        <f t="shared" si="49"/>
        <v>16352.030906250007</v>
      </c>
      <c r="F263" s="25">
        <f t="shared" si="46"/>
        <v>-65000</v>
      </c>
      <c r="G263" s="26">
        <f t="shared" si="50"/>
        <v>-6792.4999999999955</v>
      </c>
      <c r="H263" s="27">
        <f t="shared" si="47"/>
        <v>16352.030906250007</v>
      </c>
      <c r="I263" s="31">
        <f t="shared" si="55"/>
        <v>-231.5625</v>
      </c>
      <c r="J263" s="20">
        <f t="shared" si="51"/>
        <v>-48095.937499999971</v>
      </c>
      <c r="K263" s="20">
        <f t="shared" si="54"/>
        <v>-16904.062499999985</v>
      </c>
    </row>
    <row r="264" spans="1:11" x14ac:dyDescent="0.3">
      <c r="A264" s="12">
        <v>42735</v>
      </c>
      <c r="B264" s="35">
        <v>-65000</v>
      </c>
      <c r="C264" s="35">
        <f t="shared" si="52"/>
        <v>6905.7083333333285</v>
      </c>
      <c r="D264" s="20">
        <f t="shared" si="48"/>
        <v>-58094.291666666672</v>
      </c>
      <c r="E264" s="47">
        <f t="shared" si="49"/>
        <v>16398.887320833339</v>
      </c>
      <c r="F264" s="25">
        <f t="shared" si="46"/>
        <v>-65000</v>
      </c>
      <c r="G264" s="26">
        <f t="shared" si="50"/>
        <v>-6905.7083333333285</v>
      </c>
      <c r="H264" s="27">
        <f t="shared" si="47"/>
        <v>16398.887320833339</v>
      </c>
      <c r="I264" s="31">
        <f t="shared" si="55"/>
        <v>-231.5625</v>
      </c>
      <c r="J264" s="20">
        <f t="shared" si="51"/>
        <v>-48327.499999999971</v>
      </c>
      <c r="K264" s="20">
        <f t="shared" si="54"/>
        <v>-16672.499999999985</v>
      </c>
    </row>
    <row r="265" spans="1:11" x14ac:dyDescent="0.3">
      <c r="A265" s="12">
        <v>42766</v>
      </c>
      <c r="B265" s="35">
        <v>-65000</v>
      </c>
      <c r="C265" s="35">
        <f t="shared" si="52"/>
        <v>7018.9166666666615</v>
      </c>
      <c r="D265" s="20">
        <f t="shared" si="48"/>
        <v>-57981.083333333336</v>
      </c>
      <c r="E265" s="47">
        <f t="shared" si="49"/>
        <v>16445.743735416672</v>
      </c>
      <c r="F265" s="25">
        <f>B265</f>
        <v>-65000</v>
      </c>
      <c r="G265" s="26">
        <f t="shared" si="50"/>
        <v>-7018.9166666666615</v>
      </c>
      <c r="H265" s="27">
        <f t="shared" si="47"/>
        <v>16445.743735416672</v>
      </c>
      <c r="I265" s="31">
        <f t="shared" si="55"/>
        <v>-231.5625</v>
      </c>
      <c r="J265" s="20">
        <f t="shared" si="51"/>
        <v>-48559.062499999971</v>
      </c>
      <c r="K265" s="20">
        <f t="shared" si="54"/>
        <v>-16440.937499999985</v>
      </c>
    </row>
    <row r="266" spans="1:11" x14ac:dyDescent="0.3">
      <c r="A266" s="12">
        <v>42794</v>
      </c>
      <c r="B266" s="35">
        <v>-65000</v>
      </c>
      <c r="C266" s="35">
        <f t="shared" si="52"/>
        <v>7132.1249999999945</v>
      </c>
      <c r="D266" s="20">
        <f t="shared" si="48"/>
        <v>-57867.875000000007</v>
      </c>
      <c r="E266" s="47">
        <f t="shared" si="49"/>
        <v>16492.600150000009</v>
      </c>
      <c r="F266" s="25">
        <f t="shared" si="46"/>
        <v>-65000</v>
      </c>
      <c r="G266" s="26">
        <f t="shared" si="50"/>
        <v>-7132.1249999999945</v>
      </c>
      <c r="H266" s="27">
        <f t="shared" si="47"/>
        <v>16492.600150000009</v>
      </c>
      <c r="I266" s="31">
        <f t="shared" si="55"/>
        <v>-231.5625</v>
      </c>
      <c r="J266" s="20">
        <f t="shared" si="51"/>
        <v>-48790.624999999971</v>
      </c>
      <c r="K266" s="20">
        <f t="shared" si="54"/>
        <v>-16209.374999999985</v>
      </c>
    </row>
    <row r="267" spans="1:11" x14ac:dyDescent="0.3">
      <c r="A267" s="12">
        <v>42825</v>
      </c>
      <c r="B267" s="35">
        <v>-65000</v>
      </c>
      <c r="C267" s="35">
        <f t="shared" si="52"/>
        <v>7245.3333333333276</v>
      </c>
      <c r="D267" s="20">
        <f t="shared" si="48"/>
        <v>-57754.666666666672</v>
      </c>
      <c r="E267" s="47">
        <f t="shared" si="49"/>
        <v>16539.456564583339</v>
      </c>
      <c r="F267" s="25">
        <f t="shared" si="46"/>
        <v>-65000</v>
      </c>
      <c r="G267" s="26">
        <f t="shared" si="50"/>
        <v>-7245.3333333333276</v>
      </c>
      <c r="H267" s="27">
        <f t="shared" si="47"/>
        <v>16539.456564583339</v>
      </c>
      <c r="I267" s="31">
        <f t="shared" si="55"/>
        <v>-231.5625</v>
      </c>
      <c r="J267" s="20">
        <f t="shared" si="51"/>
        <v>-49022.187499999971</v>
      </c>
      <c r="K267" s="20">
        <f t="shared" si="54"/>
        <v>-15977.812499999985</v>
      </c>
    </row>
    <row r="268" spans="1:11" x14ac:dyDescent="0.3">
      <c r="A268" s="12">
        <v>42855</v>
      </c>
      <c r="B268" s="35">
        <v>-65000</v>
      </c>
      <c r="C268" s="35">
        <f t="shared" si="52"/>
        <v>7358.5416666666606</v>
      </c>
      <c r="D268" s="20">
        <f t="shared" si="48"/>
        <v>-57641.458333333343</v>
      </c>
      <c r="E268" s="47">
        <f t="shared" si="49"/>
        <v>16586.312979166676</v>
      </c>
      <c r="F268" s="25">
        <f t="shared" ref="F268:F291" si="56">B268</f>
        <v>-65000</v>
      </c>
      <c r="G268" s="26">
        <f t="shared" si="50"/>
        <v>-7358.5416666666606</v>
      </c>
      <c r="H268" s="27">
        <f t="shared" ref="H268:H279" si="57">E268</f>
        <v>16586.312979166676</v>
      </c>
      <c r="I268" s="31">
        <f t="shared" si="55"/>
        <v>-231.5625</v>
      </c>
      <c r="J268" s="20">
        <f t="shared" si="51"/>
        <v>-49253.749999999971</v>
      </c>
      <c r="K268" s="20">
        <f t="shared" si="54"/>
        <v>-15746.249999999985</v>
      </c>
    </row>
    <row r="269" spans="1:11" x14ac:dyDescent="0.3">
      <c r="A269" s="12">
        <v>42886</v>
      </c>
      <c r="B269" s="35">
        <v>-65000</v>
      </c>
      <c r="C269" s="35">
        <f t="shared" si="52"/>
        <v>7471.7499999999936</v>
      </c>
      <c r="D269" s="20">
        <f t="shared" ref="D269:D280" si="58">+B269+C269</f>
        <v>-57528.250000000007</v>
      </c>
      <c r="E269" s="47">
        <f t="shared" ref="E269:E280" si="59">(-D269+K269)*0.3959</f>
        <v>16633.169393750006</v>
      </c>
      <c r="F269" s="25">
        <f t="shared" si="56"/>
        <v>-65000</v>
      </c>
      <c r="G269" s="26">
        <f t="shared" ref="G269:G280" si="60">-C269</f>
        <v>-7471.7499999999936</v>
      </c>
      <c r="H269" s="27">
        <f t="shared" si="57"/>
        <v>16633.169393750006</v>
      </c>
      <c r="I269" s="31">
        <f t="shared" si="55"/>
        <v>-231.5625</v>
      </c>
      <c r="J269" s="20">
        <f t="shared" ref="J269:J276" si="61">+I269+J268</f>
        <v>-49485.312499999971</v>
      </c>
      <c r="K269" s="20">
        <f t="shared" si="54"/>
        <v>-15514.687499999985</v>
      </c>
    </row>
    <row r="270" spans="1:11" x14ac:dyDescent="0.3">
      <c r="A270" s="12">
        <v>42916</v>
      </c>
      <c r="B270" s="35">
        <v>-65000</v>
      </c>
      <c r="C270" s="35">
        <f t="shared" ref="C270:C276" si="62">-B270*$C$5/12+C269</f>
        <v>7584.9583333333267</v>
      </c>
      <c r="D270" s="20">
        <f t="shared" si="58"/>
        <v>-57415.041666666672</v>
      </c>
      <c r="E270" s="47">
        <f t="shared" si="59"/>
        <v>16680.025808333339</v>
      </c>
      <c r="F270" s="25">
        <f t="shared" si="56"/>
        <v>-65000</v>
      </c>
      <c r="G270" s="26">
        <f t="shared" si="60"/>
        <v>-7584.9583333333267</v>
      </c>
      <c r="H270" s="27">
        <f t="shared" si="57"/>
        <v>16680.025808333339</v>
      </c>
      <c r="I270" s="31">
        <f t="shared" si="55"/>
        <v>-231.5625</v>
      </c>
      <c r="J270" s="20">
        <f t="shared" si="61"/>
        <v>-49716.874999999971</v>
      </c>
      <c r="K270" s="20">
        <f t="shared" ref="K270:K276" si="63">+K269-I270</f>
        <v>-15283.124999999985</v>
      </c>
    </row>
    <row r="271" spans="1:11" x14ac:dyDescent="0.3">
      <c r="A271" s="12">
        <v>42947</v>
      </c>
      <c r="B271" s="35">
        <v>-65000</v>
      </c>
      <c r="C271" s="35">
        <f t="shared" si="62"/>
        <v>7698.1666666666597</v>
      </c>
      <c r="D271" s="20">
        <f t="shared" si="58"/>
        <v>-57301.833333333343</v>
      </c>
      <c r="E271" s="47">
        <f t="shared" si="59"/>
        <v>16726.882222916676</v>
      </c>
      <c r="F271" s="25">
        <f t="shared" si="56"/>
        <v>-65000</v>
      </c>
      <c r="G271" s="26">
        <f t="shared" si="60"/>
        <v>-7698.1666666666597</v>
      </c>
      <c r="H271" s="27">
        <f t="shared" si="57"/>
        <v>16726.882222916676</v>
      </c>
      <c r="I271" s="31">
        <f t="shared" si="55"/>
        <v>-231.5625</v>
      </c>
      <c r="J271" s="20">
        <f t="shared" si="61"/>
        <v>-49948.437499999971</v>
      </c>
      <c r="K271" s="20">
        <f t="shared" si="63"/>
        <v>-15051.562499999985</v>
      </c>
    </row>
    <row r="272" spans="1:11" x14ac:dyDescent="0.3">
      <c r="A272" s="12">
        <v>42978</v>
      </c>
      <c r="B272" s="35">
        <v>-65000</v>
      </c>
      <c r="C272" s="35">
        <f t="shared" si="62"/>
        <v>7811.3749999999927</v>
      </c>
      <c r="D272" s="20">
        <f t="shared" si="58"/>
        <v>-57188.625000000007</v>
      </c>
      <c r="E272" s="47">
        <f t="shared" si="59"/>
        <v>16773.738637500006</v>
      </c>
      <c r="F272" s="25">
        <f t="shared" si="56"/>
        <v>-65000</v>
      </c>
      <c r="G272" s="26">
        <f t="shared" si="60"/>
        <v>-7811.3749999999927</v>
      </c>
      <c r="H272" s="27">
        <f t="shared" si="57"/>
        <v>16773.738637500006</v>
      </c>
      <c r="I272" s="31">
        <f t="shared" si="55"/>
        <v>-231.5625</v>
      </c>
      <c r="J272" s="20">
        <f t="shared" si="61"/>
        <v>-50179.999999999971</v>
      </c>
      <c r="K272" s="20">
        <f t="shared" si="63"/>
        <v>-14819.999999999985</v>
      </c>
    </row>
    <row r="273" spans="1:11" x14ac:dyDescent="0.3">
      <c r="A273" s="12">
        <v>43008</v>
      </c>
      <c r="B273" s="35">
        <v>-65000</v>
      </c>
      <c r="C273" s="35">
        <f t="shared" si="62"/>
        <v>7924.5833333333258</v>
      </c>
      <c r="D273" s="20">
        <f t="shared" si="58"/>
        <v>-57075.416666666672</v>
      </c>
      <c r="E273" s="47">
        <f t="shared" si="59"/>
        <v>16820.595052083339</v>
      </c>
      <c r="F273" s="25">
        <f t="shared" si="56"/>
        <v>-65000</v>
      </c>
      <c r="G273" s="26">
        <f t="shared" si="60"/>
        <v>-7924.5833333333258</v>
      </c>
      <c r="H273" s="27">
        <f t="shared" si="57"/>
        <v>16820.595052083339</v>
      </c>
      <c r="I273" s="31">
        <f t="shared" si="55"/>
        <v>-231.5625</v>
      </c>
      <c r="J273" s="20">
        <f t="shared" si="61"/>
        <v>-50411.562499999971</v>
      </c>
      <c r="K273" s="20">
        <f t="shared" si="63"/>
        <v>-14588.437499999985</v>
      </c>
    </row>
    <row r="274" spans="1:11" x14ac:dyDescent="0.3">
      <c r="A274" s="12">
        <v>43039</v>
      </c>
      <c r="B274" s="35">
        <v>-65000</v>
      </c>
      <c r="C274" s="35">
        <f t="shared" si="62"/>
        <v>8037.7916666666588</v>
      </c>
      <c r="D274" s="20">
        <f t="shared" si="58"/>
        <v>-56962.208333333343</v>
      </c>
      <c r="E274" s="47">
        <f t="shared" si="59"/>
        <v>16867.451466666676</v>
      </c>
      <c r="F274" s="25">
        <f t="shared" si="56"/>
        <v>-65000</v>
      </c>
      <c r="G274" s="26">
        <f t="shared" si="60"/>
        <v>-8037.7916666666588</v>
      </c>
      <c r="H274" s="27">
        <f t="shared" si="57"/>
        <v>16867.451466666676</v>
      </c>
      <c r="I274" s="31">
        <f t="shared" si="55"/>
        <v>-231.5625</v>
      </c>
      <c r="J274" s="20">
        <f t="shared" si="61"/>
        <v>-50643.124999999971</v>
      </c>
      <c r="K274" s="20">
        <f t="shared" si="63"/>
        <v>-14356.874999999985</v>
      </c>
    </row>
    <row r="275" spans="1:11" x14ac:dyDescent="0.3">
      <c r="A275" s="12">
        <v>43069</v>
      </c>
      <c r="B275" s="35">
        <v>-65000</v>
      </c>
      <c r="C275" s="35">
        <f t="shared" si="62"/>
        <v>8150.9999999999918</v>
      </c>
      <c r="D275" s="20">
        <f t="shared" si="58"/>
        <v>-56849.000000000007</v>
      </c>
      <c r="E275" s="47">
        <f t="shared" si="59"/>
        <v>16914.307881250006</v>
      </c>
      <c r="F275" s="25">
        <f t="shared" si="56"/>
        <v>-65000</v>
      </c>
      <c r="G275" s="26">
        <f t="shared" si="60"/>
        <v>-8150.9999999999918</v>
      </c>
      <c r="H275" s="27">
        <f t="shared" si="57"/>
        <v>16914.307881250006</v>
      </c>
      <c r="I275" s="31">
        <f t="shared" si="55"/>
        <v>-231.5625</v>
      </c>
      <c r="J275" s="20">
        <f t="shared" si="61"/>
        <v>-50874.687499999971</v>
      </c>
      <c r="K275" s="20">
        <f t="shared" si="63"/>
        <v>-14125.312499999985</v>
      </c>
    </row>
    <row r="276" spans="1:11" x14ac:dyDescent="0.3">
      <c r="A276" s="12">
        <v>43100</v>
      </c>
      <c r="B276" s="35">
        <v>-65000</v>
      </c>
      <c r="C276" s="35">
        <f t="shared" si="62"/>
        <v>8264.2083333333248</v>
      </c>
      <c r="D276" s="20">
        <f t="shared" si="58"/>
        <v>-56735.791666666672</v>
      </c>
      <c r="E276" s="47">
        <f t="shared" si="59"/>
        <v>16961.16429583334</v>
      </c>
      <c r="F276" s="25">
        <f t="shared" si="56"/>
        <v>-65000</v>
      </c>
      <c r="G276" s="26">
        <f t="shared" si="60"/>
        <v>-8264.2083333333248</v>
      </c>
      <c r="H276" s="27">
        <f t="shared" si="57"/>
        <v>16961.16429583334</v>
      </c>
      <c r="I276" s="31">
        <f t="shared" si="55"/>
        <v>-231.5625</v>
      </c>
      <c r="J276" s="20">
        <f t="shared" si="61"/>
        <v>-51106.249999999971</v>
      </c>
      <c r="K276" s="20">
        <f t="shared" si="63"/>
        <v>-13893.749999999985</v>
      </c>
    </row>
    <row r="277" spans="1:11" x14ac:dyDescent="0.3">
      <c r="B277" s="35"/>
    </row>
    <row r="278" spans="1:11" x14ac:dyDescent="0.3">
      <c r="A278" t="s">
        <v>19</v>
      </c>
      <c r="B278" s="35"/>
      <c r="C278" s="55">
        <f>+C129*12+C204*12+C46*12</f>
        <v>49257.289125412513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6"/>
  <sheetViews>
    <sheetView tabSelected="1" topLeftCell="A37" zoomScale="85" zoomScaleNormal="85" workbookViewId="0">
      <selection activeCell="D66" sqref="D66"/>
    </sheetView>
  </sheetViews>
  <sheetFormatPr defaultColWidth="8.88671875" defaultRowHeight="14.4" x14ac:dyDescent="0.3"/>
  <cols>
    <col min="1" max="1" width="4.88671875" customWidth="1"/>
    <col min="2" max="2" width="3.88671875" customWidth="1"/>
    <col min="3" max="3" width="20.88671875" customWidth="1"/>
    <col min="4" max="4" width="32.88671875" customWidth="1"/>
    <col min="6" max="6" width="19" style="19" customWidth="1"/>
    <col min="7" max="7" width="5.33203125" style="39" customWidth="1"/>
    <col min="8" max="8" width="19" style="19" customWidth="1"/>
    <col min="9" max="9" width="5.33203125" style="39" customWidth="1"/>
    <col min="10" max="10" width="19" style="19" customWidth="1"/>
    <col min="11" max="11" width="5.33203125" style="39" customWidth="1"/>
    <col min="12" max="12" width="19" style="19" customWidth="1"/>
    <col min="13" max="13" width="5.33203125" style="39" customWidth="1"/>
    <col min="14" max="14" width="19" style="19" customWidth="1"/>
    <col min="15" max="15" width="5.33203125" style="39" customWidth="1"/>
    <col min="16" max="16" width="19" style="19" customWidth="1"/>
    <col min="17" max="17" width="17.6640625" customWidth="1"/>
    <col min="18" max="18" width="22.109375" bestFit="1" customWidth="1"/>
    <col min="19" max="19" width="9.6640625" bestFit="1" customWidth="1"/>
    <col min="20" max="20" width="27.6640625" customWidth="1"/>
    <col min="21" max="32" width="16.5546875" bestFit="1" customWidth="1"/>
  </cols>
  <sheetData>
    <row r="1" spans="1:32" x14ac:dyDescent="0.3">
      <c r="A1" s="2" t="s">
        <v>0</v>
      </c>
    </row>
    <row r="2" spans="1:32" x14ac:dyDescent="0.3">
      <c r="A2" s="2" t="s">
        <v>28</v>
      </c>
    </row>
    <row r="5" spans="1:32" x14ac:dyDescent="0.3">
      <c r="B5" s="56" t="s">
        <v>29</v>
      </c>
      <c r="C5" t="s">
        <v>30</v>
      </c>
    </row>
    <row r="7" spans="1:32" ht="15" thickBot="1" x14ac:dyDescent="0.35"/>
    <row r="8" spans="1:32" x14ac:dyDescent="0.3">
      <c r="B8" s="57" t="s">
        <v>31</v>
      </c>
      <c r="C8" s="58"/>
      <c r="D8" s="58"/>
      <c r="E8" s="58"/>
      <c r="F8" s="59"/>
      <c r="G8" s="60"/>
      <c r="H8" s="59"/>
      <c r="I8" s="60"/>
      <c r="J8" s="59"/>
      <c r="K8" s="60"/>
      <c r="L8" s="59"/>
      <c r="M8" s="60"/>
      <c r="N8" s="59"/>
      <c r="O8" s="60"/>
      <c r="P8" s="59"/>
      <c r="Q8" s="58"/>
      <c r="R8" s="61"/>
    </row>
    <row r="9" spans="1:32" x14ac:dyDescent="0.3">
      <c r="B9" s="62"/>
      <c r="C9" s="63" t="s">
        <v>32</v>
      </c>
      <c r="D9" s="17"/>
      <c r="E9" s="17"/>
      <c r="F9" s="64"/>
      <c r="G9" s="65"/>
      <c r="H9" s="64"/>
      <c r="I9" s="65"/>
      <c r="J9" s="64"/>
      <c r="K9" s="65"/>
      <c r="L9" s="64"/>
      <c r="M9" s="65"/>
      <c r="N9" s="64"/>
      <c r="O9" s="65"/>
      <c r="P9" s="64"/>
      <c r="Q9" s="17"/>
      <c r="R9" s="66"/>
    </row>
    <row r="10" spans="1:32" x14ac:dyDescent="0.3">
      <c r="B10" s="62"/>
      <c r="C10" s="67" t="s">
        <v>33</v>
      </c>
      <c r="D10" s="67" t="s">
        <v>34</v>
      </c>
      <c r="E10" s="67"/>
      <c r="F10" s="68" t="s">
        <v>35</v>
      </c>
      <c r="G10" s="69"/>
      <c r="H10" s="68" t="s">
        <v>36</v>
      </c>
      <c r="I10" s="69"/>
      <c r="J10" s="68" t="s">
        <v>37</v>
      </c>
      <c r="K10" s="69"/>
      <c r="L10" s="68" t="s">
        <v>38</v>
      </c>
      <c r="M10" s="69"/>
      <c r="N10" s="68" t="s">
        <v>39</v>
      </c>
      <c r="O10" s="69"/>
      <c r="P10" s="68" t="s">
        <v>40</v>
      </c>
      <c r="Q10" s="17"/>
      <c r="R10" s="66"/>
      <c r="T10" s="19"/>
      <c r="AE10" s="19"/>
      <c r="AF10" s="19"/>
    </row>
    <row r="11" spans="1:32" x14ac:dyDescent="0.3">
      <c r="B11" s="62"/>
      <c r="C11" s="17" t="s">
        <v>41</v>
      </c>
      <c r="D11" s="17" t="s">
        <v>42</v>
      </c>
      <c r="E11" s="17">
        <v>2016</v>
      </c>
      <c r="F11" s="65">
        <f>+'[1]Schedule 1 - Plant'!F19</f>
        <v>836742637</v>
      </c>
      <c r="G11" s="65"/>
      <c r="H11" s="13">
        <v>-2356808.092125</v>
      </c>
      <c r="I11" s="65"/>
      <c r="J11" s="13">
        <f>+'[1]Schedule 13 Direct Assignment'!M23</f>
        <v>53529540.813802592</v>
      </c>
      <c r="K11" s="65"/>
      <c r="L11" s="65">
        <f>+F11+H11-J11</f>
        <v>780856288.09407234</v>
      </c>
      <c r="M11" s="65"/>
      <c r="N11" s="65">
        <f>+'[1]Schedule 1 - Plant'!L7</f>
        <v>710286341.7840724</v>
      </c>
      <c r="O11" s="65"/>
      <c r="P11" s="65">
        <f>+L11-N11</f>
        <v>70569946.309999943</v>
      </c>
      <c r="Q11" s="17"/>
      <c r="R11" s="66"/>
      <c r="T11" s="20"/>
    </row>
    <row r="12" spans="1:32" x14ac:dyDescent="0.3">
      <c r="B12" s="62"/>
      <c r="C12" s="17" t="s">
        <v>43</v>
      </c>
      <c r="D12" s="17" t="s">
        <v>44</v>
      </c>
      <c r="E12" s="17">
        <v>2017</v>
      </c>
      <c r="F12" s="13">
        <v>837286157.47000039</v>
      </c>
      <c r="G12" s="65"/>
      <c r="H12" s="13">
        <v>-2356808.092125</v>
      </c>
      <c r="I12" s="65"/>
      <c r="J12" s="13">
        <f>J11</f>
        <v>53529540.813802592</v>
      </c>
      <c r="K12" s="65"/>
      <c r="L12" s="65">
        <f t="shared" ref="L12:L23" si="0">+F12+H12-J12</f>
        <v>781399808.56407273</v>
      </c>
      <c r="M12" s="65"/>
      <c r="N12" s="65">
        <f>+'[1]Schedule 1 - Plant'!L8</f>
        <v>711312022.21407342</v>
      </c>
      <c r="O12" s="65"/>
      <c r="P12" s="65">
        <f t="shared" ref="P12:P23" si="1">+L12-N12</f>
        <v>70087786.349999309</v>
      </c>
      <c r="Q12" s="17"/>
      <c r="R12" s="66"/>
      <c r="T12" s="20"/>
    </row>
    <row r="13" spans="1:32" x14ac:dyDescent="0.3">
      <c r="B13" s="62"/>
      <c r="C13" s="17" t="s">
        <v>45</v>
      </c>
      <c r="D13" s="17" t="s">
        <v>44</v>
      </c>
      <c r="E13" s="17">
        <v>2017</v>
      </c>
      <c r="F13" s="13">
        <v>838701573.50000095</v>
      </c>
      <c r="G13" s="65"/>
      <c r="H13" s="13">
        <v>-2356808.092125</v>
      </c>
      <c r="I13" s="65"/>
      <c r="J13" s="13">
        <f t="shared" ref="J13:J23" si="2">J12</f>
        <v>53529540.813802592</v>
      </c>
      <c r="K13" s="65"/>
      <c r="L13" s="65">
        <f t="shared" si="0"/>
        <v>782815224.5940733</v>
      </c>
      <c r="M13" s="65"/>
      <c r="N13" s="65">
        <f>+'[1]Schedule 1 - Plant'!L9</f>
        <v>711628363.31407368</v>
      </c>
      <c r="O13" s="65"/>
      <c r="P13" s="65">
        <f t="shared" si="1"/>
        <v>71186861.279999614</v>
      </c>
      <c r="Q13" s="17"/>
      <c r="R13" s="66"/>
      <c r="T13" s="20"/>
      <c r="X13" s="19"/>
    </row>
    <row r="14" spans="1:32" x14ac:dyDescent="0.3">
      <c r="B14" s="62"/>
      <c r="C14" s="17" t="s">
        <v>46</v>
      </c>
      <c r="D14" s="17" t="s">
        <v>44</v>
      </c>
      <c r="E14" s="17">
        <v>2017</v>
      </c>
      <c r="F14" s="13">
        <v>841541572.85000157</v>
      </c>
      <c r="G14" s="65"/>
      <c r="H14" s="13">
        <v>-2356808.092125</v>
      </c>
      <c r="I14" s="65"/>
      <c r="J14" s="13">
        <f t="shared" si="2"/>
        <v>53529540.813802592</v>
      </c>
      <c r="K14" s="65"/>
      <c r="L14" s="65">
        <f t="shared" si="0"/>
        <v>785655223.94407392</v>
      </c>
      <c r="M14" s="65"/>
      <c r="N14" s="65">
        <f>+'[1]Schedule 1 - Plant'!L10</f>
        <v>711330255.23407388</v>
      </c>
      <c r="O14" s="65"/>
      <c r="P14" s="65">
        <f t="shared" si="1"/>
        <v>74324968.710000038</v>
      </c>
      <c r="Q14" s="17"/>
      <c r="R14" s="66"/>
      <c r="T14" s="20"/>
    </row>
    <row r="15" spans="1:32" x14ac:dyDescent="0.3">
      <c r="B15" s="62"/>
      <c r="C15" s="17" t="s">
        <v>47</v>
      </c>
      <c r="D15" s="17" t="s">
        <v>44</v>
      </c>
      <c r="E15" s="17">
        <v>2017</v>
      </c>
      <c r="F15" s="13">
        <v>846299162.60809684</v>
      </c>
      <c r="G15" s="65"/>
      <c r="H15" s="13">
        <v>-2356808.092125</v>
      </c>
      <c r="I15" s="65"/>
      <c r="J15" s="13">
        <f t="shared" si="2"/>
        <v>53529540.813802592</v>
      </c>
      <c r="K15" s="65"/>
      <c r="L15" s="65">
        <f t="shared" si="0"/>
        <v>790412813.70216918</v>
      </c>
      <c r="M15" s="65"/>
      <c r="N15" s="65">
        <f>+'[1]Schedule 1 - Plant'!L11</f>
        <v>719653752.99407518</v>
      </c>
      <c r="O15" s="65"/>
      <c r="P15" s="65">
        <f t="shared" si="1"/>
        <v>70759060.708094001</v>
      </c>
      <c r="Q15" s="17"/>
      <c r="R15" s="66"/>
      <c r="T15" s="20"/>
    </row>
    <row r="16" spans="1:32" x14ac:dyDescent="0.3">
      <c r="B16" s="62"/>
      <c r="C16" s="17" t="s">
        <v>48</v>
      </c>
      <c r="D16" s="17" t="s">
        <v>44</v>
      </c>
      <c r="E16" s="17">
        <v>2017</v>
      </c>
      <c r="F16" s="13">
        <v>848871540.71765411</v>
      </c>
      <c r="G16" s="65"/>
      <c r="H16" s="13">
        <v>-2356808.092125</v>
      </c>
      <c r="I16" s="65"/>
      <c r="J16" s="13">
        <f t="shared" si="2"/>
        <v>53529540.813802592</v>
      </c>
      <c r="K16" s="65"/>
      <c r="L16" s="65">
        <f t="shared" si="0"/>
        <v>792985191.81172645</v>
      </c>
      <c r="M16" s="65"/>
      <c r="N16" s="65">
        <f>+'[1]Schedule 1 - Plant'!L12</f>
        <v>719810435.14407468</v>
      </c>
      <c r="O16" s="65"/>
      <c r="P16" s="65">
        <f t="shared" si="1"/>
        <v>73174756.667651772</v>
      </c>
      <c r="Q16" s="17"/>
      <c r="R16" s="66"/>
      <c r="T16" s="20"/>
    </row>
    <row r="17" spans="2:20" x14ac:dyDescent="0.3">
      <c r="B17" s="62"/>
      <c r="C17" s="17" t="s">
        <v>49</v>
      </c>
      <c r="D17" s="17" t="s">
        <v>44</v>
      </c>
      <c r="E17" s="17">
        <v>2017</v>
      </c>
      <c r="F17" s="13">
        <v>866544700.45893312</v>
      </c>
      <c r="G17" s="65"/>
      <c r="H17" s="13">
        <v>-2356808.092125</v>
      </c>
      <c r="I17" s="65"/>
      <c r="J17" s="13">
        <f t="shared" si="2"/>
        <v>53529540.813802592</v>
      </c>
      <c r="K17" s="65"/>
      <c r="L17" s="65">
        <f t="shared" si="0"/>
        <v>810658351.55300546</v>
      </c>
      <c r="M17" s="65"/>
      <c r="N17" s="65">
        <f>+'[1]Schedule 1 - Plant'!L13</f>
        <v>753649288.7840724</v>
      </c>
      <c r="O17" s="65"/>
      <c r="P17" s="65">
        <f t="shared" si="1"/>
        <v>57009062.768933058</v>
      </c>
      <c r="Q17" s="17"/>
      <c r="R17" s="66"/>
      <c r="T17" s="20"/>
    </row>
    <row r="18" spans="2:20" x14ac:dyDescent="0.3">
      <c r="B18" s="62"/>
      <c r="C18" s="17" t="s">
        <v>50</v>
      </c>
      <c r="D18" s="17" t="s">
        <v>44</v>
      </c>
      <c r="E18" s="17">
        <v>2017</v>
      </c>
      <c r="F18" s="13">
        <v>878461785.49423015</v>
      </c>
      <c r="G18" s="65"/>
      <c r="H18" s="13">
        <v>-2356808.092125</v>
      </c>
      <c r="I18" s="65"/>
      <c r="J18" s="13">
        <f t="shared" si="2"/>
        <v>53529540.813802592</v>
      </c>
      <c r="K18" s="65"/>
      <c r="L18" s="65">
        <f t="shared" si="0"/>
        <v>822575436.58830249</v>
      </c>
      <c r="M18" s="65"/>
      <c r="N18" s="65">
        <f>+'[1]Schedule 1 - Plant'!L14</f>
        <v>756487249.43407238</v>
      </c>
      <c r="O18" s="65"/>
      <c r="P18" s="65">
        <f t="shared" si="1"/>
        <v>66088187.154230118</v>
      </c>
      <c r="Q18" s="17"/>
      <c r="R18" s="66"/>
      <c r="T18" s="20"/>
    </row>
    <row r="19" spans="2:20" x14ac:dyDescent="0.3">
      <c r="B19" s="62"/>
      <c r="C19" s="17" t="s">
        <v>51</v>
      </c>
      <c r="D19" s="17" t="s">
        <v>44</v>
      </c>
      <c r="E19" s="17">
        <v>2017</v>
      </c>
      <c r="F19" s="13">
        <v>881716100.31391585</v>
      </c>
      <c r="G19" s="65"/>
      <c r="H19" s="13">
        <v>-2356808.092125</v>
      </c>
      <c r="I19" s="65"/>
      <c r="J19" s="13">
        <f t="shared" si="2"/>
        <v>53529540.813802592</v>
      </c>
      <c r="K19" s="65"/>
      <c r="L19" s="65">
        <f t="shared" si="0"/>
        <v>825829751.40798819</v>
      </c>
      <c r="M19" s="65"/>
      <c r="N19" s="65">
        <f>+'[1]Schedule 1 - Plant'!L15</f>
        <v>760503493.59407318</v>
      </c>
      <c r="O19" s="65"/>
      <c r="P19" s="65">
        <f t="shared" si="1"/>
        <v>65326257.813915014</v>
      </c>
      <c r="Q19" s="17"/>
      <c r="R19" s="66"/>
      <c r="T19" s="20"/>
    </row>
    <row r="20" spans="2:20" x14ac:dyDescent="0.3">
      <c r="B20" s="62"/>
      <c r="C20" s="17" t="s">
        <v>52</v>
      </c>
      <c r="D20" s="17" t="s">
        <v>44</v>
      </c>
      <c r="E20" s="17">
        <v>2017</v>
      </c>
      <c r="F20" s="13">
        <v>883968108.9815284</v>
      </c>
      <c r="G20" s="65"/>
      <c r="H20" s="13">
        <v>-2356808.092125</v>
      </c>
      <c r="I20" s="65"/>
      <c r="J20" s="13">
        <f t="shared" si="2"/>
        <v>53529540.813802592</v>
      </c>
      <c r="K20" s="65"/>
      <c r="L20" s="65">
        <f t="shared" si="0"/>
        <v>828081760.07560074</v>
      </c>
      <c r="M20" s="65"/>
      <c r="N20" s="65">
        <f>+'[1]Schedule 1 - Plant'!L16</f>
        <v>762813142.7840724</v>
      </c>
      <c r="O20" s="65"/>
      <c r="P20" s="65">
        <f t="shared" si="1"/>
        <v>65268617.291528344</v>
      </c>
      <c r="Q20" s="17"/>
      <c r="R20" s="66"/>
      <c r="T20" s="20"/>
    </row>
    <row r="21" spans="2:20" x14ac:dyDescent="0.3">
      <c r="B21" s="62"/>
      <c r="C21" s="17" t="s">
        <v>53</v>
      </c>
      <c r="D21" s="17" t="s">
        <v>44</v>
      </c>
      <c r="E21" s="17">
        <v>2017</v>
      </c>
      <c r="F21" s="13">
        <v>897977116.61916709</v>
      </c>
      <c r="G21" s="65"/>
      <c r="H21" s="13">
        <v>-2356808.092125</v>
      </c>
      <c r="I21" s="65"/>
      <c r="J21" s="13">
        <f t="shared" si="2"/>
        <v>53529540.813802592</v>
      </c>
      <c r="K21" s="65"/>
      <c r="L21" s="65">
        <f t="shared" si="0"/>
        <v>842090767.71323943</v>
      </c>
      <c r="M21" s="65"/>
      <c r="N21" s="65">
        <f>+'[1]Schedule 1 - Plant'!L17</f>
        <v>764123641.9740715</v>
      </c>
      <c r="O21" s="65"/>
      <c r="P21" s="65">
        <f t="shared" si="1"/>
        <v>77967125.739167929</v>
      </c>
      <c r="Q21" s="17"/>
      <c r="R21" s="66"/>
      <c r="T21" s="20"/>
    </row>
    <row r="22" spans="2:20" x14ac:dyDescent="0.3">
      <c r="B22" s="62"/>
      <c r="C22" s="17" t="s">
        <v>54</v>
      </c>
      <c r="D22" s="17" t="s">
        <v>44</v>
      </c>
      <c r="E22" s="17">
        <v>2017</v>
      </c>
      <c r="F22" s="13">
        <v>901009523.52002764</v>
      </c>
      <c r="G22" s="65"/>
      <c r="H22" s="13">
        <v>-2356808.092125</v>
      </c>
      <c r="I22" s="65"/>
      <c r="J22" s="13">
        <f t="shared" si="2"/>
        <v>53529540.813802592</v>
      </c>
      <c r="K22" s="65"/>
      <c r="L22" s="65">
        <f t="shared" si="0"/>
        <v>845123174.61409998</v>
      </c>
      <c r="M22" s="65"/>
      <c r="N22" s="65">
        <f>+'[1]Schedule 1 - Plant'!L18</f>
        <v>764680967.29407036</v>
      </c>
      <c r="O22" s="65"/>
      <c r="P22" s="65">
        <f t="shared" si="1"/>
        <v>80442207.320029616</v>
      </c>
      <c r="Q22" s="17"/>
      <c r="R22" s="66"/>
      <c r="T22" s="20"/>
    </row>
    <row r="23" spans="2:20" x14ac:dyDescent="0.3">
      <c r="B23" s="62"/>
      <c r="C23" s="17" t="s">
        <v>41</v>
      </c>
      <c r="D23" s="17" t="s">
        <v>44</v>
      </c>
      <c r="E23" s="17">
        <v>2017</v>
      </c>
      <c r="F23" s="13">
        <v>921260351.96220517</v>
      </c>
      <c r="G23" s="70"/>
      <c r="H23" s="13">
        <v>-2356808.092125</v>
      </c>
      <c r="I23" s="70"/>
      <c r="J23" s="71">
        <f t="shared" si="2"/>
        <v>53529540.813802592</v>
      </c>
      <c r="K23" s="70"/>
      <c r="L23" s="65">
        <f t="shared" si="0"/>
        <v>865374003.05627751</v>
      </c>
      <c r="M23" s="70"/>
      <c r="N23" s="70">
        <f>+'[1]Schedule 1 - Plant'!L19</f>
        <v>780856288.09407234</v>
      </c>
      <c r="O23" s="70"/>
      <c r="P23" s="65">
        <f t="shared" si="1"/>
        <v>84517714.962205172</v>
      </c>
      <c r="Q23" s="17"/>
      <c r="R23" s="66"/>
    </row>
    <row r="24" spans="2:20" x14ac:dyDescent="0.3">
      <c r="B24" s="62"/>
      <c r="C24" s="63" t="s">
        <v>55</v>
      </c>
      <c r="D24" s="17"/>
      <c r="E24" s="17"/>
      <c r="F24" s="72">
        <f>AVERAGE(F11:F23)</f>
        <v>867721563.9612124</v>
      </c>
      <c r="G24" s="65"/>
      <c r="H24" s="72">
        <f>AVERAGE(H11:H23)</f>
        <v>-2356808.0921249995</v>
      </c>
      <c r="I24" s="65"/>
      <c r="J24" s="72">
        <f>AVERAGE(J11:J23)</f>
        <v>53529540.813802592</v>
      </c>
      <c r="K24" s="65"/>
      <c r="L24" s="72">
        <f>AVERAGE(L11:L23)</f>
        <v>811835215.05528474</v>
      </c>
      <c r="M24" s="65"/>
      <c r="N24" s="64">
        <f>AVERAGE(N11:N23)</f>
        <v>740548864.81868827</v>
      </c>
      <c r="O24" s="65"/>
      <c r="P24" s="72">
        <f>AVERAGE(P11:P23)</f>
        <v>71286350.23659645</v>
      </c>
      <c r="Q24" s="17" t="s">
        <v>56</v>
      </c>
      <c r="R24" s="66"/>
    </row>
    <row r="25" spans="2:20" ht="15" thickBot="1" x14ac:dyDescent="0.35">
      <c r="B25" s="73"/>
      <c r="C25" s="74"/>
      <c r="D25" s="74"/>
      <c r="E25" s="74"/>
      <c r="F25" s="75"/>
      <c r="G25" s="76"/>
      <c r="H25" s="75"/>
      <c r="I25" s="76"/>
      <c r="J25" s="75"/>
      <c r="K25" s="76"/>
      <c r="L25" s="75"/>
      <c r="M25" s="76"/>
      <c r="N25" s="75"/>
      <c r="O25" s="76"/>
      <c r="P25" s="75"/>
      <c r="Q25" s="74"/>
      <c r="R25" s="77"/>
    </row>
    <row r="26" spans="2:20" x14ac:dyDescent="0.3">
      <c r="B26" s="17"/>
      <c r="C26" s="17"/>
      <c r="D26" s="17"/>
      <c r="E26" s="17"/>
      <c r="F26" s="64"/>
      <c r="G26" s="65"/>
      <c r="H26" s="64"/>
      <c r="I26" s="65"/>
      <c r="J26" s="64"/>
      <c r="K26" s="65"/>
      <c r="L26" s="64"/>
      <c r="M26" s="65"/>
      <c r="N26" s="64"/>
      <c r="O26" s="65"/>
      <c r="P26" s="64"/>
      <c r="Q26" s="17"/>
      <c r="R26" s="17"/>
    </row>
    <row r="27" spans="2:20" x14ac:dyDescent="0.3">
      <c r="B27" s="78" t="s">
        <v>57</v>
      </c>
      <c r="C27" s="17" t="s">
        <v>58</v>
      </c>
      <c r="D27" s="17"/>
      <c r="E27" s="17"/>
      <c r="F27" s="64"/>
      <c r="G27" s="65"/>
      <c r="H27" s="64"/>
      <c r="I27" s="65"/>
      <c r="J27" s="64"/>
      <c r="K27" s="65"/>
      <c r="L27" s="64"/>
      <c r="M27" s="65"/>
      <c r="N27" s="64"/>
      <c r="O27" s="65"/>
      <c r="P27" s="64"/>
      <c r="Q27" s="17"/>
      <c r="R27" s="17"/>
    </row>
    <row r="28" spans="2:20" ht="15" thickBot="1" x14ac:dyDescent="0.35"/>
    <row r="29" spans="2:20" x14ac:dyDescent="0.3">
      <c r="B29" s="57" t="s">
        <v>59</v>
      </c>
      <c r="C29" s="58"/>
      <c r="D29" s="58"/>
      <c r="E29" s="58"/>
      <c r="F29" s="59"/>
      <c r="G29" s="60"/>
      <c r="H29" s="59"/>
      <c r="I29" s="60"/>
      <c r="J29" s="59"/>
      <c r="K29" s="60"/>
      <c r="L29" s="59"/>
      <c r="M29" s="60"/>
      <c r="N29" s="59"/>
      <c r="O29" s="60"/>
      <c r="P29" s="59"/>
      <c r="Q29" s="58"/>
      <c r="R29" s="61"/>
    </row>
    <row r="30" spans="2:20" x14ac:dyDescent="0.3">
      <c r="B30" s="62"/>
      <c r="C30" s="63" t="s">
        <v>60</v>
      </c>
      <c r="D30" s="17"/>
      <c r="E30" s="17"/>
      <c r="F30" s="64"/>
      <c r="G30" s="65"/>
      <c r="H30" s="64"/>
      <c r="I30" s="65"/>
      <c r="J30" s="64"/>
      <c r="K30" s="65"/>
      <c r="L30" s="64"/>
      <c r="M30" s="65"/>
      <c r="N30" s="64"/>
      <c r="O30" s="65"/>
      <c r="P30" s="64"/>
      <c r="Q30" s="17"/>
      <c r="R30" s="66"/>
      <c r="T30" s="19"/>
    </row>
    <row r="31" spans="2:20" x14ac:dyDescent="0.3">
      <c r="B31" s="62"/>
      <c r="C31" s="67" t="s">
        <v>33</v>
      </c>
      <c r="D31" s="67" t="s">
        <v>34</v>
      </c>
      <c r="E31" s="67"/>
      <c r="F31" s="68" t="s">
        <v>35</v>
      </c>
      <c r="G31" s="69"/>
      <c r="H31" s="68" t="s">
        <v>36</v>
      </c>
      <c r="I31" s="69"/>
      <c r="J31" s="68" t="s">
        <v>37</v>
      </c>
      <c r="K31" s="69"/>
      <c r="L31" s="68" t="s">
        <v>38</v>
      </c>
      <c r="M31" s="69"/>
      <c r="N31" s="68" t="s">
        <v>39</v>
      </c>
      <c r="O31" s="69"/>
      <c r="P31" s="68" t="s">
        <v>40</v>
      </c>
      <c r="Q31" s="17"/>
      <c r="R31" s="66"/>
      <c r="T31" s="20"/>
    </row>
    <row r="32" spans="2:20" x14ac:dyDescent="0.3">
      <c r="B32" s="62"/>
      <c r="C32" s="17" t="s">
        <v>41</v>
      </c>
      <c r="D32" s="17" t="s">
        <v>61</v>
      </c>
      <c r="E32" s="17">
        <v>2016</v>
      </c>
      <c r="F32" s="65">
        <f>+'[1]Schedule 1 - Plant'!F111</f>
        <v>326533647</v>
      </c>
      <c r="G32" s="65"/>
      <c r="H32" s="13">
        <v>2060630.1473984518</v>
      </c>
      <c r="I32" s="65"/>
      <c r="J32" s="13">
        <f>-'[1]Schedule 13 Direct Assignment'!M43</f>
        <v>24142135.693322428</v>
      </c>
      <c r="K32" s="65"/>
      <c r="L32" s="65">
        <f>+F32+H32-J32</f>
        <v>304452141.45407605</v>
      </c>
      <c r="M32" s="65"/>
      <c r="N32" s="65">
        <f>+'[1]Schedule 1 - Plant'!L99</f>
        <v>294687073.06686872</v>
      </c>
      <c r="O32" s="65"/>
      <c r="P32" s="65">
        <f>+L32-N32</f>
        <v>9765068.3872073293</v>
      </c>
      <c r="Q32" s="17"/>
      <c r="R32" s="66"/>
      <c r="T32" s="20"/>
    </row>
    <row r="33" spans="2:24" x14ac:dyDescent="0.3">
      <c r="B33" s="62"/>
      <c r="C33" s="17" t="s">
        <v>43</v>
      </c>
      <c r="D33" s="17" t="s">
        <v>44</v>
      </c>
      <c r="E33" s="17">
        <v>2017</v>
      </c>
      <c r="F33" s="13">
        <v>331122779.29000044</v>
      </c>
      <c r="G33" s="65"/>
      <c r="H33" s="13">
        <v>-264428.7302273378</v>
      </c>
      <c r="I33" s="65"/>
      <c r="J33" s="79">
        <f>+J32+J65</f>
        <v>24329014.395330042</v>
      </c>
      <c r="K33" s="65"/>
      <c r="L33" s="65">
        <f t="shared" ref="L33:L44" si="3">+F33+H33-J33</f>
        <v>306529336.16444302</v>
      </c>
      <c r="M33" s="65"/>
      <c r="N33" s="65">
        <f>+'[1]Schedule 1 - Plant'!L100</f>
        <v>296416622.24693507</v>
      </c>
      <c r="O33" s="65"/>
      <c r="P33" s="65">
        <f t="shared" ref="P33:P44" si="4">+L33-N33</f>
        <v>10112713.917507946</v>
      </c>
      <c r="Q33" s="17"/>
      <c r="R33" s="66"/>
      <c r="T33" s="20"/>
    </row>
    <row r="34" spans="2:24" x14ac:dyDescent="0.3">
      <c r="B34" s="62"/>
      <c r="C34" s="17" t="s">
        <v>45</v>
      </c>
      <c r="D34" s="17" t="s">
        <v>44</v>
      </c>
      <c r="E34" s="17">
        <v>2017</v>
      </c>
      <c r="F34" s="13">
        <v>332957472.58000058</v>
      </c>
      <c r="G34" s="65"/>
      <c r="H34" s="13">
        <v>-268533.50432112219</v>
      </c>
      <c r="I34" s="65"/>
      <c r="J34" s="79">
        <f t="shared" ref="J34:J42" si="5">+J33+J66</f>
        <v>24515893.097337656</v>
      </c>
      <c r="K34" s="65"/>
      <c r="L34" s="65">
        <f t="shared" si="3"/>
        <v>308173045.97834182</v>
      </c>
      <c r="M34" s="65"/>
      <c r="N34" s="65">
        <f>+'[1]Schedule 1 - Plant'!L101</f>
        <v>297507303.49700409</v>
      </c>
      <c r="O34" s="65"/>
      <c r="P34" s="65">
        <f t="shared" si="4"/>
        <v>10665742.481337726</v>
      </c>
      <c r="Q34" s="17"/>
      <c r="R34" s="66"/>
      <c r="T34" s="20"/>
    </row>
    <row r="35" spans="2:24" x14ac:dyDescent="0.3">
      <c r="B35" s="62"/>
      <c r="C35" s="17" t="s">
        <v>46</v>
      </c>
      <c r="D35" s="17" t="s">
        <v>44</v>
      </c>
      <c r="E35" s="17">
        <v>2017</v>
      </c>
      <c r="F35" s="13">
        <v>332742306.64000088</v>
      </c>
      <c r="G35" s="65"/>
      <c r="H35" s="13">
        <v>-272638.27841490658</v>
      </c>
      <c r="I35" s="65"/>
      <c r="J35" s="79">
        <f t="shared" si="5"/>
        <v>24702771.79934527</v>
      </c>
      <c r="K35" s="65"/>
      <c r="L35" s="65">
        <f t="shared" si="3"/>
        <v>307766896.56224072</v>
      </c>
      <c r="M35" s="65"/>
      <c r="N35" s="65">
        <f>+'[1]Schedule 1 - Plant'!L102</f>
        <v>297253508.87707055</v>
      </c>
      <c r="O35" s="65"/>
      <c r="P35" s="65">
        <f t="shared" si="4"/>
        <v>10513387.685170174</v>
      </c>
      <c r="Q35" s="17"/>
      <c r="R35" s="66"/>
      <c r="T35" s="20"/>
    </row>
    <row r="36" spans="2:24" x14ac:dyDescent="0.3">
      <c r="B36" s="62"/>
      <c r="C36" s="17" t="s">
        <v>47</v>
      </c>
      <c r="D36" s="17" t="s">
        <v>44</v>
      </c>
      <c r="E36" s="17">
        <v>2017</v>
      </c>
      <c r="F36" s="13">
        <v>334309351.89436865</v>
      </c>
      <c r="G36" s="65"/>
      <c r="H36" s="13">
        <v>-276743.05250869098</v>
      </c>
      <c r="I36" s="65"/>
      <c r="J36" s="79">
        <f t="shared" si="5"/>
        <v>24889650.501352884</v>
      </c>
      <c r="K36" s="65"/>
      <c r="L36" s="65">
        <f t="shared" si="3"/>
        <v>309142958.34050703</v>
      </c>
      <c r="M36" s="65"/>
      <c r="N36" s="65">
        <f>+'[1]Schedule 1 - Plant'!L103</f>
        <v>299390558.85713875</v>
      </c>
      <c r="O36" s="65"/>
      <c r="P36" s="65">
        <f t="shared" si="4"/>
        <v>9752399.4833682775</v>
      </c>
      <c r="Q36" s="17"/>
      <c r="R36" s="66"/>
      <c r="T36" s="20"/>
    </row>
    <row r="37" spans="2:24" x14ac:dyDescent="0.3">
      <c r="B37" s="62"/>
      <c r="C37" s="17" t="s">
        <v>48</v>
      </c>
      <c r="D37" s="17" t="s">
        <v>44</v>
      </c>
      <c r="E37" s="17">
        <v>2017</v>
      </c>
      <c r="F37" s="13">
        <v>335898975.54564923</v>
      </c>
      <c r="G37" s="65"/>
      <c r="H37" s="13">
        <v>-280847.82660247537</v>
      </c>
      <c r="I37" s="65"/>
      <c r="J37" s="79">
        <f t="shared" si="5"/>
        <v>25076529.203360498</v>
      </c>
      <c r="K37" s="65"/>
      <c r="L37" s="65">
        <f t="shared" si="3"/>
        <v>310541598.51568627</v>
      </c>
      <c r="M37" s="65"/>
      <c r="N37" s="65">
        <f>+'[1]Schedule 1 - Plant'!L104</f>
        <v>300006130.86720562</v>
      </c>
      <c r="O37" s="65"/>
      <c r="P37" s="65">
        <f t="shared" si="4"/>
        <v>10535467.648480654</v>
      </c>
      <c r="Q37" s="17"/>
      <c r="R37" s="66"/>
      <c r="T37" s="20"/>
    </row>
    <row r="38" spans="2:24" x14ac:dyDescent="0.3">
      <c r="B38" s="62"/>
      <c r="C38" s="17" t="s">
        <v>49</v>
      </c>
      <c r="D38" s="17" t="s">
        <v>44</v>
      </c>
      <c r="E38" s="17">
        <v>2017</v>
      </c>
      <c r="F38" s="13">
        <v>337424504.9305687</v>
      </c>
      <c r="G38" s="65"/>
      <c r="H38" s="13">
        <v>-284952.6006962597</v>
      </c>
      <c r="I38" s="65"/>
      <c r="J38" s="79">
        <f t="shared" si="5"/>
        <v>25263407.905368112</v>
      </c>
      <c r="K38" s="65"/>
      <c r="L38" s="65">
        <f t="shared" si="3"/>
        <v>311876144.42450434</v>
      </c>
      <c r="M38" s="65"/>
      <c r="N38" s="65">
        <f>+'[1]Schedule 1 - Plant'!L105</f>
        <v>299629186.61727238</v>
      </c>
      <c r="O38" s="65"/>
      <c r="P38" s="65">
        <f t="shared" si="4"/>
        <v>12246957.807231963</v>
      </c>
      <c r="Q38" s="17"/>
      <c r="R38" s="66"/>
      <c r="T38" s="20"/>
      <c r="X38" s="19">
        <v>0</v>
      </c>
    </row>
    <row r="39" spans="2:24" x14ac:dyDescent="0.3">
      <c r="B39" s="62"/>
      <c r="C39" s="17" t="s">
        <v>50</v>
      </c>
      <c r="D39" s="17" t="s">
        <v>44</v>
      </c>
      <c r="E39" s="17">
        <v>2017</v>
      </c>
      <c r="F39" s="13">
        <v>339056860.14408004</v>
      </c>
      <c r="G39" s="65"/>
      <c r="H39" s="13">
        <v>-289057.37479004409</v>
      </c>
      <c r="I39" s="65"/>
      <c r="J39" s="79">
        <f t="shared" si="5"/>
        <v>25450286.607375726</v>
      </c>
      <c r="K39" s="65"/>
      <c r="L39" s="65">
        <f t="shared" si="3"/>
        <v>313317516.16191423</v>
      </c>
      <c r="M39" s="65"/>
      <c r="N39" s="65">
        <f>+'[1]Schedule 1 - Plant'!L106</f>
        <v>299778149.33733952</v>
      </c>
      <c r="O39" s="65"/>
      <c r="P39" s="65">
        <f t="shared" si="4"/>
        <v>13539366.824574709</v>
      </c>
      <c r="Q39" s="17"/>
      <c r="R39" s="66"/>
      <c r="T39" s="20"/>
    </row>
    <row r="40" spans="2:24" x14ac:dyDescent="0.3">
      <c r="B40" s="62"/>
      <c r="C40" s="17" t="s">
        <v>51</v>
      </c>
      <c r="D40" s="17" t="s">
        <v>44</v>
      </c>
      <c r="E40" s="17">
        <v>2017</v>
      </c>
      <c r="F40" s="13">
        <v>340792560.39096123</v>
      </c>
      <c r="G40" s="65"/>
      <c r="H40" s="13">
        <v>-293162.14888382854</v>
      </c>
      <c r="I40" s="65"/>
      <c r="J40" s="79">
        <f t="shared" si="5"/>
        <v>25637165.30938334</v>
      </c>
      <c r="K40" s="65"/>
      <c r="L40" s="65">
        <f t="shared" si="3"/>
        <v>314862232.93269408</v>
      </c>
      <c r="M40" s="65"/>
      <c r="N40" s="65">
        <f>+'[1]Schedule 1 - Plant'!L107</f>
        <v>300858282.55740625</v>
      </c>
      <c r="O40" s="65"/>
      <c r="P40" s="65">
        <f t="shared" si="4"/>
        <v>14003950.375287831</v>
      </c>
      <c r="Q40" s="17"/>
      <c r="R40" s="66"/>
      <c r="T40" s="20"/>
    </row>
    <row r="41" spans="2:24" x14ac:dyDescent="0.3">
      <c r="B41" s="62"/>
      <c r="C41" s="17" t="s">
        <v>52</v>
      </c>
      <c r="D41" s="17" t="s">
        <v>44</v>
      </c>
      <c r="E41" s="17">
        <v>2017</v>
      </c>
      <c r="F41" s="13">
        <v>342545158.55664706</v>
      </c>
      <c r="G41" s="65"/>
      <c r="H41" s="13">
        <v>-297266.92297761288</v>
      </c>
      <c r="I41" s="65"/>
      <c r="J41" s="79">
        <f t="shared" si="5"/>
        <v>25824044.011390954</v>
      </c>
      <c r="K41" s="65"/>
      <c r="L41" s="65">
        <f t="shared" si="3"/>
        <v>316423847.62227845</v>
      </c>
      <c r="M41" s="65"/>
      <c r="N41" s="65">
        <f>+'[1]Schedule 1 - Plant'!L108</f>
        <v>300219885.68747425</v>
      </c>
      <c r="O41" s="65"/>
      <c r="P41" s="65">
        <f t="shared" si="4"/>
        <v>16203961.934804201</v>
      </c>
      <c r="Q41" s="17"/>
      <c r="R41" s="66"/>
      <c r="T41" s="20"/>
    </row>
    <row r="42" spans="2:24" x14ac:dyDescent="0.3">
      <c r="B42" s="62"/>
      <c r="C42" s="17" t="s">
        <v>53</v>
      </c>
      <c r="D42" s="17" t="s">
        <v>44</v>
      </c>
      <c r="E42" s="17">
        <v>2017</v>
      </c>
      <c r="F42" s="13">
        <v>344331642.08823496</v>
      </c>
      <c r="G42" s="65"/>
      <c r="H42" s="13">
        <v>-301371.69707139721</v>
      </c>
      <c r="I42" s="65"/>
      <c r="J42" s="79">
        <f t="shared" si="5"/>
        <v>26010922.713398568</v>
      </c>
      <c r="K42" s="65"/>
      <c r="L42" s="65">
        <f t="shared" si="3"/>
        <v>318019347.67776501</v>
      </c>
      <c r="M42" s="65"/>
      <c r="N42" s="65">
        <f>+'[1]Schedule 1 - Plant'!L109</f>
        <v>303327692.74967462</v>
      </c>
      <c r="O42" s="65"/>
      <c r="P42" s="65">
        <f t="shared" si="4"/>
        <v>14691654.928090394</v>
      </c>
      <c r="Q42" s="17"/>
      <c r="R42" s="66"/>
      <c r="T42" s="20"/>
    </row>
    <row r="43" spans="2:24" x14ac:dyDescent="0.3">
      <c r="B43" s="62"/>
      <c r="C43" s="17" t="s">
        <v>54</v>
      </c>
      <c r="D43" s="17" t="s">
        <v>44</v>
      </c>
      <c r="E43" s="17">
        <v>2017</v>
      </c>
      <c r="F43" s="13">
        <v>346148128.24451351</v>
      </c>
      <c r="G43" s="65"/>
      <c r="H43" s="13">
        <v>-305476.47116518166</v>
      </c>
      <c r="I43" s="65"/>
      <c r="J43" s="79">
        <f>+J42+J75</f>
        <v>26197801.415406182</v>
      </c>
      <c r="K43" s="65"/>
      <c r="L43" s="65">
        <f t="shared" si="3"/>
        <v>319644850.35794216</v>
      </c>
      <c r="M43" s="65"/>
      <c r="N43" s="65">
        <f>+'[1]Schedule 1 - Plant'!L110</f>
        <v>304271322.95187521</v>
      </c>
      <c r="O43" s="65"/>
      <c r="P43" s="65">
        <f t="shared" si="4"/>
        <v>15373527.406066954</v>
      </c>
      <c r="Q43" s="17"/>
      <c r="R43" s="66"/>
      <c r="T43" s="20"/>
    </row>
    <row r="44" spans="2:24" x14ac:dyDescent="0.3">
      <c r="B44" s="62"/>
      <c r="C44" s="17" t="s">
        <v>41</v>
      </c>
      <c r="D44" s="17" t="s">
        <v>44</v>
      </c>
      <c r="E44" s="17">
        <v>2017</v>
      </c>
      <c r="F44" s="71">
        <v>346191645.74718761</v>
      </c>
      <c r="G44" s="70"/>
      <c r="H44" s="71">
        <v>-309581.24525896605</v>
      </c>
      <c r="I44" s="70"/>
      <c r="J44" s="80">
        <f>+J43+J76</f>
        <v>26384680.117413796</v>
      </c>
      <c r="K44" s="70"/>
      <c r="L44" s="65">
        <f t="shared" si="3"/>
        <v>319497384.38451481</v>
      </c>
      <c r="M44" s="70"/>
      <c r="N44" s="70">
        <f>+'[1]Schedule 1 - Plant'!L111</f>
        <v>304452141.45407605</v>
      </c>
      <c r="O44" s="70"/>
      <c r="P44" s="70">
        <f t="shared" si="4"/>
        <v>15045242.930438757</v>
      </c>
      <c r="Q44" s="17"/>
      <c r="R44" s="66"/>
      <c r="T44" s="20"/>
    </row>
    <row r="45" spans="2:24" x14ac:dyDescent="0.3">
      <c r="B45" s="62"/>
      <c r="C45" s="63" t="s">
        <v>62</v>
      </c>
      <c r="D45" s="17"/>
      <c r="E45" s="17"/>
      <c r="F45" s="64">
        <f t="shared" ref="F45:N45" si="6">AVERAGE(F32:F44)</f>
        <v>337696541.00401634</v>
      </c>
      <c r="G45" s="64"/>
      <c r="H45" s="64">
        <f t="shared" si="6"/>
        <v>-106417.66965533621</v>
      </c>
      <c r="I45" s="65"/>
      <c r="J45" s="64">
        <f t="shared" si="6"/>
        <v>25263407.905368112</v>
      </c>
      <c r="K45" s="65"/>
      <c r="L45" s="72">
        <f t="shared" si="6"/>
        <v>312326715.42899287</v>
      </c>
      <c r="M45" s="65"/>
      <c r="N45" s="64">
        <f t="shared" si="6"/>
        <v>299830604.52056473</v>
      </c>
      <c r="O45" s="65"/>
      <c r="P45" s="64">
        <f>AVERAGE(P32:P44)</f>
        <v>12496110.908428224</v>
      </c>
      <c r="Q45" s="17" t="s">
        <v>63</v>
      </c>
      <c r="R45" s="66"/>
      <c r="T45" s="20"/>
    </row>
    <row r="46" spans="2:24" ht="15" thickBot="1" x14ac:dyDescent="0.35">
      <c r="B46" s="73"/>
      <c r="C46" s="74"/>
      <c r="D46" s="74"/>
      <c r="E46" s="74"/>
      <c r="F46" s="75"/>
      <c r="G46" s="76"/>
      <c r="H46" s="75"/>
      <c r="I46" s="76"/>
      <c r="J46" s="75"/>
      <c r="K46" s="76"/>
      <c r="L46" s="75"/>
      <c r="M46" s="76"/>
      <c r="N46" s="75"/>
      <c r="O46" s="76"/>
      <c r="P46" s="75"/>
      <c r="Q46" s="74"/>
      <c r="R46" s="77"/>
      <c r="T46" s="20"/>
    </row>
    <row r="47" spans="2:24" x14ac:dyDescent="0.3">
      <c r="B47" s="17"/>
      <c r="C47" s="17"/>
      <c r="D47" s="17"/>
      <c r="E47" s="17"/>
      <c r="F47" s="64"/>
      <c r="G47" s="65"/>
      <c r="H47" s="64"/>
      <c r="I47" s="65"/>
      <c r="J47" s="64"/>
      <c r="K47" s="65"/>
      <c r="L47" s="64"/>
      <c r="M47" s="65"/>
      <c r="N47" s="64"/>
      <c r="O47" s="65"/>
      <c r="P47" s="64"/>
      <c r="Q47" s="17"/>
      <c r="R47" s="17"/>
    </row>
    <row r="48" spans="2:24" x14ac:dyDescent="0.3">
      <c r="B48" s="78" t="s">
        <v>64</v>
      </c>
      <c r="C48" s="81" t="s">
        <v>65</v>
      </c>
      <c r="D48" s="17"/>
      <c r="E48" s="17"/>
      <c r="F48" s="64"/>
      <c r="G48" s="65"/>
      <c r="H48" s="64"/>
      <c r="I48" s="65"/>
      <c r="J48" s="64"/>
      <c r="K48" s="65"/>
      <c r="L48" s="64"/>
      <c r="M48" s="65"/>
      <c r="N48" s="64"/>
      <c r="O48" s="65"/>
      <c r="P48" s="64"/>
      <c r="Q48" s="17"/>
      <c r="R48" s="17"/>
    </row>
    <row r="49" spans="2:18" ht="15" thickBot="1" x14ac:dyDescent="0.35"/>
    <row r="50" spans="2:18" x14ac:dyDescent="0.3">
      <c r="B50" s="57" t="s">
        <v>66</v>
      </c>
      <c r="C50" s="58"/>
      <c r="D50" s="58"/>
      <c r="E50" s="58"/>
      <c r="F50" s="59"/>
      <c r="G50" s="60"/>
      <c r="H50" s="59"/>
      <c r="I50" s="60"/>
      <c r="J50" s="59"/>
      <c r="K50" s="60"/>
      <c r="L50" s="59"/>
      <c r="M50" s="60"/>
      <c r="N50" s="59"/>
      <c r="O50" s="60"/>
      <c r="P50" s="59"/>
      <c r="Q50" s="58"/>
      <c r="R50" s="61"/>
    </row>
    <row r="51" spans="2:18" x14ac:dyDescent="0.3">
      <c r="B51" s="62"/>
      <c r="C51" s="63" t="s">
        <v>67</v>
      </c>
      <c r="D51" s="17"/>
      <c r="E51" s="17"/>
      <c r="F51" s="64"/>
      <c r="G51" s="65"/>
      <c r="H51" s="64"/>
      <c r="I51" s="65"/>
      <c r="J51" s="64"/>
      <c r="K51" s="65"/>
      <c r="L51" s="64"/>
      <c r="M51" s="65"/>
      <c r="N51" s="64"/>
      <c r="O51" s="65"/>
      <c r="P51" s="64"/>
      <c r="Q51" s="17"/>
      <c r="R51" s="66"/>
    </row>
    <row r="52" spans="2:18" x14ac:dyDescent="0.3">
      <c r="B52" s="62"/>
      <c r="C52" s="67" t="s">
        <v>33</v>
      </c>
      <c r="D52" s="67" t="s">
        <v>34</v>
      </c>
      <c r="E52" s="67"/>
      <c r="F52" s="68" t="s">
        <v>35</v>
      </c>
      <c r="G52" s="69"/>
      <c r="H52" s="68" t="s">
        <v>36</v>
      </c>
      <c r="I52" s="69"/>
      <c r="J52" s="68" t="s">
        <v>37</v>
      </c>
      <c r="K52" s="69"/>
      <c r="L52" s="68" t="s">
        <v>38</v>
      </c>
      <c r="M52" s="69"/>
      <c r="N52" s="68" t="s">
        <v>39</v>
      </c>
      <c r="O52" s="69"/>
      <c r="P52" s="68" t="s">
        <v>40</v>
      </c>
      <c r="Q52" s="82"/>
      <c r="R52" s="66"/>
    </row>
    <row r="53" spans="2:18" x14ac:dyDescent="0.3">
      <c r="B53" s="62"/>
      <c r="C53" s="17" t="s">
        <v>41</v>
      </c>
      <c r="D53" s="17" t="s">
        <v>68</v>
      </c>
      <c r="E53" s="17">
        <v>2016</v>
      </c>
      <c r="F53" s="13">
        <f>+'[1]Schedule 2 - ADIT'!E32</f>
        <v>-122755205</v>
      </c>
      <c r="G53" s="65"/>
      <c r="H53" s="13">
        <f>'Schedule 2 - ADIT'!E47</f>
        <v>1391934.3555925353</v>
      </c>
      <c r="I53" s="65"/>
      <c r="J53" s="13">
        <f>+'[1]Schedule 13 Direct Assignment'!M51</f>
        <v>-7070547.5808699355</v>
      </c>
      <c r="K53" s="65"/>
      <c r="L53" s="65">
        <f>+F53+H53-J53</f>
        <v>-114292723.06353754</v>
      </c>
      <c r="M53" s="65"/>
      <c r="N53" s="65">
        <f>+'[1]Schedule 2 - ADIT'!D32+'[1]Schedule 2 - ADIT'!D42+'[1]Schedule 2 - ADIT'!D47</f>
        <v>-94685062.497182518</v>
      </c>
      <c r="O53" s="65"/>
      <c r="P53" s="65">
        <f>+L53-N53</f>
        <v>-19607660.56635502</v>
      </c>
      <c r="Q53" s="65"/>
      <c r="R53" s="66"/>
    </row>
    <row r="54" spans="2:18" x14ac:dyDescent="0.3">
      <c r="B54" s="62"/>
      <c r="C54" s="17" t="s">
        <v>41</v>
      </c>
      <c r="D54" s="17" t="s">
        <v>44</v>
      </c>
      <c r="E54" s="17">
        <v>2017</v>
      </c>
      <c r="F54" s="71">
        <f>+F53+(-F105+(F77-F79))*0.388</f>
        <v>-128315782.7545633</v>
      </c>
      <c r="G54" s="65"/>
      <c r="H54" s="71">
        <f>'Schedule C - Settlement Adjust'!H32+'Schedule C - Settlement Adjust'!H124+'Schedule C - Settlement Adjust'!H201+'Schedule C - Settlement Adjust'!H276</f>
        <v>1408222.3071575689</v>
      </c>
      <c r="I54" s="65"/>
      <c r="J54" s="71">
        <f>F54*(+J23-J44)/(F23-F44)</f>
        <v>-6056865.919458285</v>
      </c>
      <c r="K54" s="65"/>
      <c r="L54" s="70">
        <f>+F54+H54-J54</f>
        <v>-120850694.52794744</v>
      </c>
      <c r="M54" s="65"/>
      <c r="N54" s="70">
        <f>+'[1]Schedule 2 - ADIT'!E32+'[1]Schedule 2 - ADIT'!E42+'[1]Schedule 2 - ADIT'!E47</f>
        <v>-114292723.06353752</v>
      </c>
      <c r="O54" s="65"/>
      <c r="P54" s="70">
        <f>+L54-N54</f>
        <v>-6557971.4644099176</v>
      </c>
      <c r="Q54" s="65"/>
      <c r="R54" s="66"/>
    </row>
    <row r="55" spans="2:18" x14ac:dyDescent="0.3">
      <c r="B55" s="62"/>
      <c r="C55" s="63" t="s">
        <v>69</v>
      </c>
      <c r="D55" s="17"/>
      <c r="E55" s="17"/>
      <c r="F55" s="64">
        <f>AVERAGE(F53:F54)</f>
        <v>-125535493.87728165</v>
      </c>
      <c r="G55" s="65"/>
      <c r="H55" s="64">
        <f>AVERAGE(H53:H54)</f>
        <v>1400078.3313750522</v>
      </c>
      <c r="I55" s="65"/>
      <c r="J55" s="64">
        <f>AVERAGE(J53:J54)</f>
        <v>-6563706.7501641102</v>
      </c>
      <c r="K55" s="65"/>
      <c r="L55" s="64">
        <f>AVERAGE(L53:L54)</f>
        <v>-117571708.79574248</v>
      </c>
      <c r="M55" s="65"/>
      <c r="N55" s="64">
        <f>AVERAGE(N53:N54)</f>
        <v>-104488892.78036001</v>
      </c>
      <c r="O55" s="65"/>
      <c r="P55" s="64">
        <f>AVERAGE(P53:P54)</f>
        <v>-13082816.015382469</v>
      </c>
      <c r="Q55" s="66" t="s">
        <v>70</v>
      </c>
      <c r="R55" s="66"/>
    </row>
    <row r="56" spans="2:18" ht="15" thickBot="1" x14ac:dyDescent="0.35">
      <c r="B56" s="73"/>
      <c r="C56" s="74"/>
      <c r="D56" s="74"/>
      <c r="E56" s="74"/>
      <c r="F56" s="76"/>
      <c r="G56" s="76"/>
      <c r="H56" s="75"/>
      <c r="I56" s="76"/>
      <c r="J56" s="75"/>
      <c r="K56" s="76"/>
      <c r="L56" s="75"/>
      <c r="M56" s="76"/>
      <c r="N56" s="75"/>
      <c r="O56" s="76"/>
      <c r="P56" s="75"/>
      <c r="Q56" s="74"/>
      <c r="R56" s="77"/>
    </row>
    <row r="57" spans="2:18" x14ac:dyDescent="0.3">
      <c r="B57" s="17"/>
      <c r="C57" s="17"/>
      <c r="D57" s="17"/>
      <c r="E57" s="17"/>
      <c r="F57" s="64"/>
      <c r="G57" s="65"/>
      <c r="H57" s="64"/>
      <c r="I57" s="65"/>
      <c r="J57" s="64"/>
      <c r="K57" s="65"/>
      <c r="L57" s="64"/>
      <c r="M57" s="65"/>
      <c r="N57" s="64"/>
      <c r="O57" s="65"/>
      <c r="P57" s="64"/>
      <c r="Q57" s="17"/>
      <c r="R57" s="17"/>
    </row>
    <row r="58" spans="2:18" x14ac:dyDescent="0.3">
      <c r="B58" s="78" t="s">
        <v>71</v>
      </c>
      <c r="C58" s="81" t="s">
        <v>72</v>
      </c>
      <c r="D58" s="17"/>
      <c r="E58" s="17"/>
      <c r="F58" s="64"/>
      <c r="G58" s="65"/>
      <c r="H58" s="64"/>
      <c r="I58" s="65"/>
      <c r="J58" s="64"/>
      <c r="K58" s="65"/>
      <c r="L58" s="64"/>
      <c r="M58" s="65"/>
      <c r="N58" s="64"/>
      <c r="O58" s="65"/>
      <c r="P58" s="64"/>
      <c r="Q58" s="17"/>
      <c r="R58" s="17"/>
    </row>
    <row r="59" spans="2:18" x14ac:dyDescent="0.3">
      <c r="B59" s="78" t="s">
        <v>73</v>
      </c>
      <c r="C59" s="81" t="s">
        <v>74</v>
      </c>
      <c r="D59" s="17"/>
      <c r="E59" s="17"/>
      <c r="F59" s="64"/>
      <c r="G59" s="65"/>
      <c r="H59" s="64"/>
      <c r="I59" s="65"/>
      <c r="J59" s="64"/>
      <c r="K59" s="65"/>
      <c r="L59" s="64"/>
      <c r="M59" s="65"/>
      <c r="N59" s="64"/>
      <c r="O59" s="65"/>
      <c r="P59" s="64"/>
      <c r="Q59" s="17"/>
      <c r="R59" s="17"/>
    </row>
    <row r="60" spans="2:18" ht="15" thickBot="1" x14ac:dyDescent="0.35"/>
    <row r="61" spans="2:18" x14ac:dyDescent="0.3">
      <c r="B61" s="57" t="s">
        <v>75</v>
      </c>
      <c r="C61" s="58"/>
      <c r="D61" s="58"/>
      <c r="E61" s="58"/>
      <c r="F61" s="59"/>
      <c r="G61" s="60"/>
      <c r="H61" s="59"/>
      <c r="I61" s="60"/>
      <c r="J61" s="59"/>
      <c r="K61" s="60"/>
      <c r="L61" s="59"/>
      <c r="M61" s="60"/>
      <c r="N61" s="59"/>
      <c r="O61" s="60"/>
      <c r="P61" s="59"/>
      <c r="Q61" s="58"/>
      <c r="R61" s="61"/>
    </row>
    <row r="62" spans="2:18" x14ac:dyDescent="0.3">
      <c r="B62" s="62"/>
      <c r="C62" s="63" t="s">
        <v>76</v>
      </c>
      <c r="D62" s="17"/>
      <c r="E62" s="17"/>
      <c r="F62" s="64"/>
      <c r="G62" s="65"/>
      <c r="H62" s="64"/>
      <c r="I62" s="65"/>
      <c r="J62" s="64"/>
      <c r="K62" s="65"/>
      <c r="L62" s="64"/>
      <c r="M62" s="65"/>
      <c r="N62" s="64"/>
      <c r="O62" s="65"/>
      <c r="P62" s="64"/>
      <c r="Q62" s="17"/>
      <c r="R62" s="66"/>
    </row>
    <row r="63" spans="2:18" x14ac:dyDescent="0.3">
      <c r="B63" s="62"/>
      <c r="C63" s="67" t="s">
        <v>33</v>
      </c>
      <c r="D63" s="67" t="s">
        <v>34</v>
      </c>
      <c r="E63" s="67"/>
      <c r="F63" s="68" t="s">
        <v>35</v>
      </c>
      <c r="G63" s="69"/>
      <c r="H63" s="68" t="s">
        <v>36</v>
      </c>
      <c r="I63" s="69"/>
      <c r="J63" s="68" t="s">
        <v>37</v>
      </c>
      <c r="K63" s="69"/>
      <c r="L63" s="68" t="s">
        <v>38</v>
      </c>
      <c r="M63" s="69"/>
      <c r="N63" s="68"/>
      <c r="O63" s="69"/>
      <c r="P63" s="68"/>
      <c r="Q63" s="17"/>
      <c r="R63" s="66"/>
    </row>
    <row r="64" spans="2:18" x14ac:dyDescent="0.3">
      <c r="B64" s="62"/>
      <c r="C64" s="17"/>
      <c r="D64" s="17"/>
      <c r="E64" s="17"/>
      <c r="F64" s="65"/>
      <c r="G64" s="65"/>
      <c r="H64" s="65"/>
      <c r="I64" s="65"/>
      <c r="J64" s="65"/>
      <c r="K64" s="65"/>
      <c r="L64" s="65"/>
      <c r="M64" s="65"/>
      <c r="N64" s="65"/>
      <c r="O64" s="65"/>
      <c r="P64" s="65"/>
      <c r="Q64" s="17"/>
      <c r="R64" s="66"/>
    </row>
    <row r="65" spans="2:18" x14ac:dyDescent="0.3">
      <c r="B65" s="62"/>
      <c r="C65" s="17" t="s">
        <v>43</v>
      </c>
      <c r="D65" s="81" t="s">
        <v>44</v>
      </c>
      <c r="E65" s="17">
        <v>2017</v>
      </c>
      <c r="F65" s="65">
        <f>+F11*$F$84</f>
        <v>1792023.8142416663</v>
      </c>
      <c r="G65" s="65"/>
      <c r="H65" s="13">
        <f>-('[1]Schedule 1C - Settlement Adjust'!$C$278/12)</f>
        <v>-4104.7740937843764</v>
      </c>
      <c r="I65" s="65"/>
      <c r="J65" s="13">
        <f>'[1]Schedule 13 Direct Assignment'!M70</f>
        <v>186878.7020076148</v>
      </c>
      <c r="K65" s="65"/>
      <c r="L65" s="65">
        <f>+F65+H65-J65</f>
        <v>1601040.3381402672</v>
      </c>
      <c r="M65" s="65"/>
      <c r="N65" s="65"/>
      <c r="O65" s="65"/>
      <c r="P65" s="65"/>
      <c r="Q65" s="17"/>
      <c r="R65" s="66"/>
    </row>
    <row r="66" spans="2:18" x14ac:dyDescent="0.3">
      <c r="B66" s="62"/>
      <c r="C66" s="17" t="s">
        <v>45</v>
      </c>
      <c r="D66" s="81" t="s">
        <v>44</v>
      </c>
      <c r="E66" s="17">
        <v>2017</v>
      </c>
      <c r="F66" s="65">
        <f>+F12*$F$84</f>
        <v>1793187.8539149172</v>
      </c>
      <c r="G66" s="65"/>
      <c r="H66" s="13">
        <f>-('[1]Schedule 1C - Settlement Adjust'!$C$278/12)</f>
        <v>-4104.7740937843764</v>
      </c>
      <c r="I66" s="65"/>
      <c r="J66" s="13">
        <f>J65</f>
        <v>186878.7020076148</v>
      </c>
      <c r="K66" s="65"/>
      <c r="L66" s="65">
        <f t="shared" ref="L66:L76" si="7">+F66+H66-J66</f>
        <v>1602204.377813518</v>
      </c>
      <c r="M66" s="65"/>
      <c r="N66" s="65"/>
      <c r="O66" s="65"/>
      <c r="P66" s="65"/>
      <c r="Q66" s="17"/>
      <c r="R66" s="66"/>
    </row>
    <row r="67" spans="2:18" x14ac:dyDescent="0.3">
      <c r="B67" s="62"/>
      <c r="C67" s="17" t="s">
        <v>46</v>
      </c>
      <c r="D67" s="81" t="s">
        <v>44</v>
      </c>
      <c r="E67" s="17">
        <v>2017</v>
      </c>
      <c r="F67" s="65">
        <f t="shared" ref="F67:F76" si="8">+F13*$F$84</f>
        <v>1796219.2032458351</v>
      </c>
      <c r="G67" s="65"/>
      <c r="H67" s="13">
        <f>-('[1]Schedule 1C - Settlement Adjust'!$C$278/12)</f>
        <v>-4104.7740937843764</v>
      </c>
      <c r="I67" s="65"/>
      <c r="J67" s="13">
        <f t="shared" ref="J67:J76" si="9">J66</f>
        <v>186878.7020076148</v>
      </c>
      <c r="K67" s="65"/>
      <c r="L67" s="65">
        <f t="shared" si="7"/>
        <v>1605235.727144436</v>
      </c>
      <c r="M67" s="65"/>
      <c r="N67" s="65"/>
      <c r="O67" s="65"/>
      <c r="P67" s="65"/>
      <c r="Q67" s="17"/>
      <c r="R67" s="66"/>
    </row>
    <row r="68" spans="2:18" x14ac:dyDescent="0.3">
      <c r="B68" s="62"/>
      <c r="C68" s="17" t="s">
        <v>47</v>
      </c>
      <c r="D68" s="81" t="s">
        <v>44</v>
      </c>
      <c r="E68" s="17">
        <v>2017</v>
      </c>
      <c r="F68" s="65">
        <f t="shared" si="8"/>
        <v>1802301.5351870863</v>
      </c>
      <c r="G68" s="65"/>
      <c r="H68" s="13">
        <f>-('[1]Schedule 1C - Settlement Adjust'!$C$278/12)</f>
        <v>-4104.7740937843764</v>
      </c>
      <c r="I68" s="65"/>
      <c r="J68" s="13">
        <f t="shared" si="9"/>
        <v>186878.7020076148</v>
      </c>
      <c r="K68" s="65"/>
      <c r="L68" s="65">
        <f t="shared" si="7"/>
        <v>1611318.0590856872</v>
      </c>
      <c r="M68" s="65"/>
      <c r="N68" s="65"/>
      <c r="O68" s="65"/>
      <c r="P68" s="65"/>
      <c r="Q68" s="17"/>
      <c r="R68" s="66"/>
    </row>
    <row r="69" spans="2:18" x14ac:dyDescent="0.3">
      <c r="B69" s="62"/>
      <c r="C69" s="17" t="s">
        <v>48</v>
      </c>
      <c r="D69" s="81" t="s">
        <v>44</v>
      </c>
      <c r="E69" s="17">
        <v>2017</v>
      </c>
      <c r="F69" s="65">
        <f t="shared" si="8"/>
        <v>1812490.7065856738</v>
      </c>
      <c r="G69" s="65"/>
      <c r="H69" s="13">
        <f>-('[1]Schedule 1C - Settlement Adjust'!$C$278/12)</f>
        <v>-4104.7740937843764</v>
      </c>
      <c r="I69" s="65"/>
      <c r="J69" s="13">
        <f t="shared" si="9"/>
        <v>186878.7020076148</v>
      </c>
      <c r="K69" s="65"/>
      <c r="L69" s="65">
        <f t="shared" si="7"/>
        <v>1621507.2304842747</v>
      </c>
      <c r="M69" s="65"/>
      <c r="N69" s="65"/>
      <c r="O69" s="65"/>
      <c r="P69" s="65"/>
      <c r="Q69" s="17"/>
      <c r="R69" s="66"/>
    </row>
    <row r="70" spans="2:18" x14ac:dyDescent="0.3">
      <c r="B70" s="62"/>
      <c r="C70" s="17" t="s">
        <v>49</v>
      </c>
      <c r="D70" s="81" t="s">
        <v>44</v>
      </c>
      <c r="E70" s="17">
        <v>2017</v>
      </c>
      <c r="F70" s="65">
        <f>+F16*$F$84</f>
        <v>1817999.8830369755</v>
      </c>
      <c r="G70" s="65"/>
      <c r="H70" s="13">
        <f>-('[1]Schedule 1C - Settlement Adjust'!$C$278/12)</f>
        <v>-4104.7740937843764</v>
      </c>
      <c r="I70" s="65"/>
      <c r="J70" s="13">
        <f t="shared" si="9"/>
        <v>186878.7020076148</v>
      </c>
      <c r="K70" s="65"/>
      <c r="L70" s="65">
        <f t="shared" si="7"/>
        <v>1627016.4069355763</v>
      </c>
      <c r="M70" s="65"/>
      <c r="N70" s="65"/>
      <c r="O70" s="65"/>
      <c r="P70" s="83"/>
      <c r="Q70" s="84"/>
      <c r="R70" s="85"/>
    </row>
    <row r="71" spans="2:18" x14ac:dyDescent="0.3">
      <c r="B71" s="62"/>
      <c r="C71" s="17" t="s">
        <v>50</v>
      </c>
      <c r="D71" s="81" t="s">
        <v>44</v>
      </c>
      <c r="E71" s="17">
        <v>2017</v>
      </c>
      <c r="F71" s="65">
        <f>+F17*$F$84</f>
        <v>1855849.9001495482</v>
      </c>
      <c r="G71" s="65"/>
      <c r="H71" s="13">
        <f>-('[1]Schedule 1C - Settlement Adjust'!$C$278/12)</f>
        <v>-4104.7740937843764</v>
      </c>
      <c r="I71" s="65"/>
      <c r="J71" s="13">
        <f t="shared" si="9"/>
        <v>186878.7020076148</v>
      </c>
      <c r="K71" s="65"/>
      <c r="L71" s="65">
        <f t="shared" si="7"/>
        <v>1664866.424048149</v>
      </c>
      <c r="M71" s="65"/>
      <c r="N71" s="65"/>
      <c r="O71" s="65"/>
      <c r="P71" s="86"/>
      <c r="Q71" s="84"/>
      <c r="R71" s="85"/>
    </row>
    <row r="72" spans="2:18" x14ac:dyDescent="0.3">
      <c r="B72" s="62"/>
      <c r="C72" s="17" t="s">
        <v>51</v>
      </c>
      <c r="D72" s="81" t="s">
        <v>44</v>
      </c>
      <c r="E72" s="17">
        <v>2017</v>
      </c>
      <c r="F72" s="65">
        <f>+F18*$F$84</f>
        <v>1881372.3239334759</v>
      </c>
      <c r="G72" s="65"/>
      <c r="H72" s="13">
        <f>-('[1]Schedule 1C - Settlement Adjust'!$C$278/12)</f>
        <v>-4104.7740937843764</v>
      </c>
      <c r="I72" s="65"/>
      <c r="J72" s="13">
        <f t="shared" si="9"/>
        <v>186878.7020076148</v>
      </c>
      <c r="K72" s="65"/>
      <c r="L72" s="65">
        <f t="shared" si="7"/>
        <v>1690388.8478320767</v>
      </c>
      <c r="M72" s="65"/>
      <c r="N72" s="65"/>
      <c r="O72" s="65"/>
      <c r="P72" s="65"/>
      <c r="Q72" s="17"/>
      <c r="R72" s="66"/>
    </row>
    <row r="73" spans="2:18" x14ac:dyDescent="0.3">
      <c r="B73" s="62"/>
      <c r="C73" s="17" t="s">
        <v>52</v>
      </c>
      <c r="D73" s="81" t="s">
        <v>44</v>
      </c>
      <c r="E73" s="17">
        <v>2017</v>
      </c>
      <c r="F73" s="65">
        <f t="shared" si="8"/>
        <v>1888341.9815056361</v>
      </c>
      <c r="G73" s="65"/>
      <c r="H73" s="13">
        <f>-('[1]Schedule 1C - Settlement Adjust'!$C$278/12)</f>
        <v>-4104.7740937843764</v>
      </c>
      <c r="I73" s="65"/>
      <c r="J73" s="13">
        <f t="shared" si="9"/>
        <v>186878.7020076148</v>
      </c>
      <c r="K73" s="65"/>
      <c r="L73" s="65">
        <f t="shared" si="7"/>
        <v>1697358.505404237</v>
      </c>
      <c r="M73" s="65"/>
      <c r="N73" s="65"/>
      <c r="O73" s="65"/>
      <c r="P73" s="65"/>
      <c r="Q73" s="17"/>
      <c r="R73" s="66"/>
    </row>
    <row r="74" spans="2:18" x14ac:dyDescent="0.3">
      <c r="B74" s="62"/>
      <c r="C74" s="17" t="s">
        <v>53</v>
      </c>
      <c r="D74" s="81" t="s">
        <v>44</v>
      </c>
      <c r="E74" s="17">
        <v>2017</v>
      </c>
      <c r="F74" s="65">
        <f t="shared" si="8"/>
        <v>1893165.0334021063</v>
      </c>
      <c r="G74" s="65"/>
      <c r="H74" s="13">
        <f>-('[1]Schedule 1C - Settlement Adjust'!$C$278/12)</f>
        <v>-4104.7740937843764</v>
      </c>
      <c r="I74" s="65"/>
      <c r="J74" s="13">
        <f t="shared" si="9"/>
        <v>186878.7020076148</v>
      </c>
      <c r="K74" s="65"/>
      <c r="L74" s="65">
        <f t="shared" si="7"/>
        <v>1702181.5573007071</v>
      </c>
      <c r="M74" s="65"/>
      <c r="N74" s="65"/>
      <c r="O74" s="65"/>
      <c r="P74" s="65"/>
      <c r="Q74" s="17"/>
      <c r="R74" s="66"/>
    </row>
    <row r="75" spans="2:18" x14ac:dyDescent="0.3">
      <c r="B75" s="62"/>
      <c r="C75" s="17" t="s">
        <v>54</v>
      </c>
      <c r="D75" s="81" t="s">
        <v>44</v>
      </c>
      <c r="E75" s="17">
        <v>2017</v>
      </c>
      <c r="F75" s="65">
        <f t="shared" si="8"/>
        <v>1923167.6580927158</v>
      </c>
      <c r="G75" s="65"/>
      <c r="H75" s="13">
        <f>-('[1]Schedule 1C - Settlement Adjust'!$C$278/12)</f>
        <v>-4104.7740937843764</v>
      </c>
      <c r="I75" s="65"/>
      <c r="J75" s="13">
        <f t="shared" si="9"/>
        <v>186878.7020076148</v>
      </c>
      <c r="K75" s="65"/>
      <c r="L75" s="65">
        <f t="shared" si="7"/>
        <v>1732184.1819913166</v>
      </c>
      <c r="M75" s="65"/>
      <c r="N75" s="65"/>
      <c r="O75" s="65"/>
      <c r="P75" s="65"/>
      <c r="Q75" s="17"/>
      <c r="R75" s="66"/>
    </row>
    <row r="76" spans="2:18" x14ac:dyDescent="0.3">
      <c r="B76" s="62"/>
      <c r="C76" s="17" t="s">
        <v>41</v>
      </c>
      <c r="D76" s="81" t="s">
        <v>44</v>
      </c>
      <c r="E76" s="17">
        <v>2017</v>
      </c>
      <c r="F76" s="65">
        <f t="shared" si="8"/>
        <v>1929662.0628720589</v>
      </c>
      <c r="G76" s="70"/>
      <c r="H76" s="71">
        <f>-('[1]Schedule 1C - Settlement Adjust'!$C$278/12)</f>
        <v>-4104.7740937843764</v>
      </c>
      <c r="I76" s="70"/>
      <c r="J76" s="71">
        <f t="shared" si="9"/>
        <v>186878.7020076148</v>
      </c>
      <c r="K76" s="70"/>
      <c r="L76" s="70">
        <f t="shared" si="7"/>
        <v>1738678.5867706598</v>
      </c>
      <c r="M76" s="65"/>
      <c r="N76" s="65"/>
      <c r="O76" s="65"/>
      <c r="P76" s="65"/>
      <c r="Q76" s="17"/>
      <c r="R76" s="66"/>
    </row>
    <row r="77" spans="2:18" x14ac:dyDescent="0.3">
      <c r="B77" s="62"/>
      <c r="C77" s="63" t="s">
        <v>77</v>
      </c>
      <c r="D77" s="17"/>
      <c r="E77" s="17"/>
      <c r="F77" s="72">
        <f>SUM(F64:F76)</f>
        <v>22185781.956167698</v>
      </c>
      <c r="G77" s="65"/>
      <c r="H77" s="64">
        <f>SUM(H64:H76)</f>
        <v>-49257.289125412521</v>
      </c>
      <c r="I77" s="65"/>
      <c r="J77" s="72">
        <f>SUM(J64:J76)</f>
        <v>2242544.4240913778</v>
      </c>
      <c r="K77" s="65"/>
      <c r="L77" s="64">
        <f>SUM(L64:L76)</f>
        <v>19893980.242950909</v>
      </c>
      <c r="M77" s="65"/>
      <c r="N77" s="64"/>
      <c r="O77" s="65"/>
      <c r="P77" s="64"/>
      <c r="R77" s="66"/>
    </row>
    <row r="78" spans="2:18" x14ac:dyDescent="0.3">
      <c r="B78" s="62"/>
      <c r="C78" s="63"/>
      <c r="D78" s="17"/>
      <c r="E78" s="17"/>
      <c r="F78" s="64"/>
      <c r="G78" s="65"/>
      <c r="H78" s="64"/>
      <c r="I78" s="65"/>
      <c r="J78" s="64"/>
      <c r="K78" s="65"/>
      <c r="L78" s="64"/>
      <c r="M78" s="65"/>
      <c r="N78" s="64"/>
      <c r="O78" s="65"/>
      <c r="P78" s="64"/>
      <c r="Q78" s="17"/>
      <c r="R78" s="66"/>
    </row>
    <row r="79" spans="2:18" x14ac:dyDescent="0.3">
      <c r="B79" s="62"/>
      <c r="C79" s="63" t="s">
        <v>19</v>
      </c>
      <c r="D79" t="s">
        <v>78</v>
      </c>
      <c r="E79" s="81">
        <v>2016</v>
      </c>
      <c r="F79" s="65">
        <f>+'[1]Attachment H-1'!H132</f>
        <v>17058649</v>
      </c>
      <c r="G79" s="65"/>
      <c r="H79" s="64">
        <f>-'[1]Attachment H-1'!H135</f>
        <v>-49257.289125412513</v>
      </c>
      <c r="I79" s="65"/>
      <c r="J79" s="64">
        <f>+'[1]Attachment H-1'!H136</f>
        <v>2075786.6282936702</v>
      </c>
      <c r="K79" s="65"/>
      <c r="L79" s="64">
        <f>+F79+H79-J79</f>
        <v>14933605.082580917</v>
      </c>
      <c r="M79" s="65"/>
      <c r="N79" s="64"/>
      <c r="O79" s="65"/>
      <c r="P79" s="64"/>
      <c r="Q79" s="17"/>
      <c r="R79" s="66"/>
    </row>
    <row r="80" spans="2:18" x14ac:dyDescent="0.3">
      <c r="B80" s="62"/>
      <c r="C80" s="63"/>
      <c r="D80" s="17"/>
      <c r="E80" s="17"/>
      <c r="F80" s="64"/>
      <c r="G80" s="65"/>
      <c r="H80" s="64"/>
      <c r="I80" s="65"/>
      <c r="J80" s="64"/>
      <c r="K80" s="65"/>
      <c r="L80" s="64"/>
      <c r="M80" s="65"/>
      <c r="N80" s="64"/>
      <c r="O80" s="65"/>
      <c r="P80" s="64"/>
      <c r="Q80" s="17"/>
      <c r="R80" s="66"/>
    </row>
    <row r="81" spans="2:18" x14ac:dyDescent="0.3">
      <c r="B81" s="62"/>
      <c r="C81" s="63"/>
      <c r="D81" s="17"/>
      <c r="E81" s="17"/>
      <c r="F81" s="64"/>
      <c r="G81" s="65"/>
      <c r="H81" s="64"/>
      <c r="I81" s="65"/>
      <c r="J81" s="64"/>
      <c r="K81" s="65"/>
      <c r="L81" s="64">
        <f>+L77-L79</f>
        <v>4960375.1603699923</v>
      </c>
      <c r="M81" s="17" t="s">
        <v>79</v>
      </c>
      <c r="N81" s="64"/>
      <c r="O81" s="65"/>
      <c r="P81" s="64"/>
      <c r="Q81" s="17"/>
      <c r="R81" s="66"/>
    </row>
    <row r="82" spans="2:18" ht="15" thickBot="1" x14ac:dyDescent="0.35">
      <c r="B82" s="73"/>
      <c r="C82" s="74"/>
      <c r="D82" s="74"/>
      <c r="E82" s="74"/>
      <c r="F82" s="75"/>
      <c r="G82" s="76"/>
      <c r="H82" s="75"/>
      <c r="I82" s="76"/>
      <c r="J82" s="75"/>
      <c r="K82" s="76"/>
      <c r="L82" s="75"/>
      <c r="M82" s="76"/>
      <c r="N82" s="75"/>
      <c r="O82" s="76"/>
      <c r="P82" s="75"/>
      <c r="Q82" s="74"/>
      <c r="R82" s="77"/>
    </row>
    <row r="83" spans="2:18" ht="15" thickBot="1" x14ac:dyDescent="0.35">
      <c r="H83" s="67" t="s">
        <v>34</v>
      </c>
    </row>
    <row r="84" spans="2:18" ht="15" thickBot="1" x14ac:dyDescent="0.35">
      <c r="B84" s="2" t="s">
        <v>80</v>
      </c>
      <c r="F84" s="87">
        <f>2.57%/12</f>
        <v>2.1416666666666663E-3</v>
      </c>
      <c r="H84" s="88" t="s">
        <v>81</v>
      </c>
    </row>
    <row r="85" spans="2:18" x14ac:dyDescent="0.3">
      <c r="B85" s="2"/>
      <c r="F85" s="89"/>
    </row>
    <row r="86" spans="2:18" x14ac:dyDescent="0.3">
      <c r="B86" s="78" t="s">
        <v>82</v>
      </c>
      <c r="C86" s="81" t="s">
        <v>83</v>
      </c>
      <c r="F86" s="89"/>
    </row>
    <row r="87" spans="2:18" s="38" customFormat="1" ht="15" thickBot="1" x14ac:dyDescent="0.35">
      <c r="B87" s="1"/>
      <c r="F87" s="89"/>
      <c r="G87" s="39"/>
      <c r="H87" s="39"/>
      <c r="I87" s="39"/>
      <c r="J87" s="39"/>
      <c r="K87" s="39"/>
      <c r="L87" s="39"/>
      <c r="M87" s="39"/>
      <c r="N87" s="39"/>
      <c r="O87" s="39"/>
      <c r="P87" s="39"/>
    </row>
    <row r="88" spans="2:18" s="38" customFormat="1" x14ac:dyDescent="0.3">
      <c r="B88" s="57" t="s">
        <v>84</v>
      </c>
      <c r="C88" s="58"/>
      <c r="D88" s="58"/>
      <c r="E88" s="58"/>
      <c r="F88" s="59"/>
      <c r="G88" s="60"/>
      <c r="H88" s="59"/>
      <c r="I88" s="60"/>
      <c r="J88" s="59"/>
      <c r="K88" s="60"/>
      <c r="L88" s="59"/>
      <c r="M88" s="60"/>
      <c r="N88" s="59"/>
      <c r="O88" s="60"/>
      <c r="P88" s="59"/>
      <c r="Q88" s="58"/>
      <c r="R88" s="61"/>
    </row>
    <row r="89" spans="2:18" s="38" customFormat="1" x14ac:dyDescent="0.3">
      <c r="B89" s="62"/>
      <c r="C89" s="63" t="s">
        <v>85</v>
      </c>
      <c r="D89" s="17"/>
      <c r="E89" s="17"/>
      <c r="F89" s="64"/>
      <c r="G89" s="65"/>
      <c r="H89" s="64"/>
      <c r="I89" s="65"/>
      <c r="J89" s="64"/>
      <c r="K89" s="65"/>
      <c r="L89" s="64"/>
      <c r="M89" s="65"/>
      <c r="N89" s="64"/>
      <c r="O89" s="65"/>
      <c r="P89" s="64"/>
      <c r="Q89" s="17"/>
      <c r="R89" s="66"/>
    </row>
    <row r="90" spans="2:18" s="38" customFormat="1" x14ac:dyDescent="0.3">
      <c r="B90" s="62"/>
      <c r="C90" s="67" t="s">
        <v>33</v>
      </c>
      <c r="D90" s="67" t="s">
        <v>34</v>
      </c>
      <c r="E90" s="67"/>
      <c r="F90" s="82"/>
      <c r="G90" s="90"/>
      <c r="H90" s="82"/>
      <c r="I90" s="90"/>
      <c r="J90" s="82"/>
      <c r="K90" s="90"/>
      <c r="L90" s="82"/>
      <c r="M90" s="90"/>
      <c r="N90" s="82"/>
      <c r="O90" s="90"/>
      <c r="P90" s="82"/>
      <c r="Q90" s="82"/>
      <c r="R90" s="66"/>
    </row>
    <row r="91" spans="2:18" s="38" customFormat="1" x14ac:dyDescent="0.3">
      <c r="B91" s="62"/>
      <c r="C91" s="17"/>
      <c r="D91" s="17"/>
      <c r="E91" s="17"/>
      <c r="F91" s="65"/>
      <c r="G91" s="65"/>
      <c r="H91" s="65"/>
      <c r="I91" s="65"/>
      <c r="J91" s="65"/>
      <c r="K91" s="65"/>
      <c r="L91" s="65"/>
      <c r="M91" s="65"/>
      <c r="N91" s="65"/>
      <c r="O91" s="65"/>
      <c r="P91" s="65"/>
      <c r="Q91" s="65"/>
      <c r="R91" s="66"/>
    </row>
    <row r="92" spans="2:18" s="38" customFormat="1" x14ac:dyDescent="0.3">
      <c r="B92" s="62"/>
      <c r="C92" s="17" t="s">
        <v>43</v>
      </c>
      <c r="D92" s="17" t="s">
        <v>44</v>
      </c>
      <c r="E92" s="17">
        <v>1</v>
      </c>
      <c r="F92" s="13">
        <f>(+F12-F11)*0.525/12</f>
        <v>23779.0205625169</v>
      </c>
      <c r="G92" s="65"/>
      <c r="H92" s="65"/>
      <c r="I92" s="65"/>
      <c r="J92" s="65"/>
      <c r="K92" s="65"/>
      <c r="L92" s="65"/>
      <c r="M92" s="65"/>
      <c r="N92" s="65"/>
      <c r="O92" s="65"/>
      <c r="P92" s="65"/>
      <c r="Q92" s="65"/>
      <c r="R92" s="66"/>
    </row>
    <row r="93" spans="2:18" s="38" customFormat="1" x14ac:dyDescent="0.3">
      <c r="B93" s="62"/>
      <c r="C93" s="17" t="s">
        <v>45</v>
      </c>
      <c r="D93" s="17" t="s">
        <v>44</v>
      </c>
      <c r="E93" s="17">
        <v>2</v>
      </c>
      <c r="F93" s="13">
        <f>+F92+(+F13-F12)*0.525/11</f>
        <v>91332.967448907628</v>
      </c>
      <c r="G93" s="65"/>
      <c r="H93" s="65"/>
      <c r="I93" s="65"/>
      <c r="J93" s="65"/>
      <c r="K93" s="65"/>
      <c r="L93" s="65"/>
      <c r="M93" s="65"/>
      <c r="N93" s="65"/>
      <c r="O93" s="65"/>
      <c r="P93" s="65"/>
      <c r="Q93" s="65"/>
      <c r="R93" s="66"/>
    </row>
    <row r="94" spans="2:18" s="38" customFormat="1" x14ac:dyDescent="0.3">
      <c r="B94" s="62"/>
      <c r="C94" s="17" t="s">
        <v>46</v>
      </c>
      <c r="D94" s="17" t="s">
        <v>44</v>
      </c>
      <c r="E94" s="17">
        <v>3</v>
      </c>
      <c r="F94" s="13">
        <f>+F93+(+F14-F13)*0.525/10</f>
        <v>240432.93332394015</v>
      </c>
      <c r="G94" s="65"/>
      <c r="H94" s="65"/>
      <c r="I94" s="65"/>
      <c r="J94" s="65"/>
      <c r="K94" s="65"/>
      <c r="L94" s="65"/>
      <c r="M94" s="65"/>
      <c r="N94" s="65"/>
      <c r="O94" s="65"/>
      <c r="P94" s="65"/>
      <c r="Q94" s="65"/>
      <c r="R94" s="66"/>
    </row>
    <row r="95" spans="2:18" s="38" customFormat="1" x14ac:dyDescent="0.3">
      <c r="B95" s="62"/>
      <c r="C95" s="17" t="s">
        <v>47</v>
      </c>
      <c r="D95" s="17" t="s">
        <v>44</v>
      </c>
      <c r="E95" s="81">
        <v>4</v>
      </c>
      <c r="F95" s="13">
        <f>+F94+(+F15-F14)*0.525/9</f>
        <v>517959.00254616392</v>
      </c>
      <c r="G95" s="65"/>
      <c r="H95" s="65"/>
      <c r="I95" s="65"/>
      <c r="J95" s="65"/>
      <c r="K95" s="65"/>
      <c r="L95" s="65"/>
      <c r="M95" s="65"/>
      <c r="N95" s="65"/>
      <c r="O95" s="65"/>
      <c r="P95" s="65"/>
      <c r="Q95" s="65"/>
      <c r="R95" s="66"/>
    </row>
    <row r="96" spans="2:18" s="38" customFormat="1" x14ac:dyDescent="0.3">
      <c r="B96" s="62"/>
      <c r="C96" s="17" t="s">
        <v>48</v>
      </c>
      <c r="D96" s="17" t="s">
        <v>44</v>
      </c>
      <c r="E96" s="81">
        <v>5</v>
      </c>
      <c r="F96" s="13">
        <f>+F95+(+F16-F15)*0.525/8</f>
        <v>686771.31598585984</v>
      </c>
      <c r="G96" s="65"/>
      <c r="H96" s="65"/>
      <c r="I96" s="65"/>
      <c r="J96" s="65"/>
      <c r="K96" s="65"/>
      <c r="L96" s="65"/>
      <c r="M96" s="65"/>
      <c r="N96" s="65"/>
      <c r="O96" s="65"/>
      <c r="P96" s="65"/>
      <c r="Q96" s="65"/>
      <c r="R96" s="66"/>
    </row>
    <row r="97" spans="2:18" s="38" customFormat="1" x14ac:dyDescent="0.3">
      <c r="B97" s="62"/>
      <c r="C97" s="17" t="s">
        <v>49</v>
      </c>
      <c r="D97" s="17" t="s">
        <v>44</v>
      </c>
      <c r="E97" s="17">
        <v>6</v>
      </c>
      <c r="F97" s="13">
        <f>+F96+(+F17-F16)*0.525/7</f>
        <v>2012258.2965817854</v>
      </c>
      <c r="G97" s="65"/>
      <c r="H97" s="65"/>
      <c r="I97" s="65"/>
      <c r="J97" s="65"/>
      <c r="K97" s="65"/>
      <c r="L97" s="65"/>
      <c r="M97" s="65"/>
      <c r="N97" s="65"/>
      <c r="O97" s="65"/>
      <c r="P97" s="65"/>
      <c r="Q97" s="65"/>
      <c r="R97" s="66"/>
    </row>
    <row r="98" spans="2:18" s="38" customFormat="1" x14ac:dyDescent="0.3">
      <c r="B98" s="62"/>
      <c r="C98" s="17" t="s">
        <v>50</v>
      </c>
      <c r="D98" s="81" t="s">
        <v>44</v>
      </c>
      <c r="E98" s="81">
        <v>7</v>
      </c>
      <c r="F98" s="13">
        <f>+F97+(+F18-F17)*0.525/6</f>
        <v>3055003.2371702762</v>
      </c>
      <c r="G98" s="65"/>
      <c r="H98" s="65"/>
      <c r="I98" s="65"/>
      <c r="J98" s="65"/>
      <c r="K98" s="65"/>
      <c r="L98" s="65"/>
      <c r="M98" s="65"/>
      <c r="N98" s="65"/>
      <c r="O98" s="65"/>
      <c r="P98" s="65"/>
      <c r="Q98" s="65"/>
      <c r="R98" s="66"/>
    </row>
    <row r="99" spans="2:18" s="38" customFormat="1" x14ac:dyDescent="0.3">
      <c r="B99" s="62"/>
      <c r="C99" s="17" t="s">
        <v>51</v>
      </c>
      <c r="D99" s="81" t="s">
        <v>44</v>
      </c>
      <c r="E99" s="81">
        <v>8</v>
      </c>
      <c r="F99" s="13">
        <f>+F98+(+F19-F18)*0.525/5</f>
        <v>3396706.2932372745</v>
      </c>
      <c r="G99" s="65"/>
      <c r="H99" s="65"/>
      <c r="I99" s="65"/>
      <c r="J99" s="65"/>
      <c r="K99" s="65"/>
      <c r="L99" s="65"/>
      <c r="M99" s="65"/>
      <c r="N99" s="65"/>
      <c r="O99" s="65"/>
      <c r="P99" s="65"/>
      <c r="Q99" s="65"/>
      <c r="R99" s="66"/>
    </row>
    <row r="100" spans="2:18" s="38" customFormat="1" x14ac:dyDescent="0.3">
      <c r="B100" s="62"/>
      <c r="C100" s="17" t="s">
        <v>52</v>
      </c>
      <c r="D100" s="81" t="s">
        <v>44</v>
      </c>
      <c r="E100" s="81">
        <v>9</v>
      </c>
      <c r="F100" s="13">
        <f>+F99+(+F20-F19)*0.525/4</f>
        <v>3692282.4308614219</v>
      </c>
      <c r="G100" s="65"/>
      <c r="H100" s="65"/>
      <c r="I100" s="65"/>
      <c r="J100" s="65"/>
      <c r="K100" s="65"/>
      <c r="L100" s="65"/>
      <c r="M100" s="65"/>
      <c r="N100" s="65"/>
      <c r="O100" s="65"/>
      <c r="P100" s="65"/>
      <c r="Q100" s="65"/>
      <c r="R100" s="66"/>
    </row>
    <row r="101" spans="2:18" s="38" customFormat="1" x14ac:dyDescent="0.3">
      <c r="B101" s="62"/>
      <c r="C101" s="17" t="s">
        <v>53</v>
      </c>
      <c r="D101" s="81" t="s">
        <v>44</v>
      </c>
      <c r="E101" s="81">
        <v>10</v>
      </c>
      <c r="F101" s="13">
        <f>+F100+(+F21-F20)*0.525/3</f>
        <v>6143858.7674481925</v>
      </c>
      <c r="G101" s="65"/>
      <c r="H101" s="65"/>
      <c r="I101" s="65"/>
      <c r="J101" s="65"/>
      <c r="K101" s="65"/>
      <c r="L101" s="65"/>
      <c r="M101" s="65"/>
      <c r="N101" s="65"/>
      <c r="O101" s="65"/>
      <c r="P101" s="65"/>
      <c r="Q101" s="65"/>
      <c r="R101" s="66"/>
    </row>
    <row r="102" spans="2:18" s="38" customFormat="1" x14ac:dyDescent="0.3">
      <c r="B102" s="62"/>
      <c r="C102" s="17" t="s">
        <v>54</v>
      </c>
      <c r="D102" s="81" t="s">
        <v>44</v>
      </c>
      <c r="E102" s="81">
        <v>11</v>
      </c>
      <c r="F102" s="13">
        <f>+F101+(+F22-F21)*0.525/2</f>
        <v>6939865.5789240859</v>
      </c>
      <c r="G102" s="65"/>
      <c r="H102" s="65"/>
      <c r="I102" s="65"/>
      <c r="J102" s="65"/>
      <c r="K102" s="65"/>
      <c r="L102" s="65"/>
      <c r="M102" s="65"/>
      <c r="N102" s="65"/>
      <c r="O102" s="65"/>
      <c r="P102" s="65"/>
      <c r="Q102" s="65"/>
      <c r="R102" s="66"/>
    </row>
    <row r="103" spans="2:18" s="38" customFormat="1" x14ac:dyDescent="0.3">
      <c r="B103" s="62"/>
      <c r="C103" s="17" t="s">
        <v>41</v>
      </c>
      <c r="D103" s="81" t="s">
        <v>44</v>
      </c>
      <c r="E103" s="81">
        <v>12</v>
      </c>
      <c r="F103" s="13">
        <f>+F102+(+F23-F22)*0.525/1</f>
        <v>17571550.511067294</v>
      </c>
      <c r="G103" s="65"/>
      <c r="H103" s="65"/>
      <c r="I103" s="65"/>
      <c r="J103" s="65"/>
      <c r="K103" s="65"/>
      <c r="L103" s="65"/>
      <c r="M103" s="65"/>
      <c r="N103" s="65"/>
      <c r="O103" s="65"/>
      <c r="P103" s="65"/>
      <c r="Q103" s="65"/>
      <c r="R103" s="66"/>
    </row>
    <row r="104" spans="2:18" s="38" customFormat="1" x14ac:dyDescent="0.3">
      <c r="B104" s="62"/>
      <c r="C104" s="17" t="s">
        <v>86</v>
      </c>
      <c r="D104" s="81"/>
      <c r="E104" s="81"/>
      <c r="F104" s="65">
        <f>(-F97+F70)*29/214+(-F98+F71)*60/214+(-F99+F72)*91/214+(-F100+F73)*122/214+(-F101+F74)*152/214+(-F102+F75)*183/214+(-F103+F76)*213/214</f>
        <v>-24913281.433620676</v>
      </c>
      <c r="G104" s="65"/>
      <c r="H104" s="65"/>
      <c r="I104" s="65"/>
      <c r="J104" s="65"/>
      <c r="K104" s="65"/>
      <c r="L104" s="65"/>
      <c r="M104" s="65"/>
      <c r="N104" s="65"/>
      <c r="O104" s="65"/>
      <c r="P104" s="65"/>
      <c r="Q104" s="65"/>
      <c r="R104" s="66"/>
    </row>
    <row r="105" spans="2:18" s="38" customFormat="1" x14ac:dyDescent="0.3">
      <c r="B105" s="62"/>
      <c r="C105" s="63" t="s">
        <v>87</v>
      </c>
      <c r="D105" s="17"/>
      <c r="E105" s="17"/>
      <c r="F105" s="72">
        <f>+SUM(F92:F104)</f>
        <v>19458518.921537042</v>
      </c>
      <c r="G105" s="40"/>
      <c r="H105" s="72"/>
      <c r="I105" s="40"/>
      <c r="J105" s="72"/>
      <c r="K105" s="40"/>
      <c r="L105" s="72"/>
      <c r="M105" s="65"/>
      <c r="N105" s="64"/>
      <c r="O105" s="65"/>
      <c r="P105" s="64"/>
      <c r="Q105" s="64"/>
      <c r="R105" s="66"/>
    </row>
    <row r="106" spans="2:18" s="38" customFormat="1" x14ac:dyDescent="0.3">
      <c r="B106" s="62"/>
      <c r="C106" s="63"/>
      <c r="D106" s="17"/>
      <c r="E106" s="17"/>
      <c r="F106" s="64"/>
      <c r="G106" s="65"/>
      <c r="H106" s="64"/>
      <c r="I106" s="65"/>
      <c r="J106" s="64"/>
      <c r="K106" s="65"/>
      <c r="L106" s="64"/>
      <c r="M106" s="65"/>
      <c r="N106" s="64"/>
      <c r="O106" s="65"/>
      <c r="P106" s="64"/>
      <c r="Q106" s="64"/>
      <c r="R106" s="66"/>
    </row>
    <row r="107" spans="2:18" s="38" customFormat="1" ht="15" thickBot="1" x14ac:dyDescent="0.35">
      <c r="B107" s="73"/>
      <c r="C107" s="74"/>
      <c r="D107" s="74"/>
      <c r="E107" s="74"/>
      <c r="F107" s="75"/>
      <c r="G107" s="76"/>
      <c r="H107" s="75"/>
      <c r="I107" s="76"/>
      <c r="J107" s="75"/>
      <c r="K107" s="76"/>
      <c r="L107" s="75"/>
      <c r="M107" s="76"/>
      <c r="N107" s="75"/>
      <c r="O107" s="76"/>
      <c r="P107" s="75"/>
      <c r="Q107" s="74"/>
      <c r="R107" s="77"/>
    </row>
    <row r="108" spans="2:18" s="38" customFormat="1" x14ac:dyDescent="0.3">
      <c r="B108" s="17"/>
      <c r="C108" s="17"/>
      <c r="D108" s="17"/>
      <c r="E108" s="17"/>
      <c r="F108" s="64"/>
      <c r="G108" s="65"/>
      <c r="H108" s="64"/>
      <c r="I108" s="65"/>
      <c r="J108" s="64"/>
      <c r="K108" s="65"/>
      <c r="L108" s="64"/>
      <c r="M108" s="65"/>
      <c r="N108" s="64"/>
      <c r="O108" s="65"/>
      <c r="P108" s="64"/>
      <c r="Q108" s="17"/>
      <c r="R108" s="17"/>
    </row>
    <row r="109" spans="2:18" s="38" customFormat="1" x14ac:dyDescent="0.3">
      <c r="B109" s="78" t="s">
        <v>88</v>
      </c>
      <c r="C109" s="17" t="s">
        <v>89</v>
      </c>
      <c r="D109" s="17"/>
      <c r="E109" s="17"/>
      <c r="F109" s="64"/>
      <c r="G109" s="65"/>
      <c r="H109" s="64"/>
      <c r="I109" s="65"/>
      <c r="J109" s="64"/>
      <c r="K109" s="65"/>
      <c r="L109" s="64"/>
      <c r="M109" s="65"/>
      <c r="N109" s="64"/>
      <c r="O109" s="65"/>
      <c r="P109" s="64"/>
      <c r="Q109" s="17"/>
      <c r="R109" s="17"/>
    </row>
    <row r="110" spans="2:18" s="38" customFormat="1" x14ac:dyDescent="0.3">
      <c r="C110" s="17" t="s">
        <v>90</v>
      </c>
      <c r="D110" s="17"/>
      <c r="E110" s="17"/>
      <c r="F110" s="64"/>
      <c r="G110" s="65"/>
      <c r="H110" s="64"/>
      <c r="I110" s="65"/>
      <c r="J110" s="64"/>
      <c r="K110" s="65"/>
      <c r="L110" s="64"/>
      <c r="M110" s="65"/>
      <c r="N110" s="64"/>
      <c r="O110" s="65"/>
      <c r="P110" s="64"/>
      <c r="Q110" s="17"/>
      <c r="R110" s="17"/>
    </row>
    <row r="111" spans="2:18" s="38" customFormat="1" x14ac:dyDescent="0.3">
      <c r="C111" s="17" t="s">
        <v>91</v>
      </c>
      <c r="D111" s="17"/>
      <c r="E111" s="17"/>
      <c r="F111" s="64"/>
      <c r="G111" s="65"/>
      <c r="H111" s="64"/>
      <c r="I111" s="65"/>
      <c r="J111" s="64"/>
      <c r="K111" s="65"/>
      <c r="L111" s="64"/>
      <c r="M111" s="65"/>
      <c r="N111" s="64"/>
      <c r="O111" s="65"/>
      <c r="P111" s="64"/>
      <c r="Q111" s="17"/>
      <c r="R111" s="17"/>
    </row>
    <row r="112" spans="2:18" s="38" customFormat="1" ht="15" thickBot="1" x14ac:dyDescent="0.35">
      <c r="B112" s="1"/>
      <c r="F112" s="89"/>
      <c r="G112" s="39"/>
      <c r="H112" s="39"/>
      <c r="I112" s="39"/>
      <c r="J112" s="39"/>
      <c r="K112" s="39"/>
      <c r="L112" s="39"/>
      <c r="M112" s="39"/>
      <c r="N112" s="39"/>
      <c r="O112" s="39"/>
      <c r="P112" s="39"/>
    </row>
    <row r="113" spans="2:18" x14ac:dyDescent="0.3">
      <c r="B113" s="57" t="s">
        <v>92</v>
      </c>
      <c r="C113" s="58"/>
      <c r="D113" s="58"/>
      <c r="E113" s="58"/>
      <c r="F113" s="59"/>
      <c r="G113" s="60"/>
      <c r="H113" s="59"/>
      <c r="I113" s="60"/>
      <c r="J113" s="59"/>
      <c r="K113" s="60"/>
      <c r="L113" s="59"/>
      <c r="M113" s="60"/>
      <c r="N113" s="59"/>
      <c r="O113" s="60"/>
      <c r="P113" s="59"/>
      <c r="Q113" s="58"/>
      <c r="R113" s="61"/>
    </row>
    <row r="114" spans="2:18" x14ac:dyDescent="0.3">
      <c r="B114" s="62"/>
      <c r="C114" s="63" t="s">
        <v>32</v>
      </c>
      <c r="D114" s="17"/>
      <c r="E114" s="17"/>
      <c r="F114" s="64"/>
      <c r="G114" s="65"/>
      <c r="H114" s="64"/>
      <c r="I114" s="65"/>
      <c r="J114" s="64"/>
      <c r="K114" s="65"/>
      <c r="L114" s="64"/>
      <c r="M114" s="65"/>
      <c r="N114" s="64"/>
      <c r="O114" s="65"/>
      <c r="P114" s="64"/>
      <c r="Q114" s="17"/>
      <c r="R114" s="66"/>
    </row>
    <row r="115" spans="2:18" x14ac:dyDescent="0.3">
      <c r="B115" s="62"/>
      <c r="C115" s="67" t="s">
        <v>33</v>
      </c>
      <c r="D115" s="67" t="s">
        <v>34</v>
      </c>
      <c r="E115" s="67"/>
      <c r="F115" s="82" t="s">
        <v>93</v>
      </c>
      <c r="G115" s="90"/>
      <c r="H115" s="82" t="s">
        <v>94</v>
      </c>
      <c r="I115" s="90"/>
      <c r="J115" s="82" t="s">
        <v>95</v>
      </c>
      <c r="K115" s="90"/>
      <c r="L115" s="82" t="s">
        <v>96</v>
      </c>
      <c r="M115" s="90"/>
      <c r="N115" s="82" t="s">
        <v>97</v>
      </c>
      <c r="O115" s="90"/>
      <c r="P115" s="82" t="s">
        <v>98</v>
      </c>
      <c r="Q115" s="17"/>
      <c r="R115" s="66"/>
    </row>
    <row r="116" spans="2:18" x14ac:dyDescent="0.3">
      <c r="B116" s="62"/>
      <c r="C116" s="17" t="s">
        <v>41</v>
      </c>
      <c r="D116" s="17" t="s">
        <v>99</v>
      </c>
      <c r="E116" s="17"/>
      <c r="F116" s="13">
        <v>0</v>
      </c>
      <c r="G116" s="65"/>
      <c r="H116" s="13">
        <v>0</v>
      </c>
      <c r="I116" s="65"/>
      <c r="J116" s="13">
        <v>0</v>
      </c>
      <c r="K116" s="65"/>
      <c r="L116" s="13">
        <v>0</v>
      </c>
      <c r="M116" s="65"/>
      <c r="N116" s="13">
        <v>0</v>
      </c>
      <c r="O116" s="65"/>
      <c r="P116" s="13">
        <v>0</v>
      </c>
      <c r="Q116" s="17"/>
      <c r="R116" s="66"/>
    </row>
    <row r="117" spans="2:18" x14ac:dyDescent="0.3">
      <c r="B117" s="62"/>
      <c r="C117" s="17" t="s">
        <v>43</v>
      </c>
      <c r="D117" s="17" t="s">
        <v>99</v>
      </c>
      <c r="E117" s="17"/>
      <c r="F117" s="13">
        <v>0</v>
      </c>
      <c r="G117" s="65"/>
      <c r="H117" s="13">
        <v>0</v>
      </c>
      <c r="I117" s="65"/>
      <c r="J117" s="13">
        <v>0</v>
      </c>
      <c r="K117" s="65"/>
      <c r="L117" s="13">
        <v>0</v>
      </c>
      <c r="M117" s="65"/>
      <c r="N117" s="13">
        <v>0</v>
      </c>
      <c r="O117" s="65"/>
      <c r="P117" s="13">
        <v>0</v>
      </c>
      <c r="Q117" s="17"/>
      <c r="R117" s="66"/>
    </row>
    <row r="118" spans="2:18" x14ac:dyDescent="0.3">
      <c r="B118" s="62"/>
      <c r="C118" s="17" t="s">
        <v>45</v>
      </c>
      <c r="D118" s="17" t="s">
        <v>99</v>
      </c>
      <c r="E118" s="17"/>
      <c r="F118" s="13">
        <v>0</v>
      </c>
      <c r="G118" s="65"/>
      <c r="H118" s="13">
        <v>0</v>
      </c>
      <c r="I118" s="65"/>
      <c r="J118" s="13">
        <v>0</v>
      </c>
      <c r="K118" s="65"/>
      <c r="L118" s="13">
        <v>0</v>
      </c>
      <c r="M118" s="65"/>
      <c r="N118" s="13">
        <v>0</v>
      </c>
      <c r="O118" s="65"/>
      <c r="P118" s="13">
        <v>0</v>
      </c>
      <c r="Q118" s="17"/>
      <c r="R118" s="66"/>
    </row>
    <row r="119" spans="2:18" x14ac:dyDescent="0.3">
      <c r="B119" s="62"/>
      <c r="C119" s="17" t="s">
        <v>46</v>
      </c>
      <c r="D119" s="17" t="s">
        <v>99</v>
      </c>
      <c r="E119" s="17"/>
      <c r="F119" s="13">
        <v>0</v>
      </c>
      <c r="G119" s="65"/>
      <c r="H119" s="13">
        <v>0</v>
      </c>
      <c r="I119" s="65"/>
      <c r="J119" s="13">
        <v>0</v>
      </c>
      <c r="K119" s="65"/>
      <c r="L119" s="13">
        <v>0</v>
      </c>
      <c r="M119" s="65"/>
      <c r="N119" s="13">
        <v>0</v>
      </c>
      <c r="O119" s="65"/>
      <c r="P119" s="13">
        <v>0</v>
      </c>
      <c r="Q119" s="17"/>
      <c r="R119" s="66"/>
    </row>
    <row r="120" spans="2:18" x14ac:dyDescent="0.3">
      <c r="B120" s="62"/>
      <c r="C120" s="17" t="s">
        <v>47</v>
      </c>
      <c r="D120" s="17" t="s">
        <v>99</v>
      </c>
      <c r="E120" s="17"/>
      <c r="F120" s="13">
        <v>0</v>
      </c>
      <c r="G120" s="65"/>
      <c r="H120" s="13">
        <v>0</v>
      </c>
      <c r="I120" s="65"/>
      <c r="J120" s="13">
        <v>0</v>
      </c>
      <c r="K120" s="65"/>
      <c r="L120" s="13">
        <v>0</v>
      </c>
      <c r="M120" s="65"/>
      <c r="N120" s="13">
        <v>0</v>
      </c>
      <c r="O120" s="65"/>
      <c r="P120" s="13">
        <v>0</v>
      </c>
      <c r="Q120" s="17"/>
      <c r="R120" s="66"/>
    </row>
    <row r="121" spans="2:18" x14ac:dyDescent="0.3">
      <c r="B121" s="62"/>
      <c r="C121" s="17" t="s">
        <v>48</v>
      </c>
      <c r="D121" s="17" t="s">
        <v>99</v>
      </c>
      <c r="E121" s="17"/>
      <c r="F121" s="13">
        <v>0</v>
      </c>
      <c r="G121" s="65"/>
      <c r="H121" s="13">
        <v>0</v>
      </c>
      <c r="I121" s="65"/>
      <c r="J121" s="13">
        <v>0</v>
      </c>
      <c r="K121" s="65"/>
      <c r="L121" s="13">
        <v>0</v>
      </c>
      <c r="M121" s="65"/>
      <c r="N121" s="13">
        <v>0</v>
      </c>
      <c r="O121" s="65"/>
      <c r="P121" s="13">
        <v>0</v>
      </c>
      <c r="Q121" s="17"/>
      <c r="R121" s="66"/>
    </row>
    <row r="122" spans="2:18" x14ac:dyDescent="0.3">
      <c r="B122" s="62"/>
      <c r="C122" s="17" t="s">
        <v>49</v>
      </c>
      <c r="D122" s="17" t="s">
        <v>99</v>
      </c>
      <c r="E122" s="17"/>
      <c r="F122" s="13">
        <v>0</v>
      </c>
      <c r="G122" s="65"/>
      <c r="H122" s="13">
        <v>0</v>
      </c>
      <c r="I122" s="65"/>
      <c r="J122" s="13">
        <v>0</v>
      </c>
      <c r="K122" s="65"/>
      <c r="L122" s="13">
        <v>0</v>
      </c>
      <c r="M122" s="65"/>
      <c r="N122" s="13">
        <v>0</v>
      </c>
      <c r="O122" s="65"/>
      <c r="P122" s="13">
        <v>0</v>
      </c>
      <c r="Q122" s="17"/>
      <c r="R122" s="66"/>
    </row>
    <row r="123" spans="2:18" x14ac:dyDescent="0.3">
      <c r="B123" s="62"/>
      <c r="C123" s="17" t="s">
        <v>50</v>
      </c>
      <c r="D123" s="17" t="s">
        <v>99</v>
      </c>
      <c r="E123" s="17"/>
      <c r="F123" s="13">
        <v>0</v>
      </c>
      <c r="G123" s="65"/>
      <c r="H123" s="13">
        <v>0</v>
      </c>
      <c r="I123" s="65"/>
      <c r="J123" s="13">
        <v>0</v>
      </c>
      <c r="K123" s="65"/>
      <c r="L123" s="13">
        <v>0</v>
      </c>
      <c r="M123" s="65"/>
      <c r="N123" s="13">
        <v>0</v>
      </c>
      <c r="O123" s="65"/>
      <c r="P123" s="13">
        <v>0</v>
      </c>
      <c r="Q123" s="17"/>
      <c r="R123" s="66"/>
    </row>
    <row r="124" spans="2:18" x14ac:dyDescent="0.3">
      <c r="B124" s="62"/>
      <c r="C124" s="17" t="s">
        <v>51</v>
      </c>
      <c r="D124" s="17" t="s">
        <v>99</v>
      </c>
      <c r="E124" s="17"/>
      <c r="F124" s="13">
        <v>0</v>
      </c>
      <c r="G124" s="65"/>
      <c r="H124" s="13">
        <v>0</v>
      </c>
      <c r="I124" s="65"/>
      <c r="J124" s="13">
        <v>0</v>
      </c>
      <c r="K124" s="65"/>
      <c r="L124" s="13">
        <v>0</v>
      </c>
      <c r="M124" s="65"/>
      <c r="N124" s="13">
        <v>0</v>
      </c>
      <c r="O124" s="65"/>
      <c r="P124" s="13">
        <v>0</v>
      </c>
      <c r="Q124" s="17"/>
      <c r="R124" s="66"/>
    </row>
    <row r="125" spans="2:18" x14ac:dyDescent="0.3">
      <c r="B125" s="62"/>
      <c r="C125" s="17" t="s">
        <v>52</v>
      </c>
      <c r="D125" s="17" t="s">
        <v>99</v>
      </c>
      <c r="E125" s="17"/>
      <c r="F125" s="13">
        <v>0</v>
      </c>
      <c r="G125" s="65"/>
      <c r="H125" s="13">
        <v>0</v>
      </c>
      <c r="I125" s="65"/>
      <c r="J125" s="13">
        <v>0</v>
      </c>
      <c r="K125" s="65"/>
      <c r="L125" s="13">
        <v>0</v>
      </c>
      <c r="M125" s="65"/>
      <c r="N125" s="13">
        <v>0</v>
      </c>
      <c r="O125" s="65"/>
      <c r="P125" s="13">
        <v>0</v>
      </c>
      <c r="Q125" s="17"/>
      <c r="R125" s="66"/>
    </row>
    <row r="126" spans="2:18" x14ac:dyDescent="0.3">
      <c r="B126" s="62"/>
      <c r="C126" s="17" t="s">
        <v>53</v>
      </c>
      <c r="D126" s="17" t="s">
        <v>99</v>
      </c>
      <c r="E126" s="17"/>
      <c r="F126" s="13">
        <v>0</v>
      </c>
      <c r="G126" s="65"/>
      <c r="H126" s="13">
        <v>0</v>
      </c>
      <c r="I126" s="65"/>
      <c r="J126" s="13">
        <v>0</v>
      </c>
      <c r="K126" s="65"/>
      <c r="L126" s="13">
        <v>0</v>
      </c>
      <c r="M126" s="65"/>
      <c r="N126" s="13">
        <v>0</v>
      </c>
      <c r="O126" s="65"/>
      <c r="P126" s="13">
        <v>0</v>
      </c>
      <c r="Q126" s="17"/>
      <c r="R126" s="66"/>
    </row>
    <row r="127" spans="2:18" x14ac:dyDescent="0.3">
      <c r="B127" s="62"/>
      <c r="C127" s="17" t="s">
        <v>54</v>
      </c>
      <c r="D127" s="17" t="s">
        <v>99</v>
      </c>
      <c r="E127" s="17"/>
      <c r="F127" s="13">
        <v>0</v>
      </c>
      <c r="G127" s="65"/>
      <c r="H127" s="13">
        <v>0</v>
      </c>
      <c r="I127" s="65"/>
      <c r="J127" s="13">
        <v>0</v>
      </c>
      <c r="K127" s="65"/>
      <c r="L127" s="13">
        <v>0</v>
      </c>
      <c r="M127" s="65"/>
      <c r="N127" s="13">
        <v>0</v>
      </c>
      <c r="O127" s="65"/>
      <c r="P127" s="13">
        <v>0</v>
      </c>
      <c r="Q127" s="17"/>
      <c r="R127" s="66"/>
    </row>
    <row r="128" spans="2:18" x14ac:dyDescent="0.3">
      <c r="B128" s="62"/>
      <c r="C128" s="17" t="s">
        <v>41</v>
      </c>
      <c r="D128" s="17" t="s">
        <v>99</v>
      </c>
      <c r="E128" s="17"/>
      <c r="F128" s="71">
        <v>0</v>
      </c>
      <c r="G128" s="70"/>
      <c r="H128" s="71">
        <v>0</v>
      </c>
      <c r="I128" s="70"/>
      <c r="J128" s="71">
        <v>0</v>
      </c>
      <c r="K128" s="70"/>
      <c r="L128" s="71">
        <v>0</v>
      </c>
      <c r="M128" s="70"/>
      <c r="N128" s="71">
        <v>0</v>
      </c>
      <c r="O128" s="70"/>
      <c r="P128" s="71">
        <v>0</v>
      </c>
      <c r="Q128" s="17"/>
      <c r="R128" s="66"/>
    </row>
    <row r="129" spans="2:18" x14ac:dyDescent="0.3">
      <c r="B129" s="62"/>
      <c r="C129" s="63" t="s">
        <v>55</v>
      </c>
      <c r="D129" s="17"/>
      <c r="E129" s="17"/>
      <c r="F129" s="64">
        <f t="shared" ref="F129:N129" si="10">AVERAGE(F116:F128)</f>
        <v>0</v>
      </c>
      <c r="G129" s="65"/>
      <c r="H129" s="64">
        <f t="shared" si="10"/>
        <v>0</v>
      </c>
      <c r="I129" s="65"/>
      <c r="J129" s="64">
        <f t="shared" si="10"/>
        <v>0</v>
      </c>
      <c r="K129" s="65"/>
      <c r="L129" s="64">
        <f t="shared" si="10"/>
        <v>0</v>
      </c>
      <c r="M129" s="65"/>
      <c r="N129" s="64">
        <f t="shared" si="10"/>
        <v>0</v>
      </c>
      <c r="O129" s="65"/>
      <c r="P129" s="64">
        <f>AVERAGE(P116:P128)</f>
        <v>0</v>
      </c>
      <c r="Q129" s="17"/>
      <c r="R129" s="66"/>
    </row>
    <row r="130" spans="2:18" x14ac:dyDescent="0.3">
      <c r="B130" s="62"/>
      <c r="C130" s="63"/>
      <c r="D130" s="17"/>
      <c r="E130" s="17"/>
      <c r="F130" s="64"/>
      <c r="G130" s="65"/>
      <c r="H130" s="64"/>
      <c r="I130" s="65"/>
      <c r="J130" s="64"/>
      <c r="K130" s="65"/>
      <c r="L130" s="64"/>
      <c r="M130" s="65"/>
      <c r="N130" s="64"/>
      <c r="O130" s="65"/>
      <c r="P130" s="64"/>
      <c r="Q130" s="17"/>
      <c r="R130" s="66"/>
    </row>
    <row r="131" spans="2:18" x14ac:dyDescent="0.3">
      <c r="B131" s="62"/>
      <c r="C131" s="91" t="s">
        <v>100</v>
      </c>
      <c r="D131" s="17"/>
      <c r="E131" s="17"/>
      <c r="F131" s="64"/>
      <c r="G131" s="65"/>
      <c r="H131" s="64"/>
      <c r="I131" s="65"/>
      <c r="J131" s="64"/>
      <c r="K131" s="65"/>
      <c r="L131" s="64"/>
      <c r="M131" s="65"/>
      <c r="N131" s="64"/>
      <c r="O131" s="65"/>
      <c r="P131" s="64"/>
      <c r="Q131" s="17" t="s">
        <v>101</v>
      </c>
      <c r="R131" s="66"/>
    </row>
    <row r="132" spans="2:18" x14ac:dyDescent="0.3">
      <c r="B132" s="62"/>
      <c r="C132" s="91"/>
      <c r="D132" s="17"/>
      <c r="E132" s="17"/>
      <c r="F132" s="64"/>
      <c r="G132" s="65"/>
      <c r="H132" s="64"/>
      <c r="I132" s="65"/>
      <c r="J132" s="64"/>
      <c r="K132" s="65"/>
      <c r="L132" s="64"/>
      <c r="M132" s="65"/>
      <c r="N132" s="64"/>
      <c r="O132" s="65"/>
      <c r="P132" s="64"/>
      <c r="Q132" s="17"/>
      <c r="R132" s="66"/>
    </row>
    <row r="133" spans="2:18" x14ac:dyDescent="0.3">
      <c r="B133" s="62"/>
      <c r="C133" s="91" t="s">
        <v>102</v>
      </c>
      <c r="D133" s="17"/>
      <c r="E133" s="17"/>
      <c r="F133" s="64"/>
      <c r="G133" s="65"/>
      <c r="H133" s="64"/>
      <c r="I133" s="65"/>
      <c r="J133" s="64"/>
      <c r="K133" s="65"/>
      <c r="L133" s="64"/>
      <c r="M133" s="65"/>
      <c r="N133" s="64"/>
      <c r="O133" s="65"/>
      <c r="P133" s="64"/>
      <c r="Q133" s="17" t="s">
        <v>103</v>
      </c>
      <c r="R133" s="66"/>
    </row>
    <row r="134" spans="2:18" ht="15" thickBot="1" x14ac:dyDescent="0.35">
      <c r="B134" s="73"/>
      <c r="C134" s="74"/>
      <c r="D134" s="74"/>
      <c r="E134" s="74"/>
      <c r="F134" s="75"/>
      <c r="G134" s="76"/>
      <c r="H134" s="75"/>
      <c r="I134" s="76"/>
      <c r="J134" s="75"/>
      <c r="K134" s="76"/>
      <c r="L134" s="75"/>
      <c r="M134" s="76"/>
      <c r="N134" s="75"/>
      <c r="O134" s="76"/>
      <c r="P134" s="75"/>
      <c r="Q134" s="74"/>
      <c r="R134" s="77"/>
    </row>
    <row r="135" spans="2:18" ht="15" thickBot="1" x14ac:dyDescent="0.35"/>
    <row r="136" spans="2:18" x14ac:dyDescent="0.3">
      <c r="B136" s="57" t="s">
        <v>104</v>
      </c>
      <c r="C136" s="58"/>
      <c r="D136" s="58"/>
      <c r="E136" s="58"/>
      <c r="F136" s="59"/>
      <c r="G136" s="60"/>
      <c r="H136" s="59"/>
      <c r="I136" s="60"/>
      <c r="J136" s="59"/>
      <c r="K136" s="60"/>
      <c r="L136" s="59"/>
      <c r="M136" s="60"/>
      <c r="N136" s="59"/>
      <c r="O136" s="60"/>
      <c r="P136" s="59"/>
      <c r="Q136" s="58"/>
      <c r="R136" s="61"/>
    </row>
    <row r="137" spans="2:18" x14ac:dyDescent="0.3">
      <c r="B137" s="62"/>
      <c r="C137" s="63" t="s">
        <v>60</v>
      </c>
      <c r="D137" s="17"/>
      <c r="E137" s="17"/>
      <c r="F137" s="64"/>
      <c r="G137" s="65"/>
      <c r="H137" s="64"/>
      <c r="I137" s="65"/>
      <c r="J137" s="64"/>
      <c r="K137" s="65"/>
      <c r="L137" s="64"/>
      <c r="M137" s="65"/>
      <c r="N137" s="64"/>
      <c r="O137" s="65"/>
      <c r="P137" s="64"/>
      <c r="Q137" s="17"/>
      <c r="R137" s="66"/>
    </row>
    <row r="138" spans="2:18" x14ac:dyDescent="0.3">
      <c r="B138" s="62"/>
      <c r="C138" s="67" t="s">
        <v>33</v>
      </c>
      <c r="D138" s="67" t="s">
        <v>34</v>
      </c>
      <c r="E138" s="67"/>
      <c r="F138" s="82" t="s">
        <v>93</v>
      </c>
      <c r="G138" s="90"/>
      <c r="H138" s="82" t="s">
        <v>94</v>
      </c>
      <c r="I138" s="90"/>
      <c r="J138" s="82" t="s">
        <v>95</v>
      </c>
      <c r="K138" s="90"/>
      <c r="L138" s="82" t="s">
        <v>96</v>
      </c>
      <c r="M138" s="90"/>
      <c r="N138" s="82" t="s">
        <v>97</v>
      </c>
      <c r="O138" s="90"/>
      <c r="P138" s="82" t="s">
        <v>98</v>
      </c>
      <c r="Q138" s="17"/>
      <c r="R138" s="66"/>
    </row>
    <row r="139" spans="2:18" x14ac:dyDescent="0.3">
      <c r="B139" s="62"/>
      <c r="C139" s="17" t="s">
        <v>41</v>
      </c>
      <c r="D139" s="17" t="s">
        <v>99</v>
      </c>
      <c r="E139" s="17"/>
      <c r="F139" s="65">
        <v>0</v>
      </c>
      <c r="G139" s="65"/>
      <c r="H139" s="65">
        <v>0</v>
      </c>
      <c r="I139" s="65"/>
      <c r="J139" s="65">
        <v>0</v>
      </c>
      <c r="K139" s="65"/>
      <c r="L139" s="65">
        <v>0</v>
      </c>
      <c r="M139" s="65"/>
      <c r="N139" s="65">
        <v>0</v>
      </c>
      <c r="O139" s="65"/>
      <c r="P139" s="65">
        <v>0</v>
      </c>
      <c r="Q139" s="17"/>
      <c r="R139" s="66"/>
    </row>
    <row r="140" spans="2:18" x14ac:dyDescent="0.3">
      <c r="B140" s="62"/>
      <c r="C140" s="17" t="s">
        <v>43</v>
      </c>
      <c r="D140" s="17" t="s">
        <v>99</v>
      </c>
      <c r="E140" s="17"/>
      <c r="F140" s="65">
        <f>+-F187</f>
        <v>0</v>
      </c>
      <c r="G140" s="65"/>
      <c r="H140" s="65">
        <f t="shared" ref="H140:N140" si="11">+-H187</f>
        <v>0</v>
      </c>
      <c r="I140" s="65"/>
      <c r="J140" s="65">
        <f t="shared" si="11"/>
        <v>0</v>
      </c>
      <c r="K140" s="65"/>
      <c r="L140" s="65">
        <f t="shared" si="11"/>
        <v>0</v>
      </c>
      <c r="M140" s="65"/>
      <c r="N140" s="65">
        <f t="shared" si="11"/>
        <v>0</v>
      </c>
      <c r="O140" s="65"/>
      <c r="P140" s="65">
        <f>+-P187</f>
        <v>0</v>
      </c>
      <c r="Q140" s="17"/>
      <c r="R140" s="66"/>
    </row>
    <row r="141" spans="2:18" x14ac:dyDescent="0.3">
      <c r="B141" s="62"/>
      <c r="C141" s="17" t="s">
        <v>45</v>
      </c>
      <c r="D141" s="17" t="s">
        <v>99</v>
      </c>
      <c r="E141" s="17"/>
      <c r="F141" s="65">
        <f t="shared" ref="F141:F151" si="12">+F140-F188</f>
        <v>0</v>
      </c>
      <c r="G141" s="65"/>
      <c r="H141" s="65">
        <f t="shared" ref="H141:H151" si="13">+H140-H188</f>
        <v>0</v>
      </c>
      <c r="I141" s="65"/>
      <c r="J141" s="65">
        <f t="shared" ref="J141:J151" si="14">+J140-J188</f>
        <v>0</v>
      </c>
      <c r="K141" s="65"/>
      <c r="L141" s="65">
        <f t="shared" ref="L141:L151" si="15">+L140-L188</f>
        <v>0</v>
      </c>
      <c r="M141" s="65"/>
      <c r="N141" s="65">
        <f t="shared" ref="N141:P151" si="16">+N140-N188</f>
        <v>0</v>
      </c>
      <c r="O141" s="65"/>
      <c r="P141" s="65">
        <f t="shared" si="16"/>
        <v>0</v>
      </c>
      <c r="Q141" s="17"/>
      <c r="R141" s="66"/>
    </row>
    <row r="142" spans="2:18" x14ac:dyDescent="0.3">
      <c r="B142" s="62"/>
      <c r="C142" s="17" t="s">
        <v>46</v>
      </c>
      <c r="D142" s="17" t="s">
        <v>99</v>
      </c>
      <c r="E142" s="17"/>
      <c r="F142" s="65">
        <f t="shared" si="12"/>
        <v>0</v>
      </c>
      <c r="G142" s="65"/>
      <c r="H142" s="65">
        <f t="shared" si="13"/>
        <v>0</v>
      </c>
      <c r="I142" s="65"/>
      <c r="J142" s="65">
        <f t="shared" si="14"/>
        <v>0</v>
      </c>
      <c r="K142" s="65"/>
      <c r="L142" s="65">
        <f t="shared" si="15"/>
        <v>0</v>
      </c>
      <c r="M142" s="65"/>
      <c r="N142" s="65">
        <f t="shared" si="16"/>
        <v>0</v>
      </c>
      <c r="O142" s="65"/>
      <c r="P142" s="65">
        <f t="shared" si="16"/>
        <v>0</v>
      </c>
      <c r="Q142" s="17"/>
      <c r="R142" s="66"/>
    </row>
    <row r="143" spans="2:18" x14ac:dyDescent="0.3">
      <c r="B143" s="62"/>
      <c r="C143" s="17" t="s">
        <v>47</v>
      </c>
      <c r="D143" s="17" t="s">
        <v>99</v>
      </c>
      <c r="E143" s="17"/>
      <c r="F143" s="65">
        <f t="shared" si="12"/>
        <v>0</v>
      </c>
      <c r="G143" s="65"/>
      <c r="H143" s="65">
        <f t="shared" si="13"/>
        <v>0</v>
      </c>
      <c r="I143" s="65"/>
      <c r="J143" s="65">
        <f t="shared" si="14"/>
        <v>0</v>
      </c>
      <c r="K143" s="65"/>
      <c r="L143" s="65">
        <f t="shared" si="15"/>
        <v>0</v>
      </c>
      <c r="M143" s="65"/>
      <c r="N143" s="65">
        <f t="shared" si="16"/>
        <v>0</v>
      </c>
      <c r="O143" s="65"/>
      <c r="P143" s="65">
        <f t="shared" si="16"/>
        <v>0</v>
      </c>
      <c r="Q143" s="17"/>
      <c r="R143" s="66"/>
    </row>
    <row r="144" spans="2:18" x14ac:dyDescent="0.3">
      <c r="B144" s="62"/>
      <c r="C144" s="17" t="s">
        <v>48</v>
      </c>
      <c r="D144" s="17" t="s">
        <v>99</v>
      </c>
      <c r="E144" s="17"/>
      <c r="F144" s="65">
        <f t="shared" si="12"/>
        <v>0</v>
      </c>
      <c r="G144" s="65"/>
      <c r="H144" s="65">
        <f t="shared" si="13"/>
        <v>0</v>
      </c>
      <c r="I144" s="65"/>
      <c r="J144" s="65">
        <f t="shared" si="14"/>
        <v>0</v>
      </c>
      <c r="K144" s="65"/>
      <c r="L144" s="65">
        <f t="shared" si="15"/>
        <v>0</v>
      </c>
      <c r="M144" s="65"/>
      <c r="N144" s="65">
        <f t="shared" si="16"/>
        <v>0</v>
      </c>
      <c r="O144" s="65"/>
      <c r="P144" s="65">
        <f t="shared" si="16"/>
        <v>0</v>
      </c>
      <c r="Q144" s="17"/>
      <c r="R144" s="66"/>
    </row>
    <row r="145" spans="2:18" x14ac:dyDescent="0.3">
      <c r="B145" s="62"/>
      <c r="C145" s="17" t="s">
        <v>49</v>
      </c>
      <c r="D145" s="17" t="s">
        <v>99</v>
      </c>
      <c r="E145" s="17"/>
      <c r="F145" s="65">
        <f t="shared" si="12"/>
        <v>0</v>
      </c>
      <c r="G145" s="65"/>
      <c r="H145" s="65">
        <f t="shared" si="13"/>
        <v>0</v>
      </c>
      <c r="I145" s="65"/>
      <c r="J145" s="65">
        <f t="shared" si="14"/>
        <v>0</v>
      </c>
      <c r="K145" s="65"/>
      <c r="L145" s="65">
        <f t="shared" si="15"/>
        <v>0</v>
      </c>
      <c r="M145" s="65"/>
      <c r="N145" s="65">
        <f t="shared" si="16"/>
        <v>0</v>
      </c>
      <c r="O145" s="65"/>
      <c r="P145" s="65">
        <f t="shared" si="16"/>
        <v>0</v>
      </c>
      <c r="Q145" s="17"/>
      <c r="R145" s="66"/>
    </row>
    <row r="146" spans="2:18" x14ac:dyDescent="0.3">
      <c r="B146" s="62"/>
      <c r="C146" s="17" t="s">
        <v>50</v>
      </c>
      <c r="D146" s="17" t="s">
        <v>99</v>
      </c>
      <c r="E146" s="17"/>
      <c r="F146" s="65">
        <f t="shared" si="12"/>
        <v>0</v>
      </c>
      <c r="G146" s="65"/>
      <c r="H146" s="65">
        <f t="shared" si="13"/>
        <v>0</v>
      </c>
      <c r="I146" s="65"/>
      <c r="J146" s="65">
        <f t="shared" si="14"/>
        <v>0</v>
      </c>
      <c r="K146" s="65"/>
      <c r="L146" s="65">
        <f t="shared" si="15"/>
        <v>0</v>
      </c>
      <c r="M146" s="65"/>
      <c r="N146" s="65">
        <f t="shared" si="16"/>
        <v>0</v>
      </c>
      <c r="O146" s="65"/>
      <c r="P146" s="65">
        <f t="shared" si="16"/>
        <v>0</v>
      </c>
      <c r="Q146" s="17"/>
      <c r="R146" s="66"/>
    </row>
    <row r="147" spans="2:18" x14ac:dyDescent="0.3">
      <c r="B147" s="62"/>
      <c r="C147" s="17" t="s">
        <v>51</v>
      </c>
      <c r="D147" s="17" t="s">
        <v>99</v>
      </c>
      <c r="E147" s="17"/>
      <c r="F147" s="65">
        <f t="shared" si="12"/>
        <v>0</v>
      </c>
      <c r="G147" s="65"/>
      <c r="H147" s="65">
        <f t="shared" si="13"/>
        <v>0</v>
      </c>
      <c r="I147" s="65"/>
      <c r="J147" s="65">
        <f t="shared" si="14"/>
        <v>0</v>
      </c>
      <c r="K147" s="65"/>
      <c r="L147" s="65">
        <f t="shared" si="15"/>
        <v>0</v>
      </c>
      <c r="M147" s="65"/>
      <c r="N147" s="65">
        <f t="shared" si="16"/>
        <v>0</v>
      </c>
      <c r="O147" s="65"/>
      <c r="P147" s="65">
        <f t="shared" si="16"/>
        <v>0</v>
      </c>
      <c r="Q147" s="17"/>
      <c r="R147" s="66"/>
    </row>
    <row r="148" spans="2:18" x14ac:dyDescent="0.3">
      <c r="B148" s="62"/>
      <c r="C148" s="17" t="s">
        <v>52</v>
      </c>
      <c r="D148" s="17" t="s">
        <v>99</v>
      </c>
      <c r="E148" s="17"/>
      <c r="F148" s="65">
        <f t="shared" si="12"/>
        <v>0</v>
      </c>
      <c r="G148" s="65"/>
      <c r="H148" s="65">
        <f t="shared" si="13"/>
        <v>0</v>
      </c>
      <c r="I148" s="65"/>
      <c r="J148" s="65">
        <f t="shared" si="14"/>
        <v>0</v>
      </c>
      <c r="K148" s="65"/>
      <c r="L148" s="65">
        <f t="shared" si="15"/>
        <v>0</v>
      </c>
      <c r="M148" s="65"/>
      <c r="N148" s="65">
        <f t="shared" si="16"/>
        <v>0</v>
      </c>
      <c r="O148" s="65"/>
      <c r="P148" s="65">
        <f t="shared" si="16"/>
        <v>0</v>
      </c>
      <c r="Q148" s="17"/>
      <c r="R148" s="66"/>
    </row>
    <row r="149" spans="2:18" x14ac:dyDescent="0.3">
      <c r="B149" s="62"/>
      <c r="C149" s="17" t="s">
        <v>53</v>
      </c>
      <c r="D149" s="17" t="s">
        <v>99</v>
      </c>
      <c r="E149" s="17"/>
      <c r="F149" s="65">
        <f t="shared" si="12"/>
        <v>0</v>
      </c>
      <c r="G149" s="65"/>
      <c r="H149" s="65">
        <f t="shared" si="13"/>
        <v>0</v>
      </c>
      <c r="I149" s="65"/>
      <c r="J149" s="65">
        <f t="shared" si="14"/>
        <v>0</v>
      </c>
      <c r="K149" s="65"/>
      <c r="L149" s="65">
        <f t="shared" si="15"/>
        <v>0</v>
      </c>
      <c r="M149" s="65"/>
      <c r="N149" s="65">
        <f t="shared" si="16"/>
        <v>0</v>
      </c>
      <c r="O149" s="65"/>
      <c r="P149" s="65">
        <f t="shared" si="16"/>
        <v>0</v>
      </c>
      <c r="Q149" s="17"/>
      <c r="R149" s="66"/>
    </row>
    <row r="150" spans="2:18" x14ac:dyDescent="0.3">
      <c r="B150" s="62"/>
      <c r="C150" s="17" t="s">
        <v>54</v>
      </c>
      <c r="D150" s="17" t="s">
        <v>99</v>
      </c>
      <c r="E150" s="17"/>
      <c r="F150" s="65">
        <f t="shared" si="12"/>
        <v>0</v>
      </c>
      <c r="G150" s="65"/>
      <c r="H150" s="65">
        <f t="shared" si="13"/>
        <v>0</v>
      </c>
      <c r="I150" s="65"/>
      <c r="J150" s="65">
        <f t="shared" si="14"/>
        <v>0</v>
      </c>
      <c r="K150" s="65"/>
      <c r="L150" s="65">
        <f t="shared" si="15"/>
        <v>0</v>
      </c>
      <c r="M150" s="65"/>
      <c r="N150" s="65">
        <f t="shared" si="16"/>
        <v>0</v>
      </c>
      <c r="O150" s="65"/>
      <c r="P150" s="65">
        <f t="shared" si="16"/>
        <v>0</v>
      </c>
      <c r="Q150" s="17"/>
      <c r="R150" s="66"/>
    </row>
    <row r="151" spans="2:18" x14ac:dyDescent="0.3">
      <c r="B151" s="62"/>
      <c r="C151" s="17" t="s">
        <v>41</v>
      </c>
      <c r="D151" s="17" t="s">
        <v>99</v>
      </c>
      <c r="E151" s="17"/>
      <c r="F151" s="70">
        <f t="shared" si="12"/>
        <v>0</v>
      </c>
      <c r="G151" s="70"/>
      <c r="H151" s="70">
        <f t="shared" si="13"/>
        <v>0</v>
      </c>
      <c r="I151" s="70"/>
      <c r="J151" s="70">
        <f t="shared" si="14"/>
        <v>0</v>
      </c>
      <c r="K151" s="70"/>
      <c r="L151" s="70">
        <f t="shared" si="15"/>
        <v>0</v>
      </c>
      <c r="M151" s="70"/>
      <c r="N151" s="70">
        <f t="shared" si="16"/>
        <v>0</v>
      </c>
      <c r="O151" s="70"/>
      <c r="P151" s="70">
        <f t="shared" si="16"/>
        <v>0</v>
      </c>
      <c r="Q151" s="17"/>
      <c r="R151" s="66"/>
    </row>
    <row r="152" spans="2:18" x14ac:dyDescent="0.3">
      <c r="B152" s="62"/>
      <c r="C152" s="63" t="s">
        <v>62</v>
      </c>
      <c r="D152" s="17"/>
      <c r="E152" s="17"/>
      <c r="F152" s="64">
        <f t="shared" ref="F152:N152" si="17">AVERAGE(F139:F151)</f>
        <v>0</v>
      </c>
      <c r="G152" s="65"/>
      <c r="H152" s="64">
        <f t="shared" si="17"/>
        <v>0</v>
      </c>
      <c r="I152" s="65"/>
      <c r="J152" s="64">
        <f t="shared" si="17"/>
        <v>0</v>
      </c>
      <c r="K152" s="65"/>
      <c r="L152" s="64">
        <f t="shared" si="17"/>
        <v>0</v>
      </c>
      <c r="M152" s="65"/>
      <c r="N152" s="64">
        <f t="shared" si="17"/>
        <v>0</v>
      </c>
      <c r="O152" s="65"/>
      <c r="P152" s="64">
        <f>AVERAGE(P139:P151)</f>
        <v>0</v>
      </c>
      <c r="Q152" s="17"/>
      <c r="R152" s="66"/>
    </row>
    <row r="153" spans="2:18" x14ac:dyDescent="0.3">
      <c r="B153" s="62"/>
      <c r="C153" s="63"/>
      <c r="D153" s="17"/>
      <c r="E153" s="17"/>
      <c r="F153" s="64"/>
      <c r="G153" s="65"/>
      <c r="H153" s="64"/>
      <c r="I153" s="65"/>
      <c r="J153" s="64"/>
      <c r="K153" s="65"/>
      <c r="L153" s="64"/>
      <c r="M153" s="65"/>
      <c r="N153" s="64"/>
      <c r="O153" s="65"/>
      <c r="P153" s="64"/>
      <c r="Q153" s="17"/>
      <c r="R153" s="66"/>
    </row>
    <row r="154" spans="2:18" x14ac:dyDescent="0.3">
      <c r="B154" s="62"/>
      <c r="C154" s="91" t="s">
        <v>100</v>
      </c>
      <c r="D154" s="17"/>
      <c r="E154" s="17"/>
      <c r="F154" s="64"/>
      <c r="G154" s="65"/>
      <c r="H154" s="64"/>
      <c r="I154" s="65"/>
      <c r="J154" s="64"/>
      <c r="K154" s="65"/>
      <c r="L154" s="64"/>
      <c r="M154" s="65"/>
      <c r="N154" s="64"/>
      <c r="O154" s="65"/>
      <c r="P154" s="64"/>
      <c r="Q154" s="17" t="s">
        <v>101</v>
      </c>
      <c r="R154" s="66"/>
    </row>
    <row r="155" spans="2:18" x14ac:dyDescent="0.3">
      <c r="B155" s="62"/>
      <c r="C155" s="91"/>
      <c r="D155" s="17"/>
      <c r="E155" s="17"/>
      <c r="F155" s="64"/>
      <c r="G155" s="65"/>
      <c r="H155" s="64"/>
      <c r="I155" s="65"/>
      <c r="J155" s="64"/>
      <c r="K155" s="65"/>
      <c r="L155" s="64"/>
      <c r="M155" s="65"/>
      <c r="N155" s="64"/>
      <c r="O155" s="65"/>
      <c r="P155" s="64"/>
      <c r="Q155" s="17"/>
      <c r="R155" s="66"/>
    </row>
    <row r="156" spans="2:18" x14ac:dyDescent="0.3">
      <c r="B156" s="62"/>
      <c r="C156" s="91" t="s">
        <v>102</v>
      </c>
      <c r="D156" s="17"/>
      <c r="E156" s="17"/>
      <c r="F156" s="64"/>
      <c r="G156" s="65"/>
      <c r="H156" s="64"/>
      <c r="I156" s="65"/>
      <c r="J156" s="64"/>
      <c r="K156" s="65"/>
      <c r="L156" s="64"/>
      <c r="M156" s="65"/>
      <c r="N156" s="64"/>
      <c r="O156" s="65"/>
      <c r="P156" s="64"/>
      <c r="Q156" s="17" t="s">
        <v>105</v>
      </c>
      <c r="R156" s="66"/>
    </row>
    <row r="157" spans="2:18" ht="15" thickBot="1" x14ac:dyDescent="0.35">
      <c r="B157" s="73"/>
      <c r="C157" s="74"/>
      <c r="D157" s="74"/>
      <c r="E157" s="74"/>
      <c r="F157" s="75"/>
      <c r="G157" s="76"/>
      <c r="H157" s="75"/>
      <c r="I157" s="76"/>
      <c r="J157" s="75"/>
      <c r="K157" s="76"/>
      <c r="L157" s="75"/>
      <c r="M157" s="76"/>
      <c r="N157" s="75"/>
      <c r="O157" s="76"/>
      <c r="P157" s="75"/>
      <c r="Q157" s="74"/>
      <c r="R157" s="77"/>
    </row>
    <row r="158" spans="2:18" ht="15" thickBot="1" x14ac:dyDescent="0.35"/>
    <row r="159" spans="2:18" x14ac:dyDescent="0.3">
      <c r="B159" s="57" t="s">
        <v>106</v>
      </c>
      <c r="C159" s="58"/>
      <c r="D159" s="58"/>
      <c r="E159" s="58"/>
      <c r="F159" s="59"/>
      <c r="G159" s="60"/>
      <c r="H159" s="59"/>
      <c r="I159" s="60"/>
      <c r="J159" s="59"/>
      <c r="K159" s="60"/>
      <c r="L159" s="59"/>
      <c r="M159" s="60"/>
      <c r="N159" s="59"/>
      <c r="O159" s="60"/>
      <c r="P159" s="59"/>
      <c r="Q159" s="58"/>
      <c r="R159" s="61"/>
    </row>
    <row r="160" spans="2:18" x14ac:dyDescent="0.3">
      <c r="B160" s="62"/>
      <c r="C160" s="63" t="s">
        <v>67</v>
      </c>
      <c r="D160" s="17"/>
      <c r="E160" s="17"/>
      <c r="F160" s="64"/>
      <c r="G160" s="65"/>
      <c r="H160" s="64"/>
      <c r="I160" s="65"/>
      <c r="J160" s="64"/>
      <c r="K160" s="65"/>
      <c r="L160" s="64"/>
      <c r="M160" s="65"/>
      <c r="N160" s="64"/>
      <c r="O160" s="65"/>
      <c r="P160" s="64"/>
      <c r="Q160" s="17"/>
      <c r="R160" s="66"/>
    </row>
    <row r="161" spans="2:18" s="42" customFormat="1" x14ac:dyDescent="0.3">
      <c r="B161" s="92"/>
      <c r="C161" s="93" t="s">
        <v>33</v>
      </c>
      <c r="D161" s="93"/>
      <c r="E161" s="93"/>
      <c r="F161" s="94" t="s">
        <v>93</v>
      </c>
      <c r="G161" s="95"/>
      <c r="H161" s="94" t="s">
        <v>94</v>
      </c>
      <c r="I161" s="95"/>
      <c r="J161" s="94" t="s">
        <v>95</v>
      </c>
      <c r="K161" s="95"/>
      <c r="L161" s="94" t="s">
        <v>96</v>
      </c>
      <c r="M161" s="95"/>
      <c r="N161" s="94" t="s">
        <v>97</v>
      </c>
      <c r="O161" s="95"/>
      <c r="P161" s="94" t="s">
        <v>98</v>
      </c>
      <c r="Q161" s="94" t="s">
        <v>107</v>
      </c>
      <c r="R161" s="96"/>
    </row>
    <row r="162" spans="2:18" x14ac:dyDescent="0.3">
      <c r="B162" s="62"/>
      <c r="C162" s="17"/>
      <c r="D162" s="17"/>
      <c r="E162" s="17"/>
      <c r="F162" s="65"/>
      <c r="G162" s="65"/>
      <c r="H162" s="65"/>
      <c r="I162" s="65"/>
      <c r="J162" s="65"/>
      <c r="K162" s="65"/>
      <c r="L162" s="65"/>
      <c r="M162" s="65"/>
      <c r="N162" s="65"/>
      <c r="O162" s="65"/>
      <c r="P162" s="65"/>
      <c r="Q162" s="65"/>
      <c r="R162" s="66"/>
    </row>
    <row r="163" spans="2:18" x14ac:dyDescent="0.3">
      <c r="B163" s="62"/>
      <c r="C163" s="17" t="s">
        <v>41</v>
      </c>
      <c r="D163" s="17" t="s">
        <v>99</v>
      </c>
      <c r="E163" s="17"/>
      <c r="F163" s="65">
        <v>0</v>
      </c>
      <c r="G163" s="65"/>
      <c r="H163" s="65">
        <v>0</v>
      </c>
      <c r="I163" s="65"/>
      <c r="J163" s="65">
        <v>0</v>
      </c>
      <c r="K163" s="65"/>
      <c r="L163" s="65">
        <v>0</v>
      </c>
      <c r="M163" s="65"/>
      <c r="N163" s="65">
        <v>0</v>
      </c>
      <c r="O163" s="65"/>
      <c r="P163" s="65">
        <v>0</v>
      </c>
      <c r="Q163" s="65"/>
      <c r="R163" s="66"/>
    </row>
    <row r="164" spans="2:18" x14ac:dyDescent="0.3">
      <c r="B164" s="62"/>
      <c r="C164" s="17" t="s">
        <v>43</v>
      </c>
      <c r="D164" s="17" t="s">
        <v>99</v>
      </c>
      <c r="E164" s="17"/>
      <c r="F164" s="65">
        <f t="shared" ref="F164:F175" si="18">+F163+(F187-F211)*0.3959</f>
        <v>0</v>
      </c>
      <c r="G164" s="65"/>
      <c r="H164" s="65">
        <f t="shared" ref="H164:H175" si="19">+H163+(H187-H211)*0.3959</f>
        <v>0</v>
      </c>
      <c r="I164" s="65"/>
      <c r="J164" s="65">
        <f t="shared" ref="J164:J175" si="20">+J163+(J187-J211)*0.3959</f>
        <v>0</v>
      </c>
      <c r="K164" s="65"/>
      <c r="L164" s="65">
        <f t="shared" ref="L164:L175" si="21">+L163+(L187-L211)*0.3959</f>
        <v>0</v>
      </c>
      <c r="M164" s="65"/>
      <c r="N164" s="65">
        <f t="shared" ref="N164:P175" si="22">+N163+(N187-N211)*0.3959</f>
        <v>0</v>
      </c>
      <c r="O164" s="65"/>
      <c r="P164" s="65">
        <f t="shared" si="22"/>
        <v>0</v>
      </c>
      <c r="Q164" s="65">
        <f t="shared" ref="Q164:Q175" si="23">SUM(F164:P164)</f>
        <v>0</v>
      </c>
      <c r="R164" s="66"/>
    </row>
    <row r="165" spans="2:18" x14ac:dyDescent="0.3">
      <c r="B165" s="62"/>
      <c r="C165" s="17" t="s">
        <v>45</v>
      </c>
      <c r="D165" s="17" t="s">
        <v>99</v>
      </c>
      <c r="E165" s="17"/>
      <c r="F165" s="65">
        <f t="shared" si="18"/>
        <v>0</v>
      </c>
      <c r="G165" s="65"/>
      <c r="H165" s="65">
        <f t="shared" si="19"/>
        <v>0</v>
      </c>
      <c r="I165" s="65"/>
      <c r="J165" s="65">
        <f t="shared" si="20"/>
        <v>0</v>
      </c>
      <c r="K165" s="65"/>
      <c r="L165" s="65">
        <f t="shared" si="21"/>
        <v>0</v>
      </c>
      <c r="M165" s="65"/>
      <c r="N165" s="65">
        <f t="shared" si="22"/>
        <v>0</v>
      </c>
      <c r="O165" s="65"/>
      <c r="P165" s="65">
        <f t="shared" si="22"/>
        <v>0</v>
      </c>
      <c r="Q165" s="65">
        <f t="shared" si="23"/>
        <v>0</v>
      </c>
      <c r="R165" s="66"/>
    </row>
    <row r="166" spans="2:18" x14ac:dyDescent="0.3">
      <c r="B166" s="62"/>
      <c r="C166" s="17" t="s">
        <v>46</v>
      </c>
      <c r="D166" s="17" t="s">
        <v>99</v>
      </c>
      <c r="E166" s="17"/>
      <c r="F166" s="65">
        <f t="shared" si="18"/>
        <v>0</v>
      </c>
      <c r="G166" s="65"/>
      <c r="H166" s="65">
        <f t="shared" si="19"/>
        <v>0</v>
      </c>
      <c r="I166" s="65"/>
      <c r="J166" s="65">
        <f t="shared" si="20"/>
        <v>0</v>
      </c>
      <c r="K166" s="65"/>
      <c r="L166" s="65">
        <f t="shared" si="21"/>
        <v>0</v>
      </c>
      <c r="M166" s="65"/>
      <c r="N166" s="65">
        <f t="shared" si="22"/>
        <v>0</v>
      </c>
      <c r="O166" s="65"/>
      <c r="P166" s="65">
        <f t="shared" si="22"/>
        <v>0</v>
      </c>
      <c r="Q166" s="65">
        <f t="shared" si="23"/>
        <v>0</v>
      </c>
      <c r="R166" s="66"/>
    </row>
    <row r="167" spans="2:18" x14ac:dyDescent="0.3">
      <c r="B167" s="62"/>
      <c r="C167" s="17" t="s">
        <v>47</v>
      </c>
      <c r="D167" s="17" t="s">
        <v>99</v>
      </c>
      <c r="E167" s="17"/>
      <c r="F167" s="65">
        <f t="shared" si="18"/>
        <v>0</v>
      </c>
      <c r="G167" s="65"/>
      <c r="H167" s="65">
        <f t="shared" si="19"/>
        <v>0</v>
      </c>
      <c r="I167" s="65"/>
      <c r="J167" s="65">
        <f t="shared" si="20"/>
        <v>0</v>
      </c>
      <c r="K167" s="65"/>
      <c r="L167" s="65">
        <f t="shared" si="21"/>
        <v>0</v>
      </c>
      <c r="M167" s="65"/>
      <c r="N167" s="65">
        <f t="shared" si="22"/>
        <v>0</v>
      </c>
      <c r="O167" s="65"/>
      <c r="P167" s="65">
        <f t="shared" si="22"/>
        <v>0</v>
      </c>
      <c r="Q167" s="65">
        <f t="shared" si="23"/>
        <v>0</v>
      </c>
      <c r="R167" s="66"/>
    </row>
    <row r="168" spans="2:18" x14ac:dyDescent="0.3">
      <c r="B168" s="62"/>
      <c r="C168" s="17" t="s">
        <v>48</v>
      </c>
      <c r="D168" s="17" t="s">
        <v>99</v>
      </c>
      <c r="E168" s="17"/>
      <c r="F168" s="65">
        <f t="shared" si="18"/>
        <v>0</v>
      </c>
      <c r="G168" s="65"/>
      <c r="H168" s="65">
        <f t="shared" si="19"/>
        <v>0</v>
      </c>
      <c r="I168" s="65"/>
      <c r="J168" s="65">
        <f t="shared" si="20"/>
        <v>0</v>
      </c>
      <c r="K168" s="65"/>
      <c r="L168" s="65">
        <f t="shared" si="21"/>
        <v>0</v>
      </c>
      <c r="M168" s="65"/>
      <c r="N168" s="65">
        <f t="shared" si="22"/>
        <v>0</v>
      </c>
      <c r="O168" s="65"/>
      <c r="P168" s="65">
        <f t="shared" si="22"/>
        <v>0</v>
      </c>
      <c r="Q168" s="65">
        <f t="shared" si="23"/>
        <v>0</v>
      </c>
      <c r="R168" s="66"/>
    </row>
    <row r="169" spans="2:18" x14ac:dyDescent="0.3">
      <c r="B169" s="62"/>
      <c r="C169" s="97" t="s">
        <v>49</v>
      </c>
      <c r="D169" s="97" t="s">
        <v>99</v>
      </c>
      <c r="E169" s="97"/>
      <c r="F169" s="70">
        <f t="shared" si="18"/>
        <v>0</v>
      </c>
      <c r="G169" s="70"/>
      <c r="H169" s="70">
        <f t="shared" si="19"/>
        <v>0</v>
      </c>
      <c r="I169" s="70"/>
      <c r="J169" s="70">
        <f t="shared" si="20"/>
        <v>0</v>
      </c>
      <c r="K169" s="70"/>
      <c r="L169" s="70">
        <f t="shared" si="21"/>
        <v>0</v>
      </c>
      <c r="M169" s="70"/>
      <c r="N169" s="70">
        <f t="shared" si="22"/>
        <v>0</v>
      </c>
      <c r="O169" s="70"/>
      <c r="P169" s="70">
        <f t="shared" si="22"/>
        <v>0</v>
      </c>
      <c r="Q169" s="70">
        <f t="shared" si="23"/>
        <v>0</v>
      </c>
      <c r="R169" s="66"/>
    </row>
    <row r="170" spans="2:18" x14ac:dyDescent="0.3">
      <c r="B170" s="62"/>
      <c r="C170" s="17" t="s">
        <v>50</v>
      </c>
      <c r="D170" s="17" t="s">
        <v>99</v>
      </c>
      <c r="E170" s="17"/>
      <c r="F170" s="65">
        <f t="shared" si="18"/>
        <v>0</v>
      </c>
      <c r="G170" s="65"/>
      <c r="H170" s="65">
        <f t="shared" si="19"/>
        <v>0</v>
      </c>
      <c r="I170" s="65"/>
      <c r="J170" s="65">
        <f t="shared" si="20"/>
        <v>0</v>
      </c>
      <c r="K170" s="65"/>
      <c r="L170" s="65">
        <f t="shared" si="21"/>
        <v>0</v>
      </c>
      <c r="M170" s="65"/>
      <c r="N170" s="65">
        <f t="shared" si="22"/>
        <v>0</v>
      </c>
      <c r="O170" s="65"/>
      <c r="P170" s="65">
        <f t="shared" si="22"/>
        <v>0</v>
      </c>
      <c r="Q170" s="65">
        <f t="shared" si="23"/>
        <v>0</v>
      </c>
      <c r="R170" s="66"/>
    </row>
    <row r="171" spans="2:18" x14ac:dyDescent="0.3">
      <c r="B171" s="62"/>
      <c r="C171" s="17" t="s">
        <v>51</v>
      </c>
      <c r="D171" s="17" t="s">
        <v>99</v>
      </c>
      <c r="E171" s="17"/>
      <c r="F171" s="65">
        <f t="shared" si="18"/>
        <v>0</v>
      </c>
      <c r="G171" s="65"/>
      <c r="H171" s="65">
        <f t="shared" si="19"/>
        <v>0</v>
      </c>
      <c r="I171" s="65"/>
      <c r="J171" s="65">
        <f t="shared" si="20"/>
        <v>0</v>
      </c>
      <c r="K171" s="65"/>
      <c r="L171" s="65">
        <f t="shared" si="21"/>
        <v>0</v>
      </c>
      <c r="M171" s="65"/>
      <c r="N171" s="65">
        <f t="shared" si="22"/>
        <v>0</v>
      </c>
      <c r="O171" s="65"/>
      <c r="P171" s="65">
        <f t="shared" si="22"/>
        <v>0</v>
      </c>
      <c r="Q171" s="65">
        <f t="shared" si="23"/>
        <v>0</v>
      </c>
      <c r="R171" s="66"/>
    </row>
    <row r="172" spans="2:18" x14ac:dyDescent="0.3">
      <c r="B172" s="62"/>
      <c r="C172" s="17" t="s">
        <v>52</v>
      </c>
      <c r="D172" s="17" t="s">
        <v>99</v>
      </c>
      <c r="E172" s="17"/>
      <c r="F172" s="65">
        <f t="shared" si="18"/>
        <v>0</v>
      </c>
      <c r="G172" s="65"/>
      <c r="H172" s="65">
        <f t="shared" si="19"/>
        <v>0</v>
      </c>
      <c r="I172" s="65"/>
      <c r="J172" s="65">
        <f t="shared" si="20"/>
        <v>0</v>
      </c>
      <c r="K172" s="65"/>
      <c r="L172" s="65">
        <f t="shared" si="21"/>
        <v>0</v>
      </c>
      <c r="M172" s="65"/>
      <c r="N172" s="65">
        <f t="shared" si="22"/>
        <v>0</v>
      </c>
      <c r="O172" s="65"/>
      <c r="P172" s="65">
        <f t="shared" si="22"/>
        <v>0</v>
      </c>
      <c r="Q172" s="65">
        <f t="shared" si="23"/>
        <v>0</v>
      </c>
      <c r="R172" s="66"/>
    </row>
    <row r="173" spans="2:18" x14ac:dyDescent="0.3">
      <c r="B173" s="62"/>
      <c r="C173" s="17" t="s">
        <v>53</v>
      </c>
      <c r="D173" s="17" t="s">
        <v>99</v>
      </c>
      <c r="E173" s="17"/>
      <c r="F173" s="65">
        <f t="shared" si="18"/>
        <v>0</v>
      </c>
      <c r="G173" s="65"/>
      <c r="H173" s="65">
        <f t="shared" si="19"/>
        <v>0</v>
      </c>
      <c r="I173" s="65"/>
      <c r="J173" s="65">
        <f t="shared" si="20"/>
        <v>0</v>
      </c>
      <c r="K173" s="65"/>
      <c r="L173" s="65">
        <f t="shared" si="21"/>
        <v>0</v>
      </c>
      <c r="M173" s="65"/>
      <c r="N173" s="65">
        <f t="shared" si="22"/>
        <v>0</v>
      </c>
      <c r="O173" s="65"/>
      <c r="P173" s="65">
        <f t="shared" si="22"/>
        <v>0</v>
      </c>
      <c r="Q173" s="65">
        <f t="shared" si="23"/>
        <v>0</v>
      </c>
      <c r="R173" s="66"/>
    </row>
    <row r="174" spans="2:18" x14ac:dyDescent="0.3">
      <c r="B174" s="62"/>
      <c r="C174" s="17" t="s">
        <v>54</v>
      </c>
      <c r="D174" s="17" t="s">
        <v>99</v>
      </c>
      <c r="E174" s="17"/>
      <c r="F174" s="65">
        <f t="shared" si="18"/>
        <v>0</v>
      </c>
      <c r="G174" s="65"/>
      <c r="H174" s="65">
        <f t="shared" si="19"/>
        <v>0</v>
      </c>
      <c r="I174" s="65"/>
      <c r="J174" s="65">
        <f t="shared" si="20"/>
        <v>0</v>
      </c>
      <c r="K174" s="65"/>
      <c r="L174" s="65">
        <f t="shared" si="21"/>
        <v>0</v>
      </c>
      <c r="M174" s="65"/>
      <c r="N174" s="65">
        <f t="shared" si="22"/>
        <v>0</v>
      </c>
      <c r="O174" s="65"/>
      <c r="P174" s="65">
        <f t="shared" si="22"/>
        <v>0</v>
      </c>
      <c r="Q174" s="65">
        <f t="shared" si="23"/>
        <v>0</v>
      </c>
      <c r="R174" s="66"/>
    </row>
    <row r="175" spans="2:18" x14ac:dyDescent="0.3">
      <c r="B175" s="62"/>
      <c r="C175" s="17" t="s">
        <v>41</v>
      </c>
      <c r="D175" s="17" t="s">
        <v>99</v>
      </c>
      <c r="E175" s="17"/>
      <c r="F175" s="70">
        <f t="shared" si="18"/>
        <v>0</v>
      </c>
      <c r="G175" s="70"/>
      <c r="H175" s="70">
        <f t="shared" si="19"/>
        <v>0</v>
      </c>
      <c r="I175" s="70"/>
      <c r="J175" s="70">
        <f t="shared" si="20"/>
        <v>0</v>
      </c>
      <c r="K175" s="70"/>
      <c r="L175" s="70">
        <f t="shared" si="21"/>
        <v>0</v>
      </c>
      <c r="M175" s="70"/>
      <c r="N175" s="70">
        <f t="shared" si="22"/>
        <v>0</v>
      </c>
      <c r="O175" s="70"/>
      <c r="P175" s="70">
        <f t="shared" si="22"/>
        <v>0</v>
      </c>
      <c r="Q175" s="70">
        <f t="shared" si="23"/>
        <v>0</v>
      </c>
      <c r="R175" s="66"/>
    </row>
    <row r="176" spans="2:18" x14ac:dyDescent="0.3">
      <c r="B176" s="62"/>
      <c r="C176" s="63" t="s">
        <v>108</v>
      </c>
      <c r="D176" s="17"/>
      <c r="E176" s="17"/>
      <c r="F176" s="65">
        <f>(+F175+F163)/2</f>
        <v>0</v>
      </c>
      <c r="G176" s="65"/>
      <c r="H176" s="65">
        <f t="shared" ref="H176:Q176" si="24">(+H175+H163)/2</f>
        <v>0</v>
      </c>
      <c r="I176" s="65"/>
      <c r="J176" s="65">
        <f t="shared" si="24"/>
        <v>0</v>
      </c>
      <c r="K176" s="65"/>
      <c r="L176" s="65">
        <f t="shared" si="24"/>
        <v>0</v>
      </c>
      <c r="M176" s="65"/>
      <c r="N176" s="65">
        <f t="shared" si="24"/>
        <v>0</v>
      </c>
      <c r="O176" s="65"/>
      <c r="P176" s="65">
        <f>(+P175+P163)/2</f>
        <v>0</v>
      </c>
      <c r="Q176" s="65">
        <f t="shared" si="24"/>
        <v>0</v>
      </c>
      <c r="R176" s="66"/>
    </row>
    <row r="177" spans="2:18" x14ac:dyDescent="0.3">
      <c r="B177" s="62"/>
      <c r="C177" s="63"/>
      <c r="D177" s="17"/>
      <c r="E177" s="17"/>
      <c r="F177" s="64"/>
      <c r="G177" s="65"/>
      <c r="H177" s="64"/>
      <c r="I177" s="65"/>
      <c r="J177" s="64"/>
      <c r="K177" s="65"/>
      <c r="L177" s="64"/>
      <c r="M177" s="65"/>
      <c r="N177" s="64"/>
      <c r="O177" s="65"/>
      <c r="P177" s="64"/>
      <c r="Q177" s="64"/>
      <c r="R177" s="66"/>
    </row>
    <row r="178" spans="2:18" x14ac:dyDescent="0.3">
      <c r="B178" s="62"/>
      <c r="C178" s="91" t="s">
        <v>100</v>
      </c>
      <c r="D178" s="17"/>
      <c r="E178" s="17"/>
      <c r="F178" s="64"/>
      <c r="G178" s="65"/>
      <c r="H178" s="64"/>
      <c r="I178" s="65"/>
      <c r="J178" s="64"/>
      <c r="K178" s="65"/>
      <c r="L178" s="64"/>
      <c r="M178" s="65"/>
      <c r="N178" s="64"/>
      <c r="O178" s="65"/>
      <c r="P178" s="64"/>
      <c r="Q178" s="98"/>
      <c r="R178" s="66" t="s">
        <v>101</v>
      </c>
    </row>
    <row r="179" spans="2:18" x14ac:dyDescent="0.3">
      <c r="B179" s="62"/>
      <c r="C179" s="91"/>
      <c r="D179" s="17"/>
      <c r="E179" s="17"/>
      <c r="F179" s="64"/>
      <c r="G179" s="65"/>
      <c r="H179" s="64"/>
      <c r="I179" s="65"/>
      <c r="J179" s="64"/>
      <c r="K179" s="65"/>
      <c r="L179" s="64"/>
      <c r="M179" s="65"/>
      <c r="N179" s="64"/>
      <c r="O179" s="65"/>
      <c r="P179" s="64"/>
      <c r="Q179" s="81"/>
      <c r="R179" s="66"/>
    </row>
    <row r="180" spans="2:18" ht="15" thickBot="1" x14ac:dyDescent="0.35">
      <c r="B180" s="62"/>
      <c r="C180" s="91" t="s">
        <v>102</v>
      </c>
      <c r="D180" s="17"/>
      <c r="E180" s="17"/>
      <c r="F180" s="64"/>
      <c r="G180" s="65"/>
      <c r="H180" s="64"/>
      <c r="I180" s="65"/>
      <c r="J180" s="64"/>
      <c r="K180" s="65"/>
      <c r="L180" s="64"/>
      <c r="M180" s="65"/>
      <c r="N180" s="64"/>
      <c r="O180" s="65"/>
      <c r="P180" s="64"/>
      <c r="Q180" s="99">
        <f>+Q176-Q178</f>
        <v>0</v>
      </c>
      <c r="R180" s="66" t="s">
        <v>109</v>
      </c>
    </row>
    <row r="181" spans="2:18" ht="15.6" thickTop="1" thickBot="1" x14ac:dyDescent="0.35">
      <c r="B181" s="73"/>
      <c r="C181" s="74"/>
      <c r="D181" s="74"/>
      <c r="E181" s="74"/>
      <c r="F181" s="75"/>
      <c r="G181" s="76"/>
      <c r="H181" s="75"/>
      <c r="I181" s="76"/>
      <c r="J181" s="75"/>
      <c r="K181" s="76"/>
      <c r="L181" s="75"/>
      <c r="M181" s="76"/>
      <c r="N181" s="75"/>
      <c r="O181" s="76"/>
      <c r="P181" s="75"/>
      <c r="Q181" s="74"/>
      <c r="R181" s="77"/>
    </row>
    <row r="182" spans="2:18" ht="15" thickBot="1" x14ac:dyDescent="0.35"/>
    <row r="183" spans="2:18" x14ac:dyDescent="0.3">
      <c r="B183" s="57" t="s">
        <v>110</v>
      </c>
      <c r="C183" s="58"/>
      <c r="D183" s="58"/>
      <c r="E183" s="58"/>
      <c r="F183" s="59"/>
      <c r="G183" s="60"/>
      <c r="H183" s="59"/>
      <c r="I183" s="60"/>
      <c r="J183" s="59"/>
      <c r="K183" s="60"/>
      <c r="L183" s="59"/>
      <c r="M183" s="60"/>
      <c r="N183" s="59"/>
      <c r="O183" s="60"/>
      <c r="P183" s="59"/>
      <c r="Q183" s="58"/>
      <c r="R183" s="61"/>
    </row>
    <row r="184" spans="2:18" x14ac:dyDescent="0.3">
      <c r="B184" s="62"/>
      <c r="C184" s="63" t="s">
        <v>76</v>
      </c>
      <c r="D184" s="17"/>
      <c r="E184" s="17"/>
      <c r="F184" s="64"/>
      <c r="G184" s="65"/>
      <c r="H184" s="64"/>
      <c r="I184" s="65"/>
      <c r="J184" s="64"/>
      <c r="K184" s="65"/>
      <c r="L184" s="64"/>
      <c r="M184" s="65"/>
      <c r="N184" s="64"/>
      <c r="O184" s="65"/>
      <c r="P184" s="64"/>
      <c r="Q184" s="17"/>
      <c r="R184" s="66"/>
    </row>
    <row r="185" spans="2:18" x14ac:dyDescent="0.3">
      <c r="B185" s="62"/>
      <c r="C185" s="67" t="s">
        <v>33</v>
      </c>
      <c r="D185" s="67" t="s">
        <v>34</v>
      </c>
      <c r="E185" s="67"/>
      <c r="F185" s="82" t="s">
        <v>93</v>
      </c>
      <c r="G185" s="90"/>
      <c r="H185" s="82" t="s">
        <v>94</v>
      </c>
      <c r="I185" s="90"/>
      <c r="J185" s="82" t="s">
        <v>95</v>
      </c>
      <c r="K185" s="90"/>
      <c r="L185" s="82" t="s">
        <v>96</v>
      </c>
      <c r="M185" s="90"/>
      <c r="N185" s="82" t="s">
        <v>97</v>
      </c>
      <c r="O185" s="90"/>
      <c r="P185" s="82" t="s">
        <v>98</v>
      </c>
      <c r="Q185" s="17"/>
      <c r="R185" s="66"/>
    </row>
    <row r="186" spans="2:18" x14ac:dyDescent="0.3">
      <c r="B186" s="62"/>
      <c r="C186" s="17"/>
      <c r="D186" s="17"/>
      <c r="E186" s="17"/>
      <c r="F186" s="65"/>
      <c r="G186" s="65"/>
      <c r="H186" s="65"/>
      <c r="I186" s="65"/>
      <c r="J186" s="65"/>
      <c r="K186" s="65"/>
      <c r="L186" s="65"/>
      <c r="M186" s="65"/>
      <c r="N186" s="65"/>
      <c r="O186" s="65"/>
      <c r="P186" s="65"/>
      <c r="Q186" s="17"/>
      <c r="R186" s="66"/>
    </row>
    <row r="187" spans="2:18" x14ac:dyDescent="0.3">
      <c r="B187" s="62"/>
      <c r="C187" s="17" t="s">
        <v>43</v>
      </c>
      <c r="D187" s="17" t="s">
        <v>99</v>
      </c>
      <c r="E187" s="17"/>
      <c r="F187" s="13">
        <v>0</v>
      </c>
      <c r="G187" s="65"/>
      <c r="H187" s="13">
        <v>0</v>
      </c>
      <c r="I187" s="65"/>
      <c r="J187" s="13">
        <v>0</v>
      </c>
      <c r="K187" s="65"/>
      <c r="L187" s="13">
        <v>0</v>
      </c>
      <c r="M187" s="65"/>
      <c r="N187" s="13">
        <v>0</v>
      </c>
      <c r="O187" s="65"/>
      <c r="P187" s="13">
        <v>0</v>
      </c>
      <c r="Q187" s="17"/>
      <c r="R187" s="66"/>
    </row>
    <row r="188" spans="2:18" x14ac:dyDescent="0.3">
      <c r="B188" s="62"/>
      <c r="C188" s="17" t="s">
        <v>45</v>
      </c>
      <c r="D188" s="17" t="s">
        <v>99</v>
      </c>
      <c r="E188" s="17"/>
      <c r="F188" s="13">
        <v>0</v>
      </c>
      <c r="G188" s="65"/>
      <c r="H188" s="13">
        <v>0</v>
      </c>
      <c r="I188" s="65"/>
      <c r="J188" s="13">
        <v>0</v>
      </c>
      <c r="K188" s="65"/>
      <c r="L188" s="13">
        <v>0</v>
      </c>
      <c r="M188" s="65"/>
      <c r="N188" s="13">
        <v>0</v>
      </c>
      <c r="O188" s="65"/>
      <c r="P188" s="13">
        <v>0</v>
      </c>
      <c r="Q188" s="17"/>
      <c r="R188" s="66"/>
    </row>
    <row r="189" spans="2:18" x14ac:dyDescent="0.3">
      <c r="B189" s="62"/>
      <c r="C189" s="17" t="s">
        <v>46</v>
      </c>
      <c r="D189" s="17" t="s">
        <v>99</v>
      </c>
      <c r="E189" s="17"/>
      <c r="F189" s="13">
        <v>0</v>
      </c>
      <c r="G189" s="65"/>
      <c r="H189" s="13">
        <v>0</v>
      </c>
      <c r="I189" s="65"/>
      <c r="J189" s="13">
        <v>0</v>
      </c>
      <c r="K189" s="65"/>
      <c r="L189" s="13">
        <v>0</v>
      </c>
      <c r="M189" s="65"/>
      <c r="N189" s="13">
        <v>0</v>
      </c>
      <c r="O189" s="65"/>
      <c r="P189" s="13">
        <v>0</v>
      </c>
      <c r="Q189" s="17"/>
      <c r="R189" s="66"/>
    </row>
    <row r="190" spans="2:18" x14ac:dyDescent="0.3">
      <c r="B190" s="62"/>
      <c r="C190" s="17" t="s">
        <v>47</v>
      </c>
      <c r="D190" s="17" t="s">
        <v>99</v>
      </c>
      <c r="E190" s="17"/>
      <c r="F190" s="13">
        <v>0</v>
      </c>
      <c r="G190" s="65"/>
      <c r="H190" s="13">
        <v>0</v>
      </c>
      <c r="I190" s="65"/>
      <c r="J190" s="13">
        <v>0</v>
      </c>
      <c r="K190" s="65"/>
      <c r="L190" s="13">
        <v>0</v>
      </c>
      <c r="M190" s="65"/>
      <c r="N190" s="13">
        <v>0</v>
      </c>
      <c r="O190" s="65"/>
      <c r="P190" s="13">
        <v>0</v>
      </c>
      <c r="Q190" s="17"/>
      <c r="R190" s="66"/>
    </row>
    <row r="191" spans="2:18" x14ac:dyDescent="0.3">
      <c r="B191" s="62"/>
      <c r="C191" s="17" t="s">
        <v>48</v>
      </c>
      <c r="D191" s="17" t="s">
        <v>99</v>
      </c>
      <c r="E191" s="17"/>
      <c r="F191" s="13">
        <v>0</v>
      </c>
      <c r="G191" s="65"/>
      <c r="H191" s="13">
        <v>0</v>
      </c>
      <c r="I191" s="65"/>
      <c r="J191" s="13">
        <v>0</v>
      </c>
      <c r="K191" s="65"/>
      <c r="L191" s="13">
        <v>0</v>
      </c>
      <c r="M191" s="65"/>
      <c r="N191" s="13">
        <v>0</v>
      </c>
      <c r="O191" s="65"/>
      <c r="P191" s="13">
        <v>0</v>
      </c>
      <c r="Q191" s="17"/>
      <c r="R191" s="66"/>
    </row>
    <row r="192" spans="2:18" x14ac:dyDescent="0.3">
      <c r="B192" s="62"/>
      <c r="C192" s="17" t="s">
        <v>49</v>
      </c>
      <c r="D192" s="17" t="s">
        <v>99</v>
      </c>
      <c r="E192" s="17"/>
      <c r="F192" s="13">
        <v>0</v>
      </c>
      <c r="G192" s="65"/>
      <c r="H192" s="13">
        <v>0</v>
      </c>
      <c r="I192" s="65"/>
      <c r="J192" s="13">
        <v>0</v>
      </c>
      <c r="K192" s="65"/>
      <c r="L192" s="13">
        <v>0</v>
      </c>
      <c r="M192" s="65"/>
      <c r="N192" s="13">
        <v>0</v>
      </c>
      <c r="O192" s="65"/>
      <c r="P192" s="13">
        <v>0</v>
      </c>
      <c r="Q192" s="17"/>
      <c r="R192" s="66"/>
    </row>
    <row r="193" spans="2:18" x14ac:dyDescent="0.3">
      <c r="B193" s="62"/>
      <c r="C193" s="17" t="s">
        <v>50</v>
      </c>
      <c r="D193" s="17" t="s">
        <v>99</v>
      </c>
      <c r="E193" s="17"/>
      <c r="F193" s="13">
        <v>0</v>
      </c>
      <c r="G193" s="65"/>
      <c r="H193" s="13">
        <v>0</v>
      </c>
      <c r="I193" s="65"/>
      <c r="J193" s="13">
        <v>0</v>
      </c>
      <c r="K193" s="65"/>
      <c r="L193" s="13">
        <v>0</v>
      </c>
      <c r="M193" s="65"/>
      <c r="N193" s="13">
        <v>0</v>
      </c>
      <c r="O193" s="65"/>
      <c r="P193" s="13">
        <v>0</v>
      </c>
      <c r="Q193" s="17"/>
      <c r="R193" s="66"/>
    </row>
    <row r="194" spans="2:18" x14ac:dyDescent="0.3">
      <c r="B194" s="62"/>
      <c r="C194" s="17" t="s">
        <v>51</v>
      </c>
      <c r="D194" s="17" t="s">
        <v>99</v>
      </c>
      <c r="E194" s="17"/>
      <c r="F194" s="13">
        <v>0</v>
      </c>
      <c r="G194" s="65"/>
      <c r="H194" s="13">
        <v>0</v>
      </c>
      <c r="I194" s="65"/>
      <c r="J194" s="13">
        <v>0</v>
      </c>
      <c r="K194" s="65"/>
      <c r="L194" s="13">
        <v>0</v>
      </c>
      <c r="M194" s="65"/>
      <c r="N194" s="13">
        <v>0</v>
      </c>
      <c r="O194" s="65"/>
      <c r="P194" s="13">
        <v>0</v>
      </c>
      <c r="Q194" s="17"/>
      <c r="R194" s="66"/>
    </row>
    <row r="195" spans="2:18" x14ac:dyDescent="0.3">
      <c r="B195" s="62"/>
      <c r="C195" s="17" t="s">
        <v>52</v>
      </c>
      <c r="D195" s="17" t="s">
        <v>99</v>
      </c>
      <c r="E195" s="17"/>
      <c r="F195" s="13">
        <v>0</v>
      </c>
      <c r="G195" s="65"/>
      <c r="H195" s="13">
        <v>0</v>
      </c>
      <c r="I195" s="65"/>
      <c r="J195" s="13">
        <v>0</v>
      </c>
      <c r="K195" s="65"/>
      <c r="L195" s="13">
        <v>0</v>
      </c>
      <c r="M195" s="65"/>
      <c r="N195" s="13">
        <v>0</v>
      </c>
      <c r="O195" s="65"/>
      <c r="P195" s="13">
        <v>0</v>
      </c>
      <c r="Q195" s="17"/>
      <c r="R195" s="66"/>
    </row>
    <row r="196" spans="2:18" x14ac:dyDescent="0.3">
      <c r="B196" s="62"/>
      <c r="C196" s="17" t="s">
        <v>53</v>
      </c>
      <c r="D196" s="17" t="s">
        <v>99</v>
      </c>
      <c r="E196" s="17"/>
      <c r="F196" s="13">
        <v>0</v>
      </c>
      <c r="G196" s="65"/>
      <c r="H196" s="13">
        <v>0</v>
      </c>
      <c r="I196" s="65"/>
      <c r="J196" s="13">
        <v>0</v>
      </c>
      <c r="K196" s="65"/>
      <c r="L196" s="13">
        <v>0</v>
      </c>
      <c r="M196" s="65"/>
      <c r="N196" s="13">
        <v>0</v>
      </c>
      <c r="O196" s="65"/>
      <c r="P196" s="13">
        <v>0</v>
      </c>
      <c r="Q196" s="17"/>
      <c r="R196" s="66"/>
    </row>
    <row r="197" spans="2:18" x14ac:dyDescent="0.3">
      <c r="B197" s="62"/>
      <c r="C197" s="17" t="s">
        <v>54</v>
      </c>
      <c r="D197" s="17" t="s">
        <v>99</v>
      </c>
      <c r="E197" s="17"/>
      <c r="F197" s="13">
        <v>0</v>
      </c>
      <c r="G197" s="65"/>
      <c r="H197" s="13">
        <v>0</v>
      </c>
      <c r="I197" s="65"/>
      <c r="J197" s="13">
        <v>0</v>
      </c>
      <c r="K197" s="65"/>
      <c r="L197" s="13">
        <v>0</v>
      </c>
      <c r="M197" s="65"/>
      <c r="N197" s="13">
        <v>0</v>
      </c>
      <c r="O197" s="65"/>
      <c r="P197" s="13">
        <v>0</v>
      </c>
      <c r="Q197" s="17"/>
      <c r="R197" s="66"/>
    </row>
    <row r="198" spans="2:18" x14ac:dyDescent="0.3">
      <c r="B198" s="62"/>
      <c r="C198" s="17" t="s">
        <v>41</v>
      </c>
      <c r="D198" s="17" t="s">
        <v>99</v>
      </c>
      <c r="E198" s="17"/>
      <c r="F198" s="71">
        <v>0</v>
      </c>
      <c r="G198" s="70"/>
      <c r="H198" s="71">
        <v>0</v>
      </c>
      <c r="I198" s="70"/>
      <c r="J198" s="71">
        <v>0</v>
      </c>
      <c r="K198" s="70"/>
      <c r="L198" s="71">
        <v>0</v>
      </c>
      <c r="M198" s="70"/>
      <c r="N198" s="71">
        <v>0</v>
      </c>
      <c r="O198" s="70"/>
      <c r="P198" s="71">
        <v>0</v>
      </c>
      <c r="Q198" s="17"/>
      <c r="R198" s="66"/>
    </row>
    <row r="199" spans="2:18" x14ac:dyDescent="0.3">
      <c r="B199" s="62"/>
      <c r="C199" s="63" t="s">
        <v>77</v>
      </c>
      <c r="D199" s="17"/>
      <c r="E199" s="17"/>
      <c r="F199" s="64">
        <f t="shared" ref="F199:N199" si="25">SUM(F186:F198)</f>
        <v>0</v>
      </c>
      <c r="G199" s="65"/>
      <c r="H199" s="64">
        <f t="shared" si="25"/>
        <v>0</v>
      </c>
      <c r="I199" s="65"/>
      <c r="J199" s="64">
        <f t="shared" si="25"/>
        <v>0</v>
      </c>
      <c r="K199" s="65"/>
      <c r="L199" s="64">
        <f t="shared" si="25"/>
        <v>0</v>
      </c>
      <c r="M199" s="65"/>
      <c r="N199" s="64">
        <f t="shared" si="25"/>
        <v>0</v>
      </c>
      <c r="O199" s="65"/>
      <c r="P199" s="64">
        <f>SUM(P186:P198)</f>
        <v>0</v>
      </c>
      <c r="Q199" s="17"/>
      <c r="R199" s="66"/>
    </row>
    <row r="200" spans="2:18" x14ac:dyDescent="0.3">
      <c r="B200" s="62"/>
      <c r="C200" s="63"/>
      <c r="D200" s="17"/>
      <c r="E200" s="17"/>
      <c r="F200" s="64"/>
      <c r="G200" s="65"/>
      <c r="H200" s="64"/>
      <c r="I200" s="65"/>
      <c r="J200" s="64"/>
      <c r="K200" s="65"/>
      <c r="L200" s="64"/>
      <c r="M200" s="65"/>
      <c r="N200" s="64"/>
      <c r="O200" s="65"/>
      <c r="P200" s="64"/>
      <c r="Q200" s="17"/>
      <c r="R200" s="66"/>
    </row>
    <row r="201" spans="2:18" x14ac:dyDescent="0.3">
      <c r="B201" s="62"/>
      <c r="C201" s="91" t="s">
        <v>100</v>
      </c>
      <c r="D201" s="17"/>
      <c r="E201" s="17"/>
      <c r="F201" s="64"/>
      <c r="G201" s="65"/>
      <c r="H201" s="64"/>
      <c r="I201" s="65"/>
      <c r="J201" s="64"/>
      <c r="K201" s="65"/>
      <c r="L201" s="64"/>
      <c r="M201" s="65"/>
      <c r="N201" s="64"/>
      <c r="O201" s="65"/>
      <c r="P201" s="64"/>
      <c r="Q201" s="17" t="s">
        <v>101</v>
      </c>
      <c r="R201" s="66"/>
    </row>
    <row r="202" spans="2:18" x14ac:dyDescent="0.3">
      <c r="B202" s="62"/>
      <c r="C202" s="91"/>
      <c r="D202" s="17"/>
      <c r="E202" s="17"/>
      <c r="F202" s="64"/>
      <c r="G202" s="65"/>
      <c r="H202" s="64"/>
      <c r="I202" s="65"/>
      <c r="J202" s="64"/>
      <c r="K202" s="65"/>
      <c r="L202" s="64"/>
      <c r="M202" s="65"/>
      <c r="N202" s="64"/>
      <c r="O202" s="65"/>
      <c r="P202" s="64"/>
      <c r="Q202" s="17"/>
      <c r="R202" s="66"/>
    </row>
    <row r="203" spans="2:18" x14ac:dyDescent="0.3">
      <c r="B203" s="62"/>
      <c r="C203" s="91" t="s">
        <v>102</v>
      </c>
      <c r="D203" s="17"/>
      <c r="E203" s="17"/>
      <c r="F203" s="64"/>
      <c r="G203" s="65"/>
      <c r="H203" s="64"/>
      <c r="I203" s="65"/>
      <c r="J203" s="64"/>
      <c r="K203" s="65"/>
      <c r="L203" s="64"/>
      <c r="M203" s="65"/>
      <c r="N203" s="64"/>
      <c r="O203" s="65"/>
      <c r="P203" s="64"/>
      <c r="Q203" s="17" t="s">
        <v>79</v>
      </c>
      <c r="R203" s="66"/>
    </row>
    <row r="204" spans="2:18" ht="15" thickBot="1" x14ac:dyDescent="0.35">
      <c r="B204" s="73"/>
      <c r="C204" s="74"/>
      <c r="D204" s="74"/>
      <c r="E204" s="74"/>
      <c r="F204" s="75"/>
      <c r="G204" s="76"/>
      <c r="H204" s="75"/>
      <c r="I204" s="76"/>
      <c r="J204" s="75"/>
      <c r="K204" s="76"/>
      <c r="L204" s="75"/>
      <c r="M204" s="76"/>
      <c r="N204" s="75"/>
      <c r="O204" s="76"/>
      <c r="P204" s="75"/>
      <c r="Q204" s="74"/>
      <c r="R204" s="77"/>
    </row>
    <row r="206" spans="2:18" ht="15" thickBot="1" x14ac:dyDescent="0.35"/>
    <row r="207" spans="2:18" x14ac:dyDescent="0.3">
      <c r="B207" s="57" t="s">
        <v>84</v>
      </c>
      <c r="C207" s="58"/>
      <c r="D207" s="58"/>
      <c r="E207" s="58"/>
      <c r="F207" s="59"/>
      <c r="G207" s="60"/>
      <c r="H207" s="59"/>
      <c r="I207" s="60"/>
      <c r="J207" s="59"/>
      <c r="K207" s="60"/>
      <c r="L207" s="59"/>
      <c r="M207" s="60"/>
      <c r="N207" s="59"/>
      <c r="O207" s="60"/>
      <c r="P207" s="59"/>
      <c r="Q207" s="58"/>
      <c r="R207" s="61"/>
    </row>
    <row r="208" spans="2:18" x14ac:dyDescent="0.3">
      <c r="B208" s="62"/>
      <c r="C208" s="63" t="s">
        <v>85</v>
      </c>
      <c r="D208" s="17"/>
      <c r="E208" s="17"/>
      <c r="F208" s="64"/>
      <c r="G208" s="65"/>
      <c r="H208" s="64"/>
      <c r="I208" s="65"/>
      <c r="J208" s="64"/>
      <c r="K208" s="65"/>
      <c r="L208" s="64"/>
      <c r="M208" s="65"/>
      <c r="N208" s="64"/>
      <c r="O208" s="65"/>
      <c r="P208" s="64"/>
      <c r="Q208" s="17"/>
      <c r="R208" s="66"/>
    </row>
    <row r="209" spans="2:18" x14ac:dyDescent="0.3">
      <c r="B209" s="62"/>
      <c r="C209" s="67" t="s">
        <v>33</v>
      </c>
      <c r="D209" s="67"/>
      <c r="E209" s="67"/>
      <c r="F209" s="82" t="s">
        <v>93</v>
      </c>
      <c r="G209" s="90"/>
      <c r="H209" s="82" t="s">
        <v>94</v>
      </c>
      <c r="I209" s="90"/>
      <c r="J209" s="82" t="s">
        <v>95</v>
      </c>
      <c r="K209" s="90"/>
      <c r="L209" s="82" t="s">
        <v>96</v>
      </c>
      <c r="M209" s="90"/>
      <c r="N209" s="82" t="s">
        <v>97</v>
      </c>
      <c r="O209" s="90"/>
      <c r="P209" s="82" t="s">
        <v>98</v>
      </c>
      <c r="Q209" s="82"/>
      <c r="R209" s="66"/>
    </row>
    <row r="210" spans="2:18" x14ac:dyDescent="0.3">
      <c r="B210" s="62"/>
      <c r="C210" s="17"/>
      <c r="D210" s="17"/>
      <c r="E210" s="17"/>
      <c r="F210" s="65"/>
      <c r="G210" s="65"/>
      <c r="H210" s="65"/>
      <c r="I210" s="65"/>
      <c r="J210" s="65"/>
      <c r="K210" s="65"/>
      <c r="L210" s="65"/>
      <c r="M210" s="65"/>
      <c r="N210" s="65"/>
      <c r="O210" s="65"/>
      <c r="P210" s="65"/>
      <c r="Q210" s="65"/>
      <c r="R210" s="66"/>
    </row>
    <row r="211" spans="2:18" x14ac:dyDescent="0.3">
      <c r="B211" s="62"/>
      <c r="C211" s="17" t="s">
        <v>43</v>
      </c>
      <c r="D211" s="17" t="s">
        <v>99</v>
      </c>
      <c r="E211" s="17">
        <v>1</v>
      </c>
      <c r="F211" s="65">
        <f t="shared" ref="F211:F222" si="26">IF(+F210&gt;0,+F210,+F117*0.05*1/(12-$E210))</f>
        <v>0</v>
      </c>
      <c r="G211" s="65"/>
      <c r="H211" s="65">
        <f t="shared" ref="H211:H222" si="27">IF(+H210&gt;0,+H210,+H117*0.05*1/(12-$E210))</f>
        <v>0</v>
      </c>
      <c r="I211" s="65"/>
      <c r="J211" s="65">
        <f t="shared" ref="J211:J222" si="28">IF(+J210&gt;0,+J210,+J117*0.05*1/(12-$E210))</f>
        <v>0</v>
      </c>
      <c r="K211" s="65"/>
      <c r="L211" s="65">
        <f t="shared" ref="L211:L222" si="29">IF(+L210&gt;0,+L210,+L117*0.05*1/(12-$E210))</f>
        <v>0</v>
      </c>
      <c r="M211" s="65"/>
      <c r="N211" s="65">
        <f t="shared" ref="N211:P222" si="30">IF(+N210&gt;0,+N210,+N117*0.05*1/(12-$E210))</f>
        <v>0</v>
      </c>
      <c r="O211" s="65"/>
      <c r="P211" s="65">
        <f t="shared" si="30"/>
        <v>0</v>
      </c>
      <c r="Q211" s="65"/>
      <c r="R211" s="66"/>
    </row>
    <row r="212" spans="2:18" x14ac:dyDescent="0.3">
      <c r="B212" s="62"/>
      <c r="C212" s="17" t="s">
        <v>45</v>
      </c>
      <c r="D212" s="17" t="s">
        <v>99</v>
      </c>
      <c r="E212" s="17">
        <v>2</v>
      </c>
      <c r="F212" s="65">
        <f t="shared" si="26"/>
        <v>0</v>
      </c>
      <c r="G212" s="65"/>
      <c r="H212" s="65">
        <f t="shared" si="27"/>
        <v>0</v>
      </c>
      <c r="I212" s="65"/>
      <c r="J212" s="65">
        <f t="shared" si="28"/>
        <v>0</v>
      </c>
      <c r="K212" s="65"/>
      <c r="L212" s="65">
        <f t="shared" si="29"/>
        <v>0</v>
      </c>
      <c r="M212" s="65"/>
      <c r="N212" s="65">
        <f t="shared" si="30"/>
        <v>0</v>
      </c>
      <c r="O212" s="65"/>
      <c r="P212" s="65">
        <f t="shared" si="30"/>
        <v>0</v>
      </c>
      <c r="Q212" s="65"/>
      <c r="R212" s="66"/>
    </row>
    <row r="213" spans="2:18" x14ac:dyDescent="0.3">
      <c r="B213" s="62"/>
      <c r="C213" s="17" t="s">
        <v>46</v>
      </c>
      <c r="D213" s="17" t="s">
        <v>99</v>
      </c>
      <c r="E213" s="17">
        <v>3</v>
      </c>
      <c r="F213" s="65">
        <f t="shared" si="26"/>
        <v>0</v>
      </c>
      <c r="G213" s="65"/>
      <c r="H213" s="65">
        <f t="shared" si="27"/>
        <v>0</v>
      </c>
      <c r="I213" s="65"/>
      <c r="J213" s="65">
        <f t="shared" si="28"/>
        <v>0</v>
      </c>
      <c r="K213" s="65"/>
      <c r="L213" s="65">
        <f t="shared" si="29"/>
        <v>0</v>
      </c>
      <c r="M213" s="65"/>
      <c r="N213" s="65">
        <f t="shared" si="30"/>
        <v>0</v>
      </c>
      <c r="O213" s="65"/>
      <c r="P213" s="65">
        <f t="shared" si="30"/>
        <v>0</v>
      </c>
      <c r="Q213" s="65"/>
      <c r="R213" s="66"/>
    </row>
    <row r="214" spans="2:18" x14ac:dyDescent="0.3">
      <c r="B214" s="62"/>
      <c r="C214" s="17" t="s">
        <v>47</v>
      </c>
      <c r="D214" s="17" t="s">
        <v>99</v>
      </c>
      <c r="E214" s="81">
        <v>4</v>
      </c>
      <c r="F214" s="65">
        <f t="shared" si="26"/>
        <v>0</v>
      </c>
      <c r="G214" s="65"/>
      <c r="H214" s="65">
        <f t="shared" si="27"/>
        <v>0</v>
      </c>
      <c r="I214" s="65"/>
      <c r="J214" s="65">
        <f t="shared" si="28"/>
        <v>0</v>
      </c>
      <c r="K214" s="65"/>
      <c r="L214" s="65">
        <f t="shared" si="29"/>
        <v>0</v>
      </c>
      <c r="M214" s="65"/>
      <c r="N214" s="65">
        <f t="shared" si="30"/>
        <v>0</v>
      </c>
      <c r="O214" s="65"/>
      <c r="P214" s="65">
        <f t="shared" si="30"/>
        <v>0</v>
      </c>
      <c r="Q214" s="65"/>
      <c r="R214" s="66"/>
    </row>
    <row r="215" spans="2:18" x14ac:dyDescent="0.3">
      <c r="B215" s="62"/>
      <c r="C215" s="17" t="s">
        <v>48</v>
      </c>
      <c r="D215" s="17" t="s">
        <v>99</v>
      </c>
      <c r="E215" s="81">
        <v>5</v>
      </c>
      <c r="F215" s="65">
        <f t="shared" si="26"/>
        <v>0</v>
      </c>
      <c r="G215" s="65"/>
      <c r="H215" s="65">
        <f t="shared" si="27"/>
        <v>0</v>
      </c>
      <c r="I215" s="65"/>
      <c r="J215" s="65">
        <f t="shared" si="28"/>
        <v>0</v>
      </c>
      <c r="K215" s="65"/>
      <c r="L215" s="65">
        <f t="shared" si="29"/>
        <v>0</v>
      </c>
      <c r="M215" s="65"/>
      <c r="N215" s="65">
        <f t="shared" si="30"/>
        <v>0</v>
      </c>
      <c r="O215" s="65"/>
      <c r="P215" s="65">
        <f t="shared" si="30"/>
        <v>0</v>
      </c>
      <c r="Q215" s="65"/>
      <c r="R215" s="66"/>
    </row>
    <row r="216" spans="2:18" x14ac:dyDescent="0.3">
      <c r="B216" s="62"/>
      <c r="C216" s="97" t="s">
        <v>49</v>
      </c>
      <c r="D216" s="97" t="s">
        <v>99</v>
      </c>
      <c r="E216" s="97">
        <v>6</v>
      </c>
      <c r="F216" s="70">
        <f t="shared" si="26"/>
        <v>0</v>
      </c>
      <c r="G216" s="70"/>
      <c r="H216" s="70">
        <f t="shared" si="27"/>
        <v>0</v>
      </c>
      <c r="I216" s="70"/>
      <c r="J216" s="70">
        <f t="shared" si="28"/>
        <v>0</v>
      </c>
      <c r="K216" s="70"/>
      <c r="L216" s="70">
        <f t="shared" si="29"/>
        <v>0</v>
      </c>
      <c r="M216" s="70"/>
      <c r="N216" s="70">
        <f t="shared" si="30"/>
        <v>0</v>
      </c>
      <c r="O216" s="70"/>
      <c r="P216" s="70">
        <f t="shared" si="30"/>
        <v>0</v>
      </c>
      <c r="Q216" s="65"/>
      <c r="R216" s="66"/>
    </row>
    <row r="217" spans="2:18" x14ac:dyDescent="0.3">
      <c r="B217" s="62"/>
      <c r="C217" s="17" t="s">
        <v>50</v>
      </c>
      <c r="D217" s="17" t="s">
        <v>99</v>
      </c>
      <c r="E217" s="81">
        <v>7</v>
      </c>
      <c r="F217" s="65">
        <f t="shared" si="26"/>
        <v>0</v>
      </c>
      <c r="G217" s="65"/>
      <c r="H217" s="65">
        <f t="shared" si="27"/>
        <v>0</v>
      </c>
      <c r="I217" s="65"/>
      <c r="J217" s="65">
        <f t="shared" si="28"/>
        <v>0</v>
      </c>
      <c r="K217" s="65"/>
      <c r="L217" s="65">
        <f t="shared" si="29"/>
        <v>0</v>
      </c>
      <c r="M217" s="65"/>
      <c r="N217" s="65">
        <f t="shared" si="30"/>
        <v>0</v>
      </c>
      <c r="O217" s="65"/>
      <c r="P217" s="65">
        <f t="shared" si="30"/>
        <v>0</v>
      </c>
      <c r="Q217" s="65"/>
      <c r="R217" s="66"/>
    </row>
    <row r="218" spans="2:18" x14ac:dyDescent="0.3">
      <c r="B218" s="62"/>
      <c r="C218" s="17" t="s">
        <v>51</v>
      </c>
      <c r="D218" s="17" t="s">
        <v>99</v>
      </c>
      <c r="E218" s="81">
        <v>8</v>
      </c>
      <c r="F218" s="65">
        <f t="shared" si="26"/>
        <v>0</v>
      </c>
      <c r="G218" s="65"/>
      <c r="H218" s="65">
        <f t="shared" si="27"/>
        <v>0</v>
      </c>
      <c r="I218" s="65"/>
      <c r="J218" s="65">
        <f t="shared" si="28"/>
        <v>0</v>
      </c>
      <c r="K218" s="65"/>
      <c r="L218" s="65">
        <f t="shared" si="29"/>
        <v>0</v>
      </c>
      <c r="M218" s="65"/>
      <c r="N218" s="65">
        <f t="shared" si="30"/>
        <v>0</v>
      </c>
      <c r="O218" s="65"/>
      <c r="P218" s="65">
        <f t="shared" si="30"/>
        <v>0</v>
      </c>
      <c r="Q218" s="65"/>
      <c r="R218" s="66"/>
    </row>
    <row r="219" spans="2:18" x14ac:dyDescent="0.3">
      <c r="B219" s="62"/>
      <c r="C219" s="17" t="s">
        <v>52</v>
      </c>
      <c r="D219" s="17" t="s">
        <v>99</v>
      </c>
      <c r="E219" s="81">
        <v>9</v>
      </c>
      <c r="F219" s="65">
        <f t="shared" si="26"/>
        <v>0</v>
      </c>
      <c r="G219" s="65"/>
      <c r="H219" s="65">
        <f t="shared" si="27"/>
        <v>0</v>
      </c>
      <c r="I219" s="65"/>
      <c r="J219" s="65">
        <f t="shared" si="28"/>
        <v>0</v>
      </c>
      <c r="K219" s="65"/>
      <c r="L219" s="65">
        <f t="shared" si="29"/>
        <v>0</v>
      </c>
      <c r="M219" s="65"/>
      <c r="N219" s="65">
        <f t="shared" si="30"/>
        <v>0</v>
      </c>
      <c r="O219" s="65"/>
      <c r="P219" s="65">
        <f t="shared" si="30"/>
        <v>0</v>
      </c>
      <c r="Q219" s="65"/>
      <c r="R219" s="66"/>
    </row>
    <row r="220" spans="2:18" x14ac:dyDescent="0.3">
      <c r="B220" s="62"/>
      <c r="C220" s="17" t="s">
        <v>53</v>
      </c>
      <c r="D220" s="17" t="s">
        <v>99</v>
      </c>
      <c r="E220" s="81">
        <v>10</v>
      </c>
      <c r="F220" s="65">
        <f t="shared" si="26"/>
        <v>0</v>
      </c>
      <c r="G220" s="65"/>
      <c r="H220" s="65">
        <f t="shared" si="27"/>
        <v>0</v>
      </c>
      <c r="I220" s="65"/>
      <c r="J220" s="65">
        <f t="shared" si="28"/>
        <v>0</v>
      </c>
      <c r="K220" s="65"/>
      <c r="L220" s="65">
        <f t="shared" si="29"/>
        <v>0</v>
      </c>
      <c r="M220" s="65"/>
      <c r="N220" s="65">
        <f t="shared" si="30"/>
        <v>0</v>
      </c>
      <c r="O220" s="65"/>
      <c r="P220" s="65">
        <f t="shared" si="30"/>
        <v>0</v>
      </c>
      <c r="Q220" s="65"/>
      <c r="R220" s="66"/>
    </row>
    <row r="221" spans="2:18" x14ac:dyDescent="0.3">
      <c r="B221" s="62"/>
      <c r="C221" s="17" t="s">
        <v>54</v>
      </c>
      <c r="D221" s="17" t="s">
        <v>99</v>
      </c>
      <c r="E221" s="81">
        <v>11</v>
      </c>
      <c r="F221" s="65">
        <f t="shared" si="26"/>
        <v>0</v>
      </c>
      <c r="G221" s="65"/>
      <c r="H221" s="65">
        <f t="shared" si="27"/>
        <v>0</v>
      </c>
      <c r="I221" s="65"/>
      <c r="J221" s="65">
        <f t="shared" si="28"/>
        <v>0</v>
      </c>
      <c r="K221" s="65"/>
      <c r="L221" s="65">
        <f t="shared" si="29"/>
        <v>0</v>
      </c>
      <c r="M221" s="65"/>
      <c r="N221" s="65">
        <f t="shared" si="30"/>
        <v>0</v>
      </c>
      <c r="O221" s="65"/>
      <c r="P221" s="65">
        <f t="shared" si="30"/>
        <v>0</v>
      </c>
      <c r="Q221" s="65"/>
      <c r="R221" s="66"/>
    </row>
    <row r="222" spans="2:18" x14ac:dyDescent="0.3">
      <c r="B222" s="62"/>
      <c r="C222" s="17" t="s">
        <v>41</v>
      </c>
      <c r="D222" s="17" t="s">
        <v>99</v>
      </c>
      <c r="E222" s="81">
        <v>12</v>
      </c>
      <c r="F222" s="70">
        <f t="shared" si="26"/>
        <v>0</v>
      </c>
      <c r="G222" s="70"/>
      <c r="H222" s="70">
        <f t="shared" si="27"/>
        <v>0</v>
      </c>
      <c r="I222" s="70"/>
      <c r="J222" s="70">
        <f t="shared" si="28"/>
        <v>0</v>
      </c>
      <c r="K222" s="70"/>
      <c r="L222" s="70">
        <f t="shared" si="29"/>
        <v>0</v>
      </c>
      <c r="M222" s="70"/>
      <c r="N222" s="70">
        <f t="shared" si="30"/>
        <v>0</v>
      </c>
      <c r="O222" s="70"/>
      <c r="P222" s="70">
        <f t="shared" si="30"/>
        <v>0</v>
      </c>
      <c r="Q222" s="65"/>
      <c r="R222" s="66"/>
    </row>
    <row r="223" spans="2:18" x14ac:dyDescent="0.3">
      <c r="B223" s="62"/>
      <c r="C223" s="63" t="s">
        <v>87</v>
      </c>
      <c r="D223" s="17"/>
      <c r="E223" s="17"/>
      <c r="F223" s="64">
        <f t="shared" ref="F223:N223" si="31">SUM(F211:F222)</f>
        <v>0</v>
      </c>
      <c r="G223" s="65"/>
      <c r="H223" s="64">
        <f t="shared" si="31"/>
        <v>0</v>
      </c>
      <c r="I223" s="65"/>
      <c r="J223" s="64">
        <f t="shared" si="31"/>
        <v>0</v>
      </c>
      <c r="K223" s="65"/>
      <c r="L223" s="64">
        <f t="shared" si="31"/>
        <v>0</v>
      </c>
      <c r="M223" s="65"/>
      <c r="N223" s="64">
        <f t="shared" si="31"/>
        <v>0</v>
      </c>
      <c r="O223" s="65"/>
      <c r="P223" s="64">
        <f>SUM(P211:P222)</f>
        <v>0</v>
      </c>
      <c r="Q223" s="64"/>
      <c r="R223" s="66"/>
    </row>
    <row r="224" spans="2:18" x14ac:dyDescent="0.3">
      <c r="B224" s="62"/>
      <c r="C224" s="63"/>
      <c r="D224" s="17"/>
      <c r="E224" s="17"/>
      <c r="F224" s="64"/>
      <c r="G224" s="65"/>
      <c r="H224" s="64"/>
      <c r="I224" s="65"/>
      <c r="J224" s="64"/>
      <c r="K224" s="65"/>
      <c r="L224" s="64"/>
      <c r="M224" s="65"/>
      <c r="N224" s="64"/>
      <c r="O224" s="65"/>
      <c r="P224" s="64"/>
      <c r="Q224" s="64"/>
      <c r="R224" s="66"/>
    </row>
    <row r="225" spans="2:18" ht="15" thickBot="1" x14ac:dyDescent="0.35">
      <c r="B225" s="73"/>
      <c r="C225" s="74"/>
      <c r="D225" s="74"/>
      <c r="E225" s="74"/>
      <c r="F225" s="75"/>
      <c r="G225" s="76"/>
      <c r="H225" s="75"/>
      <c r="I225" s="76"/>
      <c r="J225" s="75"/>
      <c r="K225" s="76"/>
      <c r="L225" s="75"/>
      <c r="M225" s="76"/>
      <c r="N225" s="75"/>
      <c r="O225" s="76"/>
      <c r="P225" s="75"/>
      <c r="Q225" s="74"/>
      <c r="R225" s="77"/>
    </row>
    <row r="226" spans="2:18" x14ac:dyDescent="0.3">
      <c r="F226"/>
      <c r="G226"/>
      <c r="H226"/>
      <c r="I226"/>
      <c r="J226"/>
      <c r="K226"/>
      <c r="L226"/>
      <c r="M226"/>
      <c r="N226"/>
      <c r="O226"/>
      <c r="P226"/>
    </row>
    <row r="227" spans="2:18" x14ac:dyDescent="0.3">
      <c r="F227"/>
      <c r="G227"/>
      <c r="H227"/>
      <c r="I227"/>
      <c r="J227"/>
      <c r="K227"/>
      <c r="L227"/>
      <c r="M227"/>
      <c r="N227"/>
      <c r="O227"/>
      <c r="P227"/>
    </row>
    <row r="228" spans="2:18" x14ac:dyDescent="0.3">
      <c r="C228" s="2"/>
      <c r="F228"/>
      <c r="G228"/>
      <c r="H228"/>
      <c r="I228"/>
      <c r="J228"/>
      <c r="K228"/>
      <c r="L228"/>
      <c r="M228"/>
      <c r="N228"/>
      <c r="O228"/>
      <c r="P228"/>
    </row>
    <row r="229" spans="2:18" x14ac:dyDescent="0.3">
      <c r="F229"/>
      <c r="G229"/>
      <c r="H229"/>
      <c r="I229"/>
      <c r="J229"/>
      <c r="K229"/>
      <c r="L229"/>
      <c r="M229"/>
      <c r="N229"/>
      <c r="O229"/>
      <c r="P229"/>
    </row>
    <row r="230" spans="2:18" x14ac:dyDescent="0.3">
      <c r="F230"/>
      <c r="G230"/>
      <c r="H230"/>
      <c r="I230"/>
      <c r="J230"/>
      <c r="K230"/>
      <c r="L230"/>
      <c r="M230"/>
      <c r="N230"/>
      <c r="O230"/>
      <c r="P230"/>
    </row>
    <row r="231" spans="2:18" x14ac:dyDescent="0.3">
      <c r="F231"/>
      <c r="G231"/>
      <c r="H231"/>
      <c r="I231"/>
      <c r="J231"/>
      <c r="K231"/>
      <c r="L231"/>
      <c r="M231"/>
      <c r="N231"/>
      <c r="O231"/>
      <c r="P231"/>
    </row>
    <row r="232" spans="2:18" x14ac:dyDescent="0.3">
      <c r="F232"/>
      <c r="G232"/>
      <c r="H232"/>
      <c r="I232"/>
      <c r="J232"/>
      <c r="K232"/>
      <c r="L232"/>
      <c r="M232"/>
      <c r="N232"/>
      <c r="O232"/>
      <c r="P232"/>
    </row>
    <row r="233" spans="2:18" x14ac:dyDescent="0.3">
      <c r="F233"/>
      <c r="G233"/>
      <c r="H233"/>
      <c r="I233"/>
      <c r="J233"/>
      <c r="K233"/>
      <c r="L233"/>
      <c r="M233"/>
      <c r="N233"/>
      <c r="O233"/>
      <c r="P233"/>
    </row>
    <row r="236" spans="2:18" x14ac:dyDescent="0.3">
      <c r="F236"/>
      <c r="G236"/>
      <c r="H236"/>
      <c r="I236"/>
      <c r="J236"/>
      <c r="K236"/>
      <c r="L236"/>
      <c r="M236"/>
      <c r="N236"/>
      <c r="O236"/>
      <c r="P23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31" zoomScale="85" zoomScaleNormal="85" workbookViewId="0">
      <selection activeCell="C63" sqref="C63"/>
    </sheetView>
  </sheetViews>
  <sheetFormatPr defaultColWidth="9.109375" defaultRowHeight="14.4" x14ac:dyDescent="0.3"/>
  <cols>
    <col min="1" max="1" width="9.109375" style="101"/>
    <col min="2" max="3" width="45.6640625" style="101" customWidth="1"/>
    <col min="4" max="4" width="17.88671875" style="101" customWidth="1"/>
    <col min="5" max="5" width="18.44140625" style="101" customWidth="1"/>
    <col min="6" max="6" width="17.6640625" style="101" bestFit="1" customWidth="1"/>
    <col min="7" max="7" width="17.109375" style="41" customWidth="1"/>
    <col min="8" max="8" width="18.109375" style="101" bestFit="1" customWidth="1"/>
    <col min="9" max="9" width="40.6640625" style="101" customWidth="1"/>
    <col min="10" max="14" width="15.6640625" style="101" customWidth="1"/>
    <col min="15" max="16384" width="9.109375" style="101"/>
  </cols>
  <sheetData>
    <row r="1" spans="1:9" x14ac:dyDescent="0.3">
      <c r="A1" s="100" t="s">
        <v>0</v>
      </c>
    </row>
    <row r="2" spans="1:9" x14ac:dyDescent="0.3">
      <c r="A2" s="100" t="s">
        <v>111</v>
      </c>
    </row>
    <row r="4" spans="1:9" x14ac:dyDescent="0.3">
      <c r="B4" s="101" t="s">
        <v>112</v>
      </c>
    </row>
    <row r="5" spans="1:9" ht="15" thickBot="1" x14ac:dyDescent="0.35"/>
    <row r="6" spans="1:9" s="102" customFormat="1" ht="28.8" x14ac:dyDescent="0.3">
      <c r="B6" s="103" t="s">
        <v>113</v>
      </c>
      <c r="C6" s="104" t="s">
        <v>114</v>
      </c>
      <c r="D6" s="105">
        <v>42369</v>
      </c>
      <c r="E6" s="105">
        <v>42735</v>
      </c>
      <c r="F6" s="104" t="s">
        <v>115</v>
      </c>
      <c r="G6" s="106" t="s">
        <v>116</v>
      </c>
      <c r="H6" s="104" t="s">
        <v>117</v>
      </c>
      <c r="I6" s="107" t="s">
        <v>118</v>
      </c>
    </row>
    <row r="7" spans="1:9" x14ac:dyDescent="0.3">
      <c r="B7" s="108"/>
      <c r="C7" s="109"/>
      <c r="D7" s="109"/>
      <c r="E7" s="109"/>
      <c r="F7" s="109"/>
      <c r="G7" s="110"/>
      <c r="H7" s="109"/>
      <c r="I7" s="111"/>
    </row>
    <row r="8" spans="1:9" x14ac:dyDescent="0.3">
      <c r="B8" s="108" t="s">
        <v>119</v>
      </c>
      <c r="C8" s="109" t="s">
        <v>120</v>
      </c>
      <c r="D8" s="112">
        <v>2300622</v>
      </c>
      <c r="E8" s="112">
        <f>873341+344757+748464</f>
        <v>1966562</v>
      </c>
      <c r="F8" s="109">
        <f t="shared" ref="F8:F20" si="0">(+E8+D8)/2</f>
        <v>2133592</v>
      </c>
      <c r="G8" s="110">
        <f>+H8/F8</f>
        <v>4.8934915344639458E-2</v>
      </c>
      <c r="H8" s="109">
        <f>-'[1]Attachment H-1'!H93*0.3959</f>
        <v>104407.1439</v>
      </c>
      <c r="I8" s="111" t="s">
        <v>121</v>
      </c>
    </row>
    <row r="9" spans="1:9" x14ac:dyDescent="0.3">
      <c r="B9" s="108" t="s">
        <v>122</v>
      </c>
      <c r="C9" s="109" t="s">
        <v>123</v>
      </c>
      <c r="D9" s="112">
        <v>-103579822</v>
      </c>
      <c r="E9" s="112">
        <v>-100715582</v>
      </c>
      <c r="F9" s="109">
        <f t="shared" si="0"/>
        <v>-102147702</v>
      </c>
      <c r="G9" s="110">
        <f>+H9/F9</f>
        <v>0</v>
      </c>
      <c r="H9" s="109">
        <f>-'[1]Attachment H-1'!H84*0.3959</f>
        <v>0</v>
      </c>
      <c r="I9" s="111" t="s">
        <v>121</v>
      </c>
    </row>
    <row r="10" spans="1:9" x14ac:dyDescent="0.3">
      <c r="B10" s="108" t="s">
        <v>124</v>
      </c>
      <c r="C10" s="109" t="s">
        <v>125</v>
      </c>
      <c r="D10" s="112">
        <v>0</v>
      </c>
      <c r="E10" s="112">
        <v>0</v>
      </c>
      <c r="F10" s="109">
        <f t="shared" si="0"/>
        <v>0</v>
      </c>
      <c r="G10" s="113">
        <v>1</v>
      </c>
      <c r="H10" s="109">
        <f>+F10*G10</f>
        <v>0</v>
      </c>
      <c r="I10" s="111"/>
    </row>
    <row r="11" spans="1:9" x14ac:dyDescent="0.3">
      <c r="B11" s="108" t="s">
        <v>126</v>
      </c>
      <c r="C11" s="109" t="s">
        <v>127</v>
      </c>
      <c r="D11" s="112">
        <v>21745007</v>
      </c>
      <c r="E11" s="112">
        <v>25251524</v>
      </c>
      <c r="F11" s="109">
        <f t="shared" si="0"/>
        <v>23498265.5</v>
      </c>
      <c r="G11" s="110">
        <f>+'[1]Attachment H-1'!H28</f>
        <v>0.14599999999999999</v>
      </c>
      <c r="H11" s="109">
        <f t="shared" ref="H11:H20" si="1">+F11*G11</f>
        <v>3430746.7629999998</v>
      </c>
      <c r="I11" s="111" t="s">
        <v>128</v>
      </c>
    </row>
    <row r="12" spans="1:9" x14ac:dyDescent="0.3">
      <c r="B12" s="108" t="s">
        <v>129</v>
      </c>
      <c r="C12" s="101" t="s">
        <v>130</v>
      </c>
      <c r="D12" s="112">
        <f>58708177-D13</f>
        <v>9276771</v>
      </c>
      <c r="E12" s="112">
        <f>59936331-E13</f>
        <v>10104037</v>
      </c>
      <c r="F12" s="109">
        <f t="shared" si="0"/>
        <v>9690404</v>
      </c>
      <c r="G12" s="110">
        <f>+'[1]Attachment H-1'!H28</f>
        <v>0.14599999999999999</v>
      </c>
      <c r="H12" s="109">
        <f t="shared" si="1"/>
        <v>1414798.9839999999</v>
      </c>
      <c r="I12" s="111" t="s">
        <v>128</v>
      </c>
    </row>
    <row r="13" spans="1:9" x14ac:dyDescent="0.3">
      <c r="B13" s="114" t="s">
        <v>131</v>
      </c>
      <c r="C13" s="115" t="s">
        <v>130</v>
      </c>
      <c r="D13" s="116">
        <v>49431406</v>
      </c>
      <c r="E13" s="116">
        <v>49832294</v>
      </c>
      <c r="F13" s="117">
        <f t="shared" si="0"/>
        <v>49631850</v>
      </c>
      <c r="G13" s="110">
        <v>0</v>
      </c>
      <c r="H13" s="109">
        <f t="shared" si="1"/>
        <v>0</v>
      </c>
      <c r="I13" s="111"/>
    </row>
    <row r="14" spans="1:9" x14ac:dyDescent="0.3">
      <c r="B14" s="118" t="s">
        <v>132</v>
      </c>
      <c r="C14" s="119" t="s">
        <v>133</v>
      </c>
      <c r="D14" s="112">
        <f>SUM(D12:D13)</f>
        <v>58708177</v>
      </c>
      <c r="E14" s="112">
        <f>SUM(E12:E13)</f>
        <v>59936331</v>
      </c>
      <c r="F14" s="109">
        <f t="shared" si="0"/>
        <v>59322254</v>
      </c>
      <c r="G14" s="110"/>
      <c r="H14" s="109"/>
      <c r="I14" s="111"/>
    </row>
    <row r="15" spans="1:9" x14ac:dyDescent="0.3">
      <c r="B15" s="108"/>
      <c r="C15" s="109"/>
      <c r="D15" s="119"/>
      <c r="E15" s="119"/>
      <c r="F15" s="109"/>
      <c r="G15" s="110"/>
      <c r="H15" s="109"/>
      <c r="I15" s="111"/>
    </row>
    <row r="16" spans="1:9" x14ac:dyDescent="0.3">
      <c r="B16" s="108" t="s">
        <v>134</v>
      </c>
      <c r="C16" s="109" t="s">
        <v>130</v>
      </c>
      <c r="D16" s="112">
        <v>110523135.81</v>
      </c>
      <c r="E16" s="112">
        <f>149378926-E17</f>
        <v>149378926</v>
      </c>
      <c r="F16" s="109">
        <f t="shared" si="0"/>
        <v>129951030.905</v>
      </c>
      <c r="G16" s="110">
        <f>+'[1]Attachment H-1'!H28</f>
        <v>0.14599999999999999</v>
      </c>
      <c r="H16" s="109">
        <f t="shared" si="1"/>
        <v>18972850.51213</v>
      </c>
      <c r="I16" s="111" t="s">
        <v>128</v>
      </c>
    </row>
    <row r="17" spans="2:9" x14ac:dyDescent="0.3">
      <c r="B17" s="120" t="s">
        <v>135</v>
      </c>
      <c r="C17" s="117" t="s">
        <v>130</v>
      </c>
      <c r="D17" s="116">
        <v>37330651</v>
      </c>
      <c r="E17" s="116">
        <v>0</v>
      </c>
      <c r="F17" s="117">
        <f t="shared" si="0"/>
        <v>18665325.5</v>
      </c>
      <c r="G17" s="110">
        <v>0</v>
      </c>
      <c r="H17" s="109">
        <f t="shared" si="1"/>
        <v>0</v>
      </c>
      <c r="I17" s="111"/>
    </row>
    <row r="18" spans="2:9" x14ac:dyDescent="0.3">
      <c r="B18" s="108" t="s">
        <v>136</v>
      </c>
      <c r="C18" s="109" t="s">
        <v>137</v>
      </c>
      <c r="D18" s="119">
        <f>SUM(D16:D17)</f>
        <v>147853786.81</v>
      </c>
      <c r="E18" s="119">
        <f>SUM(E16:E17)</f>
        <v>149378926</v>
      </c>
      <c r="F18" s="109">
        <f t="shared" si="0"/>
        <v>148616356.405</v>
      </c>
      <c r="G18" s="110"/>
      <c r="H18" s="109"/>
      <c r="I18" s="111"/>
    </row>
    <row r="19" spans="2:9" x14ac:dyDescent="0.3">
      <c r="B19" s="108"/>
      <c r="C19" s="109"/>
      <c r="D19" s="119"/>
      <c r="E19" s="119"/>
      <c r="F19" s="109"/>
      <c r="G19" s="110"/>
      <c r="H19" s="109"/>
      <c r="I19" s="111"/>
    </row>
    <row r="20" spans="2:9" x14ac:dyDescent="0.3">
      <c r="B20" s="108" t="s">
        <v>138</v>
      </c>
      <c r="C20" s="109"/>
      <c r="D20" s="112">
        <v>208276793</v>
      </c>
      <c r="E20" s="112">
        <v>189545658</v>
      </c>
      <c r="F20" s="109">
        <f t="shared" si="0"/>
        <v>198911225.5</v>
      </c>
      <c r="G20" s="110">
        <v>0</v>
      </c>
      <c r="H20" s="109">
        <f t="shared" si="1"/>
        <v>0</v>
      </c>
      <c r="I20" s="111"/>
    </row>
    <row r="21" spans="2:9" x14ac:dyDescent="0.3">
      <c r="B21" s="108"/>
      <c r="C21" s="109"/>
      <c r="D21" s="119"/>
      <c r="E21" s="119"/>
      <c r="F21" s="109"/>
      <c r="G21" s="110"/>
      <c r="H21" s="109"/>
      <c r="I21" s="111"/>
    </row>
    <row r="22" spans="2:9" s="100" customFormat="1" ht="15" thickBot="1" x14ac:dyDescent="0.35">
      <c r="B22" s="121" t="s">
        <v>139</v>
      </c>
      <c r="C22" s="122" t="s">
        <v>140</v>
      </c>
      <c r="D22" s="122">
        <f>SUM(D8:D11)+D20+D14+D18</f>
        <v>335304563.81</v>
      </c>
      <c r="E22" s="122">
        <f>SUM(E8:E11)+E20+E14+E18</f>
        <v>325363419</v>
      </c>
      <c r="F22" s="123">
        <f>(+E22+D22)/2</f>
        <v>330333991.40499997</v>
      </c>
      <c r="G22" s="123"/>
      <c r="H22" s="123">
        <f>SUM(H7:H21)</f>
        <v>23922803.403030001</v>
      </c>
      <c r="I22" s="111"/>
    </row>
    <row r="23" spans="2:9" ht="15" thickBot="1" x14ac:dyDescent="0.35">
      <c r="B23" s="124"/>
      <c r="C23" s="124"/>
      <c r="D23" s="125"/>
      <c r="E23" s="125"/>
      <c r="F23" s="124"/>
      <c r="G23" s="126"/>
      <c r="H23" s="124"/>
      <c r="I23" s="127"/>
    </row>
    <row r="24" spans="2:9" ht="28.8" x14ac:dyDescent="0.3">
      <c r="B24" s="128" t="s">
        <v>141</v>
      </c>
      <c r="C24" s="104" t="s">
        <v>114</v>
      </c>
      <c r="D24" s="129">
        <f>D6</f>
        <v>42369</v>
      </c>
      <c r="E24" s="129">
        <f>E6</f>
        <v>42735</v>
      </c>
      <c r="F24" s="104" t="s">
        <v>115</v>
      </c>
      <c r="G24" s="106" t="s">
        <v>116</v>
      </c>
      <c r="H24" s="104" t="s">
        <v>117</v>
      </c>
      <c r="I24" s="107" t="s">
        <v>118</v>
      </c>
    </row>
    <row r="25" spans="2:9" x14ac:dyDescent="0.3">
      <c r="B25" s="108"/>
      <c r="C25" s="109"/>
      <c r="D25" s="119"/>
      <c r="E25" s="119"/>
      <c r="F25" s="109"/>
      <c r="G25" s="110"/>
      <c r="H25" s="109"/>
      <c r="I25" s="111"/>
    </row>
    <row r="26" spans="2:9" x14ac:dyDescent="0.3">
      <c r="B26" s="108" t="s">
        <v>138</v>
      </c>
      <c r="C26" s="109"/>
      <c r="D26" s="112">
        <v>-4269799</v>
      </c>
      <c r="E26" s="112">
        <v>-3870947</v>
      </c>
      <c r="F26" s="109">
        <f>(+E26+D26)/2</f>
        <v>-4070373</v>
      </c>
      <c r="G26" s="110">
        <v>0</v>
      </c>
      <c r="H26" s="109">
        <f>+F26*G26</f>
        <v>0</v>
      </c>
      <c r="I26" s="111"/>
    </row>
    <row r="27" spans="2:9" x14ac:dyDescent="0.3">
      <c r="B27" s="108"/>
      <c r="C27" s="109"/>
      <c r="D27" s="119"/>
      <c r="E27" s="119"/>
      <c r="F27" s="109"/>
      <c r="G27" s="110"/>
      <c r="H27" s="109"/>
      <c r="I27" s="111"/>
    </row>
    <row r="28" spans="2:9" s="100" customFormat="1" ht="15" thickBot="1" x14ac:dyDescent="0.35">
      <c r="B28" s="121" t="s">
        <v>142</v>
      </c>
      <c r="C28" s="122" t="s">
        <v>143</v>
      </c>
      <c r="D28" s="122">
        <f>D26</f>
        <v>-4269799</v>
      </c>
      <c r="E28" s="122">
        <f>E26</f>
        <v>-3870947</v>
      </c>
      <c r="F28" s="123">
        <f>(+E28+D28)/2</f>
        <v>-4070373</v>
      </c>
      <c r="G28" s="123"/>
      <c r="H28" s="123">
        <f>SUM(H26:H27)</f>
        <v>0</v>
      </c>
      <c r="I28" s="127"/>
    </row>
    <row r="29" spans="2:9" ht="15" thickBot="1" x14ac:dyDescent="0.35">
      <c r="B29" s="124"/>
      <c r="C29" s="124"/>
      <c r="D29" s="125"/>
      <c r="E29" s="125"/>
      <c r="F29" s="124"/>
      <c r="G29" s="126"/>
      <c r="H29" s="124"/>
      <c r="I29" s="124"/>
    </row>
    <row r="30" spans="2:9" ht="28.8" x14ac:dyDescent="0.3">
      <c r="B30" s="128" t="s">
        <v>144</v>
      </c>
      <c r="C30" s="104" t="s">
        <v>114</v>
      </c>
      <c r="D30" s="129">
        <f>D6</f>
        <v>42369</v>
      </c>
      <c r="E30" s="129">
        <f>E6</f>
        <v>42735</v>
      </c>
      <c r="F30" s="104" t="s">
        <v>115</v>
      </c>
      <c r="G30" s="106" t="s">
        <v>116</v>
      </c>
      <c r="H30" s="104" t="s">
        <v>117</v>
      </c>
      <c r="I30" s="107" t="s">
        <v>118</v>
      </c>
    </row>
    <row r="31" spans="2:9" x14ac:dyDescent="0.3">
      <c r="B31" s="130"/>
      <c r="C31" s="131"/>
      <c r="D31" s="119"/>
      <c r="E31" s="119"/>
      <c r="F31" s="109"/>
      <c r="G31" s="110"/>
      <c r="H31" s="109"/>
      <c r="I31" s="111"/>
    </row>
    <row r="32" spans="2:9" x14ac:dyDescent="0.3">
      <c r="B32" s="108" t="s">
        <v>145</v>
      </c>
      <c r="C32" s="109" t="s">
        <v>130</v>
      </c>
      <c r="D32" s="112">
        <v>-102988171</v>
      </c>
      <c r="E32" s="112">
        <v>-122755205</v>
      </c>
      <c r="F32" s="109">
        <f>(+E32+D32)/2</f>
        <v>-112871688</v>
      </c>
      <c r="G32" s="110">
        <v>1</v>
      </c>
      <c r="H32" s="109">
        <f>+F32*G32</f>
        <v>-112871688</v>
      </c>
      <c r="I32" s="111"/>
    </row>
    <row r="33" spans="2:9" x14ac:dyDescent="0.3">
      <c r="B33" s="108" t="s">
        <v>146</v>
      </c>
      <c r="C33" s="109" t="s">
        <v>130</v>
      </c>
      <c r="D33" s="112">
        <v>1256410</v>
      </c>
      <c r="E33" s="112">
        <v>1254406</v>
      </c>
      <c r="F33" s="109">
        <f>(+E33+D33)/2</f>
        <v>1255408</v>
      </c>
      <c r="G33" s="110">
        <f>+'[1]Attachment H-1'!H28</f>
        <v>0.14599999999999999</v>
      </c>
      <c r="H33" s="109">
        <f>+F33*G33</f>
        <v>183289.568</v>
      </c>
      <c r="I33" s="111" t="s">
        <v>128</v>
      </c>
    </row>
    <row r="34" spans="2:9" x14ac:dyDescent="0.3">
      <c r="B34" s="108" t="s">
        <v>147</v>
      </c>
      <c r="C34" s="109" t="s">
        <v>130</v>
      </c>
      <c r="D34" s="112">
        <v>-22546588</v>
      </c>
      <c r="E34" s="112">
        <v>-24611017</v>
      </c>
      <c r="F34" s="109">
        <f>(+E34+D34)/2</f>
        <v>-23578802.5</v>
      </c>
      <c r="G34" s="110">
        <f>+'[1]Attachment H-1'!H28</f>
        <v>0.14599999999999999</v>
      </c>
      <c r="H34" s="109">
        <f>+F34*G34</f>
        <v>-3442505.1649999996</v>
      </c>
      <c r="I34" s="111" t="s">
        <v>128</v>
      </c>
    </row>
    <row r="35" spans="2:9" x14ac:dyDescent="0.3">
      <c r="B35" s="108" t="s">
        <v>148</v>
      </c>
      <c r="C35" s="109" t="s">
        <v>130</v>
      </c>
      <c r="D35" s="112">
        <v>-22138422</v>
      </c>
      <c r="E35" s="112">
        <v>-22138422</v>
      </c>
      <c r="F35" s="109">
        <f>(+E35+D35)/2</f>
        <v>-22138422</v>
      </c>
      <c r="G35" s="110">
        <f>+'[1]Attachment H-1'!H28</f>
        <v>0.14599999999999999</v>
      </c>
      <c r="H35" s="109">
        <f>+F35*G35</f>
        <v>-3232209.6119999997</v>
      </c>
      <c r="I35" s="111" t="s">
        <v>128</v>
      </c>
    </row>
    <row r="36" spans="2:9" x14ac:dyDescent="0.3">
      <c r="B36" s="108" t="s">
        <v>138</v>
      </c>
      <c r="C36" s="109"/>
      <c r="D36" s="112">
        <v>-724043716</v>
      </c>
      <c r="E36" s="112">
        <v>-768231118</v>
      </c>
      <c r="F36" s="109">
        <f>(+E36+D36)/2</f>
        <v>-746137417</v>
      </c>
      <c r="G36" s="110">
        <v>0</v>
      </c>
      <c r="H36" s="109">
        <f>+G36*F36</f>
        <v>0</v>
      </c>
      <c r="I36" s="111"/>
    </row>
    <row r="37" spans="2:9" x14ac:dyDescent="0.3">
      <c r="B37" s="120"/>
      <c r="C37" s="117"/>
      <c r="D37" s="117"/>
      <c r="E37" s="117"/>
      <c r="F37" s="117"/>
      <c r="G37" s="132"/>
      <c r="H37" s="117"/>
      <c r="I37" s="111"/>
    </row>
    <row r="38" spans="2:9" s="109" customFormat="1" x14ac:dyDescent="0.3">
      <c r="B38" s="133" t="s">
        <v>149</v>
      </c>
      <c r="C38" s="134" t="s">
        <v>150</v>
      </c>
      <c r="D38" s="119">
        <f>SUM(D32:D36)</f>
        <v>-870460487</v>
      </c>
      <c r="E38" s="119">
        <f>SUM(E32:E36)</f>
        <v>-936481356</v>
      </c>
      <c r="F38" s="109">
        <f>(+E38+D38)/2</f>
        <v>-903470921.5</v>
      </c>
      <c r="H38" s="109">
        <f>SUM(H31:H37)</f>
        <v>-119363113.20900001</v>
      </c>
      <c r="I38" s="111"/>
    </row>
    <row r="39" spans="2:9" x14ac:dyDescent="0.3">
      <c r="B39" s="133"/>
      <c r="C39" s="134"/>
      <c r="D39" s="119"/>
      <c r="E39" s="109"/>
      <c r="F39" s="109"/>
      <c r="G39" s="109"/>
      <c r="H39" s="109"/>
      <c r="I39" s="111"/>
    </row>
    <row r="40" spans="2:9" s="47" customFormat="1" x14ac:dyDescent="0.3">
      <c r="B40" s="118" t="s">
        <v>151</v>
      </c>
      <c r="C40" s="119" t="s">
        <v>130</v>
      </c>
      <c r="D40" s="112">
        <v>-12586840</v>
      </c>
      <c r="E40" s="112">
        <v>-12580649</v>
      </c>
      <c r="F40" s="119">
        <f>(+E40+D40)/2</f>
        <v>-12583744.5</v>
      </c>
      <c r="G40" s="113">
        <f>('[1]Schedule 1A - Svcs Co Plant_Rev'!P28-'[1]Schedule 1A - Svcs Co Plant_Rev'!P32)/('[1]Schedule 1A - Svcs Co Plant_Rev'!P16-'[1]Schedule 1A - Svcs Co Plant_Rev'!P22)</f>
        <v>6.343867690885982E-2</v>
      </c>
      <c r="H40" s="119">
        <f>+F40*G40</f>
        <v>-798296.10163914179</v>
      </c>
      <c r="I40" s="135" t="s">
        <v>152</v>
      </c>
    </row>
    <row r="41" spans="2:9" x14ac:dyDescent="0.3">
      <c r="B41" s="136" t="s">
        <v>153</v>
      </c>
      <c r="C41" s="134"/>
      <c r="D41" s="119"/>
      <c r="E41" s="109"/>
      <c r="F41" s="109"/>
      <c r="G41" s="109"/>
      <c r="H41" s="109"/>
      <c r="I41" s="111"/>
    </row>
    <row r="42" spans="2:9" s="47" customFormat="1" x14ac:dyDescent="0.3">
      <c r="B42" s="118" t="s">
        <v>154</v>
      </c>
      <c r="C42" s="137" t="s">
        <v>155</v>
      </c>
      <c r="D42" s="112">
        <f>-'[1]Schedule 13 Direct Assignment'!M50</f>
        <v>6927462.0987899816</v>
      </c>
      <c r="E42" s="112">
        <f>-'[1]Schedule 13 Direct Assignment'!M51</f>
        <v>7070547.5808699355</v>
      </c>
      <c r="F42" s="119">
        <f>(+E42+D42)/2</f>
        <v>6999004.839829959</v>
      </c>
      <c r="G42" s="113">
        <v>1</v>
      </c>
      <c r="H42" s="119">
        <f>+F42*G42</f>
        <v>6999004.839829959</v>
      </c>
      <c r="I42" s="138"/>
    </row>
    <row r="43" spans="2:9" x14ac:dyDescent="0.3">
      <c r="B43" s="136"/>
      <c r="C43" s="134"/>
      <c r="D43" s="119"/>
      <c r="E43" s="109"/>
      <c r="F43" s="109"/>
      <c r="G43" s="109"/>
      <c r="H43" s="109"/>
      <c r="I43" s="111"/>
    </row>
    <row r="44" spans="2:9" s="100" customFormat="1" ht="15" thickBot="1" x14ac:dyDescent="0.35">
      <c r="B44" s="121" t="s">
        <v>156</v>
      </c>
      <c r="C44" s="122"/>
      <c r="D44" s="122">
        <f>SUM(D38:D43)</f>
        <v>-876119864.90121007</v>
      </c>
      <c r="E44" s="122">
        <f>SUM(E38:E43)</f>
        <v>-941991457.41913009</v>
      </c>
      <c r="F44" s="122">
        <f>SUM(F38:F43)</f>
        <v>-909055661.16017008</v>
      </c>
      <c r="G44" s="123"/>
      <c r="H44" s="122">
        <f>SUM(H38:H43)</f>
        <v>-113162404.47080919</v>
      </c>
      <c r="I44" s="127"/>
    </row>
    <row r="45" spans="2:9" s="100" customFormat="1" ht="15" thickBot="1" x14ac:dyDescent="0.35">
      <c r="B45" s="139"/>
      <c r="C45" s="139"/>
      <c r="D45" s="139"/>
      <c r="E45" s="139"/>
      <c r="F45" s="139"/>
      <c r="G45" s="140"/>
      <c r="H45" s="139"/>
      <c r="I45" s="140"/>
    </row>
    <row r="46" spans="2:9" s="100" customFormat="1" x14ac:dyDescent="0.3">
      <c r="B46" s="141" t="s">
        <v>157</v>
      </c>
      <c r="C46" s="142"/>
      <c r="D46" s="142"/>
      <c r="E46" s="142"/>
      <c r="F46" s="142"/>
      <c r="G46" s="143"/>
      <c r="H46" s="142"/>
      <c r="I46" s="144"/>
    </row>
    <row r="47" spans="2:9" s="100" customFormat="1" x14ac:dyDescent="0.3">
      <c r="B47" s="133"/>
      <c r="C47" s="137" t="s">
        <v>158</v>
      </c>
      <c r="D47" s="115">
        <f>+'[1]Schedule 1C - Settlement Adjust'!H32+'[1]Schedule 1C - Settlement Adjust'!H100+'[1]Schedule 1C - Settlement Adjust'!H177+'[1]Schedule 1C - Settlement Adjust'!H252</f>
        <v>1375646.4040275021</v>
      </c>
      <c r="E47" s="115">
        <f>+'[1]Schedule 1C - Settlement Adjust'!H32+'[1]Schedule 1C - Settlement Adjust'!H112+'[1]Schedule 1C - Settlement Adjust'!H189+'[1]Schedule 1C - Settlement Adjust'!H264</f>
        <v>1391934.3555925353</v>
      </c>
      <c r="F47" s="115">
        <f>AVERAGE(D47:E47)</f>
        <v>1383790.3798100187</v>
      </c>
      <c r="G47" s="145">
        <v>1</v>
      </c>
      <c r="H47" s="115">
        <f>+F47*G47</f>
        <v>1383790.3798100187</v>
      </c>
      <c r="I47" s="146"/>
    </row>
    <row r="48" spans="2:9" s="100" customFormat="1" ht="15" thickBot="1" x14ac:dyDescent="0.35">
      <c r="B48" s="147" t="s">
        <v>159</v>
      </c>
      <c r="C48" s="139"/>
      <c r="D48" s="139">
        <f>+D47</f>
        <v>1375646.4040275021</v>
      </c>
      <c r="E48" s="139">
        <f>+E47</f>
        <v>1391934.3555925353</v>
      </c>
      <c r="F48" s="139">
        <f>+F47</f>
        <v>1383790.3798100187</v>
      </c>
      <c r="G48" s="140"/>
      <c r="H48" s="139">
        <f>+H47</f>
        <v>1383790.3798100187</v>
      </c>
      <c r="I48" s="127"/>
    </row>
    <row r="49" spans="2:9" ht="15" thickBot="1" x14ac:dyDescent="0.35">
      <c r="B49" s="148"/>
      <c r="C49" s="148"/>
      <c r="D49" s="148"/>
      <c r="E49" s="148"/>
      <c r="F49" s="148"/>
      <c r="G49" s="149"/>
      <c r="H49" s="148"/>
      <c r="I49" s="148"/>
    </row>
    <row r="50" spans="2:9" ht="28.8" x14ac:dyDescent="0.3">
      <c r="B50" s="128" t="s">
        <v>160</v>
      </c>
      <c r="C50" s="104" t="s">
        <v>114</v>
      </c>
      <c r="D50" s="105">
        <f>D6</f>
        <v>42369</v>
      </c>
      <c r="E50" s="105">
        <f>E6</f>
        <v>42735</v>
      </c>
      <c r="F50" s="104" t="s">
        <v>115</v>
      </c>
      <c r="G50" s="106" t="s">
        <v>116</v>
      </c>
      <c r="H50" s="104" t="s">
        <v>117</v>
      </c>
      <c r="I50" s="107" t="s">
        <v>118</v>
      </c>
    </row>
    <row r="51" spans="2:9" x14ac:dyDescent="0.3">
      <c r="B51" s="108"/>
      <c r="C51" s="109"/>
      <c r="D51" s="109"/>
      <c r="E51" s="109"/>
      <c r="F51" s="109"/>
      <c r="G51" s="110"/>
      <c r="H51" s="109"/>
      <c r="I51" s="111"/>
    </row>
    <row r="52" spans="2:9" x14ac:dyDescent="0.3">
      <c r="B52" s="108" t="s">
        <v>161</v>
      </c>
      <c r="C52" s="109" t="s">
        <v>162</v>
      </c>
      <c r="D52" s="112">
        <v>-7753954</v>
      </c>
      <c r="E52" s="112">
        <v>-8067622</v>
      </c>
      <c r="F52" s="109">
        <f>(+E52+D52)/2</f>
        <v>-7910788</v>
      </c>
      <c r="G52" s="110">
        <f>+'[1]Attachment H-1'!H28</f>
        <v>0.14599999999999999</v>
      </c>
      <c r="H52" s="109">
        <f>+F52*G52</f>
        <v>-1154975.048</v>
      </c>
      <c r="I52" s="111" t="s">
        <v>128</v>
      </c>
    </row>
    <row r="53" spans="2:9" x14ac:dyDescent="0.3">
      <c r="B53" s="108" t="s">
        <v>163</v>
      </c>
      <c r="C53" s="109" t="s">
        <v>164</v>
      </c>
      <c r="D53" s="112">
        <v>-3756987</v>
      </c>
      <c r="E53" s="112">
        <v>-3833602</v>
      </c>
      <c r="F53" s="109">
        <f>(+E53+D53)/2</f>
        <v>-3795294.5</v>
      </c>
      <c r="G53" s="110">
        <f>+'[1]Schedule 7 - Working capital'!E64/((+'[1]Schedule 7 - Working capital'!E48+'[1]Schedule 7 - Working capital'!E62)/2)</f>
        <v>5.2025902549152153E-2</v>
      </c>
      <c r="H53" s="109">
        <f>+F53*G53</f>
        <v>-197453.62180233316</v>
      </c>
      <c r="I53" s="111" t="s">
        <v>165</v>
      </c>
    </row>
    <row r="54" spans="2:9" x14ac:dyDescent="0.3">
      <c r="B54" s="108" t="s">
        <v>166</v>
      </c>
      <c r="C54" s="109" t="s">
        <v>167</v>
      </c>
      <c r="D54" s="112">
        <v>-1004794</v>
      </c>
      <c r="E54" s="112">
        <v>-1736702</v>
      </c>
      <c r="F54" s="109">
        <f>(+E54+D54)/2</f>
        <v>-1370748</v>
      </c>
      <c r="G54" s="110">
        <f>+H54/F54</f>
        <v>0</v>
      </c>
      <c r="H54" s="109">
        <f>-0.3959*(+'[1]Schedule 5 Misc Def Debits'!E10+'[1]Schedule 5 Misc Def Debits'!E31)/2</f>
        <v>0</v>
      </c>
      <c r="I54" s="111" t="s">
        <v>121</v>
      </c>
    </row>
    <row r="55" spans="2:9" x14ac:dyDescent="0.3">
      <c r="B55" s="108" t="s">
        <v>168</v>
      </c>
      <c r="C55" s="109" t="s">
        <v>169</v>
      </c>
      <c r="D55" s="112">
        <v>-901702</v>
      </c>
      <c r="E55" s="112">
        <v>-901702</v>
      </c>
      <c r="F55" s="109">
        <f>(+E55+D55)/2</f>
        <v>-901702</v>
      </c>
      <c r="G55" s="110">
        <v>0</v>
      </c>
      <c r="H55" s="109"/>
      <c r="I55" s="111" t="s">
        <v>170</v>
      </c>
    </row>
    <row r="56" spans="2:9" x14ac:dyDescent="0.3">
      <c r="B56" s="108" t="s">
        <v>138</v>
      </c>
      <c r="C56" s="109"/>
      <c r="D56" s="112">
        <v>-71461236</v>
      </c>
      <c r="E56" s="112">
        <v>-59709587</v>
      </c>
      <c r="F56" s="109">
        <f>(+E56+D56)/2</f>
        <v>-65585411.5</v>
      </c>
      <c r="G56" s="110">
        <v>0</v>
      </c>
      <c r="H56" s="109">
        <f>+F56*G56</f>
        <v>0</v>
      </c>
      <c r="I56" s="111"/>
    </row>
    <row r="57" spans="2:9" x14ac:dyDescent="0.3">
      <c r="B57" s="108"/>
      <c r="C57" s="109"/>
      <c r="D57" s="109"/>
      <c r="E57" s="109"/>
      <c r="F57" s="109"/>
      <c r="G57" s="110"/>
      <c r="H57" s="109"/>
      <c r="I57" s="111"/>
    </row>
    <row r="58" spans="2:9" s="100" customFormat="1" ht="15" thickBot="1" x14ac:dyDescent="0.35">
      <c r="B58" s="121" t="s">
        <v>171</v>
      </c>
      <c r="C58" s="122" t="s">
        <v>172</v>
      </c>
      <c r="D58" s="123">
        <f>SUM(D52:D57)</f>
        <v>-84878673</v>
      </c>
      <c r="E58" s="123">
        <f>SUM(E52:E57)</f>
        <v>-74249215</v>
      </c>
      <c r="F58" s="123">
        <f>(+E58+D58)/2</f>
        <v>-79563944</v>
      </c>
      <c r="G58" s="123"/>
      <c r="H58" s="123">
        <f>SUM(H51:H57)</f>
        <v>-1352428.6698023332</v>
      </c>
      <c r="I58" s="127"/>
    </row>
    <row r="59" spans="2:9" ht="15" thickBot="1" x14ac:dyDescent="0.35">
      <c r="B59" s="150"/>
      <c r="C59" s="150"/>
      <c r="D59" s="124"/>
      <c r="E59" s="124"/>
      <c r="F59" s="124"/>
      <c r="G59" s="124"/>
      <c r="H59" s="124"/>
      <c r="I59" s="124"/>
    </row>
    <row r="60" spans="2:9" s="100" customFormat="1" ht="15" thickBot="1" x14ac:dyDescent="0.35">
      <c r="B60" s="151" t="s">
        <v>173</v>
      </c>
      <c r="C60" s="150"/>
      <c r="D60" s="152">
        <f>+D58+D44+D28+D22+D48</f>
        <v>-628588126.68718266</v>
      </c>
      <c r="E60" s="152">
        <f>+E58+E44+E28+E22+E48</f>
        <v>-693356266.0635376</v>
      </c>
      <c r="F60" s="152">
        <f>+F58+F44+F28+F22+F48</f>
        <v>-660972196.37536013</v>
      </c>
      <c r="G60" s="152">
        <f>+G58+G44+G28+G22+G48</f>
        <v>0</v>
      </c>
      <c r="H60" s="152">
        <f>+H58+H44+H28+H22+H48</f>
        <v>-89208239.357771501</v>
      </c>
      <c r="I60" s="153" t="s">
        <v>174</v>
      </c>
    </row>
    <row r="62" spans="2:9" x14ac:dyDescent="0.3">
      <c r="D62" s="109"/>
      <c r="E62" s="109"/>
    </row>
    <row r="67" spans="2:3" s="101" customFormat="1" x14ac:dyDescent="0.3">
      <c r="B67" s="100"/>
      <c r="C67" s="10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C - Settlement Adjust</vt:lpstr>
      <vt:lpstr>Schedule 1B - Projected Plant</vt:lpstr>
      <vt:lpstr>Schedule 2 - ADIT</vt:lpstr>
    </vt:vector>
  </TitlesOfParts>
  <Company>PNMR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Blackman, Marc</dc:creator>
  <cp:lastModifiedBy>Blackman, Marc</cp:lastModifiedBy>
  <dcterms:created xsi:type="dcterms:W3CDTF">2017-07-28T00:02:02Z</dcterms:created>
  <dcterms:modified xsi:type="dcterms:W3CDTF">2017-07-28T00:08:17Z</dcterms:modified>
</cp:coreProperties>
</file>