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 yWindow="840" windowWidth="12192" windowHeight="7728" tabRatio="897"/>
  </bookViews>
  <sheets>
    <sheet name="Summary" sheetId="38" r:id="rId1"/>
    <sheet name="FERC Form 1 Inputs" sheetId="37" r:id="rId2"/>
    <sheet name="Attachment H-1" sheetId="1" r:id="rId3"/>
    <sheet name="Schedule 1 - Plant" sheetId="2" r:id="rId4"/>
    <sheet name="Schedule 1A - Svcs Co Plant_Rev" sheetId="32" r:id="rId5"/>
    <sheet name="Schedule 1B - Projected Plant" sheetId="24" r:id="rId6"/>
    <sheet name="Schedule 1C - Settlement Adjust" sheetId="34" r:id="rId7"/>
    <sheet name="Schedule 2 - ADIT" sheetId="3" r:id="rId8"/>
    <sheet name="Schedule 3 - Transmission Wages" sheetId="4" r:id="rId9"/>
    <sheet name="Schedule 4 - Regulatory Assets" sheetId="6" r:id="rId10"/>
    <sheet name="Schedule 5 Misc Def Debits" sheetId="8" r:id="rId11"/>
    <sheet name="Schedule 6 (Reserved)" sheetId="9" r:id="rId12"/>
    <sheet name="Schedule 7 - Working capital" sheetId="11" r:id="rId13"/>
    <sheet name="Schedule 8 Other Deferred" sheetId="10" r:id="rId14"/>
    <sheet name="Schedule 9 O&amp;M" sheetId="12" r:id="rId15"/>
    <sheet name="Schedule 10 TOTI" sheetId="14" r:id="rId16"/>
    <sheet name="Schedule 11 Income Tax" sheetId="15" r:id="rId17"/>
    <sheet name="Schedule 12 Revenue Credits" sheetId="17" r:id="rId18"/>
    <sheet name="Schedule12A FERC p328" sheetId="23" r:id="rId19"/>
    <sheet name="Schedule 13 Direct Assignment" sheetId="27" r:id="rId20"/>
    <sheet name="Schedule 13 A - Detail" sheetId="35" r:id="rId21"/>
    <sheet name="Schedule 14 (Reserved)" sheetId="28" r:id="rId22"/>
    <sheet name="Schedule 15 Interest Expense" sheetId="33" r:id="rId23"/>
    <sheet name="Schedule 16 - Rate Design " sheetId="29" r:id="rId24"/>
    <sheet name="Sch 17 - Trans Demand Allocator" sheetId="30" r:id="rId25"/>
    <sheet name="Sch 18 - Imputed WAPA Trans Exp" sheetId="25" r:id="rId26"/>
    <sheet name="Schedule 19 - Third Party Trans" sheetId="20" r:id="rId27"/>
    <sheet name="Sch 20 - Gen Demand Allocator" sheetId="21" r:id="rId28"/>
  </sheets>
  <definedNames>
    <definedName name="_xlnm._FilterDatabase" localSheetId="18" hidden="1">'Schedule12A FERC p328'!$A$8:$AF$162</definedName>
    <definedName name="EssLatest" localSheetId="1">"Jan 2008"</definedName>
    <definedName name="EssOptions" localSheetId="1">"A1000001100110000000101100020_01001000"</definedName>
    <definedName name="EssOptions" localSheetId="3">"A1100000000030000000001100020_000000"</definedName>
    <definedName name="EssOptions" localSheetId="15">"A1000001100110000000101100020_01001000"</definedName>
    <definedName name="EssOptions" localSheetId="5">"A1000001100010000011111101020_01001000"</definedName>
    <definedName name="EssOptions" localSheetId="18">"A1100000000030000000001100020_000000"</definedName>
    <definedName name="EssSamplingValue" localSheetId="1">100</definedName>
    <definedName name="EssSamplingValue" localSheetId="3">100</definedName>
    <definedName name="EssSamplingValue" localSheetId="15">100</definedName>
    <definedName name="EssSamplingValue" localSheetId="5">100</definedName>
    <definedName name="EssSamplingValue" localSheetId="18">100</definedName>
    <definedName name="_xlnm.Print_Area" localSheetId="15">'Schedule 10 TOTI'!$A$1:$H$58</definedName>
    <definedName name="_xlnm.Print_Area" localSheetId="23">'Schedule 16 - Rate Design '!$A$1:$G$111</definedName>
    <definedName name="_xlnm.Print_Area" localSheetId="7">'Schedule 2 - ADIT'!$A$1:$I$62</definedName>
    <definedName name="_xlnm.Print_Titles" localSheetId="2">'Attachment H-1'!$1:$6</definedName>
    <definedName name="_xlnm.Print_Titles" localSheetId="24">'Sch 17 - Trans Demand Allocator'!$1:$3</definedName>
    <definedName name="_xlnm.Print_Titles" localSheetId="25">'Sch 18 - Imputed WAPA Trans Exp'!$1:$3</definedName>
    <definedName name="_xlnm.Print_Titles" localSheetId="27">'Sch 20 - Gen Demand Allocator'!$1:$2</definedName>
    <definedName name="_xlnm.Print_Titles" localSheetId="3">'Schedule 1 - Plant'!$1:$3</definedName>
    <definedName name="_xlnm.Print_Titles" localSheetId="15">'Schedule 10 TOTI'!$1:$3</definedName>
    <definedName name="_xlnm.Print_Titles" localSheetId="16">'Schedule 11 Income Tax'!$1:$3</definedName>
    <definedName name="_xlnm.Print_Titles" localSheetId="17">'Schedule 12 Revenue Credits'!$1:$3</definedName>
    <definedName name="_xlnm.Print_Titles" localSheetId="19">'Schedule 13 Direct Assignment'!$1:$3</definedName>
    <definedName name="_xlnm.Print_Titles" localSheetId="21">'Schedule 14 (Reserved)'!$1:$3</definedName>
    <definedName name="_xlnm.Print_Titles" localSheetId="22">'Schedule 15 Interest Expense'!$1:$3</definedName>
    <definedName name="_xlnm.Print_Titles" localSheetId="23">'Schedule 16 - Rate Design '!$1:$4</definedName>
    <definedName name="_xlnm.Print_Titles" localSheetId="26">'Schedule 19 - Third Party Trans'!$1:$2</definedName>
    <definedName name="_xlnm.Print_Titles" localSheetId="4">'Schedule 1A - Svcs Co Plant_Rev'!$1:$3</definedName>
    <definedName name="_xlnm.Print_Titles" localSheetId="5">'Schedule 1B - Projected Plant'!$1:$3</definedName>
    <definedName name="_xlnm.Print_Titles" localSheetId="7">'Schedule 2 - ADIT'!$1:$2</definedName>
    <definedName name="_xlnm.Print_Titles" localSheetId="8">'Schedule 3 - Transmission Wages'!#REF!</definedName>
    <definedName name="_xlnm.Print_Titles" localSheetId="9">'Schedule 4 - Regulatory Assets'!$1:$3</definedName>
    <definedName name="_xlnm.Print_Titles" localSheetId="10">'Schedule 5 Misc Def Debits'!$1:$3</definedName>
    <definedName name="_xlnm.Print_Titles" localSheetId="11">'Schedule 6 (Reserved)'!$1:$3</definedName>
    <definedName name="_xlnm.Print_Titles" localSheetId="12">'Schedule 7 - Working capital'!$1:$3</definedName>
    <definedName name="_xlnm.Print_Titles" localSheetId="13">'Schedule 8 Other Deferred'!$1:$3</definedName>
    <definedName name="_xlnm.Print_Titles" localSheetId="14">'Schedule 9 O&amp;M'!$1:$3</definedName>
    <definedName name="_xlnm.Print_Titles" localSheetId="18">'Schedule12A FERC p328'!$1:$3</definedName>
  </definedNames>
  <calcPr calcId="145621" calcMode="manual"/>
</workbook>
</file>

<file path=xl/calcChain.xml><?xml version="1.0" encoding="utf-8"?>
<calcChain xmlns="http://schemas.openxmlformats.org/spreadsheetml/2006/main">
  <c r="C32" i="30" l="1"/>
  <c r="C18" i="30"/>
  <c r="D18" i="30"/>
  <c r="E18" i="30"/>
  <c r="F18" i="30"/>
  <c r="G18" i="30"/>
  <c r="H18" i="30"/>
  <c r="I18" i="30"/>
  <c r="J18" i="30"/>
  <c r="K18" i="30"/>
  <c r="L18" i="30"/>
  <c r="M18" i="30"/>
  <c r="N18" i="30"/>
  <c r="C22" i="30" l="1"/>
  <c r="I92" i="1" l="1"/>
  <c r="I93" i="1" s="1"/>
  <c r="I97" i="1" s="1"/>
  <c r="H93" i="1" l="1"/>
  <c r="H92" i="1"/>
  <c r="H91" i="1"/>
  <c r="H88" i="1"/>
  <c r="H87" i="1"/>
  <c r="L75" i="1"/>
  <c r="I27" i="1"/>
  <c r="H89" i="1" l="1"/>
  <c r="H95" i="1" l="1"/>
  <c r="H80" i="1" l="1"/>
  <c r="M28" i="30" l="1"/>
  <c r="O67" i="30" l="1"/>
  <c r="C15" i="30" l="1"/>
  <c r="D15" i="30"/>
  <c r="E15" i="30"/>
  <c r="F15" i="30"/>
  <c r="G15" i="30"/>
  <c r="H15" i="30"/>
  <c r="I15" i="30"/>
  <c r="J15" i="30"/>
  <c r="K15" i="30"/>
  <c r="L15" i="30"/>
  <c r="M15" i="30"/>
  <c r="N15" i="30"/>
  <c r="C16" i="30"/>
  <c r="D16" i="30"/>
  <c r="E16" i="30"/>
  <c r="F16" i="30"/>
  <c r="G16" i="30"/>
  <c r="H16" i="30"/>
  <c r="I16" i="30"/>
  <c r="J16" i="30"/>
  <c r="K16" i="30"/>
  <c r="L16" i="30"/>
  <c r="M16" i="30"/>
  <c r="N16" i="30"/>
  <c r="C17" i="30"/>
  <c r="D17" i="30"/>
  <c r="E17" i="30"/>
  <c r="F17" i="30"/>
  <c r="G17" i="30"/>
  <c r="H17" i="30"/>
  <c r="I17" i="30"/>
  <c r="J17" i="30"/>
  <c r="K17" i="30"/>
  <c r="L17" i="30"/>
  <c r="M17" i="30"/>
  <c r="N17" i="30"/>
  <c r="C19" i="30"/>
  <c r="D19" i="30"/>
  <c r="E19" i="30"/>
  <c r="F19" i="30"/>
  <c r="G19" i="30"/>
  <c r="H19" i="30"/>
  <c r="I19" i="30"/>
  <c r="J19" i="30"/>
  <c r="K19" i="30"/>
  <c r="L19" i="30"/>
  <c r="M19" i="30"/>
  <c r="N19" i="30"/>
  <c r="C20" i="30"/>
  <c r="D20" i="30"/>
  <c r="E20" i="30"/>
  <c r="F20" i="30"/>
  <c r="G20" i="30"/>
  <c r="H20" i="30"/>
  <c r="I20" i="30"/>
  <c r="J20" i="30"/>
  <c r="K20" i="30"/>
  <c r="L20" i="30"/>
  <c r="M20" i="30"/>
  <c r="N20" i="30"/>
  <c r="C21" i="30"/>
  <c r="D21" i="30"/>
  <c r="E21" i="30"/>
  <c r="F21" i="30"/>
  <c r="G21" i="30"/>
  <c r="H21" i="30"/>
  <c r="I21" i="30"/>
  <c r="J21" i="30"/>
  <c r="K21" i="30"/>
  <c r="L21" i="30"/>
  <c r="M21" i="30"/>
  <c r="N21" i="30"/>
  <c r="D22" i="30"/>
  <c r="E22" i="30"/>
  <c r="F22" i="30"/>
  <c r="G22" i="30"/>
  <c r="H22" i="30"/>
  <c r="I22" i="30"/>
  <c r="J22" i="30"/>
  <c r="K22" i="30"/>
  <c r="L22" i="30"/>
  <c r="M22" i="30"/>
  <c r="N22" i="30"/>
  <c r="D14" i="30"/>
  <c r="D9" i="30" s="1"/>
  <c r="E14" i="30"/>
  <c r="E9" i="30" s="1"/>
  <c r="F14" i="30"/>
  <c r="F9" i="30" s="1"/>
  <c r="G14" i="30"/>
  <c r="G9" i="30" s="1"/>
  <c r="H14" i="30"/>
  <c r="H9" i="30" s="1"/>
  <c r="I14" i="30"/>
  <c r="I9" i="30" s="1"/>
  <c r="J14" i="30"/>
  <c r="J9" i="30" s="1"/>
  <c r="K14" i="30"/>
  <c r="K9" i="30" s="1"/>
  <c r="L14" i="30"/>
  <c r="L9" i="30" s="1"/>
  <c r="M14" i="30"/>
  <c r="M9" i="30" s="1"/>
  <c r="N14" i="30"/>
  <c r="N9" i="30" s="1"/>
  <c r="C14" i="30"/>
  <c r="C9" i="30" s="1"/>
  <c r="C23" i="30" l="1"/>
  <c r="P22" i="30"/>
  <c r="O22" i="30"/>
  <c r="H135" i="1"/>
  <c r="F84" i="24" l="1"/>
  <c r="D10" i="30" l="1"/>
  <c r="E23" i="30"/>
  <c r="H23" i="30"/>
  <c r="I23" i="30"/>
  <c r="L23" i="30"/>
  <c r="M23" i="30"/>
  <c r="G23" i="30"/>
  <c r="K23" i="30"/>
  <c r="F23" i="30"/>
  <c r="J23" i="30"/>
  <c r="N23" i="30"/>
  <c r="C10" i="30"/>
  <c r="D23" i="30" l="1"/>
  <c r="O23" i="30" s="1"/>
  <c r="C53" i="30"/>
  <c r="E47" i="3" l="1"/>
  <c r="D47" i="3"/>
  <c r="I239" i="34" l="1"/>
  <c r="F239" i="34"/>
  <c r="I238" i="34"/>
  <c r="F238" i="34"/>
  <c r="I237" i="34"/>
  <c r="F237" i="34"/>
  <c r="I236" i="34"/>
  <c r="F236" i="34"/>
  <c r="I235" i="34"/>
  <c r="F235" i="34"/>
  <c r="I234" i="34"/>
  <c r="F234" i="34"/>
  <c r="I233" i="34"/>
  <c r="F233" i="34"/>
  <c r="I232" i="34"/>
  <c r="F232" i="34"/>
  <c r="I231" i="34"/>
  <c r="F231" i="34"/>
  <c r="I230" i="34"/>
  <c r="F230" i="34"/>
  <c r="I229" i="34"/>
  <c r="F229" i="34"/>
  <c r="I228" i="34"/>
  <c r="F228" i="34"/>
  <c r="I227" i="34"/>
  <c r="F227" i="34"/>
  <c r="I226" i="34"/>
  <c r="F226" i="34"/>
  <c r="I225" i="34"/>
  <c r="F225" i="34"/>
  <c r="I224" i="34"/>
  <c r="F224" i="34"/>
  <c r="I223" i="34"/>
  <c r="F223" i="34"/>
  <c r="I222" i="34"/>
  <c r="F222" i="34"/>
  <c r="I221" i="34"/>
  <c r="F221" i="34"/>
  <c r="I220" i="34"/>
  <c r="F220" i="34"/>
  <c r="I219" i="34"/>
  <c r="F219" i="34"/>
  <c r="I218" i="34"/>
  <c r="F218" i="34"/>
  <c r="I217" i="34"/>
  <c r="F217" i="34"/>
  <c r="I216" i="34"/>
  <c r="F216" i="34"/>
  <c r="I215" i="34"/>
  <c r="F215" i="34"/>
  <c r="I214" i="34"/>
  <c r="F214" i="34"/>
  <c r="I213" i="34"/>
  <c r="F213" i="34"/>
  <c r="I212" i="34"/>
  <c r="F212" i="34"/>
  <c r="I211" i="34"/>
  <c r="F211" i="34"/>
  <c r="I210" i="34"/>
  <c r="F210" i="34"/>
  <c r="I209" i="34"/>
  <c r="F209" i="34"/>
  <c r="I208" i="34"/>
  <c r="F208" i="34"/>
  <c r="I207" i="34"/>
  <c r="F207" i="34"/>
  <c r="I206" i="34"/>
  <c r="F206" i="34"/>
  <c r="I205" i="34"/>
  <c r="F205" i="34"/>
  <c r="I204" i="34"/>
  <c r="F204" i="34"/>
  <c r="I203" i="34"/>
  <c r="F203" i="34"/>
  <c r="I202" i="34"/>
  <c r="F202" i="34"/>
  <c r="I201" i="34"/>
  <c r="F201" i="34"/>
  <c r="I200" i="34"/>
  <c r="F200" i="34"/>
  <c r="I199" i="34"/>
  <c r="F199" i="34"/>
  <c r="I198" i="34"/>
  <c r="F198" i="34"/>
  <c r="I197" i="34"/>
  <c r="F197" i="34"/>
  <c r="I196" i="34"/>
  <c r="F196" i="34"/>
  <c r="I195" i="34"/>
  <c r="F195" i="34"/>
  <c r="I194" i="34"/>
  <c r="F194" i="34"/>
  <c r="I193" i="34"/>
  <c r="F193" i="34"/>
  <c r="I192" i="34"/>
  <c r="F192" i="34"/>
  <c r="I191" i="34"/>
  <c r="F191" i="34"/>
  <c r="I190" i="34"/>
  <c r="F190" i="34"/>
  <c r="I189" i="34"/>
  <c r="F189" i="34"/>
  <c r="I188" i="34"/>
  <c r="F188" i="34"/>
  <c r="I187" i="34"/>
  <c r="F187" i="34"/>
  <c r="I186" i="34"/>
  <c r="F186" i="34"/>
  <c r="I185" i="34"/>
  <c r="F185" i="34"/>
  <c r="I184" i="34"/>
  <c r="F184" i="34"/>
  <c r="I183" i="34"/>
  <c r="F183" i="34"/>
  <c r="I182" i="34"/>
  <c r="F182" i="34"/>
  <c r="I181" i="34"/>
  <c r="F181" i="34"/>
  <c r="I180" i="34"/>
  <c r="F180" i="34"/>
  <c r="C180" i="34"/>
  <c r="I179" i="34"/>
  <c r="F179" i="34"/>
  <c r="D179" i="34"/>
  <c r="C179" i="34"/>
  <c r="G179" i="34" s="1"/>
  <c r="I176" i="34"/>
  <c r="F176" i="34"/>
  <c r="I175" i="34"/>
  <c r="F175" i="34"/>
  <c r="I174" i="34"/>
  <c r="F174" i="34"/>
  <c r="I173" i="34"/>
  <c r="F173" i="34"/>
  <c r="I172" i="34"/>
  <c r="F172" i="34"/>
  <c r="I171" i="34"/>
  <c r="F171" i="34"/>
  <c r="I170" i="34"/>
  <c r="F170" i="34"/>
  <c r="I169" i="34"/>
  <c r="F169" i="34"/>
  <c r="I168" i="34"/>
  <c r="F168" i="34"/>
  <c r="I167" i="34"/>
  <c r="F167" i="34"/>
  <c r="I166" i="34"/>
  <c r="F166" i="34"/>
  <c r="I165" i="34"/>
  <c r="F165" i="34"/>
  <c r="I164" i="34"/>
  <c r="F164" i="34"/>
  <c r="I163" i="34"/>
  <c r="F163" i="34"/>
  <c r="I162" i="34"/>
  <c r="F162" i="34"/>
  <c r="I161" i="34"/>
  <c r="F161" i="34"/>
  <c r="I160" i="34"/>
  <c r="F160" i="34"/>
  <c r="I159" i="34"/>
  <c r="F159" i="34"/>
  <c r="I158" i="34"/>
  <c r="F158" i="34"/>
  <c r="I157" i="34"/>
  <c r="F157" i="34"/>
  <c r="I156" i="34"/>
  <c r="F156" i="34"/>
  <c r="I155" i="34"/>
  <c r="F155" i="34"/>
  <c r="I154" i="34"/>
  <c r="F154" i="34"/>
  <c r="I153" i="34"/>
  <c r="F153" i="34"/>
  <c r="I152" i="34"/>
  <c r="F152" i="34"/>
  <c r="I151" i="34"/>
  <c r="F151" i="34"/>
  <c r="I150" i="34"/>
  <c r="F150" i="34"/>
  <c r="I149" i="34"/>
  <c r="F149" i="34"/>
  <c r="I148" i="34"/>
  <c r="F148" i="34"/>
  <c r="I147" i="34"/>
  <c r="F147" i="34"/>
  <c r="I146" i="34"/>
  <c r="F146" i="34"/>
  <c r="I145" i="34"/>
  <c r="F145" i="34"/>
  <c r="I144" i="34"/>
  <c r="F144" i="34"/>
  <c r="I143" i="34"/>
  <c r="F143" i="34"/>
  <c r="I142" i="34"/>
  <c r="F142" i="34"/>
  <c r="I141" i="34"/>
  <c r="F141" i="34"/>
  <c r="I140" i="34"/>
  <c r="F140" i="34"/>
  <c r="I139" i="34"/>
  <c r="F139" i="34"/>
  <c r="I138" i="34"/>
  <c r="F138" i="34"/>
  <c r="I137" i="34"/>
  <c r="F137" i="34"/>
  <c r="I136" i="34"/>
  <c r="F136" i="34"/>
  <c r="I135" i="34"/>
  <c r="F135" i="34"/>
  <c r="I134" i="34"/>
  <c r="F134" i="34"/>
  <c r="I133" i="34"/>
  <c r="F133" i="34"/>
  <c r="I132" i="34"/>
  <c r="F132" i="34"/>
  <c r="I131" i="34"/>
  <c r="F131" i="34"/>
  <c r="I130" i="34"/>
  <c r="F130" i="34"/>
  <c r="I129" i="34"/>
  <c r="F129" i="34"/>
  <c r="I128" i="34"/>
  <c r="F128" i="34"/>
  <c r="I127" i="34"/>
  <c r="F127" i="34"/>
  <c r="I126" i="34"/>
  <c r="F126" i="34"/>
  <c r="I125" i="34"/>
  <c r="F125" i="34"/>
  <c r="I124" i="34"/>
  <c r="F124" i="34"/>
  <c r="I123" i="34"/>
  <c r="F123" i="34"/>
  <c r="I122" i="34"/>
  <c r="F122" i="34"/>
  <c r="I121" i="34"/>
  <c r="F121" i="34"/>
  <c r="I120" i="34"/>
  <c r="F120" i="34"/>
  <c r="I119" i="34"/>
  <c r="F119" i="34"/>
  <c r="J118" i="34"/>
  <c r="I118" i="34"/>
  <c r="F118" i="34"/>
  <c r="K117" i="34"/>
  <c r="K118" i="34" s="1"/>
  <c r="K119" i="34" s="1"/>
  <c r="I117" i="34"/>
  <c r="F117" i="34"/>
  <c r="K116" i="34"/>
  <c r="I116" i="34"/>
  <c r="J116" i="34" s="1"/>
  <c r="J117" i="34" s="1"/>
  <c r="H116" i="34"/>
  <c r="F116" i="34"/>
  <c r="D116" i="34"/>
  <c r="E116" i="34" s="1"/>
  <c r="C116" i="34"/>
  <c r="I110" i="34"/>
  <c r="I106" i="34"/>
  <c r="I94" i="34"/>
  <c r="I90" i="34"/>
  <c r="I78" i="34"/>
  <c r="I76" i="34"/>
  <c r="I73" i="34"/>
  <c r="I72" i="34"/>
  <c r="I69" i="34"/>
  <c r="I68" i="34"/>
  <c r="I65" i="34"/>
  <c r="I64" i="34"/>
  <c r="I61" i="34"/>
  <c r="I60" i="34"/>
  <c r="I57" i="34"/>
  <c r="I56" i="34"/>
  <c r="I54" i="34"/>
  <c r="I52" i="34"/>
  <c r="I50" i="34"/>
  <c r="I48" i="34"/>
  <c r="I46" i="34"/>
  <c r="J46" i="34" s="1"/>
  <c r="B41" i="34"/>
  <c r="B42" i="34" s="1"/>
  <c r="B40" i="34"/>
  <c r="I102" i="34" s="1"/>
  <c r="D32" i="34"/>
  <c r="E32" i="34" s="1"/>
  <c r="C32" i="34"/>
  <c r="E31" i="34"/>
  <c r="D31" i="34"/>
  <c r="C31" i="34"/>
  <c r="D30" i="34"/>
  <c r="C30" i="34"/>
  <c r="E30" i="34" s="1"/>
  <c r="D29" i="34"/>
  <c r="E29" i="34" s="1"/>
  <c r="C29" i="34"/>
  <c r="D28" i="34"/>
  <c r="E28" i="34" s="1"/>
  <c r="C28" i="34"/>
  <c r="E27" i="34"/>
  <c r="D27" i="34"/>
  <c r="C27" i="34"/>
  <c r="D26" i="34"/>
  <c r="C26" i="34"/>
  <c r="E26" i="34" s="1"/>
  <c r="D25" i="34"/>
  <c r="E25" i="34" s="1"/>
  <c r="C25" i="34"/>
  <c r="D24" i="34"/>
  <c r="E24" i="34" s="1"/>
  <c r="C24" i="34"/>
  <c r="E23" i="34"/>
  <c r="D23" i="34"/>
  <c r="C23" i="34"/>
  <c r="D22" i="34"/>
  <c r="C22" i="34"/>
  <c r="E22" i="34" s="1"/>
  <c r="D21" i="34"/>
  <c r="E21" i="34" s="1"/>
  <c r="C21" i="34"/>
  <c r="D20" i="34"/>
  <c r="E20" i="34" s="1"/>
  <c r="C20" i="34"/>
  <c r="E19" i="34"/>
  <c r="D19" i="34"/>
  <c r="C19" i="34"/>
  <c r="D18" i="34"/>
  <c r="C18" i="34"/>
  <c r="E18" i="34" s="1"/>
  <c r="D17" i="34"/>
  <c r="E17" i="34" s="1"/>
  <c r="C17" i="34"/>
  <c r="D16" i="34"/>
  <c r="E16" i="34" s="1"/>
  <c r="C16" i="34"/>
  <c r="E15" i="34"/>
  <c r="D15" i="34"/>
  <c r="C15" i="34"/>
  <c r="D14" i="34"/>
  <c r="C14" i="34"/>
  <c r="E14" i="34" s="1"/>
  <c r="D13" i="34"/>
  <c r="E13" i="34" s="1"/>
  <c r="C13" i="34"/>
  <c r="D12" i="34"/>
  <c r="E12" i="34" s="1"/>
  <c r="C12" i="34"/>
  <c r="E11" i="34"/>
  <c r="D11" i="34"/>
  <c r="C11" i="34"/>
  <c r="D10" i="34"/>
  <c r="C10" i="34"/>
  <c r="E10" i="34" s="1"/>
  <c r="D9" i="34"/>
  <c r="E9" i="34" s="1"/>
  <c r="C9" i="34"/>
  <c r="C33" i="34" s="1"/>
  <c r="D8" i="34"/>
  <c r="E8" i="34" s="1"/>
  <c r="C8" i="34"/>
  <c r="E7" i="34"/>
  <c r="E33" i="34" s="1"/>
  <c r="D7" i="34"/>
  <c r="C7" i="34"/>
  <c r="F112" i="34" l="1"/>
  <c r="F111" i="34"/>
  <c r="B106" i="34"/>
  <c r="B105" i="34"/>
  <c r="F104" i="34"/>
  <c r="F103" i="34"/>
  <c r="B98" i="34"/>
  <c r="B97" i="34"/>
  <c r="F96" i="34"/>
  <c r="F95" i="34"/>
  <c r="B90" i="34"/>
  <c r="B89" i="34"/>
  <c r="F88" i="34"/>
  <c r="F87" i="34"/>
  <c r="B82" i="34"/>
  <c r="B81" i="34"/>
  <c r="F80" i="34"/>
  <c r="F79" i="34"/>
  <c r="F76" i="34"/>
  <c r="B76" i="34"/>
  <c r="F74" i="34"/>
  <c r="B74" i="34"/>
  <c r="F72" i="34"/>
  <c r="B72" i="34"/>
  <c r="F70" i="34"/>
  <c r="B70" i="34"/>
  <c r="F68" i="34"/>
  <c r="B68" i="34"/>
  <c r="F66" i="34"/>
  <c r="B66" i="34"/>
  <c r="F64" i="34"/>
  <c r="B64" i="34"/>
  <c r="F62" i="34"/>
  <c r="B62" i="34"/>
  <c r="F60" i="34"/>
  <c r="B60" i="34"/>
  <c r="F58" i="34"/>
  <c r="B58" i="34"/>
  <c r="F56" i="34"/>
  <c r="B56" i="34"/>
  <c r="B110" i="34"/>
  <c r="B109" i="34"/>
  <c r="F108" i="34"/>
  <c r="F107" i="34"/>
  <c r="B102" i="34"/>
  <c r="B101" i="34"/>
  <c r="F100" i="34"/>
  <c r="F99" i="34"/>
  <c r="B94" i="34"/>
  <c r="B93" i="34"/>
  <c r="F92" i="34"/>
  <c r="F91" i="34"/>
  <c r="B86" i="34"/>
  <c r="B85" i="34"/>
  <c r="F84" i="34"/>
  <c r="F83" i="34"/>
  <c r="B78" i="34"/>
  <c r="B77" i="34"/>
  <c r="F75" i="34"/>
  <c r="B75" i="34"/>
  <c r="F73" i="34"/>
  <c r="B73" i="34"/>
  <c r="F71" i="34"/>
  <c r="B71" i="34"/>
  <c r="F69" i="34"/>
  <c r="B69" i="34"/>
  <c r="F67" i="34"/>
  <c r="B67" i="34"/>
  <c r="F65" i="34"/>
  <c r="B65" i="34"/>
  <c r="F63" i="34"/>
  <c r="B63" i="34"/>
  <c r="F61" i="34"/>
  <c r="B61" i="34"/>
  <c r="F59" i="34"/>
  <c r="B59" i="34"/>
  <c r="F57" i="34"/>
  <c r="B57" i="34"/>
  <c r="F55" i="34"/>
  <c r="F110" i="34"/>
  <c r="F109" i="34"/>
  <c r="B104" i="34"/>
  <c r="B103" i="34"/>
  <c r="F94" i="34"/>
  <c r="F93" i="34"/>
  <c r="B88" i="34"/>
  <c r="B87" i="34"/>
  <c r="F78" i="34"/>
  <c r="F77" i="34"/>
  <c r="B55" i="34"/>
  <c r="F105" i="34"/>
  <c r="B100" i="34"/>
  <c r="F90" i="34"/>
  <c r="B84" i="34"/>
  <c r="F53" i="34"/>
  <c r="F51" i="34"/>
  <c r="F49" i="34"/>
  <c r="B47" i="34"/>
  <c r="B108" i="34"/>
  <c r="B107" i="34"/>
  <c r="F98" i="34"/>
  <c r="F97" i="34"/>
  <c r="B92" i="34"/>
  <c r="B91" i="34"/>
  <c r="F82" i="34"/>
  <c r="F81" i="34"/>
  <c r="F54" i="34"/>
  <c r="B54" i="34"/>
  <c r="F52" i="34"/>
  <c r="B52" i="34"/>
  <c r="F50" i="34"/>
  <c r="B50" i="34"/>
  <c r="F48" i="34"/>
  <c r="B48" i="34"/>
  <c r="F46" i="34"/>
  <c r="B46" i="34"/>
  <c r="C46" i="34" s="1"/>
  <c r="B112" i="34"/>
  <c r="B111" i="34"/>
  <c r="F102" i="34"/>
  <c r="F101" i="34"/>
  <c r="B96" i="34"/>
  <c r="B95" i="34"/>
  <c r="F86" i="34"/>
  <c r="F85" i="34"/>
  <c r="B80" i="34"/>
  <c r="B79" i="34"/>
  <c r="F106" i="34"/>
  <c r="B99" i="34"/>
  <c r="F89" i="34"/>
  <c r="B83" i="34"/>
  <c r="B53" i="34"/>
  <c r="B51" i="34"/>
  <c r="B49" i="34"/>
  <c r="F47" i="34"/>
  <c r="G7" i="34"/>
  <c r="D33" i="34"/>
  <c r="I58" i="34"/>
  <c r="I62" i="34"/>
  <c r="I66" i="34"/>
  <c r="I70" i="34"/>
  <c r="I74" i="34"/>
  <c r="I86" i="34"/>
  <c r="I111" i="34"/>
  <c r="I109" i="34"/>
  <c r="I107" i="34"/>
  <c r="I105" i="34"/>
  <c r="I103" i="34"/>
  <c r="I101" i="34"/>
  <c r="I99" i="34"/>
  <c r="I97" i="34"/>
  <c r="I95" i="34"/>
  <c r="I93" i="34"/>
  <c r="I91" i="34"/>
  <c r="I89" i="34"/>
  <c r="I87" i="34"/>
  <c r="I85" i="34"/>
  <c r="I83" i="34"/>
  <c r="I81" i="34"/>
  <c r="I79" i="34"/>
  <c r="I77" i="34"/>
  <c r="I108" i="34"/>
  <c r="I100" i="34"/>
  <c r="I92" i="34"/>
  <c r="I84" i="34"/>
  <c r="I112" i="34"/>
  <c r="I104" i="34"/>
  <c r="I96" i="34"/>
  <c r="I88" i="34"/>
  <c r="I80" i="34"/>
  <c r="K46" i="34"/>
  <c r="I47" i="34"/>
  <c r="J47" i="34" s="1"/>
  <c r="J48" i="34" s="1"/>
  <c r="I49" i="34"/>
  <c r="I51" i="34"/>
  <c r="I53" i="34"/>
  <c r="I55" i="34"/>
  <c r="I59" i="34"/>
  <c r="I63" i="34"/>
  <c r="I67" i="34"/>
  <c r="I71" i="34"/>
  <c r="I75" i="34"/>
  <c r="I82" i="34"/>
  <c r="I98" i="34"/>
  <c r="K120" i="34"/>
  <c r="K121" i="34" s="1"/>
  <c r="K122" i="34" s="1"/>
  <c r="K123" i="34" s="1"/>
  <c r="K124" i="34" s="1"/>
  <c r="K125" i="34" s="1"/>
  <c r="K126" i="34" s="1"/>
  <c r="K127" i="34" s="1"/>
  <c r="K128" i="34" s="1"/>
  <c r="K129" i="34" s="1"/>
  <c r="K130" i="34" s="1"/>
  <c r="K131" i="34" s="1"/>
  <c r="K132" i="34" s="1"/>
  <c r="K133" i="34" s="1"/>
  <c r="K134" i="34" s="1"/>
  <c r="K135" i="34" s="1"/>
  <c r="K136" i="34" s="1"/>
  <c r="K137" i="34" s="1"/>
  <c r="K138" i="34" s="1"/>
  <c r="K139" i="34" s="1"/>
  <c r="K140" i="34" s="1"/>
  <c r="K141" i="34" s="1"/>
  <c r="K142" i="34" s="1"/>
  <c r="K143" i="34" s="1"/>
  <c r="K144" i="34" s="1"/>
  <c r="K145" i="34" s="1"/>
  <c r="K146" i="34" s="1"/>
  <c r="K147" i="34" s="1"/>
  <c r="K148" i="34" s="1"/>
  <c r="K149" i="34" s="1"/>
  <c r="K150" i="34" s="1"/>
  <c r="K151" i="34" s="1"/>
  <c r="K152" i="34" s="1"/>
  <c r="K153" i="34" s="1"/>
  <c r="K154" i="34" s="1"/>
  <c r="K155" i="34" s="1"/>
  <c r="K156" i="34" s="1"/>
  <c r="K157" i="34" s="1"/>
  <c r="K158" i="34" s="1"/>
  <c r="K159" i="34" s="1"/>
  <c r="K160" i="34" s="1"/>
  <c r="K161" i="34" s="1"/>
  <c r="K162" i="34" s="1"/>
  <c r="K163" i="34" s="1"/>
  <c r="K164" i="34" s="1"/>
  <c r="K165" i="34" s="1"/>
  <c r="K166" i="34" s="1"/>
  <c r="K167" i="34" s="1"/>
  <c r="K168" i="34" s="1"/>
  <c r="K169" i="34" s="1"/>
  <c r="K170" i="34" s="1"/>
  <c r="K171" i="34" s="1"/>
  <c r="K172" i="34" s="1"/>
  <c r="K173" i="34" s="1"/>
  <c r="K174" i="34" s="1"/>
  <c r="K175" i="34" s="1"/>
  <c r="K176" i="34" s="1"/>
  <c r="J119" i="34"/>
  <c r="J120" i="34" s="1"/>
  <c r="J121" i="34" s="1"/>
  <c r="J122" i="34" s="1"/>
  <c r="J123" i="34" s="1"/>
  <c r="J124" i="34" s="1"/>
  <c r="J125" i="34" s="1"/>
  <c r="J126" i="34" s="1"/>
  <c r="J127" i="34" s="1"/>
  <c r="J128" i="34" s="1"/>
  <c r="J129" i="34" s="1"/>
  <c r="J130" i="34" s="1"/>
  <c r="J131" i="34" s="1"/>
  <c r="J132" i="34" s="1"/>
  <c r="J133" i="34" s="1"/>
  <c r="J134" i="34" s="1"/>
  <c r="J135" i="34" s="1"/>
  <c r="J136" i="34" s="1"/>
  <c r="J137" i="34" s="1"/>
  <c r="J138" i="34" s="1"/>
  <c r="J139" i="34" s="1"/>
  <c r="J140" i="34" s="1"/>
  <c r="J141" i="34" s="1"/>
  <c r="J142" i="34" s="1"/>
  <c r="J143" i="34" s="1"/>
  <c r="J144" i="34" s="1"/>
  <c r="J145" i="34" s="1"/>
  <c r="J146" i="34" s="1"/>
  <c r="J147" i="34" s="1"/>
  <c r="J148" i="34" s="1"/>
  <c r="J149" i="34" s="1"/>
  <c r="J150" i="34" s="1"/>
  <c r="J151" i="34" s="1"/>
  <c r="J152" i="34" s="1"/>
  <c r="J153" i="34" s="1"/>
  <c r="J154" i="34" s="1"/>
  <c r="J155" i="34" s="1"/>
  <c r="J156" i="34" s="1"/>
  <c r="J157" i="34" s="1"/>
  <c r="J158" i="34" s="1"/>
  <c r="J159" i="34" s="1"/>
  <c r="J160" i="34" s="1"/>
  <c r="J161" i="34" s="1"/>
  <c r="J162" i="34" s="1"/>
  <c r="J163" i="34" s="1"/>
  <c r="J164" i="34" s="1"/>
  <c r="J165" i="34" s="1"/>
  <c r="J166" i="34" s="1"/>
  <c r="J167" i="34" s="1"/>
  <c r="J168" i="34" s="1"/>
  <c r="J169" i="34" s="1"/>
  <c r="J170" i="34" s="1"/>
  <c r="J171" i="34" s="1"/>
  <c r="J172" i="34" s="1"/>
  <c r="J173" i="34" s="1"/>
  <c r="J174" i="34" s="1"/>
  <c r="J175" i="34" s="1"/>
  <c r="J176" i="34" s="1"/>
  <c r="G116" i="34"/>
  <c r="C117" i="34"/>
  <c r="C181" i="34"/>
  <c r="G180" i="34"/>
  <c r="D180" i="34"/>
  <c r="K179" i="34"/>
  <c r="J179" i="34"/>
  <c r="J180" i="34" s="1"/>
  <c r="J181" i="34" s="1"/>
  <c r="J182" i="34" s="1"/>
  <c r="J183" i="34" s="1"/>
  <c r="J184" i="34" s="1"/>
  <c r="J185" i="34" s="1"/>
  <c r="J186" i="34" s="1"/>
  <c r="J187" i="34" s="1"/>
  <c r="J188" i="34" s="1"/>
  <c r="J189" i="34" s="1"/>
  <c r="J190" i="34" s="1"/>
  <c r="J191" i="34" s="1"/>
  <c r="J192" i="34" s="1"/>
  <c r="J193" i="34" s="1"/>
  <c r="J194" i="34" s="1"/>
  <c r="J195" i="34" s="1"/>
  <c r="J196" i="34" s="1"/>
  <c r="J197" i="34" s="1"/>
  <c r="J198" i="34" s="1"/>
  <c r="J199" i="34" s="1"/>
  <c r="J200" i="34" s="1"/>
  <c r="J201" i="34" s="1"/>
  <c r="J202" i="34" s="1"/>
  <c r="J203" i="34" s="1"/>
  <c r="J204" i="34" s="1"/>
  <c r="J205" i="34" s="1"/>
  <c r="J206" i="34" s="1"/>
  <c r="J207" i="34" s="1"/>
  <c r="J208" i="34" s="1"/>
  <c r="J209" i="34" s="1"/>
  <c r="J210" i="34" s="1"/>
  <c r="J211" i="34" s="1"/>
  <c r="J212" i="34" s="1"/>
  <c r="J213" i="34" s="1"/>
  <c r="J214" i="34" s="1"/>
  <c r="J215" i="34" s="1"/>
  <c r="J216" i="34" s="1"/>
  <c r="J217" i="34" s="1"/>
  <c r="J218" i="34" s="1"/>
  <c r="J219" i="34" s="1"/>
  <c r="J220" i="34" s="1"/>
  <c r="J221" i="34" s="1"/>
  <c r="J222" i="34" s="1"/>
  <c r="J223" i="34" s="1"/>
  <c r="J224" i="34" s="1"/>
  <c r="J225" i="34" s="1"/>
  <c r="J226" i="34" s="1"/>
  <c r="J227" i="34" s="1"/>
  <c r="J228" i="34" s="1"/>
  <c r="J229" i="34" s="1"/>
  <c r="J230" i="34" s="1"/>
  <c r="J231" i="34" s="1"/>
  <c r="J232" i="34" s="1"/>
  <c r="J233" i="34" s="1"/>
  <c r="J234" i="34" s="1"/>
  <c r="J235" i="34" s="1"/>
  <c r="J236" i="34" s="1"/>
  <c r="J237" i="34" s="1"/>
  <c r="J238" i="34" s="1"/>
  <c r="J239" i="34" s="1"/>
  <c r="L284" i="1"/>
  <c r="L283" i="1"/>
  <c r="L282" i="1"/>
  <c r="L281" i="1"/>
  <c r="J273" i="1"/>
  <c r="J275" i="1" s="1"/>
  <c r="L257" i="1"/>
  <c r="L256" i="1"/>
  <c r="L253" i="1"/>
  <c r="L252" i="1"/>
  <c r="L251" i="1"/>
  <c r="L249" i="1"/>
  <c r="L248" i="1"/>
  <c r="L247" i="1"/>
  <c r="L244" i="1"/>
  <c r="L243" i="1"/>
  <c r="L238" i="1"/>
  <c r="L234" i="1"/>
  <c r="L233" i="1"/>
  <c r="L232" i="1"/>
  <c r="L231" i="1"/>
  <c r="L230" i="1"/>
  <c r="L227" i="1"/>
  <c r="J225" i="1"/>
  <c r="L225" i="1" s="1"/>
  <c r="L213" i="1"/>
  <c r="L205" i="1"/>
  <c r="L204" i="1"/>
  <c r="L192" i="1"/>
  <c r="L187" i="1"/>
  <c r="L175" i="1"/>
  <c r="L173" i="1"/>
  <c r="L168" i="1"/>
  <c r="L154" i="1"/>
  <c r="H145" i="1"/>
  <c r="L144" i="1"/>
  <c r="L142" i="1"/>
  <c r="L141" i="1"/>
  <c r="L140" i="1"/>
  <c r="L123" i="1"/>
  <c r="L120" i="1"/>
  <c r="L118" i="1"/>
  <c r="L117" i="1"/>
  <c r="L115" i="1"/>
  <c r="L114" i="1"/>
  <c r="L113" i="1"/>
  <c r="L112" i="1"/>
  <c r="L106" i="1"/>
  <c r="L105" i="1"/>
  <c r="L88" i="1"/>
  <c r="L78" i="1"/>
  <c r="L80" i="1"/>
  <c r="L51" i="1"/>
  <c r="J48" i="1"/>
  <c r="L40" i="1"/>
  <c r="L38" i="1"/>
  <c r="J34" i="1"/>
  <c r="L26" i="1"/>
  <c r="J92" i="1"/>
  <c r="L92" i="1" s="1"/>
  <c r="L14" i="1"/>
  <c r="L11" i="1"/>
  <c r="J156" i="1" l="1"/>
  <c r="J215" i="1"/>
  <c r="J39" i="1"/>
  <c r="J41" i="1" s="1"/>
  <c r="J15" i="1"/>
  <c r="L15" i="1" s="1"/>
  <c r="L13" i="1"/>
  <c r="J25" i="1"/>
  <c r="J52" i="1"/>
  <c r="J54" i="1" s="1"/>
  <c r="J56" i="1" s="1"/>
  <c r="J58" i="1" s="1"/>
  <c r="L91" i="1"/>
  <c r="J93" i="1"/>
  <c r="J22" i="1"/>
  <c r="J67" i="1"/>
  <c r="L67" i="1" s="1"/>
  <c r="J183" i="1"/>
  <c r="J89" i="1"/>
  <c r="L89" i="1" s="1"/>
  <c r="J137" i="1"/>
  <c r="J194" i="1"/>
  <c r="J169" i="1"/>
  <c r="J258" i="1"/>
  <c r="G46" i="34"/>
  <c r="C47" i="34"/>
  <c r="C182" i="34"/>
  <c r="D181" i="34"/>
  <c r="G181" i="34"/>
  <c r="K47" i="34"/>
  <c r="K48" i="34" s="1"/>
  <c r="K49" i="34" s="1"/>
  <c r="K50" i="34" s="1"/>
  <c r="K51" i="34" s="1"/>
  <c r="K52" i="34" s="1"/>
  <c r="K53" i="34" s="1"/>
  <c r="K54" i="34" s="1"/>
  <c r="K55" i="34" s="1"/>
  <c r="K56" i="34" s="1"/>
  <c r="K57" i="34" s="1"/>
  <c r="K58" i="34" s="1"/>
  <c r="K59" i="34" s="1"/>
  <c r="K60" i="34" s="1"/>
  <c r="K61" i="34" s="1"/>
  <c r="K62" i="34" s="1"/>
  <c r="K63" i="34" s="1"/>
  <c r="K64" i="34" s="1"/>
  <c r="K65" i="34" s="1"/>
  <c r="K66" i="34" s="1"/>
  <c r="K67" i="34" s="1"/>
  <c r="K68" i="34" s="1"/>
  <c r="K69" i="34" s="1"/>
  <c r="K70" i="34" s="1"/>
  <c r="K71" i="34" s="1"/>
  <c r="K72" i="34" s="1"/>
  <c r="K73" i="34" s="1"/>
  <c r="K74" i="34" s="1"/>
  <c r="K75" i="34" s="1"/>
  <c r="K76" i="34" s="1"/>
  <c r="K77" i="34" s="1"/>
  <c r="K78" i="34" s="1"/>
  <c r="K79" i="34" s="1"/>
  <c r="K80" i="34" s="1"/>
  <c r="K81" i="34" s="1"/>
  <c r="K82" i="34" s="1"/>
  <c r="K83" i="34" s="1"/>
  <c r="K84" i="34" s="1"/>
  <c r="K85" i="34" s="1"/>
  <c r="K86" i="34" s="1"/>
  <c r="K87" i="34" s="1"/>
  <c r="K88" i="34" s="1"/>
  <c r="K89" i="34" s="1"/>
  <c r="K90" i="34" s="1"/>
  <c r="K91" i="34" s="1"/>
  <c r="K92" i="34" s="1"/>
  <c r="K93" i="34" s="1"/>
  <c r="K94" i="34" s="1"/>
  <c r="K95" i="34" s="1"/>
  <c r="K96" i="34" s="1"/>
  <c r="K97" i="34" s="1"/>
  <c r="K98" i="34" s="1"/>
  <c r="K99" i="34" s="1"/>
  <c r="K100" i="34" s="1"/>
  <c r="K101" i="34" s="1"/>
  <c r="K102" i="34" s="1"/>
  <c r="K103" i="34" s="1"/>
  <c r="K104" i="34" s="1"/>
  <c r="K105" i="34" s="1"/>
  <c r="K106" i="34" s="1"/>
  <c r="K107" i="34" s="1"/>
  <c r="K108" i="34" s="1"/>
  <c r="K109" i="34" s="1"/>
  <c r="K110" i="34" s="1"/>
  <c r="K111" i="34" s="1"/>
  <c r="K112" i="34" s="1"/>
  <c r="J49" i="34"/>
  <c r="J50" i="34" s="1"/>
  <c r="D46" i="34"/>
  <c r="E46" i="34" s="1"/>
  <c r="H46" i="34" s="1"/>
  <c r="C241" i="34"/>
  <c r="G8" i="34"/>
  <c r="H7" i="34"/>
  <c r="K180" i="34"/>
  <c r="K181" i="34" s="1"/>
  <c r="K182" i="34" s="1"/>
  <c r="K183" i="34" s="1"/>
  <c r="K184" i="34" s="1"/>
  <c r="K185" i="34" s="1"/>
  <c r="K186" i="34" s="1"/>
  <c r="K187" i="34" s="1"/>
  <c r="K188" i="34" s="1"/>
  <c r="K189" i="34" s="1"/>
  <c r="K190" i="34" s="1"/>
  <c r="K191" i="34" s="1"/>
  <c r="K192" i="34" s="1"/>
  <c r="K193" i="34" s="1"/>
  <c r="K194" i="34" s="1"/>
  <c r="K195" i="34" s="1"/>
  <c r="K196" i="34" s="1"/>
  <c r="K197" i="34" s="1"/>
  <c r="K198" i="34" s="1"/>
  <c r="K199" i="34" s="1"/>
  <c r="K200" i="34" s="1"/>
  <c r="K201" i="34" s="1"/>
  <c r="K202" i="34" s="1"/>
  <c r="K203" i="34" s="1"/>
  <c r="K204" i="34" s="1"/>
  <c r="K205" i="34" s="1"/>
  <c r="K206" i="34" s="1"/>
  <c r="K207" i="34" s="1"/>
  <c r="K208" i="34" s="1"/>
  <c r="K209" i="34" s="1"/>
  <c r="K210" i="34" s="1"/>
  <c r="K211" i="34" s="1"/>
  <c r="K212" i="34" s="1"/>
  <c r="K213" i="34" s="1"/>
  <c r="K214" i="34" s="1"/>
  <c r="K215" i="34" s="1"/>
  <c r="K216" i="34" s="1"/>
  <c r="K217" i="34" s="1"/>
  <c r="K218" i="34" s="1"/>
  <c r="K219" i="34" s="1"/>
  <c r="K220" i="34" s="1"/>
  <c r="K221" i="34" s="1"/>
  <c r="K222" i="34" s="1"/>
  <c r="K223" i="34" s="1"/>
  <c r="K224" i="34" s="1"/>
  <c r="K225" i="34" s="1"/>
  <c r="K226" i="34" s="1"/>
  <c r="K227" i="34" s="1"/>
  <c r="K228" i="34" s="1"/>
  <c r="K229" i="34" s="1"/>
  <c r="K230" i="34" s="1"/>
  <c r="K231" i="34" s="1"/>
  <c r="K232" i="34" s="1"/>
  <c r="K233" i="34" s="1"/>
  <c r="K234" i="34" s="1"/>
  <c r="K235" i="34" s="1"/>
  <c r="K236" i="34" s="1"/>
  <c r="K237" i="34" s="1"/>
  <c r="K238" i="34" s="1"/>
  <c r="K239" i="34" s="1"/>
  <c r="E179" i="34"/>
  <c r="H179" i="34" s="1"/>
  <c r="C118" i="34"/>
  <c r="D117" i="34"/>
  <c r="E117" i="34" s="1"/>
  <c r="H117" i="34" s="1"/>
  <c r="G117" i="34"/>
  <c r="J51" i="34"/>
  <c r="J52" i="34" s="1"/>
  <c r="J53" i="34" s="1"/>
  <c r="J54" i="34" s="1"/>
  <c r="J55" i="34" s="1"/>
  <c r="J56" i="34" s="1"/>
  <c r="J57" i="34" s="1"/>
  <c r="J58" i="34" s="1"/>
  <c r="J59" i="34" s="1"/>
  <c r="J60" i="34" s="1"/>
  <c r="J61" i="34" s="1"/>
  <c r="J62" i="34" s="1"/>
  <c r="J63" i="34" s="1"/>
  <c r="J64" i="34" s="1"/>
  <c r="J65" i="34" s="1"/>
  <c r="J66" i="34" s="1"/>
  <c r="J67" i="34" s="1"/>
  <c r="J68" i="34" s="1"/>
  <c r="J69" i="34" s="1"/>
  <c r="J70" i="34" s="1"/>
  <c r="J71" i="34" s="1"/>
  <c r="J72" i="34" s="1"/>
  <c r="J73" i="34" s="1"/>
  <c r="J74" i="34" s="1"/>
  <c r="J75" i="34" s="1"/>
  <c r="J76" i="34" s="1"/>
  <c r="J77" i="34" s="1"/>
  <c r="J78" i="34" s="1"/>
  <c r="J79" i="34" s="1"/>
  <c r="J80" i="34" s="1"/>
  <c r="J81" i="34" s="1"/>
  <c r="J82" i="34" s="1"/>
  <c r="J83" i="34" s="1"/>
  <c r="J84" i="34" s="1"/>
  <c r="J85" i="34" s="1"/>
  <c r="J86" i="34" s="1"/>
  <c r="J87" i="34" s="1"/>
  <c r="J88" i="34" s="1"/>
  <c r="J89" i="34" s="1"/>
  <c r="J90" i="34" s="1"/>
  <c r="J91" i="34" s="1"/>
  <c r="J92" i="34" s="1"/>
  <c r="J93" i="34" s="1"/>
  <c r="J94" i="34" s="1"/>
  <c r="J95" i="34" s="1"/>
  <c r="J96" i="34" s="1"/>
  <c r="J97" i="34" s="1"/>
  <c r="J98" i="34" s="1"/>
  <c r="J99" i="34" s="1"/>
  <c r="J100" i="34" s="1"/>
  <c r="J101" i="34" s="1"/>
  <c r="J102" i="34" s="1"/>
  <c r="J103" i="34" s="1"/>
  <c r="J104" i="34" s="1"/>
  <c r="J105" i="34" s="1"/>
  <c r="J106" i="34" s="1"/>
  <c r="J107" i="34" s="1"/>
  <c r="J108" i="34" s="1"/>
  <c r="J109" i="34" s="1"/>
  <c r="J110" i="34" s="1"/>
  <c r="J111" i="34" s="1"/>
  <c r="J112" i="34" s="1"/>
  <c r="J143" i="1"/>
  <c r="L143" i="1" s="1"/>
  <c r="L139" i="1"/>
  <c r="L182" i="1"/>
  <c r="L87" i="1"/>
  <c r="J108" i="1"/>
  <c r="J119" i="1"/>
  <c r="J121" i="1" s="1"/>
  <c r="L111" i="1"/>
  <c r="J174" i="1"/>
  <c r="J176" i="1" s="1"/>
  <c r="J188" i="1"/>
  <c r="J196" i="1" s="1"/>
  <c r="J207" i="1"/>
  <c r="J209" i="1" s="1"/>
  <c r="J245" i="1"/>
  <c r="L245" i="1" s="1"/>
  <c r="L193" i="1"/>
  <c r="L104" i="1"/>
  <c r="J235" i="1"/>
  <c r="L235" i="1" s="1"/>
  <c r="J239" i="1"/>
  <c r="L239" i="1" s="1"/>
  <c r="J285" i="1"/>
  <c r="L285" i="1" s="1"/>
  <c r="L242" i="1"/>
  <c r="J125" i="1"/>
  <c r="L255" i="1"/>
  <c r="J127" i="1" l="1"/>
  <c r="J217" i="1"/>
  <c r="J178" i="1"/>
  <c r="J289" i="1"/>
  <c r="J291" i="1" s="1"/>
  <c r="J69" i="1"/>
  <c r="J27" i="1"/>
  <c r="J28" i="1" s="1"/>
  <c r="L258" i="1"/>
  <c r="J97" i="1"/>
  <c r="L93" i="1"/>
  <c r="J145" i="1"/>
  <c r="C183" i="34"/>
  <c r="D182" i="34"/>
  <c r="E182" i="34" s="1"/>
  <c r="H182" i="34" s="1"/>
  <c r="G182" i="34"/>
  <c r="C119" i="34"/>
  <c r="D118" i="34"/>
  <c r="E118" i="34" s="1"/>
  <c r="H118" i="34" s="1"/>
  <c r="G118" i="34"/>
  <c r="G9" i="34"/>
  <c r="H8" i="34"/>
  <c r="E181" i="34"/>
  <c r="H181" i="34" s="1"/>
  <c r="C48" i="34"/>
  <c r="G47" i="34"/>
  <c r="D47" i="34"/>
  <c r="E47" i="34" s="1"/>
  <c r="H47" i="34" s="1"/>
  <c r="E180" i="34"/>
  <c r="H180" i="34" s="1"/>
  <c r="J99" i="1" l="1"/>
  <c r="J260" i="1" s="1"/>
  <c r="L145" i="1"/>
  <c r="J147" i="1"/>
  <c r="J219" i="1" s="1"/>
  <c r="G183" i="34"/>
  <c r="D183" i="34"/>
  <c r="E183" i="34" s="1"/>
  <c r="H183" i="34" s="1"/>
  <c r="C184" i="34"/>
  <c r="G119" i="34"/>
  <c r="D119" i="34"/>
  <c r="E119" i="34" s="1"/>
  <c r="H119" i="34" s="1"/>
  <c r="C120" i="34"/>
  <c r="G10" i="34"/>
  <c r="H9" i="34"/>
  <c r="G48" i="34"/>
  <c r="C49" i="34"/>
  <c r="D48" i="34"/>
  <c r="E48" i="34" s="1"/>
  <c r="H48" i="34" s="1"/>
  <c r="G11" i="34" l="1"/>
  <c r="H10" i="34"/>
  <c r="D184" i="34"/>
  <c r="E184" i="34" s="1"/>
  <c r="H184" i="34" s="1"/>
  <c r="C185" i="34"/>
  <c r="G184" i="34"/>
  <c r="C50" i="34"/>
  <c r="G49" i="34"/>
  <c r="D49" i="34"/>
  <c r="E49" i="34" s="1"/>
  <c r="H49" i="34" s="1"/>
  <c r="D120" i="34"/>
  <c r="E120" i="34" s="1"/>
  <c r="H120" i="34" s="1"/>
  <c r="G120" i="34"/>
  <c r="C121" i="34"/>
  <c r="G12" i="34" l="1"/>
  <c r="H11" i="34"/>
  <c r="C186" i="34"/>
  <c r="D185" i="34"/>
  <c r="E185" i="34" s="1"/>
  <c r="H185" i="34" s="1"/>
  <c r="G185" i="34"/>
  <c r="C122" i="34"/>
  <c r="G121" i="34"/>
  <c r="D121" i="34"/>
  <c r="E121" i="34" s="1"/>
  <c r="H121" i="34" s="1"/>
  <c r="G50" i="34"/>
  <c r="C51" i="34"/>
  <c r="D50" i="34"/>
  <c r="E50" i="34" s="1"/>
  <c r="H50" i="34" s="1"/>
  <c r="G13" i="34" l="1"/>
  <c r="H12" i="34"/>
  <c r="C187" i="34"/>
  <c r="D186" i="34"/>
  <c r="E186" i="34" s="1"/>
  <c r="H186" i="34" s="1"/>
  <c r="G186" i="34"/>
  <c r="C52" i="34"/>
  <c r="G51" i="34"/>
  <c r="D51" i="34"/>
  <c r="E51" i="34" s="1"/>
  <c r="H51" i="34" s="1"/>
  <c r="C123" i="34"/>
  <c r="D122" i="34"/>
  <c r="E122" i="34" s="1"/>
  <c r="H122" i="34" s="1"/>
  <c r="G122" i="34"/>
  <c r="C124" i="34" l="1"/>
  <c r="D123" i="34"/>
  <c r="E123" i="34" s="1"/>
  <c r="H123" i="34" s="1"/>
  <c r="G123" i="34"/>
  <c r="H13" i="34"/>
  <c r="G14" i="34"/>
  <c r="G187" i="34"/>
  <c r="D187" i="34"/>
  <c r="E187" i="34" s="1"/>
  <c r="H187" i="34" s="1"/>
  <c r="C188" i="34"/>
  <c r="G52" i="34"/>
  <c r="C53" i="34"/>
  <c r="D52" i="34"/>
  <c r="E52" i="34" s="1"/>
  <c r="H52" i="34" s="1"/>
  <c r="G15" i="34" l="1"/>
  <c r="H14" i="34"/>
  <c r="G124" i="34"/>
  <c r="D124" i="34"/>
  <c r="E124" i="34" s="1"/>
  <c r="H124" i="34" s="1"/>
  <c r="C125" i="34"/>
  <c r="C189" i="34"/>
  <c r="G188" i="34"/>
  <c r="D188" i="34"/>
  <c r="E188" i="34" s="1"/>
  <c r="H188" i="34" s="1"/>
  <c r="C54" i="34"/>
  <c r="G53" i="34"/>
  <c r="D53" i="34"/>
  <c r="E53" i="34" s="1"/>
  <c r="H53" i="34" s="1"/>
  <c r="G54" i="34" l="1"/>
  <c r="C55" i="34"/>
  <c r="D54" i="34"/>
  <c r="E54" i="34" s="1"/>
  <c r="H54" i="34" s="1"/>
  <c r="D125" i="34"/>
  <c r="E125" i="34" s="1"/>
  <c r="H125" i="34" s="1"/>
  <c r="C126" i="34"/>
  <c r="G125" i="34"/>
  <c r="G16" i="34"/>
  <c r="H15" i="34"/>
  <c r="C190" i="34"/>
  <c r="D189" i="34"/>
  <c r="E189" i="34" s="1"/>
  <c r="H189" i="34" s="1"/>
  <c r="G189" i="34"/>
  <c r="C191" i="34" l="1"/>
  <c r="D190" i="34"/>
  <c r="E190" i="34" s="1"/>
  <c r="H190" i="34" s="1"/>
  <c r="G190" i="34"/>
  <c r="C127" i="34"/>
  <c r="D126" i="34"/>
  <c r="E126" i="34" s="1"/>
  <c r="H126" i="34" s="1"/>
  <c r="G126" i="34"/>
  <c r="G17" i="34"/>
  <c r="H16" i="34"/>
  <c r="G55" i="34"/>
  <c r="C56" i="34"/>
  <c r="D55" i="34"/>
  <c r="E55" i="34" s="1"/>
  <c r="H55" i="34" s="1"/>
  <c r="C192" i="34" l="1"/>
  <c r="G191" i="34"/>
  <c r="D191" i="34"/>
  <c r="E191" i="34" s="1"/>
  <c r="H191" i="34" s="1"/>
  <c r="C128" i="34"/>
  <c r="D127" i="34"/>
  <c r="E127" i="34" s="1"/>
  <c r="H127" i="34" s="1"/>
  <c r="G127" i="34"/>
  <c r="G18" i="34"/>
  <c r="H17" i="34"/>
  <c r="G56" i="34"/>
  <c r="C57" i="34"/>
  <c r="D56" i="34"/>
  <c r="E56" i="34" s="1"/>
  <c r="H56" i="34" s="1"/>
  <c r="C193" i="34" l="1"/>
  <c r="G192" i="34"/>
  <c r="D192" i="34"/>
  <c r="E192" i="34" s="1"/>
  <c r="H192" i="34" s="1"/>
  <c r="G128" i="34"/>
  <c r="D128" i="34"/>
  <c r="E128" i="34" s="1"/>
  <c r="H128" i="34" s="1"/>
  <c r="C129" i="34"/>
  <c r="H18" i="34"/>
  <c r="G19" i="34"/>
  <c r="C58" i="34"/>
  <c r="G57" i="34"/>
  <c r="D57" i="34"/>
  <c r="E57" i="34" s="1"/>
  <c r="H57" i="34" s="1"/>
  <c r="C59" i="34" l="1"/>
  <c r="G58" i="34"/>
  <c r="D58" i="34"/>
  <c r="E58" i="34" s="1"/>
  <c r="H58" i="34" s="1"/>
  <c r="C194" i="34"/>
  <c r="G193" i="34"/>
  <c r="D193" i="34"/>
  <c r="E193" i="34" s="1"/>
  <c r="H193" i="34" s="1"/>
  <c r="G20" i="34"/>
  <c r="H19" i="34"/>
  <c r="C130" i="34"/>
  <c r="G129" i="34"/>
  <c r="D129" i="34"/>
  <c r="E129" i="34" s="1"/>
  <c r="H129" i="34" s="1"/>
  <c r="C131" i="34" l="1"/>
  <c r="D130" i="34"/>
  <c r="E130" i="34" s="1"/>
  <c r="H130" i="34" s="1"/>
  <c r="G130" i="34"/>
  <c r="G59" i="34"/>
  <c r="C60" i="34"/>
  <c r="D59" i="34"/>
  <c r="E59" i="34" s="1"/>
  <c r="H59" i="34" s="1"/>
  <c r="C195" i="34"/>
  <c r="D194" i="34"/>
  <c r="E194" i="34" s="1"/>
  <c r="H194" i="34" s="1"/>
  <c r="G194" i="34"/>
  <c r="G21" i="34"/>
  <c r="H20" i="34"/>
  <c r="G60" i="34" l="1"/>
  <c r="C61" i="34"/>
  <c r="D60" i="34"/>
  <c r="E60" i="34" s="1"/>
  <c r="H60" i="34" s="1"/>
  <c r="G131" i="34"/>
  <c r="D131" i="34"/>
  <c r="E131" i="34" s="1"/>
  <c r="H131" i="34" s="1"/>
  <c r="C132" i="34"/>
  <c r="G195" i="34"/>
  <c r="D195" i="34"/>
  <c r="E195" i="34" s="1"/>
  <c r="H195" i="34" s="1"/>
  <c r="C196" i="34"/>
  <c r="G22" i="34"/>
  <c r="H21" i="34"/>
  <c r="C197" i="34" l="1"/>
  <c r="D196" i="34"/>
  <c r="E196" i="34" s="1"/>
  <c r="H196" i="34" s="1"/>
  <c r="G196" i="34"/>
  <c r="H22" i="34"/>
  <c r="G23" i="34"/>
  <c r="G132" i="34"/>
  <c r="D132" i="34"/>
  <c r="E132" i="34" s="1"/>
  <c r="H132" i="34" s="1"/>
  <c r="C133" i="34"/>
  <c r="C62" i="34"/>
  <c r="G61" i="34"/>
  <c r="D61" i="34"/>
  <c r="E61" i="34" s="1"/>
  <c r="H61" i="34" s="1"/>
  <c r="C63" i="34" l="1"/>
  <c r="G62" i="34"/>
  <c r="D62" i="34"/>
  <c r="E62" i="34" s="1"/>
  <c r="H62" i="34" s="1"/>
  <c r="G24" i="34"/>
  <c r="H23" i="34"/>
  <c r="G197" i="34"/>
  <c r="C198" i="34"/>
  <c r="D197" i="34"/>
  <c r="E197" i="34" s="1"/>
  <c r="H197" i="34" s="1"/>
  <c r="G133" i="34"/>
  <c r="C134" i="34"/>
  <c r="D133" i="34"/>
  <c r="E133" i="34" s="1"/>
  <c r="H133" i="34" s="1"/>
  <c r="G63" i="34" l="1"/>
  <c r="C64" i="34"/>
  <c r="D63" i="34"/>
  <c r="E63" i="34" s="1"/>
  <c r="H63" i="34" s="1"/>
  <c r="G25" i="34"/>
  <c r="H24" i="34"/>
  <c r="C199" i="34"/>
  <c r="D198" i="34"/>
  <c r="E198" i="34" s="1"/>
  <c r="H198" i="34" s="1"/>
  <c r="G198" i="34"/>
  <c r="C135" i="34"/>
  <c r="D134" i="34"/>
  <c r="E134" i="34" s="1"/>
  <c r="H134" i="34" s="1"/>
  <c r="G134" i="34"/>
  <c r="G135" i="34" l="1"/>
  <c r="D135" i="34"/>
  <c r="E135" i="34" s="1"/>
  <c r="H135" i="34" s="1"/>
  <c r="C136" i="34"/>
  <c r="G26" i="34"/>
  <c r="H25" i="34"/>
  <c r="C200" i="34"/>
  <c r="G199" i="34"/>
  <c r="D199" i="34"/>
  <c r="E199" i="34" s="1"/>
  <c r="H199" i="34" s="1"/>
  <c r="G64" i="34"/>
  <c r="C65" i="34"/>
  <c r="D64" i="34"/>
  <c r="E64" i="34" s="1"/>
  <c r="H64" i="34" s="1"/>
  <c r="H26" i="34" l="1"/>
  <c r="G27" i="34"/>
  <c r="D136" i="34"/>
  <c r="E136" i="34" s="1"/>
  <c r="H136" i="34" s="1"/>
  <c r="C137" i="34"/>
  <c r="G136" i="34"/>
  <c r="C66" i="34"/>
  <c r="G65" i="34"/>
  <c r="D65" i="34"/>
  <c r="E65" i="34" s="1"/>
  <c r="H65" i="34" s="1"/>
  <c r="G200" i="34"/>
  <c r="C201" i="34"/>
  <c r="D200" i="34"/>
  <c r="E200" i="34" s="1"/>
  <c r="H200" i="34" s="1"/>
  <c r="D137" i="34" l="1"/>
  <c r="E137" i="34" s="1"/>
  <c r="H137" i="34" s="1"/>
  <c r="C138" i="34"/>
  <c r="G137" i="34"/>
  <c r="D201" i="34"/>
  <c r="E201" i="34" s="1"/>
  <c r="H201" i="34" s="1"/>
  <c r="C202" i="34"/>
  <c r="G201" i="34"/>
  <c r="G66" i="34"/>
  <c r="C67" i="34"/>
  <c r="D66" i="34"/>
  <c r="E66" i="34" s="1"/>
  <c r="H66" i="34" s="1"/>
  <c r="G28" i="34"/>
  <c r="H27" i="34"/>
  <c r="C203" i="34" l="1"/>
  <c r="D202" i="34"/>
  <c r="E202" i="34" s="1"/>
  <c r="H202" i="34" s="1"/>
  <c r="G202" i="34"/>
  <c r="G67" i="34"/>
  <c r="C68" i="34"/>
  <c r="D67" i="34"/>
  <c r="E67" i="34" s="1"/>
  <c r="H67" i="34" s="1"/>
  <c r="G29" i="34"/>
  <c r="H28" i="34"/>
  <c r="C139" i="34"/>
  <c r="D138" i="34"/>
  <c r="E138" i="34" s="1"/>
  <c r="H138" i="34" s="1"/>
  <c r="G138" i="34"/>
  <c r="G139" i="34" l="1"/>
  <c r="C140" i="34"/>
  <c r="D139" i="34"/>
  <c r="E139" i="34" s="1"/>
  <c r="H139" i="34" s="1"/>
  <c r="G68" i="34"/>
  <c r="C69" i="34"/>
  <c r="D68" i="34"/>
  <c r="E68" i="34" s="1"/>
  <c r="H68" i="34" s="1"/>
  <c r="C204" i="34"/>
  <c r="D203" i="34"/>
  <c r="E203" i="34" s="1"/>
  <c r="H203" i="34" s="1"/>
  <c r="G203" i="34"/>
  <c r="G30" i="34"/>
  <c r="H29" i="34"/>
  <c r="C70" i="34" l="1"/>
  <c r="G69" i="34"/>
  <c r="D69" i="34"/>
  <c r="E69" i="34" s="1"/>
  <c r="H69" i="34" s="1"/>
  <c r="G204" i="34"/>
  <c r="C205" i="34"/>
  <c r="D204" i="34"/>
  <c r="E204" i="34" s="1"/>
  <c r="H204" i="34" s="1"/>
  <c r="G31" i="34"/>
  <c r="H30" i="34"/>
  <c r="D140" i="34"/>
  <c r="E140" i="34" s="1"/>
  <c r="H140" i="34" s="1"/>
  <c r="C141" i="34"/>
  <c r="G140" i="34"/>
  <c r="C206" i="34" l="1"/>
  <c r="G205" i="34"/>
  <c r="D205" i="34"/>
  <c r="E205" i="34" s="1"/>
  <c r="H205" i="34" s="1"/>
  <c r="G70" i="34"/>
  <c r="C71" i="34"/>
  <c r="D70" i="34"/>
  <c r="E70" i="34" s="1"/>
  <c r="H70" i="34" s="1"/>
  <c r="G32" i="34"/>
  <c r="H32" i="34" s="1"/>
  <c r="H31" i="34"/>
  <c r="D141" i="34"/>
  <c r="E141" i="34" s="1"/>
  <c r="H141" i="34" s="1"/>
  <c r="G141" i="34"/>
  <c r="C142" i="34"/>
  <c r="G71" i="34" l="1"/>
  <c r="C72" i="34"/>
  <c r="D71" i="34"/>
  <c r="E71" i="34" s="1"/>
  <c r="H71" i="34" s="1"/>
  <c r="C207" i="34"/>
  <c r="D206" i="34"/>
  <c r="E206" i="34" s="1"/>
  <c r="H206" i="34" s="1"/>
  <c r="G206" i="34"/>
  <c r="G142" i="34"/>
  <c r="D142" i="34"/>
  <c r="E142" i="34" s="1"/>
  <c r="H142" i="34" s="1"/>
  <c r="C143" i="34"/>
  <c r="C144" i="34" l="1"/>
  <c r="D143" i="34"/>
  <c r="E143" i="34" s="1"/>
  <c r="H143" i="34" s="1"/>
  <c r="G143" i="34"/>
  <c r="C208" i="34"/>
  <c r="D207" i="34"/>
  <c r="E207" i="34" s="1"/>
  <c r="H207" i="34" s="1"/>
  <c r="G207" i="34"/>
  <c r="G72" i="34"/>
  <c r="C73" i="34"/>
  <c r="D72" i="34"/>
  <c r="E72" i="34" s="1"/>
  <c r="H72" i="34" s="1"/>
  <c r="G144" i="34" l="1"/>
  <c r="D144" i="34"/>
  <c r="E144" i="34" s="1"/>
  <c r="H144" i="34" s="1"/>
  <c r="C145" i="34"/>
  <c r="C74" i="34"/>
  <c r="G73" i="34"/>
  <c r="D73" i="34"/>
  <c r="E73" i="34" s="1"/>
  <c r="H73" i="34" s="1"/>
  <c r="G208" i="34"/>
  <c r="C209" i="34"/>
  <c r="D208" i="34"/>
  <c r="E208" i="34" s="1"/>
  <c r="H208" i="34" s="1"/>
  <c r="D209" i="34" l="1"/>
  <c r="E209" i="34" s="1"/>
  <c r="H209" i="34" s="1"/>
  <c r="C210" i="34"/>
  <c r="G209" i="34"/>
  <c r="G74" i="34"/>
  <c r="C75" i="34"/>
  <c r="D74" i="34"/>
  <c r="E74" i="34" s="1"/>
  <c r="H74" i="34" s="1"/>
  <c r="C146" i="34"/>
  <c r="G145" i="34"/>
  <c r="D145" i="34"/>
  <c r="E145" i="34" s="1"/>
  <c r="H145" i="34" s="1"/>
  <c r="G75" i="34" l="1"/>
  <c r="C76" i="34"/>
  <c r="D75" i="34"/>
  <c r="E75" i="34" s="1"/>
  <c r="H75" i="34" s="1"/>
  <c r="C147" i="34"/>
  <c r="D146" i="34"/>
  <c r="E146" i="34" s="1"/>
  <c r="H146" i="34" s="1"/>
  <c r="G146" i="34"/>
  <c r="C211" i="34"/>
  <c r="D210" i="34"/>
  <c r="E210" i="34" s="1"/>
  <c r="H210" i="34" s="1"/>
  <c r="G210" i="34"/>
  <c r="C148" i="34" l="1"/>
  <c r="D147" i="34"/>
  <c r="E147" i="34" s="1"/>
  <c r="H147" i="34" s="1"/>
  <c r="G147" i="34"/>
  <c r="C212" i="34"/>
  <c r="D211" i="34"/>
  <c r="E211" i="34" s="1"/>
  <c r="H211" i="34" s="1"/>
  <c r="G211" i="34"/>
  <c r="G76" i="34"/>
  <c r="C77" i="34"/>
  <c r="D76" i="34"/>
  <c r="E76" i="34" s="1"/>
  <c r="H76" i="34" s="1"/>
  <c r="G148" i="34" l="1"/>
  <c r="C149" i="34"/>
  <c r="D148" i="34"/>
  <c r="E148" i="34" s="1"/>
  <c r="H148" i="34" s="1"/>
  <c r="C78" i="34"/>
  <c r="G77" i="34"/>
  <c r="D77" i="34"/>
  <c r="E77" i="34" s="1"/>
  <c r="H77" i="34" s="1"/>
  <c r="G212" i="34"/>
  <c r="C213" i="34"/>
  <c r="D212" i="34"/>
  <c r="E212" i="34" s="1"/>
  <c r="H212" i="34" s="1"/>
  <c r="AF10" i="23"/>
  <c r="AF14" i="23"/>
  <c r="AF17" i="23"/>
  <c r="AF18" i="23"/>
  <c r="AF22" i="23"/>
  <c r="AF26" i="23"/>
  <c r="AF28" i="23"/>
  <c r="AF30" i="23"/>
  <c r="AF34" i="23"/>
  <c r="AF38" i="23"/>
  <c r="AF42" i="23"/>
  <c r="AF46" i="23"/>
  <c r="AF48" i="23"/>
  <c r="AF50" i="23"/>
  <c r="AF54" i="23"/>
  <c r="AF57" i="23"/>
  <c r="AF58" i="23"/>
  <c r="AF62" i="23"/>
  <c r="AF66" i="23"/>
  <c r="AF70" i="23"/>
  <c r="AF74" i="23"/>
  <c r="AF78" i="23"/>
  <c r="AF82" i="23"/>
  <c r="AF86" i="23"/>
  <c r="AF90" i="23"/>
  <c r="AF94" i="23"/>
  <c r="AF98" i="23"/>
  <c r="AF102" i="23"/>
  <c r="AF106" i="23"/>
  <c r="AF110" i="23"/>
  <c r="AF114" i="23"/>
  <c r="AF118" i="23"/>
  <c r="AF122" i="23"/>
  <c r="AF126" i="23"/>
  <c r="AF130" i="23"/>
  <c r="AF134" i="23"/>
  <c r="AF138" i="23"/>
  <c r="AF142" i="23"/>
  <c r="AF143" i="23"/>
  <c r="AF146" i="23"/>
  <c r="AF150" i="23"/>
  <c r="AF154" i="23"/>
  <c r="AF155" i="23"/>
  <c r="AF156" i="23"/>
  <c r="AF157" i="23"/>
  <c r="AF158" i="23"/>
  <c r="AF161" i="23"/>
  <c r="AF162" i="23"/>
  <c r="AF165" i="23"/>
  <c r="AF166" i="23"/>
  <c r="AF169" i="23"/>
  <c r="AF178" i="23"/>
  <c r="AF181" i="23"/>
  <c r="AF182" i="23"/>
  <c r="W181" i="23"/>
  <c r="W180" i="23"/>
  <c r="AF180" i="23" s="1"/>
  <c r="W179" i="23"/>
  <c r="AF179" i="23" s="1"/>
  <c r="W178" i="23"/>
  <c r="W177" i="23"/>
  <c r="V177" i="23"/>
  <c r="AF177" i="23" s="1"/>
  <c r="W176" i="23"/>
  <c r="V176" i="23"/>
  <c r="AF176" i="23" s="1"/>
  <c r="W175" i="23"/>
  <c r="V175" i="23"/>
  <c r="AF175" i="23" s="1"/>
  <c r="W174" i="23"/>
  <c r="AF174" i="23" s="1"/>
  <c r="V174" i="23"/>
  <c r="W173" i="23"/>
  <c r="V173" i="23"/>
  <c r="AF173" i="23" s="1"/>
  <c r="W172" i="23"/>
  <c r="V172" i="23"/>
  <c r="AF172" i="23" s="1"/>
  <c r="W171" i="23"/>
  <c r="V171" i="23"/>
  <c r="AF171" i="23" s="1"/>
  <c r="W170" i="23"/>
  <c r="AF170" i="23" s="1"/>
  <c r="V170" i="23"/>
  <c r="W169" i="23"/>
  <c r="W168" i="23"/>
  <c r="AF168" i="23" s="1"/>
  <c r="W167" i="23"/>
  <c r="AF167" i="23" s="1"/>
  <c r="W166" i="23"/>
  <c r="W165" i="23"/>
  <c r="W164" i="23"/>
  <c r="AF164" i="23" s="1"/>
  <c r="W163" i="23"/>
  <c r="AF163" i="23" s="1"/>
  <c r="W162" i="23"/>
  <c r="W161" i="23"/>
  <c r="W160" i="23"/>
  <c r="AF160" i="23" s="1"/>
  <c r="W159" i="23"/>
  <c r="AF159" i="23" s="1"/>
  <c r="W158" i="23"/>
  <c r="W157" i="23"/>
  <c r="W154" i="23"/>
  <c r="W153" i="23"/>
  <c r="AF153" i="23" s="1"/>
  <c r="W152" i="23"/>
  <c r="AF152" i="23" s="1"/>
  <c r="W151" i="23"/>
  <c r="AF151" i="23" s="1"/>
  <c r="W150" i="23"/>
  <c r="W149" i="23"/>
  <c r="AF149" i="23" s="1"/>
  <c r="W148" i="23"/>
  <c r="AF148" i="23" s="1"/>
  <c r="W147" i="23"/>
  <c r="AF147" i="23" s="1"/>
  <c r="W146" i="23"/>
  <c r="U145" i="23"/>
  <c r="AF145" i="23" s="1"/>
  <c r="W144" i="23"/>
  <c r="AF144" i="23" s="1"/>
  <c r="W142" i="23"/>
  <c r="W141" i="23"/>
  <c r="AF141" i="23" s="1"/>
  <c r="W140" i="23"/>
  <c r="AF140" i="23" s="1"/>
  <c r="W139" i="23"/>
  <c r="AF139" i="23" s="1"/>
  <c r="W138" i="23"/>
  <c r="W137" i="23"/>
  <c r="AF137" i="23" s="1"/>
  <c r="W136" i="23"/>
  <c r="AF136" i="23" s="1"/>
  <c r="W135" i="23"/>
  <c r="AF135" i="23" s="1"/>
  <c r="W134" i="23"/>
  <c r="W133" i="23"/>
  <c r="AF133" i="23" s="1"/>
  <c r="W132" i="23"/>
  <c r="AF132" i="23" s="1"/>
  <c r="W131" i="23"/>
  <c r="AF131" i="23" s="1"/>
  <c r="W130" i="23"/>
  <c r="W129" i="23"/>
  <c r="AF129" i="23" s="1"/>
  <c r="W128" i="23"/>
  <c r="AF128" i="23" s="1"/>
  <c r="W127" i="23"/>
  <c r="AF127" i="23" s="1"/>
  <c r="W126" i="23"/>
  <c r="W125" i="23"/>
  <c r="AF125" i="23" s="1"/>
  <c r="W124" i="23"/>
  <c r="AF124" i="23" s="1"/>
  <c r="W123" i="23"/>
  <c r="AF123" i="23" s="1"/>
  <c r="W122" i="23"/>
  <c r="W121" i="23"/>
  <c r="AF121" i="23" s="1"/>
  <c r="W120" i="23"/>
  <c r="AF120" i="23" s="1"/>
  <c r="W119" i="23"/>
  <c r="AF119" i="23" s="1"/>
  <c r="W118" i="23"/>
  <c r="W117" i="23"/>
  <c r="AF117" i="23" s="1"/>
  <c r="W116" i="23"/>
  <c r="AF116" i="23" s="1"/>
  <c r="W115" i="23"/>
  <c r="AF115" i="23" s="1"/>
  <c r="W114" i="23"/>
  <c r="W113" i="23"/>
  <c r="AF113" i="23" s="1"/>
  <c r="W112" i="23"/>
  <c r="AF112" i="23" s="1"/>
  <c r="AE111" i="23"/>
  <c r="AF111" i="23" s="1"/>
  <c r="AE110" i="23"/>
  <c r="W109" i="23"/>
  <c r="U109" i="23"/>
  <c r="AF109" i="23" s="1"/>
  <c r="W108" i="23"/>
  <c r="AF108" i="23" s="1"/>
  <c r="W107" i="23"/>
  <c r="AF107" i="23" s="1"/>
  <c r="W106" i="23"/>
  <c r="W105" i="23"/>
  <c r="AF105" i="23" s="1"/>
  <c r="W104" i="23"/>
  <c r="AF104" i="23" s="1"/>
  <c r="W103" i="23"/>
  <c r="AF103" i="23" s="1"/>
  <c r="W102" i="23"/>
  <c r="W101" i="23"/>
  <c r="AF101" i="23" s="1"/>
  <c r="W100" i="23"/>
  <c r="AF100" i="23" s="1"/>
  <c r="W99" i="23"/>
  <c r="AF99" i="23" s="1"/>
  <c r="W98" i="23"/>
  <c r="W97" i="23"/>
  <c r="AF97" i="23" s="1"/>
  <c r="W96" i="23"/>
  <c r="AF96" i="23" s="1"/>
  <c r="W95" i="23"/>
  <c r="AF95" i="23" s="1"/>
  <c r="W94" i="23"/>
  <c r="W93" i="23"/>
  <c r="AF93" i="23" s="1"/>
  <c r="W92" i="23"/>
  <c r="AF92" i="23" s="1"/>
  <c r="W91" i="23"/>
  <c r="AF91" i="23" s="1"/>
  <c r="W90" i="23"/>
  <c r="W89" i="23"/>
  <c r="AF89" i="23" s="1"/>
  <c r="W88" i="23"/>
  <c r="AF88" i="23" s="1"/>
  <c r="W87" i="23"/>
  <c r="AF87" i="23" s="1"/>
  <c r="W86" i="23"/>
  <c r="W85" i="23"/>
  <c r="AF85" i="23" s="1"/>
  <c r="W84" i="23"/>
  <c r="AF84" i="23" s="1"/>
  <c r="W83" i="23"/>
  <c r="AF83" i="23" s="1"/>
  <c r="W82" i="23"/>
  <c r="W81" i="23"/>
  <c r="AF81" i="23" s="1"/>
  <c r="W80" i="23"/>
  <c r="AF80" i="23" s="1"/>
  <c r="U79" i="23"/>
  <c r="AF79" i="23" s="1"/>
  <c r="U78" i="23"/>
  <c r="W77" i="23"/>
  <c r="AF77" i="23" s="1"/>
  <c r="W76" i="23"/>
  <c r="AF76" i="23" s="1"/>
  <c r="W75" i="23"/>
  <c r="AF75" i="23" s="1"/>
  <c r="W74" i="23"/>
  <c r="W73" i="23"/>
  <c r="AF73" i="23" s="1"/>
  <c r="W72" i="23"/>
  <c r="AF72" i="23" s="1"/>
  <c r="W71" i="23"/>
  <c r="AF71" i="23" s="1"/>
  <c r="W70" i="23"/>
  <c r="W69" i="23"/>
  <c r="AF69" i="23" s="1"/>
  <c r="W68" i="23"/>
  <c r="AF68" i="23" s="1"/>
  <c r="W67" i="23"/>
  <c r="AF67" i="23" s="1"/>
  <c r="W66" i="23"/>
  <c r="W65" i="23"/>
  <c r="AF65" i="23" s="1"/>
  <c r="W64" i="23"/>
  <c r="AF64" i="23" s="1"/>
  <c r="U63" i="23"/>
  <c r="AF63" i="23" s="1"/>
  <c r="U62" i="23"/>
  <c r="U61" i="23"/>
  <c r="AF61" i="23" s="1"/>
  <c r="W60" i="23"/>
  <c r="AF60" i="23" s="1"/>
  <c r="W59" i="23"/>
  <c r="AF59" i="23" s="1"/>
  <c r="W58" i="23"/>
  <c r="AB56" i="23"/>
  <c r="AF56" i="23" s="1"/>
  <c r="AB55" i="23"/>
  <c r="W55" i="23"/>
  <c r="AF55" i="23" s="1"/>
  <c r="W54" i="23"/>
  <c r="W53" i="23"/>
  <c r="AF53" i="23" s="1"/>
  <c r="W52" i="23"/>
  <c r="AF52" i="23" s="1"/>
  <c r="W51" i="23"/>
  <c r="AF51" i="23" s="1"/>
  <c r="W50" i="23"/>
  <c r="W49" i="23"/>
  <c r="AF49" i="23" s="1"/>
  <c r="W47" i="23"/>
  <c r="AF47" i="23" s="1"/>
  <c r="W46" i="23"/>
  <c r="W45" i="23"/>
  <c r="AF45" i="23" s="1"/>
  <c r="W44" i="23"/>
  <c r="AF44" i="23" s="1"/>
  <c r="W43" i="23"/>
  <c r="AF43" i="23" s="1"/>
  <c r="W42" i="23"/>
  <c r="W41" i="23"/>
  <c r="AF41" i="23" s="1"/>
  <c r="W40" i="23"/>
  <c r="AF40" i="23" s="1"/>
  <c r="W39" i="23"/>
  <c r="AF39" i="23" s="1"/>
  <c r="W38" i="23"/>
  <c r="W37" i="23"/>
  <c r="AF37" i="23" s="1"/>
  <c r="U36" i="23"/>
  <c r="AF36" i="23" s="1"/>
  <c r="U35" i="23"/>
  <c r="AF35" i="23" s="1"/>
  <c r="W34" i="23"/>
  <c r="U34" i="23"/>
  <c r="W33" i="23"/>
  <c r="AF33" i="23" s="1"/>
  <c r="W32" i="23"/>
  <c r="AF32" i="23" s="1"/>
  <c r="W31" i="23"/>
  <c r="AF31" i="23" s="1"/>
  <c r="W30" i="23"/>
  <c r="U29" i="23"/>
  <c r="AF29" i="23" s="1"/>
  <c r="U27" i="23"/>
  <c r="AF27" i="23" s="1"/>
  <c r="W26" i="23"/>
  <c r="V26" i="23"/>
  <c r="W25" i="23"/>
  <c r="AF25" i="23" s="1"/>
  <c r="W24" i="23"/>
  <c r="AF24" i="23" s="1"/>
  <c r="W23" i="23"/>
  <c r="AF23" i="23" s="1"/>
  <c r="W22" i="23"/>
  <c r="W21" i="23"/>
  <c r="AF21" i="23" s="1"/>
  <c r="W20" i="23"/>
  <c r="AF20" i="23" s="1"/>
  <c r="W19" i="23"/>
  <c r="AF19" i="23" s="1"/>
  <c r="W18" i="23"/>
  <c r="W16" i="23"/>
  <c r="AF16" i="23" s="1"/>
  <c r="W15" i="23"/>
  <c r="AF15" i="23" s="1"/>
  <c r="W14" i="23"/>
  <c r="W13" i="23"/>
  <c r="AF13" i="23" s="1"/>
  <c r="W12" i="23"/>
  <c r="AF12" i="23" s="1"/>
  <c r="W11" i="23"/>
  <c r="AF11" i="23" s="1"/>
  <c r="W10" i="23"/>
  <c r="W9" i="23"/>
  <c r="U9" i="23"/>
  <c r="AF9" i="23" s="1"/>
  <c r="C214" i="34" l="1"/>
  <c r="G213" i="34"/>
  <c r="D213" i="34"/>
  <c r="E213" i="34" s="1"/>
  <c r="H213" i="34" s="1"/>
  <c r="G78" i="34"/>
  <c r="C79" i="34"/>
  <c r="D78" i="34"/>
  <c r="E78" i="34" s="1"/>
  <c r="H78" i="34" s="1"/>
  <c r="D149" i="34"/>
  <c r="E149" i="34" s="1"/>
  <c r="H149" i="34" s="1"/>
  <c r="G149" i="34"/>
  <c r="C150" i="34"/>
  <c r="C42" i="21"/>
  <c r="C13" i="21" s="1"/>
  <c r="D42" i="21"/>
  <c r="D13" i="21" s="1"/>
  <c r="E42" i="21"/>
  <c r="E13" i="21" s="1"/>
  <c r="F42" i="21"/>
  <c r="F13" i="21" s="1"/>
  <c r="G42" i="21"/>
  <c r="G13" i="21" s="1"/>
  <c r="H42" i="21"/>
  <c r="H13" i="21" s="1"/>
  <c r="I42" i="21"/>
  <c r="I13" i="21" s="1"/>
  <c r="J42" i="21"/>
  <c r="J13" i="21" s="1"/>
  <c r="K42" i="21"/>
  <c r="K13" i="21" s="1"/>
  <c r="L42" i="21"/>
  <c r="L13" i="21" s="1"/>
  <c r="M42" i="21"/>
  <c r="M13" i="21" s="1"/>
  <c r="B42" i="21"/>
  <c r="B13" i="21" s="1"/>
  <c r="D150" i="34" l="1"/>
  <c r="E150" i="34" s="1"/>
  <c r="H150" i="34" s="1"/>
  <c r="G150" i="34"/>
  <c r="C151" i="34"/>
  <c r="C80" i="34"/>
  <c r="G79" i="34"/>
  <c r="D79" i="34"/>
  <c r="E79" i="34" s="1"/>
  <c r="H79" i="34" s="1"/>
  <c r="C215" i="34"/>
  <c r="D214" i="34"/>
  <c r="E214" i="34" s="1"/>
  <c r="H214" i="34" s="1"/>
  <c r="G214" i="34"/>
  <c r="K32" i="21"/>
  <c r="K11" i="21" s="1"/>
  <c r="G32" i="21"/>
  <c r="G11" i="21" s="1"/>
  <c r="C32" i="21"/>
  <c r="C11" i="21" s="1"/>
  <c r="K37" i="21"/>
  <c r="K12" i="21" s="1"/>
  <c r="G37" i="21"/>
  <c r="G12" i="21" s="1"/>
  <c r="L32" i="21"/>
  <c r="L11" i="21" s="1"/>
  <c r="H32" i="21"/>
  <c r="H11" i="21" s="1"/>
  <c r="D32" i="21"/>
  <c r="D11" i="21" s="1"/>
  <c r="L37" i="21"/>
  <c r="L12" i="21" s="1"/>
  <c r="H37" i="21"/>
  <c r="H12" i="21" s="1"/>
  <c r="D37" i="21"/>
  <c r="D12" i="21" s="1"/>
  <c r="C37" i="21"/>
  <c r="C12" i="21" s="1"/>
  <c r="M32" i="21"/>
  <c r="M11" i="21" s="1"/>
  <c r="I32" i="21"/>
  <c r="I11" i="21" s="1"/>
  <c r="E32" i="21"/>
  <c r="E11" i="21" s="1"/>
  <c r="M37" i="21"/>
  <c r="M12" i="21" s="1"/>
  <c r="I37" i="21"/>
  <c r="I12" i="21" s="1"/>
  <c r="E37" i="21"/>
  <c r="E12" i="21" s="1"/>
  <c r="B32" i="21"/>
  <c r="B11" i="21" s="1"/>
  <c r="J32" i="21"/>
  <c r="J11" i="21" s="1"/>
  <c r="F32" i="21"/>
  <c r="F11" i="21" s="1"/>
  <c r="B37" i="21"/>
  <c r="B12" i="21" s="1"/>
  <c r="J37" i="21"/>
  <c r="J12" i="21" s="1"/>
  <c r="F37" i="21"/>
  <c r="F12" i="21" s="1"/>
  <c r="G80" i="34" l="1"/>
  <c r="C81" i="34"/>
  <c r="D80" i="34"/>
  <c r="E80" i="34" s="1"/>
  <c r="H80" i="34" s="1"/>
  <c r="C216" i="34"/>
  <c r="D215" i="34"/>
  <c r="E215" i="34" s="1"/>
  <c r="H215" i="34" s="1"/>
  <c r="G215" i="34"/>
  <c r="C152" i="34"/>
  <c r="D151" i="34"/>
  <c r="E151" i="34" s="1"/>
  <c r="H151" i="34" s="1"/>
  <c r="G151" i="34"/>
  <c r="Z183" i="23"/>
  <c r="G216" i="34" l="1"/>
  <c r="D216" i="34"/>
  <c r="E216" i="34" s="1"/>
  <c r="H216" i="34" s="1"/>
  <c r="C217" i="34"/>
  <c r="G152" i="34"/>
  <c r="C153" i="34"/>
  <c r="D152" i="34"/>
  <c r="E152" i="34" s="1"/>
  <c r="H152" i="34" s="1"/>
  <c r="C82" i="34"/>
  <c r="G81" i="34"/>
  <c r="D81" i="34"/>
  <c r="E81" i="34" s="1"/>
  <c r="H81" i="34" s="1"/>
  <c r="U183" i="23"/>
  <c r="V183" i="23"/>
  <c r="W183" i="23"/>
  <c r="X183" i="23"/>
  <c r="Y183" i="23"/>
  <c r="AA183" i="23"/>
  <c r="AB183" i="23"/>
  <c r="AC183" i="23"/>
  <c r="AD183" i="23"/>
  <c r="AE183" i="23"/>
  <c r="AF183" i="23"/>
  <c r="C154" i="34" l="1"/>
  <c r="G153" i="34"/>
  <c r="D153" i="34"/>
  <c r="E153" i="34" s="1"/>
  <c r="H153" i="34" s="1"/>
  <c r="G82" i="34"/>
  <c r="C83" i="34"/>
  <c r="D82" i="34"/>
  <c r="E82" i="34" s="1"/>
  <c r="H82" i="34" s="1"/>
  <c r="D217" i="34"/>
  <c r="E217" i="34" s="1"/>
  <c r="H217" i="34" s="1"/>
  <c r="C218" i="34"/>
  <c r="G217" i="34"/>
  <c r="C28" i="25"/>
  <c r="C29" i="25" s="1"/>
  <c r="C31" i="25" s="1"/>
  <c r="B28" i="25"/>
  <c r="B29" i="25" s="1"/>
  <c r="B31" i="25" s="1"/>
  <c r="G33" i="35"/>
  <c r="C84" i="34" l="1"/>
  <c r="G83" i="34"/>
  <c r="D83" i="34"/>
  <c r="E83" i="34" s="1"/>
  <c r="H83" i="34" s="1"/>
  <c r="C155" i="34"/>
  <c r="G154" i="34"/>
  <c r="D154" i="34"/>
  <c r="E154" i="34" s="1"/>
  <c r="H154" i="34" s="1"/>
  <c r="C219" i="34"/>
  <c r="D218" i="34"/>
  <c r="E218" i="34" s="1"/>
  <c r="H218" i="34" s="1"/>
  <c r="G218" i="34"/>
  <c r="E21" i="8"/>
  <c r="G84" i="34" l="1"/>
  <c r="C85" i="34"/>
  <c r="D84" i="34"/>
  <c r="E84" i="34" s="1"/>
  <c r="H84" i="34" s="1"/>
  <c r="C156" i="34"/>
  <c r="D155" i="34"/>
  <c r="E155" i="34" s="1"/>
  <c r="H155" i="34" s="1"/>
  <c r="G155" i="34"/>
  <c r="C220" i="34"/>
  <c r="D219" i="34"/>
  <c r="E219" i="34" s="1"/>
  <c r="H219" i="34" s="1"/>
  <c r="G219" i="34"/>
  <c r="E103" i="29"/>
  <c r="G156" i="34" l="1"/>
  <c r="D156" i="34"/>
  <c r="E156" i="34" s="1"/>
  <c r="H156" i="34" s="1"/>
  <c r="C157" i="34"/>
  <c r="G220" i="34"/>
  <c r="C221" i="34"/>
  <c r="D220" i="34"/>
  <c r="E220" i="34" s="1"/>
  <c r="H220" i="34" s="1"/>
  <c r="C86" i="34"/>
  <c r="G85" i="34"/>
  <c r="D85" i="34"/>
  <c r="E85" i="34" s="1"/>
  <c r="H85" i="34" s="1"/>
  <c r="C222" i="34" l="1"/>
  <c r="G221" i="34"/>
  <c r="D221" i="34"/>
  <c r="E221" i="34" s="1"/>
  <c r="H221" i="34" s="1"/>
  <c r="G86" i="34"/>
  <c r="C87" i="34"/>
  <c r="D86" i="34"/>
  <c r="E86" i="34" s="1"/>
  <c r="H86" i="34" s="1"/>
  <c r="D157" i="34"/>
  <c r="E157" i="34" s="1"/>
  <c r="H157" i="34" s="1"/>
  <c r="C158" i="34"/>
  <c r="G157" i="34"/>
  <c r="E36" i="15"/>
  <c r="E38" i="15"/>
  <c r="C88" i="34" l="1"/>
  <c r="G87" i="34"/>
  <c r="D87" i="34"/>
  <c r="E87" i="34" s="1"/>
  <c r="H87" i="34" s="1"/>
  <c r="C223" i="34"/>
  <c r="D222" i="34"/>
  <c r="E222" i="34" s="1"/>
  <c r="H222" i="34" s="1"/>
  <c r="G222" i="34"/>
  <c r="G158" i="34"/>
  <c r="D158" i="34"/>
  <c r="E158" i="34" s="1"/>
  <c r="H158" i="34" s="1"/>
  <c r="C159" i="34"/>
  <c r="C50" i="30"/>
  <c r="O64" i="30"/>
  <c r="D41" i="14"/>
  <c r="C160" i="34" l="1"/>
  <c r="D159" i="34"/>
  <c r="E159" i="34" s="1"/>
  <c r="H159" i="34" s="1"/>
  <c r="G159" i="34"/>
  <c r="G88" i="34"/>
  <c r="C89" i="34"/>
  <c r="D88" i="34"/>
  <c r="E88" i="34" s="1"/>
  <c r="H88" i="34" s="1"/>
  <c r="C224" i="34"/>
  <c r="D223" i="34"/>
  <c r="E223" i="34" s="1"/>
  <c r="H223" i="34" s="1"/>
  <c r="G223" i="34"/>
  <c r="C90" i="34" l="1"/>
  <c r="G89" i="34"/>
  <c r="D89" i="34"/>
  <c r="E89" i="34" s="1"/>
  <c r="H89" i="34" s="1"/>
  <c r="G160" i="34"/>
  <c r="D160" i="34"/>
  <c r="E160" i="34" s="1"/>
  <c r="H160" i="34" s="1"/>
  <c r="C161" i="34"/>
  <c r="G224" i="34"/>
  <c r="D224" i="34"/>
  <c r="E224" i="34" s="1"/>
  <c r="H224" i="34" s="1"/>
  <c r="C225" i="34"/>
  <c r="O21" i="30"/>
  <c r="P21" i="30"/>
  <c r="O59" i="30"/>
  <c r="O65" i="30"/>
  <c r="O70" i="30"/>
  <c r="O62" i="30"/>
  <c r="O61" i="30"/>
  <c r="O60" i="30"/>
  <c r="O66" i="30"/>
  <c r="O72" i="30"/>
  <c r="O71" i="30"/>
  <c r="D225" i="34" l="1"/>
  <c r="E225" i="34" s="1"/>
  <c r="H225" i="34" s="1"/>
  <c r="C226" i="34"/>
  <c r="G225" i="34"/>
  <c r="G90" i="34"/>
  <c r="C91" i="34"/>
  <c r="D90" i="34"/>
  <c r="E90" i="34" s="1"/>
  <c r="H90" i="34" s="1"/>
  <c r="C162" i="34"/>
  <c r="G161" i="34"/>
  <c r="D161" i="34"/>
  <c r="E161" i="34" s="1"/>
  <c r="H161" i="34" s="1"/>
  <c r="I34" i="20"/>
  <c r="F34" i="20"/>
  <c r="C92" i="34" l="1"/>
  <c r="G91" i="34"/>
  <c r="D91" i="34"/>
  <c r="E91" i="34" s="1"/>
  <c r="H91" i="34" s="1"/>
  <c r="C163" i="34"/>
  <c r="G162" i="34"/>
  <c r="D162" i="34"/>
  <c r="E162" i="34" s="1"/>
  <c r="H162" i="34" s="1"/>
  <c r="C227" i="34"/>
  <c r="D226" i="34"/>
  <c r="E226" i="34" s="1"/>
  <c r="H226" i="34" s="1"/>
  <c r="G226" i="34"/>
  <c r="D90" i="12"/>
  <c r="G92" i="34" l="1"/>
  <c r="C93" i="34"/>
  <c r="D92" i="34"/>
  <c r="E92" i="34" s="1"/>
  <c r="H92" i="34" s="1"/>
  <c r="C164" i="34"/>
  <c r="D163" i="34"/>
  <c r="E163" i="34" s="1"/>
  <c r="H163" i="34" s="1"/>
  <c r="G163" i="34"/>
  <c r="C228" i="34"/>
  <c r="D227" i="34"/>
  <c r="E227" i="34" s="1"/>
  <c r="H227" i="34" s="1"/>
  <c r="G227" i="34"/>
  <c r="E50" i="6"/>
  <c r="G164" i="34" l="1"/>
  <c r="D164" i="34"/>
  <c r="E164" i="34" s="1"/>
  <c r="H164" i="34" s="1"/>
  <c r="C165" i="34"/>
  <c r="G228" i="34"/>
  <c r="C229" i="34"/>
  <c r="D228" i="34"/>
  <c r="E228" i="34" s="1"/>
  <c r="H228" i="34" s="1"/>
  <c r="C94" i="34"/>
  <c r="G93" i="34"/>
  <c r="D93" i="34"/>
  <c r="E93" i="34" s="1"/>
  <c r="H93" i="34" s="1"/>
  <c r="M14" i="21"/>
  <c r="J14" i="21"/>
  <c r="I14" i="21"/>
  <c r="F14" i="21"/>
  <c r="E14" i="21"/>
  <c r="C230" i="34" l="1"/>
  <c r="G229" i="34"/>
  <c r="D229" i="34"/>
  <c r="E229" i="34" s="1"/>
  <c r="H229" i="34" s="1"/>
  <c r="G94" i="34"/>
  <c r="C95" i="34"/>
  <c r="D94" i="34"/>
  <c r="E94" i="34" s="1"/>
  <c r="H94" i="34" s="1"/>
  <c r="D165" i="34"/>
  <c r="E165" i="34" s="1"/>
  <c r="H165" i="34" s="1"/>
  <c r="C166" i="34"/>
  <c r="G165" i="34"/>
  <c r="C14" i="21"/>
  <c r="G14" i="21"/>
  <c r="K14" i="21"/>
  <c r="D14" i="21"/>
  <c r="H14" i="21"/>
  <c r="L14" i="21"/>
  <c r="L16" i="21" s="1"/>
  <c r="O10" i="21"/>
  <c r="B14" i="21"/>
  <c r="O11" i="21"/>
  <c r="O12" i="21"/>
  <c r="O13" i="21"/>
  <c r="C96" i="34" l="1"/>
  <c r="G95" i="34"/>
  <c r="D95" i="34"/>
  <c r="E95" i="34" s="1"/>
  <c r="H95" i="34" s="1"/>
  <c r="C231" i="34"/>
  <c r="D230" i="34"/>
  <c r="E230" i="34" s="1"/>
  <c r="H230" i="34" s="1"/>
  <c r="G230" i="34"/>
  <c r="D166" i="34"/>
  <c r="E166" i="34" s="1"/>
  <c r="H166" i="34" s="1"/>
  <c r="G166" i="34"/>
  <c r="C167" i="34"/>
  <c r="O14" i="21"/>
  <c r="D17" i="21"/>
  <c r="D16" i="21"/>
  <c r="C168" i="34" l="1"/>
  <c r="D167" i="34"/>
  <c r="E167" i="34" s="1"/>
  <c r="H167" i="34" s="1"/>
  <c r="G167" i="34"/>
  <c r="G96" i="34"/>
  <c r="C97" i="34"/>
  <c r="D96" i="34"/>
  <c r="E96" i="34" s="1"/>
  <c r="H96" i="34" s="1"/>
  <c r="C232" i="34"/>
  <c r="D231" i="34"/>
  <c r="E231" i="34" s="1"/>
  <c r="H231" i="34" s="1"/>
  <c r="G231" i="34"/>
  <c r="E28" i="15"/>
  <c r="E27" i="15"/>
  <c r="E26" i="15"/>
  <c r="C98" i="34" l="1"/>
  <c r="G97" i="34"/>
  <c r="D97" i="34"/>
  <c r="E97" i="34" s="1"/>
  <c r="H97" i="34" s="1"/>
  <c r="C169" i="34"/>
  <c r="G168" i="34"/>
  <c r="D168" i="34"/>
  <c r="E168" i="34" s="1"/>
  <c r="H168" i="34" s="1"/>
  <c r="G232" i="34"/>
  <c r="C233" i="34"/>
  <c r="D232" i="34"/>
  <c r="E232" i="34" s="1"/>
  <c r="H232" i="34" s="1"/>
  <c r="E13" i="15"/>
  <c r="E21" i="15"/>
  <c r="E48" i="15"/>
  <c r="E25" i="15"/>
  <c r="G98" i="34" l="1"/>
  <c r="C99" i="34"/>
  <c r="D98" i="34"/>
  <c r="E98" i="34" s="1"/>
  <c r="H98" i="34" s="1"/>
  <c r="D233" i="34"/>
  <c r="E233" i="34" s="1"/>
  <c r="H233" i="34" s="1"/>
  <c r="C234" i="34"/>
  <c r="G233" i="34"/>
  <c r="G169" i="34"/>
  <c r="C170" i="34"/>
  <c r="D169" i="34"/>
  <c r="E169" i="34" s="1"/>
  <c r="H169" i="34" s="1"/>
  <c r="D88" i="35"/>
  <c r="G88" i="35" s="1"/>
  <c r="D87" i="35"/>
  <c r="G87" i="35" s="1"/>
  <c r="C235" i="34" l="1"/>
  <c r="D234" i="34"/>
  <c r="E234" i="34" s="1"/>
  <c r="H234" i="34" s="1"/>
  <c r="G234" i="34"/>
  <c r="C171" i="34"/>
  <c r="D170" i="34"/>
  <c r="E170" i="34" s="1"/>
  <c r="H170" i="34" s="1"/>
  <c r="G170" i="34"/>
  <c r="C100" i="34"/>
  <c r="G99" i="34"/>
  <c r="D99" i="34"/>
  <c r="E99" i="34" s="1"/>
  <c r="H99" i="34" s="1"/>
  <c r="L13" i="24"/>
  <c r="L14" i="24"/>
  <c r="C236" i="34" l="1"/>
  <c r="D235" i="34"/>
  <c r="E235" i="34" s="1"/>
  <c r="H235" i="34" s="1"/>
  <c r="G235" i="34"/>
  <c r="C172" i="34"/>
  <c r="D171" i="34"/>
  <c r="E171" i="34" s="1"/>
  <c r="H171" i="34" s="1"/>
  <c r="G171" i="34"/>
  <c r="G100" i="34"/>
  <c r="C101" i="34"/>
  <c r="D100" i="34"/>
  <c r="E100" i="34" s="1"/>
  <c r="H100" i="34" s="1"/>
  <c r="O9" i="30"/>
  <c r="G236" i="34" l="1"/>
  <c r="C237" i="34"/>
  <c r="D236" i="34"/>
  <c r="E236" i="34" s="1"/>
  <c r="H236" i="34" s="1"/>
  <c r="C102" i="34"/>
  <c r="G101" i="34"/>
  <c r="D101" i="34"/>
  <c r="E101" i="34" s="1"/>
  <c r="H101" i="34" s="1"/>
  <c r="C173" i="34"/>
  <c r="D172" i="34"/>
  <c r="E172" i="34" s="1"/>
  <c r="H172" i="34" s="1"/>
  <c r="G172" i="34"/>
  <c r="L10" i="30"/>
  <c r="K10" i="30"/>
  <c r="G10" i="30"/>
  <c r="N10" i="30"/>
  <c r="J10" i="30"/>
  <c r="F10" i="30"/>
  <c r="H10" i="30"/>
  <c r="M10" i="30"/>
  <c r="I10" i="30"/>
  <c r="E10" i="30"/>
  <c r="C11" i="30"/>
  <c r="P20" i="30"/>
  <c r="P14" i="30"/>
  <c r="P19" i="30"/>
  <c r="O17" i="30"/>
  <c r="O19" i="30"/>
  <c r="O15" i="30"/>
  <c r="P16" i="30"/>
  <c r="P17" i="30"/>
  <c r="O16" i="30"/>
  <c r="P9" i="30"/>
  <c r="O14" i="30"/>
  <c r="O20" i="30"/>
  <c r="P15" i="30"/>
  <c r="G102" i="34" l="1"/>
  <c r="C103" i="34"/>
  <c r="D102" i="34"/>
  <c r="E102" i="34" s="1"/>
  <c r="H102" i="34" s="1"/>
  <c r="G173" i="34"/>
  <c r="C174" i="34"/>
  <c r="D173" i="34"/>
  <c r="E173" i="34" s="1"/>
  <c r="H173" i="34" s="1"/>
  <c r="C238" i="34"/>
  <c r="G237" i="34"/>
  <c r="D237" i="34"/>
  <c r="E237" i="34" s="1"/>
  <c r="H237" i="34" s="1"/>
  <c r="O10" i="30"/>
  <c r="P10" i="30"/>
  <c r="G174" i="34" l="1"/>
  <c r="D174" i="34"/>
  <c r="E174" i="34" s="1"/>
  <c r="H174" i="34" s="1"/>
  <c r="C175" i="34"/>
  <c r="C239" i="34"/>
  <c r="D238" i="34"/>
  <c r="E238" i="34" s="1"/>
  <c r="H238" i="34" s="1"/>
  <c r="G238" i="34"/>
  <c r="C104" i="34"/>
  <c r="G103" i="34"/>
  <c r="D103" i="34"/>
  <c r="E103" i="34" s="1"/>
  <c r="H103" i="34" s="1"/>
  <c r="D92" i="12"/>
  <c r="D97" i="12"/>
  <c r="D239" i="34" l="1"/>
  <c r="E239" i="34" s="1"/>
  <c r="H239" i="34" s="1"/>
  <c r="G239" i="34"/>
  <c r="G104" i="34"/>
  <c r="C105" i="34"/>
  <c r="D104" i="34"/>
  <c r="E104" i="34" s="1"/>
  <c r="H104" i="34" s="1"/>
  <c r="C176" i="34"/>
  <c r="D175" i="34"/>
  <c r="E175" i="34" s="1"/>
  <c r="H175" i="34" s="1"/>
  <c r="G175" i="34"/>
  <c r="C41" i="32"/>
  <c r="C43" i="32" s="1"/>
  <c r="C106" i="34" l="1"/>
  <c r="G105" i="34"/>
  <c r="D105" i="34"/>
  <c r="E105" i="34" s="1"/>
  <c r="H105" i="34" s="1"/>
  <c r="D176" i="34"/>
  <c r="E176" i="34" s="1"/>
  <c r="H176" i="34" s="1"/>
  <c r="G176" i="34"/>
  <c r="E41" i="8"/>
  <c r="G106" i="34" l="1"/>
  <c r="C107" i="34"/>
  <c r="D106" i="34"/>
  <c r="E106" i="34" s="1"/>
  <c r="H106" i="34" s="1"/>
  <c r="C108" i="34" l="1"/>
  <c r="G107" i="34"/>
  <c r="D107" i="34"/>
  <c r="E107" i="34" s="1"/>
  <c r="H107" i="34" s="1"/>
  <c r="E26" i="6"/>
  <c r="G108" i="34" l="1"/>
  <c r="C109" i="34"/>
  <c r="D108" i="34"/>
  <c r="E108" i="34" s="1"/>
  <c r="H108" i="34" s="1"/>
  <c r="D25" i="33"/>
  <c r="C110" i="34" l="1"/>
  <c r="G109" i="34"/>
  <c r="D109" i="34"/>
  <c r="E109" i="34" s="1"/>
  <c r="H109" i="34" s="1"/>
  <c r="D14" i="17"/>
  <c r="D8" i="17"/>
  <c r="G110" i="34" l="1"/>
  <c r="C111" i="34"/>
  <c r="D110" i="34"/>
  <c r="E110" i="34" s="1"/>
  <c r="H110" i="34" s="1"/>
  <c r="AA187" i="23"/>
  <c r="H187" i="1"/>
  <c r="C112" i="34" l="1"/>
  <c r="G111" i="34"/>
  <c r="D111" i="34"/>
  <c r="E111" i="34" s="1"/>
  <c r="H111" i="34" s="1"/>
  <c r="I21" i="37"/>
  <c r="G112" i="34" l="1"/>
  <c r="D112" i="34"/>
  <c r="E112" i="34" s="1"/>
  <c r="H112" i="34" s="1"/>
  <c r="D55" i="14"/>
  <c r="G55" i="14" s="1"/>
  <c r="I7" i="37" l="1"/>
  <c r="L19" i="37"/>
  <c r="I19" i="37"/>
  <c r="L7" i="37"/>
  <c r="C18" i="38" l="1"/>
  <c r="N88" i="30" l="1"/>
  <c r="M88" i="30"/>
  <c r="L88" i="30"/>
  <c r="K88" i="30"/>
  <c r="J88" i="30"/>
  <c r="I88" i="30"/>
  <c r="H88" i="30"/>
  <c r="G88" i="30"/>
  <c r="F88" i="30"/>
  <c r="E88" i="30"/>
  <c r="D88" i="30"/>
  <c r="C88" i="30"/>
  <c r="G24" i="20"/>
  <c r="G23" i="20"/>
  <c r="G20" i="20"/>
  <c r="G13" i="20"/>
  <c r="M17" i="21"/>
  <c r="L17" i="21"/>
  <c r="K17" i="21"/>
  <c r="J17" i="21"/>
  <c r="I17" i="21"/>
  <c r="H17" i="21"/>
  <c r="G17" i="21"/>
  <c r="F17" i="21"/>
  <c r="E17" i="21"/>
  <c r="C17" i="21"/>
  <c r="C5" i="38"/>
  <c r="C4" i="38"/>
  <c r="H140" i="1"/>
  <c r="H139" i="1"/>
  <c r="H132" i="1"/>
  <c r="L132" i="1" s="1"/>
  <c r="H113" i="1"/>
  <c r="H112" i="1"/>
  <c r="D115" i="12"/>
  <c r="H106" i="1"/>
  <c r="H105" i="1"/>
  <c r="H104" i="1"/>
  <c r="H14" i="1"/>
  <c r="H13" i="1"/>
  <c r="I30" i="37"/>
  <c r="E10" i="11" s="1"/>
  <c r="L28" i="37"/>
  <c r="E29" i="11" s="1"/>
  <c r="I28" i="37"/>
  <c r="E15" i="11" s="1"/>
  <c r="L27" i="37"/>
  <c r="L55" i="37"/>
  <c r="L54" i="37"/>
  <c r="L53" i="37"/>
  <c r="F6" i="4" s="1"/>
  <c r="L52" i="37"/>
  <c r="L51" i="37"/>
  <c r="L50" i="37"/>
  <c r="L49" i="37"/>
  <c r="L48" i="37"/>
  <c r="L47" i="37"/>
  <c r="L46" i="37"/>
  <c r="L45" i="37"/>
  <c r="L44" i="37"/>
  <c r="L43" i="37"/>
  <c r="L42" i="37"/>
  <c r="L41" i="37"/>
  <c r="L40" i="37"/>
  <c r="L39" i="37"/>
  <c r="L38" i="37"/>
  <c r="L37" i="37"/>
  <c r="D14" i="14" s="1"/>
  <c r="L36" i="37"/>
  <c r="D23" i="14" s="1"/>
  <c r="L35" i="37"/>
  <c r="D13" i="14" s="1"/>
  <c r="L34" i="37"/>
  <c r="D12" i="14" s="1"/>
  <c r="L33" i="37"/>
  <c r="D11" i="14" s="1"/>
  <c r="L32" i="37"/>
  <c r="L31" i="37"/>
  <c r="H234" i="1" s="1"/>
  <c r="L30" i="37"/>
  <c r="E24" i="11" s="1"/>
  <c r="L29" i="37"/>
  <c r="E28" i="11" s="1"/>
  <c r="L26" i="37"/>
  <c r="L25" i="37"/>
  <c r="L24" i="37"/>
  <c r="L23" i="37"/>
  <c r="L22" i="37"/>
  <c r="L21" i="37"/>
  <c r="L20" i="37"/>
  <c r="L18" i="37"/>
  <c r="L17" i="37"/>
  <c r="H227" i="1" s="1"/>
  <c r="L16" i="37"/>
  <c r="L15" i="37"/>
  <c r="L14" i="37"/>
  <c r="L13" i="37"/>
  <c r="L12" i="37"/>
  <c r="L11" i="37"/>
  <c r="H238" i="1" s="1"/>
  <c r="L10" i="37"/>
  <c r="H230" i="1" s="1"/>
  <c r="L9" i="37"/>
  <c r="H233" i="1" s="1"/>
  <c r="L8" i="37"/>
  <c r="H232" i="1" s="1"/>
  <c r="H231" i="1"/>
  <c r="I55" i="37"/>
  <c r="I54" i="37"/>
  <c r="I53" i="37"/>
  <c r="I52" i="37"/>
  <c r="I51" i="37"/>
  <c r="I50" i="37"/>
  <c r="I49" i="37"/>
  <c r="I48" i="37"/>
  <c r="I47" i="37"/>
  <c r="I46" i="37"/>
  <c r="I45" i="37"/>
  <c r="I44" i="37"/>
  <c r="I43" i="37"/>
  <c r="I42" i="37"/>
  <c r="I41" i="37"/>
  <c r="I40" i="37"/>
  <c r="I39" i="37"/>
  <c r="I38" i="37"/>
  <c r="I37" i="37"/>
  <c r="I36" i="37"/>
  <c r="I35" i="37"/>
  <c r="I34" i="37"/>
  <c r="I33" i="37"/>
  <c r="I32" i="37"/>
  <c r="I31" i="37"/>
  <c r="I29" i="37"/>
  <c r="E14" i="11" s="1"/>
  <c r="I27" i="37"/>
  <c r="I26" i="37"/>
  <c r="I25" i="37"/>
  <c r="I24" i="37"/>
  <c r="I23" i="37"/>
  <c r="I22" i="37"/>
  <c r="I20" i="37"/>
  <c r="I18" i="37"/>
  <c r="I17" i="37"/>
  <c r="I16" i="37"/>
  <c r="I15" i="37"/>
  <c r="I14" i="37"/>
  <c r="I13" i="37"/>
  <c r="I12" i="37"/>
  <c r="I11" i="37"/>
  <c r="I10" i="37"/>
  <c r="I9" i="37"/>
  <c r="I8" i="37"/>
  <c r="O63" i="30" l="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O18" i="30" l="1"/>
  <c r="P18" i="30"/>
  <c r="P23" i="30"/>
  <c r="P212" i="24" l="1"/>
  <c r="P213" i="24" s="1"/>
  <c r="P214" i="24" s="1"/>
  <c r="P215" i="24" s="1"/>
  <c r="P216" i="24" s="1"/>
  <c r="P217" i="24" s="1"/>
  <c r="P218" i="24" s="1"/>
  <c r="P219" i="24" s="1"/>
  <c r="P220" i="24" s="1"/>
  <c r="P221" i="24" s="1"/>
  <c r="P222" i="24" s="1"/>
  <c r="P211" i="24"/>
  <c r="N211" i="24"/>
  <c r="L211" i="24"/>
  <c r="L212" i="24" s="1"/>
  <c r="L213" i="24" s="1"/>
  <c r="L214" i="24" s="1"/>
  <c r="L215" i="24" s="1"/>
  <c r="L216" i="24" s="1"/>
  <c r="L217" i="24" s="1"/>
  <c r="L218" i="24" s="1"/>
  <c r="L219" i="24" s="1"/>
  <c r="L220" i="24" s="1"/>
  <c r="L221" i="24" s="1"/>
  <c r="L222" i="24" s="1"/>
  <c r="J211" i="24"/>
  <c r="H211" i="24"/>
  <c r="H212" i="24" s="1"/>
  <c r="H213" i="24" s="1"/>
  <c r="H214" i="24" s="1"/>
  <c r="H215" i="24" s="1"/>
  <c r="H216" i="24" s="1"/>
  <c r="H217" i="24" s="1"/>
  <c r="H218" i="24" s="1"/>
  <c r="H219" i="24" s="1"/>
  <c r="H220" i="24" s="1"/>
  <c r="H221" i="24" s="1"/>
  <c r="H222" i="24" s="1"/>
  <c r="F211" i="24"/>
  <c r="F164" i="24" s="1"/>
  <c r="P199" i="24"/>
  <c r="N199" i="24"/>
  <c r="L199" i="24"/>
  <c r="J199" i="24"/>
  <c r="H199" i="24"/>
  <c r="F199" i="24"/>
  <c r="P164" i="24"/>
  <c r="N164" i="24"/>
  <c r="P141" i="24"/>
  <c r="P142" i="24" s="1"/>
  <c r="P143" i="24" s="1"/>
  <c r="P144" i="24" s="1"/>
  <c r="P145" i="24" s="1"/>
  <c r="P146" i="24" s="1"/>
  <c r="P147" i="24" s="1"/>
  <c r="P148" i="24" s="1"/>
  <c r="P149" i="24" s="1"/>
  <c r="P150" i="24" s="1"/>
  <c r="P151" i="24" s="1"/>
  <c r="P140" i="24"/>
  <c r="N140" i="24"/>
  <c r="L140" i="24"/>
  <c r="L141" i="24" s="1"/>
  <c r="L142" i="24" s="1"/>
  <c r="L143" i="24" s="1"/>
  <c r="L144" i="24" s="1"/>
  <c r="L145" i="24" s="1"/>
  <c r="L146" i="24" s="1"/>
  <c r="L147" i="24" s="1"/>
  <c r="L148" i="24" s="1"/>
  <c r="L149" i="24" s="1"/>
  <c r="L150" i="24" s="1"/>
  <c r="L151" i="24" s="1"/>
  <c r="J140" i="24"/>
  <c r="H140" i="24"/>
  <c r="H141" i="24" s="1"/>
  <c r="H142" i="24" s="1"/>
  <c r="H143" i="24" s="1"/>
  <c r="H144" i="24" s="1"/>
  <c r="H145" i="24" s="1"/>
  <c r="H146" i="24" s="1"/>
  <c r="H147" i="24" s="1"/>
  <c r="H148" i="24" s="1"/>
  <c r="H149" i="24" s="1"/>
  <c r="H150" i="24" s="1"/>
  <c r="H151" i="24" s="1"/>
  <c r="F140" i="24"/>
  <c r="P129" i="24"/>
  <c r="N129" i="24"/>
  <c r="L129" i="24"/>
  <c r="J129" i="24"/>
  <c r="H129" i="24"/>
  <c r="F129" i="24"/>
  <c r="F65" i="24"/>
  <c r="H55" i="24"/>
  <c r="H45" i="24"/>
  <c r="F71" i="24" l="1"/>
  <c r="F66" i="24"/>
  <c r="F67" i="24"/>
  <c r="F68" i="24"/>
  <c r="P165" i="24"/>
  <c r="P166" i="24" s="1"/>
  <c r="P167" i="24" s="1"/>
  <c r="P168" i="24" s="1"/>
  <c r="P169" i="24" s="1"/>
  <c r="P170" i="24" s="1"/>
  <c r="P171" i="24" s="1"/>
  <c r="P172" i="24" s="1"/>
  <c r="P173" i="24" s="1"/>
  <c r="P174" i="24" s="1"/>
  <c r="P175" i="24" s="1"/>
  <c r="P176" i="24" s="1"/>
  <c r="H164" i="24"/>
  <c r="J223" i="24"/>
  <c r="J141" i="24"/>
  <c r="J142" i="24" s="1"/>
  <c r="J143" i="24" s="1"/>
  <c r="J144" i="24" s="1"/>
  <c r="J145" i="24" s="1"/>
  <c r="J146" i="24" s="1"/>
  <c r="J147" i="24" s="1"/>
  <c r="J148" i="24" s="1"/>
  <c r="J149" i="24" s="1"/>
  <c r="J150" i="24" s="1"/>
  <c r="J151" i="24" s="1"/>
  <c r="J164" i="24"/>
  <c r="J212" i="24"/>
  <c r="J213" i="24" s="1"/>
  <c r="J214" i="24" s="1"/>
  <c r="J215" i="24" s="1"/>
  <c r="J216" i="24" s="1"/>
  <c r="J217" i="24" s="1"/>
  <c r="J218" i="24" s="1"/>
  <c r="J219" i="24" s="1"/>
  <c r="J220" i="24" s="1"/>
  <c r="J221" i="24" s="1"/>
  <c r="J222" i="24" s="1"/>
  <c r="J77" i="24"/>
  <c r="H152" i="24"/>
  <c r="P152" i="24"/>
  <c r="H223" i="24"/>
  <c r="P223" i="24"/>
  <c r="H24" i="24"/>
  <c r="F152" i="24"/>
  <c r="N152" i="24"/>
  <c r="N223" i="24"/>
  <c r="F141" i="24"/>
  <c r="F142" i="24" s="1"/>
  <c r="F143" i="24" s="1"/>
  <c r="F144" i="24" s="1"/>
  <c r="F145" i="24" s="1"/>
  <c r="F146" i="24" s="1"/>
  <c r="F147" i="24" s="1"/>
  <c r="F148" i="24" s="1"/>
  <c r="F149" i="24" s="1"/>
  <c r="F150" i="24" s="1"/>
  <c r="F151" i="24" s="1"/>
  <c r="N141" i="24"/>
  <c r="N142" i="24" s="1"/>
  <c r="N143" i="24" s="1"/>
  <c r="N144" i="24" s="1"/>
  <c r="N145" i="24" s="1"/>
  <c r="N146" i="24" s="1"/>
  <c r="N147" i="24" s="1"/>
  <c r="N148" i="24" s="1"/>
  <c r="N149" i="24" s="1"/>
  <c r="N150" i="24" s="1"/>
  <c r="N151" i="24" s="1"/>
  <c r="H165" i="24"/>
  <c r="H166" i="24" s="1"/>
  <c r="H167" i="24" s="1"/>
  <c r="H168" i="24" s="1"/>
  <c r="H169" i="24" s="1"/>
  <c r="H170" i="24" s="1"/>
  <c r="H171" i="24" s="1"/>
  <c r="H172" i="24" s="1"/>
  <c r="H173" i="24" s="1"/>
  <c r="H174" i="24" s="1"/>
  <c r="H175" i="24" s="1"/>
  <c r="H176" i="24" s="1"/>
  <c r="F212" i="24"/>
  <c r="F213" i="24" s="1"/>
  <c r="F214" i="24" s="1"/>
  <c r="F215" i="24" s="1"/>
  <c r="F216" i="24" s="1"/>
  <c r="F217" i="24" s="1"/>
  <c r="F218" i="24" s="1"/>
  <c r="F219" i="24" s="1"/>
  <c r="F220" i="24" s="1"/>
  <c r="F221" i="24" s="1"/>
  <c r="F222" i="24" s="1"/>
  <c r="N212" i="24"/>
  <c r="N213" i="24" s="1"/>
  <c r="N214" i="24" s="1"/>
  <c r="N215" i="24" s="1"/>
  <c r="N216" i="24" s="1"/>
  <c r="N217" i="24" s="1"/>
  <c r="N218" i="24" s="1"/>
  <c r="N219" i="24" s="1"/>
  <c r="N220" i="24" s="1"/>
  <c r="N221" i="24" s="1"/>
  <c r="N222" i="24" s="1"/>
  <c r="L152" i="24"/>
  <c r="L223" i="24"/>
  <c r="L164" i="24"/>
  <c r="L165" i="24" s="1"/>
  <c r="L166" i="24" s="1"/>
  <c r="L167" i="24" s="1"/>
  <c r="L168" i="24" s="1"/>
  <c r="L169" i="24" s="1"/>
  <c r="L170" i="24" s="1"/>
  <c r="L171" i="24" s="1"/>
  <c r="L172" i="24" s="1"/>
  <c r="L173" i="24" s="1"/>
  <c r="L174" i="24" s="1"/>
  <c r="L175" i="24" s="1"/>
  <c r="L176" i="24" s="1"/>
  <c r="J165" i="24" l="1"/>
  <c r="J166" i="24" s="1"/>
  <c r="J167" i="24" s="1"/>
  <c r="J168" i="24" s="1"/>
  <c r="J169" i="24" s="1"/>
  <c r="J170" i="24" s="1"/>
  <c r="J171" i="24" s="1"/>
  <c r="J172" i="24" s="1"/>
  <c r="J173" i="24" s="1"/>
  <c r="J174" i="24" s="1"/>
  <c r="J175" i="24" s="1"/>
  <c r="J176" i="24" s="1"/>
  <c r="J152" i="24"/>
  <c r="N165" i="24"/>
  <c r="N166" i="24" s="1"/>
  <c r="N167" i="24" s="1"/>
  <c r="N168" i="24" s="1"/>
  <c r="N169" i="24" s="1"/>
  <c r="N170" i="24" s="1"/>
  <c r="N171" i="24" s="1"/>
  <c r="N172" i="24" s="1"/>
  <c r="N173" i="24" s="1"/>
  <c r="N174" i="24" s="1"/>
  <c r="N175" i="24" s="1"/>
  <c r="N176" i="24" s="1"/>
  <c r="Q164" i="24"/>
  <c r="F165" i="24"/>
  <c r="F223" i="24"/>
  <c r="F166" i="24" l="1"/>
  <c r="Q165" i="24"/>
  <c r="F167" i="24" l="1"/>
  <c r="Q166" i="24"/>
  <c r="Q167" i="24" l="1"/>
  <c r="F168" i="24"/>
  <c r="F169" i="24" l="1"/>
  <c r="Q168" i="24"/>
  <c r="F170" i="24" l="1"/>
  <c r="Q169" i="24"/>
  <c r="F171" i="24" l="1"/>
  <c r="Q170" i="24"/>
  <c r="Q171" i="24" l="1"/>
  <c r="F172" i="24"/>
  <c r="F173" i="24" l="1"/>
  <c r="Q172" i="24"/>
  <c r="F174" i="24" l="1"/>
  <c r="Q173" i="24"/>
  <c r="F175" i="24" l="1"/>
  <c r="Q174" i="24"/>
  <c r="Q175" i="24" l="1"/>
  <c r="Q176" i="24" s="1"/>
  <c r="Q180" i="24" s="1"/>
  <c r="F176" i="24"/>
  <c r="D36" i="12" l="1"/>
  <c r="D80" i="35" l="1"/>
  <c r="D81" i="35" s="1"/>
  <c r="C80" i="35" l="1"/>
  <c r="E80" i="35"/>
  <c r="F80" i="35" s="1"/>
  <c r="C81" i="35"/>
  <c r="E81" i="35"/>
  <c r="F81" i="35"/>
  <c r="G89" i="35" l="1"/>
  <c r="I31" i="35"/>
  <c r="I29" i="35"/>
  <c r="I28" i="35"/>
  <c r="I27" i="35"/>
  <c r="I26" i="35"/>
  <c r="I25" i="35"/>
  <c r="I24" i="35"/>
  <c r="I23" i="35"/>
  <c r="I22" i="35"/>
  <c r="I21" i="35"/>
  <c r="I20" i="35"/>
  <c r="I19" i="35"/>
  <c r="I18" i="35"/>
  <c r="I17" i="35"/>
  <c r="I16" i="35"/>
  <c r="I15" i="35"/>
  <c r="I14" i="35"/>
  <c r="I13" i="35"/>
  <c r="I12" i="35"/>
  <c r="I11" i="35"/>
  <c r="I10" i="35"/>
  <c r="I9" i="35"/>
  <c r="I8" i="35"/>
  <c r="I7" i="35"/>
  <c r="I6" i="35"/>
  <c r="I5" i="35"/>
  <c r="I4" i="35"/>
  <c r="G60" i="3"/>
  <c r="I33" i="35" l="1"/>
  <c r="G81" i="35"/>
  <c r="H80" i="27" s="1"/>
  <c r="G80" i="35"/>
  <c r="H79" i="27" s="1"/>
  <c r="E64" i="35"/>
  <c r="E69" i="35" s="1"/>
  <c r="E58" i="35"/>
  <c r="E68" i="35" s="1"/>
  <c r="E39" i="35"/>
  <c r="H33" i="35"/>
  <c r="E33" i="35"/>
  <c r="E67" i="35" s="1"/>
  <c r="E70" i="35" l="1"/>
  <c r="G82" i="35"/>
  <c r="E75" i="35" l="1"/>
  <c r="F75" i="35" s="1"/>
  <c r="G75" i="35" s="1"/>
  <c r="I80" i="27" s="1"/>
  <c r="M80" i="27" s="1"/>
  <c r="E74" i="35"/>
  <c r="F74" i="35" s="1"/>
  <c r="G74" i="35" s="1"/>
  <c r="I79" i="27" s="1"/>
  <c r="M79" i="27" s="1"/>
  <c r="G76" i="35" l="1"/>
  <c r="K82" i="27" l="1"/>
  <c r="K44" i="27" l="1"/>
  <c r="K24" i="27"/>
  <c r="K57" i="27"/>
  <c r="K49" i="27"/>
  <c r="K30" i="27"/>
  <c r="K77" i="27" s="1"/>
  <c r="K88" i="27" s="1"/>
  <c r="K89" i="27" l="1"/>
  <c r="L162" i="2"/>
  <c r="L145" i="2"/>
  <c r="L128" i="2"/>
  <c r="L70" i="2"/>
  <c r="L53" i="2"/>
  <c r="L36" i="2"/>
  <c r="H98" i="2"/>
  <c r="H115" i="2" s="1"/>
  <c r="H132" i="2" s="1"/>
  <c r="H149" i="2" s="1"/>
  <c r="H166" i="2" s="1"/>
  <c r="H23" i="2"/>
  <c r="H40" i="2" s="1"/>
  <c r="H57" i="2" s="1"/>
  <c r="H74" i="2" s="1"/>
  <c r="K90" i="27" l="1"/>
  <c r="L68" i="24" l="1"/>
  <c r="L66" i="24"/>
  <c r="L135" i="1"/>
  <c r="L67" i="24"/>
  <c r="H77" i="24" l="1"/>
  <c r="L65" i="24"/>
  <c r="E96" i="10" l="1"/>
  <c r="E87" i="10"/>
  <c r="E71" i="10"/>
  <c r="E62" i="10"/>
  <c r="H235" i="1"/>
  <c r="J90" i="27"/>
  <c r="H90" i="27"/>
  <c r="L82" i="27"/>
  <c r="J82" i="27"/>
  <c r="I82" i="27"/>
  <c r="H82" i="27"/>
  <c r="D25" i="12"/>
  <c r="D38" i="12" s="1"/>
  <c r="D131" i="12"/>
  <c r="E98" i="10" l="1"/>
  <c r="D64" i="12"/>
  <c r="D66" i="12" s="1"/>
  <c r="H114" i="1" s="1"/>
  <c r="E73" i="10"/>
  <c r="H20" i="2" l="1"/>
  <c r="F48" i="30"/>
  <c r="G48" i="30"/>
  <c r="F49" i="30" l="1"/>
  <c r="D118" i="12" l="1"/>
  <c r="D125" i="12" s="1"/>
  <c r="H111" i="1" l="1"/>
  <c r="E19" i="15"/>
  <c r="K51" i="27" l="1"/>
  <c r="E14" i="3"/>
  <c r="L161" i="2" l="1"/>
  <c r="L144" i="2"/>
  <c r="L127" i="2"/>
  <c r="L69" i="2"/>
  <c r="L52" i="2"/>
  <c r="L35" i="2"/>
  <c r="L160" i="2" l="1"/>
  <c r="L143" i="2"/>
  <c r="L126" i="2"/>
  <c r="L68" i="2"/>
  <c r="L51" i="2"/>
  <c r="L34" i="2"/>
  <c r="L159" i="2" l="1"/>
  <c r="L142" i="2"/>
  <c r="L125" i="2"/>
  <c r="L67" i="2"/>
  <c r="L50" i="2"/>
  <c r="L33" i="2"/>
  <c r="D48" i="3" l="1"/>
  <c r="L158" i="2"/>
  <c r="L141" i="2"/>
  <c r="L124" i="2"/>
  <c r="L66" i="2"/>
  <c r="L49" i="2"/>
  <c r="L32" i="2"/>
  <c r="L157" i="2" l="1"/>
  <c r="L140" i="2"/>
  <c r="L123" i="2"/>
  <c r="L65" i="2"/>
  <c r="L48" i="2"/>
  <c r="L31" i="2"/>
  <c r="L156" i="2" l="1"/>
  <c r="L139" i="2"/>
  <c r="L122" i="2"/>
  <c r="L64" i="2"/>
  <c r="L47" i="2"/>
  <c r="L30" i="2"/>
  <c r="L155" i="2" l="1"/>
  <c r="L138" i="2"/>
  <c r="L121" i="2"/>
  <c r="L63" i="2"/>
  <c r="L46" i="2"/>
  <c r="L29" i="2"/>
  <c r="L154" i="2" l="1"/>
  <c r="L137" i="2"/>
  <c r="L120" i="2"/>
  <c r="L62" i="2"/>
  <c r="L45" i="2"/>
  <c r="L28" i="2"/>
  <c r="L153" i="2" l="1"/>
  <c r="L136" i="2"/>
  <c r="L119" i="2"/>
  <c r="L61" i="2"/>
  <c r="L44" i="2"/>
  <c r="L27" i="2"/>
  <c r="L152" i="2" l="1"/>
  <c r="L135" i="2"/>
  <c r="L118" i="2"/>
  <c r="L60" i="2"/>
  <c r="L43" i="2"/>
  <c r="L26" i="2"/>
  <c r="L151" i="2" l="1"/>
  <c r="L134" i="2"/>
  <c r="L117" i="2"/>
  <c r="L59" i="2"/>
  <c r="L42" i="2"/>
  <c r="L25" i="2"/>
  <c r="O80" i="30" l="1"/>
  <c r="E94" i="29" s="1"/>
  <c r="O81" i="30" l="1"/>
  <c r="D40" i="12" l="1"/>
  <c r="H112" i="2" l="1"/>
  <c r="H115" i="1"/>
  <c r="D129" i="12"/>
  <c r="E48" i="3" l="1"/>
  <c r="F47" i="3"/>
  <c r="F48" i="3" l="1"/>
  <c r="H47" i="3"/>
  <c r="H48" i="3" s="1"/>
  <c r="D22" i="33"/>
  <c r="H142" i="1" l="1"/>
  <c r="D50" i="15" l="1"/>
  <c r="D40" i="15"/>
  <c r="E17" i="15"/>
  <c r="E20" i="15" l="1"/>
  <c r="E16" i="15"/>
  <c r="E12" i="15"/>
  <c r="D30" i="15"/>
  <c r="E23" i="15"/>
  <c r="E22" i="15"/>
  <c r="E15" i="15"/>
  <c r="E11" i="15"/>
  <c r="E24" i="15"/>
  <c r="E18" i="15"/>
  <c r="E14" i="15"/>
  <c r="E28" i="3"/>
  <c r="E18" i="3"/>
  <c r="E22" i="3" s="1"/>
  <c r="E50" i="3"/>
  <c r="D50" i="3"/>
  <c r="E30" i="3"/>
  <c r="D30" i="3"/>
  <c r="E24" i="3"/>
  <c r="D24" i="3"/>
  <c r="E38" i="3" l="1"/>
  <c r="E58" i="3"/>
  <c r="P28" i="32" l="1"/>
  <c r="F14" i="25"/>
  <c r="F15" i="25"/>
  <c r="F16" i="25"/>
  <c r="F17" i="25"/>
  <c r="F18" i="25"/>
  <c r="F13" i="25"/>
  <c r="D11" i="17" l="1"/>
  <c r="D10" i="17" s="1"/>
  <c r="C64" i="32" l="1"/>
  <c r="C58" i="32"/>
  <c r="C49" i="32"/>
  <c r="C51" i="32" s="1"/>
  <c r="E95" i="29" l="1"/>
  <c r="H224" i="1" l="1"/>
  <c r="D12" i="33"/>
  <c r="H239" i="1"/>
  <c r="C38" i="30" l="1"/>
  <c r="D38" i="30"/>
  <c r="E38" i="30"/>
  <c r="F38" i="30"/>
  <c r="G38" i="30"/>
  <c r="H38" i="30"/>
  <c r="I38" i="30"/>
  <c r="J38" i="30"/>
  <c r="K38" i="30"/>
  <c r="L38" i="30"/>
  <c r="M38" i="30"/>
  <c r="N38" i="30"/>
  <c r="E102" i="29"/>
  <c r="C37" i="30"/>
  <c r="D37" i="30"/>
  <c r="E37" i="30"/>
  <c r="F37" i="30"/>
  <c r="G37" i="30"/>
  <c r="H37" i="30"/>
  <c r="I37" i="30"/>
  <c r="J37" i="30"/>
  <c r="K37" i="30"/>
  <c r="L37" i="30"/>
  <c r="M37" i="30"/>
  <c r="N37" i="30"/>
  <c r="O38" i="30" l="1"/>
  <c r="P38" i="30"/>
  <c r="O37" i="30"/>
  <c r="P37" i="30"/>
  <c r="O8" i="21"/>
  <c r="O17" i="21" l="1"/>
  <c r="O16" i="21"/>
  <c r="H40" i="1"/>
  <c r="O22" i="32"/>
  <c r="N22" i="32"/>
  <c r="M22" i="32"/>
  <c r="L22" i="32"/>
  <c r="K22" i="32"/>
  <c r="J22" i="32"/>
  <c r="I22" i="32"/>
  <c r="H22" i="32"/>
  <c r="G22" i="32"/>
  <c r="F22" i="32"/>
  <c r="E22" i="32"/>
  <c r="D22" i="32"/>
  <c r="C22" i="32"/>
  <c r="O16" i="32"/>
  <c r="N16" i="32"/>
  <c r="M16" i="32"/>
  <c r="L16" i="32"/>
  <c r="K16" i="32"/>
  <c r="J16" i="32"/>
  <c r="I16" i="32"/>
  <c r="H16" i="32"/>
  <c r="G16" i="32"/>
  <c r="F16" i="32"/>
  <c r="E16" i="32"/>
  <c r="D16" i="32"/>
  <c r="C16" i="32"/>
  <c r="P16" i="32" l="1"/>
  <c r="P22" i="32"/>
  <c r="P32" i="32"/>
  <c r="B7" i="29"/>
  <c r="B8" i="29" s="1"/>
  <c r="B9" i="29" s="1"/>
  <c r="B10" i="29" s="1"/>
  <c r="B11" i="29" s="1"/>
  <c r="O79" i="30"/>
  <c r="E100" i="29" s="1"/>
  <c r="O78" i="30"/>
  <c r="E99" i="29" s="1"/>
  <c r="O77" i="30"/>
  <c r="E98" i="29" s="1"/>
  <c r="O76" i="30"/>
  <c r="E97" i="29" s="1"/>
  <c r="O75" i="30"/>
  <c r="E96" i="29" s="1"/>
  <c r="P71" i="30"/>
  <c r="P44" i="30"/>
  <c r="N36" i="30"/>
  <c r="M36" i="30"/>
  <c r="L36" i="30"/>
  <c r="K36" i="30"/>
  <c r="J36" i="30"/>
  <c r="I36" i="30"/>
  <c r="H36" i="30"/>
  <c r="G36" i="30"/>
  <c r="F36" i="30"/>
  <c r="E36" i="30"/>
  <c r="D36" i="30"/>
  <c r="C36" i="30"/>
  <c r="N35" i="30"/>
  <c r="M35" i="30"/>
  <c r="L35" i="30"/>
  <c r="K35" i="30"/>
  <c r="J35" i="30"/>
  <c r="I35" i="30"/>
  <c r="H35" i="30"/>
  <c r="G35" i="30"/>
  <c r="F35" i="30"/>
  <c r="E35" i="30"/>
  <c r="D35" i="30"/>
  <c r="C35" i="30"/>
  <c r="N34" i="30"/>
  <c r="M34" i="30"/>
  <c r="L34" i="30"/>
  <c r="K34" i="30"/>
  <c r="J34" i="30"/>
  <c r="I34" i="30"/>
  <c r="H34" i="30"/>
  <c r="G34" i="30"/>
  <c r="F34" i="30"/>
  <c r="E34" i="30"/>
  <c r="D34" i="30"/>
  <c r="C34" i="30"/>
  <c r="N33" i="30"/>
  <c r="M33" i="30"/>
  <c r="L33" i="30"/>
  <c r="K33" i="30"/>
  <c r="J33" i="30"/>
  <c r="I33" i="30"/>
  <c r="H33" i="30"/>
  <c r="G33" i="30"/>
  <c r="F33" i="30"/>
  <c r="E33" i="30"/>
  <c r="D33" i="30"/>
  <c r="C33" i="30"/>
  <c r="N32" i="30"/>
  <c r="N39" i="30" s="1"/>
  <c r="M32" i="30"/>
  <c r="L32" i="30"/>
  <c r="L39" i="30" s="1"/>
  <c r="K32" i="30"/>
  <c r="K39" i="30" s="1"/>
  <c r="J32" i="30"/>
  <c r="J39" i="30" s="1"/>
  <c r="I32" i="30"/>
  <c r="I39" i="30" s="1"/>
  <c r="H32" i="30"/>
  <c r="H39" i="30" s="1"/>
  <c r="G32" i="30"/>
  <c r="G39" i="30" s="1"/>
  <c r="F32" i="30"/>
  <c r="F39" i="30" s="1"/>
  <c r="E32" i="30"/>
  <c r="E39" i="30" s="1"/>
  <c r="D32" i="30"/>
  <c r="D39" i="30" s="1"/>
  <c r="C39" i="30"/>
  <c r="N28" i="30"/>
  <c r="L28" i="30"/>
  <c r="K28" i="30"/>
  <c r="J28" i="30"/>
  <c r="I28" i="30"/>
  <c r="H28" i="30"/>
  <c r="G28" i="30"/>
  <c r="F28" i="30"/>
  <c r="E28" i="30"/>
  <c r="D28" i="30"/>
  <c r="C28" i="30"/>
  <c r="N27" i="30"/>
  <c r="E24" i="25" s="1"/>
  <c r="M27" i="30"/>
  <c r="E23" i="25" s="1"/>
  <c r="L27" i="30"/>
  <c r="E22" i="25" s="1"/>
  <c r="K27" i="30"/>
  <c r="E21" i="25" s="1"/>
  <c r="J27" i="30"/>
  <c r="E20" i="25" s="1"/>
  <c r="I27" i="30"/>
  <c r="E19" i="25" s="1"/>
  <c r="H27" i="30"/>
  <c r="E18" i="25" s="1"/>
  <c r="G27" i="30"/>
  <c r="E17" i="25" s="1"/>
  <c r="F27" i="30"/>
  <c r="E16" i="25" s="1"/>
  <c r="E27" i="30"/>
  <c r="E15" i="25" s="1"/>
  <c r="D27" i="30"/>
  <c r="E14" i="25" s="1"/>
  <c r="C27" i="30"/>
  <c r="N26" i="30"/>
  <c r="M26" i="30"/>
  <c r="M29" i="30" s="1"/>
  <c r="L26" i="30"/>
  <c r="L29" i="30" s="1"/>
  <c r="K26" i="30"/>
  <c r="K29" i="30" s="1"/>
  <c r="J26" i="30"/>
  <c r="J29" i="30" s="1"/>
  <c r="I26" i="30"/>
  <c r="I29" i="30" s="1"/>
  <c r="H26" i="30"/>
  <c r="H29" i="30" s="1"/>
  <c r="G26" i="30"/>
  <c r="G29" i="30" s="1"/>
  <c r="F26" i="30"/>
  <c r="F29" i="30" s="1"/>
  <c r="E26" i="30"/>
  <c r="E29" i="30" s="1"/>
  <c r="D26" i="30"/>
  <c r="D29" i="30" s="1"/>
  <c r="C26" i="30"/>
  <c r="C29" i="30" s="1"/>
  <c r="N50" i="30"/>
  <c r="M50" i="30"/>
  <c r="L50" i="30"/>
  <c r="K50" i="30"/>
  <c r="J50" i="30"/>
  <c r="I50" i="30"/>
  <c r="H50" i="30"/>
  <c r="G50" i="30"/>
  <c r="F50" i="30"/>
  <c r="E50" i="30"/>
  <c r="D50" i="30"/>
  <c r="N49" i="30"/>
  <c r="M49" i="30"/>
  <c r="L49" i="30"/>
  <c r="K49" i="30"/>
  <c r="J49" i="30"/>
  <c r="I49" i="30"/>
  <c r="H49" i="30"/>
  <c r="G49" i="30"/>
  <c r="E49" i="30"/>
  <c r="D49" i="30"/>
  <c r="N48" i="30"/>
  <c r="M48" i="30"/>
  <c r="L48" i="30"/>
  <c r="K48" i="30"/>
  <c r="J48" i="30"/>
  <c r="I48" i="30"/>
  <c r="H48" i="30"/>
  <c r="E48" i="30"/>
  <c r="D48" i="30"/>
  <c r="C48" i="30"/>
  <c r="N11" i="30"/>
  <c r="E52" i="29"/>
  <c r="F50" i="29" s="1"/>
  <c r="C41" i="30" l="1"/>
  <c r="N29" i="30"/>
  <c r="C54" i="30" s="1"/>
  <c r="M39" i="30"/>
  <c r="E104" i="29"/>
  <c r="O48" i="30"/>
  <c r="P48" i="30"/>
  <c r="F51" i="29"/>
  <c r="P33" i="30"/>
  <c r="P34" i="30"/>
  <c r="P35" i="30"/>
  <c r="O28" i="30"/>
  <c r="J11" i="30"/>
  <c r="E11" i="30"/>
  <c r="I11" i="30"/>
  <c r="M11" i="30"/>
  <c r="G11" i="30"/>
  <c r="D11" i="30"/>
  <c r="H11" i="30"/>
  <c r="L11" i="30"/>
  <c r="K11" i="30"/>
  <c r="F11" i="30"/>
  <c r="O27" i="30"/>
  <c r="C5" i="25" s="1"/>
  <c r="C55" i="30"/>
  <c r="B12" i="29"/>
  <c r="B13" i="29" s="1"/>
  <c r="B14" i="29" s="1"/>
  <c r="B15" i="29" s="1"/>
  <c r="B16" i="29" s="1"/>
  <c r="B17" i="29" s="1"/>
  <c r="B18" i="29" s="1"/>
  <c r="B19" i="29" s="1"/>
  <c r="B20" i="29" s="1"/>
  <c r="B21" i="29" s="1"/>
  <c r="B22" i="29" s="1"/>
  <c r="B23" i="29" s="1"/>
  <c r="B24" i="29" s="1"/>
  <c r="P32" i="30"/>
  <c r="P36" i="30"/>
  <c r="E13" i="25"/>
  <c r="H53" i="1"/>
  <c r="G40" i="3"/>
  <c r="O29" i="30"/>
  <c r="P26" i="30"/>
  <c r="E61" i="29" s="1"/>
  <c r="P27" i="30"/>
  <c r="E54" i="29" s="1"/>
  <c r="E56" i="29" s="1"/>
  <c r="P28" i="30"/>
  <c r="E67" i="29" s="1"/>
  <c r="O32" i="30"/>
  <c r="O33" i="30"/>
  <c r="O34" i="30"/>
  <c r="O35" i="30"/>
  <c r="O36" i="30"/>
  <c r="O44" i="30"/>
  <c r="C49" i="30"/>
  <c r="O26" i="30"/>
  <c r="P29" i="30" l="1"/>
  <c r="P11" i="30"/>
  <c r="P39" i="30"/>
  <c r="O39" i="30"/>
  <c r="L41" i="30"/>
  <c r="H41" i="30"/>
  <c r="I41" i="30"/>
  <c r="D41" i="30"/>
  <c r="E41" i="30"/>
  <c r="M41" i="30"/>
  <c r="I33" i="20"/>
  <c r="F33" i="20"/>
  <c r="J41" i="30"/>
  <c r="G41" i="30"/>
  <c r="F41" i="30"/>
  <c r="F32" i="20"/>
  <c r="O11" i="30"/>
  <c r="C56" i="30"/>
  <c r="D55" i="30" s="1"/>
  <c r="F17" i="29" s="1"/>
  <c r="K41" i="30"/>
  <c r="E57" i="29"/>
  <c r="E62" i="29" s="1"/>
  <c r="E63" i="29" s="1"/>
  <c r="N41" i="30"/>
  <c r="P49" i="30"/>
  <c r="O49" i="30"/>
  <c r="P50" i="30"/>
  <c r="O50" i="30"/>
  <c r="F35" i="20" l="1"/>
  <c r="G34" i="20" s="1"/>
  <c r="I35" i="20"/>
  <c r="J34" i="20" s="1"/>
  <c r="O41" i="30"/>
  <c r="D53" i="30"/>
  <c r="D54" i="30"/>
  <c r="F16" i="29" s="1"/>
  <c r="P41" i="30"/>
  <c r="Q29" i="30" s="1"/>
  <c r="B25" i="29"/>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B89" i="29" s="1"/>
  <c r="B90" i="29" s="1"/>
  <c r="B91" i="29" s="1"/>
  <c r="B92" i="29" s="1"/>
  <c r="B93" i="29" s="1"/>
  <c r="B94" i="29" s="1"/>
  <c r="B95" i="29" s="1"/>
  <c r="B96" i="29" s="1"/>
  <c r="B97" i="29" s="1"/>
  <c r="B98" i="29" s="1"/>
  <c r="B99" i="29" s="1"/>
  <c r="B100" i="29" s="1"/>
  <c r="B101" i="29" s="1"/>
  <c r="B102" i="29" s="1"/>
  <c r="B103" i="29" s="1"/>
  <c r="B104" i="29" s="1"/>
  <c r="B105" i="29" s="1"/>
  <c r="B106" i="29" s="1"/>
  <c r="B107" i="29" s="1"/>
  <c r="B108" i="29" s="1"/>
  <c r="B109" i="29" s="1"/>
  <c r="B110" i="29" s="1"/>
  <c r="B111" i="29" s="1"/>
  <c r="F10" i="29" l="1"/>
  <c r="Q11" i="30"/>
  <c r="F8" i="29" s="1"/>
  <c r="J31" i="20"/>
  <c r="G32" i="20"/>
  <c r="J33" i="20"/>
  <c r="J32" i="20"/>
  <c r="J35" i="20"/>
  <c r="D56" i="30"/>
  <c r="G31" i="20"/>
  <c r="G35" i="20"/>
  <c r="G33" i="20"/>
  <c r="F15" i="29"/>
  <c r="F18" i="29" s="1"/>
  <c r="Q23" i="30"/>
  <c r="F30" i="29" s="1"/>
  <c r="Q39" i="30"/>
  <c r="F11" i="29" s="1"/>
  <c r="F31" i="29" l="1"/>
  <c r="F29" i="29"/>
  <c r="F9" i="29"/>
  <c r="Q41" i="30"/>
  <c r="F32" i="29"/>
  <c r="F33" i="29" l="1"/>
  <c r="L51" i="27"/>
  <c r="I51" i="27"/>
  <c r="J98" i="2"/>
  <c r="J115" i="2" s="1"/>
  <c r="J132" i="2" s="1"/>
  <c r="J149" i="2" s="1"/>
  <c r="J166" i="2" s="1"/>
  <c r="J23" i="2"/>
  <c r="J40" i="2" s="1"/>
  <c r="J57" i="2" s="1"/>
  <c r="J74" i="2" s="1"/>
  <c r="L57" i="27"/>
  <c r="J57" i="27"/>
  <c r="I57" i="27"/>
  <c r="L49" i="27"/>
  <c r="J49" i="27"/>
  <c r="I49" i="27"/>
  <c r="H49" i="27"/>
  <c r="H57" i="27"/>
  <c r="L30" i="27"/>
  <c r="L77" i="27" s="1"/>
  <c r="L88" i="27" s="1"/>
  <c r="J30" i="27"/>
  <c r="J77" i="27" s="1"/>
  <c r="J88" i="27" s="1"/>
  <c r="I30" i="27"/>
  <c r="I77" i="27" s="1"/>
  <c r="I88" i="27" s="1"/>
  <c r="H30" i="27"/>
  <c r="H77" i="27" s="1"/>
  <c r="H88" i="27" s="1"/>
  <c r="G57" i="27"/>
  <c r="F57" i="27"/>
  <c r="G30" i="27"/>
  <c r="F30" i="27"/>
  <c r="L24" i="27"/>
  <c r="J24" i="27"/>
  <c r="I24" i="27"/>
  <c r="C25" i="25"/>
  <c r="E25" i="25"/>
  <c r="L12" i="24" l="1"/>
  <c r="F49" i="27"/>
  <c r="F77" i="27"/>
  <c r="F88" i="27" s="1"/>
  <c r="G49" i="27"/>
  <c r="G77" i="27"/>
  <c r="G88" i="27" s="1"/>
  <c r="F24" i="25"/>
  <c r="F22" i="25"/>
  <c r="F20" i="25"/>
  <c r="F19" i="25"/>
  <c r="F23" i="25"/>
  <c r="F21" i="25"/>
  <c r="P12" i="24" l="1"/>
  <c r="N24" i="24"/>
  <c r="J24" i="24"/>
  <c r="L11" i="24"/>
  <c r="F25" i="25"/>
  <c r="G23" i="25" s="1"/>
  <c r="I44" i="27"/>
  <c r="L44" i="27"/>
  <c r="P11" i="24" l="1"/>
  <c r="G19" i="25"/>
  <c r="G22" i="25"/>
  <c r="G20" i="25"/>
  <c r="B7" i="25"/>
  <c r="G13" i="25"/>
  <c r="G15" i="25"/>
  <c r="G18" i="25"/>
  <c r="G17" i="25"/>
  <c r="G14" i="25"/>
  <c r="G16" i="25"/>
  <c r="G24" i="25"/>
  <c r="G21" i="25"/>
  <c r="L79" i="24"/>
  <c r="I89" i="27"/>
  <c r="I90" i="27" s="1"/>
  <c r="L89" i="27"/>
  <c r="B25" i="25"/>
  <c r="H283" i="1"/>
  <c r="H284" i="1"/>
  <c r="E44" i="14"/>
  <c r="H154" i="1" s="1"/>
  <c r="F42" i="14"/>
  <c r="F41" i="14"/>
  <c r="F40" i="14"/>
  <c r="F39" i="14"/>
  <c r="F38" i="14"/>
  <c r="F37" i="14"/>
  <c r="F43" i="14"/>
  <c r="G25" i="25" l="1"/>
  <c r="D5" i="25" s="1"/>
  <c r="L90" i="27"/>
  <c r="F44" i="14"/>
  <c r="E28" i="29"/>
  <c r="D15" i="14"/>
  <c r="E32" i="29" l="1"/>
  <c r="E30" i="29"/>
  <c r="E31" i="29"/>
  <c r="E29" i="29"/>
  <c r="D12" i="17" l="1"/>
  <c r="E33" i="29"/>
  <c r="M16" i="21" l="1"/>
  <c r="K16" i="21"/>
  <c r="J16" i="21"/>
  <c r="I16" i="21"/>
  <c r="H16" i="21"/>
  <c r="G16" i="21"/>
  <c r="F16" i="21"/>
  <c r="E16" i="21"/>
  <c r="C16" i="21"/>
  <c r="H282" i="1"/>
  <c r="D23" i="17"/>
  <c r="H281" i="1"/>
  <c r="B17" i="21" l="1"/>
  <c r="B16" i="21"/>
  <c r="H285" i="1"/>
  <c r="E17" i="20" l="1"/>
  <c r="G17" i="20" s="1"/>
  <c r="F14" i="20"/>
  <c r="G14" i="20" s="1"/>
  <c r="F15" i="20"/>
  <c r="G15" i="20" s="1"/>
  <c r="F7" i="20"/>
  <c r="G7" i="20" s="1"/>
  <c r="F6" i="20"/>
  <c r="E112" i="10"/>
  <c r="H243" i="1"/>
  <c r="H242" i="1"/>
  <c r="H244" i="1"/>
  <c r="E16" i="20" l="1"/>
  <c r="G16" i="20" s="1"/>
  <c r="G6" i="20"/>
  <c r="H252" i="1"/>
  <c r="H251" i="1"/>
  <c r="H245" i="1"/>
  <c r="H225" i="1"/>
  <c r="E26" i="20" l="1"/>
  <c r="E31" i="20" s="1"/>
  <c r="H249" i="1"/>
  <c r="H248" i="1"/>
  <c r="H247" i="1"/>
  <c r="E33" i="20" l="1"/>
  <c r="E34" i="20"/>
  <c r="E32" i="20"/>
  <c r="H257" i="1"/>
  <c r="H255" i="1"/>
  <c r="H256" i="1"/>
  <c r="E35" i="20" l="1"/>
  <c r="H173" i="1"/>
  <c r="H258" i="1"/>
  <c r="H168" i="1" s="1"/>
  <c r="H54" i="3"/>
  <c r="H192" i="1" l="1"/>
  <c r="E47" i="15"/>
  <c r="E35" i="15"/>
  <c r="F50" i="15"/>
  <c r="H182" i="1" s="1"/>
  <c r="H205" i="1" l="1"/>
  <c r="H193" i="1"/>
  <c r="H141" i="1" l="1"/>
  <c r="D44" i="14"/>
  <c r="D46" i="14" s="1"/>
  <c r="H143" i="1" l="1"/>
  <c r="H269" i="1"/>
  <c r="H123" i="1" l="1"/>
  <c r="D84" i="12"/>
  <c r="D103" i="12" s="1"/>
  <c r="H118" i="1"/>
  <c r="E60" i="11"/>
  <c r="E55" i="11"/>
  <c r="E46" i="11"/>
  <c r="E41" i="11"/>
  <c r="E30" i="11"/>
  <c r="E25" i="11"/>
  <c r="E16" i="11"/>
  <c r="E11" i="11"/>
  <c r="E44" i="10"/>
  <c r="E33" i="10"/>
  <c r="E22" i="10"/>
  <c r="E12" i="10"/>
  <c r="H117" i="1" l="1"/>
  <c r="D130" i="12"/>
  <c r="E48" i="10"/>
  <c r="E48" i="11"/>
  <c r="E34" i="11"/>
  <c r="D99" i="12"/>
  <c r="E14" i="29"/>
  <c r="E20" i="29" s="1"/>
  <c r="E64" i="11"/>
  <c r="E62" i="11"/>
  <c r="E32" i="11"/>
  <c r="E18" i="11"/>
  <c r="E46" i="10"/>
  <c r="E24" i="10"/>
  <c r="D132" i="12" l="1"/>
  <c r="E16" i="29"/>
  <c r="E15" i="29"/>
  <c r="E17" i="29"/>
  <c r="G53" i="3"/>
  <c r="E18" i="29" l="1"/>
  <c r="E31" i="8"/>
  <c r="E43" i="8" s="1"/>
  <c r="E11" i="8" l="1"/>
  <c r="E45" i="8" s="1"/>
  <c r="E10" i="6"/>
  <c r="E35" i="6"/>
  <c r="E52" i="6" s="1"/>
  <c r="E28" i="6" l="1"/>
  <c r="E23" i="8"/>
  <c r="E55" i="6"/>
  <c r="H78" i="1" s="1"/>
  <c r="H15" i="1" l="1"/>
  <c r="H9" i="3" l="1"/>
  <c r="E58" i="29" l="1"/>
  <c r="F57" i="29" s="1"/>
  <c r="E66" i="29"/>
  <c r="E68" i="29" s="1"/>
  <c r="F56" i="29" l="1"/>
  <c r="E70" i="29"/>
  <c r="F63" i="29" s="1"/>
  <c r="F68" i="29" l="1"/>
  <c r="F70" i="29" l="1"/>
  <c r="J51" i="27" l="1"/>
  <c r="J44" i="27"/>
  <c r="L32" i="24" l="1"/>
  <c r="L53" i="24"/>
  <c r="L33" i="24" l="1"/>
  <c r="P33" i="24" s="1"/>
  <c r="N45" i="24"/>
  <c r="P32" i="24"/>
  <c r="P53" i="24"/>
  <c r="N55" i="24"/>
  <c r="L34" i="24" l="1"/>
  <c r="P34" i="24" s="1"/>
  <c r="L35" i="24" l="1"/>
  <c r="P35" i="24" s="1"/>
  <c r="B5" i="25"/>
  <c r="B9" i="25" s="1"/>
  <c r="D10" i="20" s="1"/>
  <c r="F10" i="20" s="1"/>
  <c r="G10" i="20" l="1"/>
  <c r="G26" i="20" s="1"/>
  <c r="F26" i="20"/>
  <c r="H34" i="20" s="1"/>
  <c r="L34" i="20" s="1"/>
  <c r="E46" i="29" s="1"/>
  <c r="H33" i="20" l="1"/>
  <c r="L33" i="20" s="1"/>
  <c r="E45" i="29" s="1"/>
  <c r="H31" i="20"/>
  <c r="H32" i="20"/>
  <c r="L32" i="20" s="1"/>
  <c r="E44" i="29" s="1"/>
  <c r="H35" i="20" l="1"/>
  <c r="L35" i="20" s="1"/>
  <c r="L31" i="20"/>
  <c r="E43" i="29" s="1"/>
  <c r="E47" i="29" s="1"/>
  <c r="F10" i="4" l="1"/>
  <c r="H11" i="1" s="1"/>
  <c r="H17" i="1" s="1"/>
  <c r="D16" i="14" l="1"/>
  <c r="E64" i="10"/>
  <c r="H51" i="1"/>
  <c r="H38" i="1"/>
  <c r="H8" i="3"/>
  <c r="H120" i="1"/>
  <c r="H144" i="1"/>
  <c r="E66" i="10" l="1"/>
  <c r="E89" i="10"/>
  <c r="E91" i="10" s="1"/>
  <c r="E56" i="14"/>
  <c r="E58" i="14" s="1"/>
  <c r="D19" i="14" s="1"/>
  <c r="D17" i="14"/>
  <c r="D21" i="14" s="1"/>
  <c r="E100" i="10" l="1"/>
  <c r="E102" i="10" s="1"/>
  <c r="L95" i="1" s="1"/>
  <c r="H152" i="1" l="1"/>
  <c r="L152" i="1" s="1"/>
  <c r="J45" i="24" l="1"/>
  <c r="L36" i="24" l="1"/>
  <c r="F69" i="24" l="1"/>
  <c r="L15" i="24"/>
  <c r="P36" i="24"/>
  <c r="L23" i="24" l="1"/>
  <c r="P23" i="24" s="1"/>
  <c r="P15" i="24"/>
  <c r="L69" i="24"/>
  <c r="F73" i="24"/>
  <c r="L73" i="24" s="1"/>
  <c r="L19" i="24"/>
  <c r="P19" i="24" s="1"/>
  <c r="L37" i="24" l="1"/>
  <c r="P37" i="24" s="1"/>
  <c r="L16" i="24"/>
  <c r="F70" i="24"/>
  <c r="F76" i="24" l="1"/>
  <c r="L76" i="24" s="1"/>
  <c r="L22" i="24"/>
  <c r="P22" i="24" s="1"/>
  <c r="P16" i="24"/>
  <c r="L18" i="24"/>
  <c r="P18" i="24" s="1"/>
  <c r="F72" i="24"/>
  <c r="L72" i="24" s="1"/>
  <c r="L70" i="24"/>
  <c r="F74" i="24"/>
  <c r="L74" i="24" s="1"/>
  <c r="L20" i="24"/>
  <c r="P20" i="24" s="1"/>
  <c r="L71" i="24"/>
  <c r="L17" i="24"/>
  <c r="P17" i="24" s="1"/>
  <c r="F75" i="24"/>
  <c r="L75" i="24" s="1"/>
  <c r="L21" i="24"/>
  <c r="P21" i="24" s="1"/>
  <c r="F24" i="24"/>
  <c r="F105" i="24" l="1"/>
  <c r="F77" i="24"/>
  <c r="L24" i="24"/>
  <c r="L77" i="24"/>
  <c r="L81" i="24" s="1"/>
  <c r="H133" i="1" s="1"/>
  <c r="P24" i="24"/>
  <c r="H61" i="1" s="1"/>
  <c r="L61" i="1" s="1"/>
  <c r="L133" i="1" l="1"/>
  <c r="F55" i="24"/>
  <c r="L38" i="24"/>
  <c r="P38" i="24" s="1"/>
  <c r="L39" i="24"/>
  <c r="P39" i="24" s="1"/>
  <c r="L40" i="24" l="1"/>
  <c r="P40" i="24" s="1"/>
  <c r="L41" i="24" l="1"/>
  <c r="P41" i="24" s="1"/>
  <c r="L42" i="24" l="1"/>
  <c r="P42" i="24" s="1"/>
  <c r="L43" i="24" l="1"/>
  <c r="P43" i="24" l="1"/>
  <c r="F45" i="24" l="1"/>
  <c r="L44" i="24"/>
  <c r="P44" i="24" l="1"/>
  <c r="P45" i="24" s="1"/>
  <c r="H62" i="1" s="1"/>
  <c r="L62" i="1" s="1"/>
  <c r="L45" i="24"/>
  <c r="J55" i="24"/>
  <c r="L54" i="24"/>
  <c r="P54" i="24" l="1"/>
  <c r="P55" i="24" s="1"/>
  <c r="H63" i="1" s="1"/>
  <c r="L55" i="24"/>
  <c r="H67" i="1" l="1"/>
  <c r="L63" i="1"/>
  <c r="E10" i="15" l="1"/>
  <c r="F30" i="15"/>
  <c r="H175" i="1" s="1"/>
  <c r="H204" i="1" l="1"/>
  <c r="M81" i="27" l="1"/>
  <c r="G82" i="27"/>
  <c r="M78" i="27" l="1"/>
  <c r="M82" i="27" s="1"/>
  <c r="F82" i="27"/>
  <c r="H107" i="1" l="1"/>
  <c r="H108" i="1" s="1"/>
  <c r="L107" i="1" l="1"/>
  <c r="L108" i="1" l="1"/>
  <c r="D133" i="12"/>
  <c r="D134" i="12" s="1"/>
  <c r="H116" i="1" s="1"/>
  <c r="L116" i="1" l="1"/>
  <c r="L119" i="1" s="1"/>
  <c r="H119" i="1"/>
  <c r="H121" i="1" s="1"/>
  <c r="L121" i="1" l="1"/>
  <c r="H51" i="27" l="1"/>
  <c r="M21" i="27"/>
  <c r="J17" i="2" s="1"/>
  <c r="L17" i="2" s="1"/>
  <c r="J85" i="2"/>
  <c r="L85" i="2" s="1"/>
  <c r="M40" i="27"/>
  <c r="J108" i="2" s="1"/>
  <c r="L108" i="2" s="1"/>
  <c r="J176" i="2"/>
  <c r="L176" i="2" s="1"/>
  <c r="J87" i="2"/>
  <c r="L87" i="2" s="1"/>
  <c r="M23" i="27"/>
  <c r="J19" i="2" s="1"/>
  <c r="L19" i="2" s="1"/>
  <c r="F51" i="27"/>
  <c r="M19" i="27"/>
  <c r="J15" i="2" s="1"/>
  <c r="L15" i="2" s="1"/>
  <c r="J83" i="2"/>
  <c r="L83" i="2" s="1"/>
  <c r="J79" i="2"/>
  <c r="L79" i="2" s="1"/>
  <c r="M15" i="27"/>
  <c r="J11" i="2" s="1"/>
  <c r="L11" i="2" s="1"/>
  <c r="G24" i="27"/>
  <c r="M42" i="27"/>
  <c r="J110" i="2" s="1"/>
  <c r="L110" i="2" s="1"/>
  <c r="J178" i="2"/>
  <c r="L178" i="2" s="1"/>
  <c r="M38" i="27"/>
  <c r="J106" i="2" s="1"/>
  <c r="L106" i="2" s="1"/>
  <c r="J174" i="2"/>
  <c r="L174" i="2" s="1"/>
  <c r="J170" i="2"/>
  <c r="L170" i="2" s="1"/>
  <c r="M34" i="27"/>
  <c r="J102" i="2" s="1"/>
  <c r="L102" i="2" s="1"/>
  <c r="H44" i="27"/>
  <c r="M68" i="27"/>
  <c r="M22" i="27"/>
  <c r="J18" i="2" s="1"/>
  <c r="L18" i="2" s="1"/>
  <c r="J86" i="2"/>
  <c r="L86" i="2" s="1"/>
  <c r="J82" i="2"/>
  <c r="L82" i="2" s="1"/>
  <c r="M18" i="27"/>
  <c r="J14" i="2" s="1"/>
  <c r="L14" i="2" s="1"/>
  <c r="M14" i="27"/>
  <c r="J10" i="2" s="1"/>
  <c r="L10" i="2" s="1"/>
  <c r="P14" i="24" s="1"/>
  <c r="J78" i="2"/>
  <c r="L78" i="2" s="1"/>
  <c r="G51" i="27"/>
  <c r="H24" i="27"/>
  <c r="M41" i="27"/>
  <c r="J109" i="2" s="1"/>
  <c r="L109" i="2" s="1"/>
  <c r="J177" i="2"/>
  <c r="L177" i="2" s="1"/>
  <c r="M37" i="27"/>
  <c r="J105" i="2" s="1"/>
  <c r="L105" i="2" s="1"/>
  <c r="J173" i="2"/>
  <c r="L173" i="2" s="1"/>
  <c r="M33" i="27"/>
  <c r="J101" i="2" s="1"/>
  <c r="L101" i="2" s="1"/>
  <c r="J169" i="2"/>
  <c r="L169" i="2" s="1"/>
  <c r="F71" i="27"/>
  <c r="H71" i="27"/>
  <c r="M17" i="27"/>
  <c r="J13" i="2" s="1"/>
  <c r="L13" i="2" s="1"/>
  <c r="J81" i="2"/>
  <c r="L81" i="2" s="1"/>
  <c r="M13" i="27"/>
  <c r="J9" i="2" s="1"/>
  <c r="L9" i="2" s="1"/>
  <c r="P13" i="24" s="1"/>
  <c r="J77" i="2"/>
  <c r="L77" i="2" s="1"/>
  <c r="M31" i="27"/>
  <c r="J167" i="2"/>
  <c r="F44" i="27"/>
  <c r="J172" i="2"/>
  <c r="L172" i="2" s="1"/>
  <c r="M36" i="27"/>
  <c r="J104" i="2" s="1"/>
  <c r="L104" i="2" s="1"/>
  <c r="M32" i="27"/>
  <c r="J100" i="2" s="1"/>
  <c r="L100" i="2" s="1"/>
  <c r="J168" i="2"/>
  <c r="L168" i="2" s="1"/>
  <c r="M70" i="27"/>
  <c r="G71" i="27"/>
  <c r="F24" i="27"/>
  <c r="M11" i="27"/>
  <c r="J75" i="2"/>
  <c r="J84" i="2"/>
  <c r="L84" i="2" s="1"/>
  <c r="M20" i="27"/>
  <c r="J16" i="2" s="1"/>
  <c r="L16" i="2" s="1"/>
  <c r="J80" i="2"/>
  <c r="L80" i="2" s="1"/>
  <c r="M16" i="27"/>
  <c r="J12" i="2" s="1"/>
  <c r="L12" i="2" s="1"/>
  <c r="M12" i="27"/>
  <c r="J8" i="2" s="1"/>
  <c r="L8" i="2" s="1"/>
  <c r="J76" i="2"/>
  <c r="L76" i="2" s="1"/>
  <c r="J179" i="2"/>
  <c r="L179" i="2" s="1"/>
  <c r="M43" i="27"/>
  <c r="J111" i="2" s="1"/>
  <c r="L111" i="2" s="1"/>
  <c r="J175" i="2"/>
  <c r="L175" i="2" s="1"/>
  <c r="M39" i="27"/>
  <c r="J107" i="2" s="1"/>
  <c r="L107" i="2" s="1"/>
  <c r="J171" i="2"/>
  <c r="L171" i="2" s="1"/>
  <c r="M35" i="27"/>
  <c r="J103" i="2" s="1"/>
  <c r="L103" i="2" s="1"/>
  <c r="G44" i="27"/>
  <c r="M69" i="27"/>
  <c r="J88" i="2" l="1"/>
  <c r="G89" i="27"/>
  <c r="G90" i="27" s="1"/>
  <c r="J7" i="2"/>
  <c r="J20" i="2" s="1"/>
  <c r="M24" i="27"/>
  <c r="M51" i="27"/>
  <c r="E42" i="3" s="1"/>
  <c r="E44" i="3" s="1"/>
  <c r="E60" i="3" s="1"/>
  <c r="F89" i="27"/>
  <c r="J180" i="2"/>
  <c r="M44" i="27"/>
  <c r="J99" i="2"/>
  <c r="J112" i="2" s="1"/>
  <c r="N24" i="27" l="1"/>
  <c r="M89" i="27"/>
  <c r="M90" i="27" s="1"/>
  <c r="D31" i="14" s="1"/>
  <c r="F90" i="27"/>
  <c r="F13" i="3" l="1"/>
  <c r="H13" i="3" s="1"/>
  <c r="D14" i="3" l="1"/>
  <c r="F14" i="3" s="1"/>
  <c r="F12" i="3"/>
  <c r="J71" i="27" l="1"/>
  <c r="F56" i="3" l="1"/>
  <c r="H56" i="3" s="1"/>
  <c r="F55" i="3"/>
  <c r="F54" i="3"/>
  <c r="G54" i="3" s="1"/>
  <c r="F53" i="3"/>
  <c r="H53" i="3" s="1"/>
  <c r="F40" i="3"/>
  <c r="H40" i="3" s="1"/>
  <c r="F36" i="3"/>
  <c r="H36" i="3" s="1"/>
  <c r="F35" i="3"/>
  <c r="F34" i="3"/>
  <c r="F33" i="3"/>
  <c r="F17" i="3"/>
  <c r="H17" i="3" s="1"/>
  <c r="F11" i="3"/>
  <c r="F10" i="3"/>
  <c r="H10" i="3" s="1"/>
  <c r="F9" i="3"/>
  <c r="G9" i="3" s="1"/>
  <c r="F8" i="3"/>
  <c r="G8" i="3" s="1"/>
  <c r="K71" i="27" l="1"/>
  <c r="L71" i="27"/>
  <c r="L75" i="2"/>
  <c r="L88" i="2" s="1"/>
  <c r="F88" i="2"/>
  <c r="L99" i="2"/>
  <c r="L112" i="2" s="1"/>
  <c r="H47" i="1" s="1"/>
  <c r="H48" i="1" s="1"/>
  <c r="F112" i="2"/>
  <c r="D28" i="3"/>
  <c r="F28" i="3" s="1"/>
  <c r="F26" i="3"/>
  <c r="H26" i="3" s="1"/>
  <c r="H28" i="3" s="1"/>
  <c r="J50" i="27"/>
  <c r="J52" i="27" s="1"/>
  <c r="F50" i="27"/>
  <c r="H50" i="27"/>
  <c r="H52" i="27" s="1"/>
  <c r="I50" i="27"/>
  <c r="I52" i="27" s="1"/>
  <c r="F32" i="3"/>
  <c r="H32" i="3" s="1"/>
  <c r="G50" i="27"/>
  <c r="G52" i="27" s="1"/>
  <c r="K50" i="27"/>
  <c r="K52" i="27" s="1"/>
  <c r="D38" i="3"/>
  <c r="L50" i="27"/>
  <c r="L52" i="27" s="1"/>
  <c r="M59" i="27"/>
  <c r="I71" i="27"/>
  <c r="M60" i="27"/>
  <c r="M61" i="27"/>
  <c r="M62" i="27"/>
  <c r="M63" i="27"/>
  <c r="M64" i="27"/>
  <c r="M65" i="27"/>
  <c r="M66" i="27"/>
  <c r="M67" i="27"/>
  <c r="L41" i="2"/>
  <c r="L54" i="2" s="1"/>
  <c r="F54" i="2"/>
  <c r="L7" i="2"/>
  <c r="L20" i="2" s="1"/>
  <c r="H33" i="1" s="1"/>
  <c r="F20" i="2"/>
  <c r="F71" i="2"/>
  <c r="L58" i="2"/>
  <c r="L71" i="2" s="1"/>
  <c r="F129" i="2"/>
  <c r="L116" i="2"/>
  <c r="L129" i="2" s="1"/>
  <c r="F20" i="3"/>
  <c r="H20" i="3" s="1"/>
  <c r="F52" i="3"/>
  <c r="D58" i="3"/>
  <c r="F58" i="3" s="1"/>
  <c r="L133" i="2"/>
  <c r="L146" i="2" s="1"/>
  <c r="F146" i="2"/>
  <c r="F37" i="2"/>
  <c r="L24" i="2"/>
  <c r="L37" i="2" s="1"/>
  <c r="D18" i="3"/>
  <c r="F18" i="3" s="1"/>
  <c r="F16" i="3"/>
  <c r="F93" i="2" l="1"/>
  <c r="L33" i="1"/>
  <c r="H34" i="1"/>
  <c r="M71" i="27"/>
  <c r="H136" i="1" s="1"/>
  <c r="L150" i="2"/>
  <c r="L163" i="2" s="1"/>
  <c r="L185" i="2" s="1"/>
  <c r="H50" i="1" s="1"/>
  <c r="H52" i="1" s="1"/>
  <c r="H54" i="1" s="1"/>
  <c r="H56" i="1" s="1"/>
  <c r="F163" i="2"/>
  <c r="F185" i="2" s="1"/>
  <c r="F180" i="2"/>
  <c r="L167" i="2"/>
  <c r="L180" i="2" s="1"/>
  <c r="D22" i="3"/>
  <c r="F22" i="3" s="1"/>
  <c r="L47" i="1"/>
  <c r="L48" i="1"/>
  <c r="L93" i="2"/>
  <c r="H37" i="1" s="1"/>
  <c r="H39" i="1" s="1"/>
  <c r="H41" i="1" s="1"/>
  <c r="F38" i="3"/>
  <c r="F91" i="2"/>
  <c r="M50" i="27"/>
  <c r="F52" i="27"/>
  <c r="L91" i="2"/>
  <c r="H20" i="1" s="1"/>
  <c r="L50" i="1" l="1"/>
  <c r="D42" i="3"/>
  <c r="M52" i="27"/>
  <c r="L37" i="1"/>
  <c r="L183" i="2"/>
  <c r="H21" i="1" s="1"/>
  <c r="L21" i="1" s="1"/>
  <c r="H137" i="1"/>
  <c r="H147" i="1" s="1"/>
  <c r="L136" i="1"/>
  <c r="L137" i="1" s="1"/>
  <c r="F183" i="2"/>
  <c r="L34" i="1"/>
  <c r="L20" i="1"/>
  <c r="H22" i="1" l="1"/>
  <c r="L22" i="1" s="1"/>
  <c r="L147" i="1"/>
  <c r="H267" i="1"/>
  <c r="L267" i="1" s="1"/>
  <c r="F42" i="3"/>
  <c r="D44" i="3"/>
  <c r="D60" i="3" s="1"/>
  <c r="L39" i="1"/>
  <c r="L56" i="1"/>
  <c r="L52" i="1"/>
  <c r="H42" i="3" l="1"/>
  <c r="F44" i="3"/>
  <c r="F60" i="3" s="1"/>
  <c r="L41" i="1"/>
  <c r="H43" i="1"/>
  <c r="H58" i="1" s="1"/>
  <c r="L43" i="1" l="1"/>
  <c r="H24" i="1"/>
  <c r="L24" i="1" l="1"/>
  <c r="H25" i="1"/>
  <c r="H27" i="1"/>
  <c r="H28" i="1" s="1"/>
  <c r="H69" i="1"/>
  <c r="L69" i="1" s="1"/>
  <c r="L58" i="1"/>
  <c r="L27" i="1" l="1"/>
  <c r="L25" i="1"/>
  <c r="D24" i="14"/>
  <c r="D25" i="14" l="1"/>
  <c r="F57" i="14"/>
  <c r="F58" i="14" s="1"/>
  <c r="H124" i="1"/>
  <c r="E37" i="15"/>
  <c r="F37" i="15" s="1"/>
  <c r="F40" i="15" s="1"/>
  <c r="H181" i="1" s="1"/>
  <c r="L28" i="1"/>
  <c r="G34" i="3"/>
  <c r="H34" i="3" s="1"/>
  <c r="G33" i="3"/>
  <c r="H33" i="3" s="1"/>
  <c r="G11" i="3"/>
  <c r="H11" i="3" s="1"/>
  <c r="G12" i="3"/>
  <c r="H12" i="3" s="1"/>
  <c r="G52" i="3"/>
  <c r="H52" i="3" s="1"/>
  <c r="H58" i="3" s="1"/>
  <c r="G16" i="3"/>
  <c r="H16" i="3" s="1"/>
  <c r="G35" i="3"/>
  <c r="H35" i="3" s="1"/>
  <c r="H22" i="3" l="1"/>
  <c r="H191" i="1"/>
  <c r="L181" i="1"/>
  <c r="H183" i="1"/>
  <c r="L183" i="1" s="1"/>
  <c r="L124" i="1"/>
  <c r="H125" i="1"/>
  <c r="D27" i="14"/>
  <c r="D29" i="14" s="1"/>
  <c r="D33" i="14" s="1"/>
  <c r="H153" i="1" s="1"/>
  <c r="D58" i="14"/>
  <c r="H38" i="3"/>
  <c r="H44" i="3" s="1"/>
  <c r="H60" i="3" s="1"/>
  <c r="H62" i="3" s="1"/>
  <c r="H74" i="1" s="1"/>
  <c r="H97" i="1" s="1"/>
  <c r="H99" i="1" s="1"/>
  <c r="L99" i="1" s="1"/>
  <c r="L74" i="1" l="1"/>
  <c r="H127" i="1"/>
  <c r="L127" i="1" s="1"/>
  <c r="L125" i="1"/>
  <c r="L191" i="1"/>
  <c r="H194" i="1"/>
  <c r="L194" i="1" s="1"/>
  <c r="H156" i="1"/>
  <c r="L153" i="1"/>
  <c r="L97" i="1" l="1"/>
  <c r="H268" i="1"/>
  <c r="L268" i="1" s="1"/>
  <c r="L156" i="1"/>
  <c r="H266" i="1"/>
  <c r="H167" i="1" l="1"/>
  <c r="H264" i="1"/>
  <c r="L264" i="1" s="1"/>
  <c r="H260" i="1"/>
  <c r="L266" i="1"/>
  <c r="H172" i="1" l="1"/>
  <c r="H169" i="1"/>
  <c r="L167" i="1"/>
  <c r="H271" i="1"/>
  <c r="L271" i="1" s="1"/>
  <c r="L260" i="1"/>
  <c r="L172" i="1" l="1"/>
  <c r="H174" i="1"/>
  <c r="H200" i="1"/>
  <c r="L169" i="1"/>
  <c r="L200" i="1" l="1"/>
  <c r="H176" i="1"/>
  <c r="H203" i="1"/>
  <c r="L174" i="1"/>
  <c r="L203" i="1" l="1"/>
  <c r="L176" i="1"/>
  <c r="H178" i="1"/>
  <c r="H186" i="1" l="1"/>
  <c r="L178" i="1"/>
  <c r="H188" i="1" l="1"/>
  <c r="L186" i="1"/>
  <c r="L188" i="1" l="1"/>
  <c r="H196" i="1"/>
  <c r="L196" i="1" l="1"/>
  <c r="H206" i="1"/>
  <c r="L206" i="1" l="1"/>
  <c r="H207" i="1"/>
  <c r="L207" i="1" l="1"/>
  <c r="H209" i="1"/>
  <c r="H212" i="1" l="1"/>
  <c r="L209" i="1"/>
  <c r="L212" i="1" l="1"/>
  <c r="H215" i="1"/>
  <c r="H217" i="1" l="1"/>
  <c r="L215" i="1"/>
  <c r="H270" i="1" l="1"/>
  <c r="L217" i="1"/>
  <c r="H219" i="1"/>
  <c r="L219" i="1" s="1"/>
  <c r="L270" i="1" l="1"/>
  <c r="H273" i="1"/>
  <c r="L273" i="1" l="1"/>
  <c r="H275" i="1"/>
  <c r="H289" i="1" l="1"/>
  <c r="H291" i="1" s="1"/>
  <c r="L275" i="1"/>
  <c r="L289" i="1" l="1"/>
  <c r="C8" i="38" l="1"/>
  <c r="L291" i="1"/>
  <c r="E6" i="29"/>
  <c r="E10" i="29" l="1"/>
  <c r="E24" i="29" s="1"/>
  <c r="E37" i="29" s="1"/>
  <c r="E72" i="29" s="1"/>
  <c r="E74" i="29" s="1"/>
  <c r="E9" i="29"/>
  <c r="E8" i="29"/>
  <c r="E11" i="29"/>
  <c r="E25" i="29" s="1"/>
  <c r="E38" i="29" s="1"/>
  <c r="E75" i="29" s="1"/>
  <c r="E21" i="29"/>
  <c r="E36" i="29" s="1"/>
  <c r="E76" i="29" l="1"/>
  <c r="E83" i="29" s="1"/>
  <c r="E12" i="29"/>
  <c r="E81" i="29" l="1"/>
  <c r="C11" i="38" s="1"/>
  <c r="E107" i="29"/>
  <c r="E108" i="29" s="1"/>
  <c r="E109" i="29" s="1"/>
  <c r="E111" i="29" s="1"/>
  <c r="C12" i="38"/>
  <c r="E85" i="29" l="1"/>
  <c r="C13" i="38" s="1"/>
  <c r="E87" i="29"/>
  <c r="E89" i="29" l="1"/>
  <c r="C15" i="38" s="1"/>
  <c r="C14" i="38"/>
</calcChain>
</file>

<file path=xl/sharedStrings.xml><?xml version="1.0" encoding="utf-8"?>
<sst xmlns="http://schemas.openxmlformats.org/spreadsheetml/2006/main" count="4879" uniqueCount="1817">
  <si>
    <t>Public Service Company of New Mexico</t>
  </si>
  <si>
    <t>Plant In Service</t>
  </si>
  <si>
    <t>Transmission Plant In Service</t>
  </si>
  <si>
    <t>Total Transmission Plant in Service</t>
  </si>
  <si>
    <t>Line Item Description</t>
  </si>
  <si>
    <t>Notes</t>
  </si>
  <si>
    <t>Note - Shaded Cells Require Input</t>
  </si>
  <si>
    <t>Plant Calculations</t>
  </si>
  <si>
    <t>Schedule 1 - Plant Calculations</t>
  </si>
  <si>
    <t>Schedule 1</t>
  </si>
  <si>
    <t>Month</t>
  </si>
  <si>
    <t>Source</t>
  </si>
  <si>
    <t>Balance</t>
  </si>
  <si>
    <t>December</t>
  </si>
  <si>
    <t>January</t>
  </si>
  <si>
    <t>February</t>
  </si>
  <si>
    <t>March</t>
  </si>
  <si>
    <t>April</t>
  </si>
  <si>
    <t>May</t>
  </si>
  <si>
    <t>June</t>
  </si>
  <si>
    <t>July</t>
  </si>
  <si>
    <t>August</t>
  </si>
  <si>
    <t>September</t>
  </si>
  <si>
    <t>October</t>
  </si>
  <si>
    <t>November</t>
  </si>
  <si>
    <t>page 207, line 58, column g</t>
  </si>
  <si>
    <t>page 206, line 58, column b</t>
  </si>
  <si>
    <t>company records</t>
  </si>
  <si>
    <t>Average Transmission Plant In Service</t>
  </si>
  <si>
    <t xml:space="preserve">General and Intangible Plant in Service </t>
  </si>
  <si>
    <t>Distribution Plant In Service</t>
  </si>
  <si>
    <t>page 206, line 75, column b</t>
  </si>
  <si>
    <t>page 207, line 75, column g</t>
  </si>
  <si>
    <t>Intangible Plant In Service</t>
  </si>
  <si>
    <t>Average Distribution Plant In Service</t>
  </si>
  <si>
    <t>Average Intangible Plant In Service</t>
  </si>
  <si>
    <t>page 204, line 5, column b</t>
  </si>
  <si>
    <t>page 205, line 5, column g</t>
  </si>
  <si>
    <t>General Plant In Service</t>
  </si>
  <si>
    <t>Average General Plant In Service</t>
  </si>
  <si>
    <t>Production Plant In Service</t>
  </si>
  <si>
    <t>Average Production Plant In Service</t>
  </si>
  <si>
    <t>page 204, line 46, column b</t>
  </si>
  <si>
    <t>page 205, line 46, column g</t>
  </si>
  <si>
    <t>page 206, line 99, column b</t>
  </si>
  <si>
    <t>page 207, line 99, column g</t>
  </si>
  <si>
    <t>Total Average Plant in Service</t>
  </si>
  <si>
    <t xml:space="preserve"> as of December</t>
  </si>
  <si>
    <t>Sum of averages above</t>
  </si>
  <si>
    <t>Plant In Service Calculation</t>
  </si>
  <si>
    <t xml:space="preserve">Total Average Plant In Service General and Intangible Plant in Service </t>
  </si>
  <si>
    <t>Wages and Salary Allocation Factor</t>
  </si>
  <si>
    <t>Allocators</t>
  </si>
  <si>
    <t>Total Wages Expense</t>
  </si>
  <si>
    <t>Less A&amp;G Wages Expense</t>
  </si>
  <si>
    <t>Total</t>
  </si>
  <si>
    <t>page 354, line 21, column b</t>
  </si>
  <si>
    <t>page 354, line 28, column b</t>
  </si>
  <si>
    <t>page 354, line 27, column b</t>
  </si>
  <si>
    <t>Wages and Salary Allocator</t>
  </si>
  <si>
    <t>Plant Allocation Factor</t>
  </si>
  <si>
    <t>Average Electric Plant In Service</t>
  </si>
  <si>
    <t>Net Average Electric Plant in Service</t>
  </si>
  <si>
    <t>Reference FERC Form 1 Page or Schedule</t>
  </si>
  <si>
    <t>General and Intangible Plant Allocated to Transmission</t>
  </si>
  <si>
    <t>(Line 8)</t>
  </si>
  <si>
    <t>Total Transmission Plant In Service</t>
  </si>
  <si>
    <t>Transmission Gross Plant</t>
  </si>
  <si>
    <t>Gross Plant Allocation Factor</t>
  </si>
  <si>
    <t>Transmission Net Plant</t>
  </si>
  <si>
    <t>Net Plant Allocation Factor</t>
  </si>
  <si>
    <t>Accumulated Depreciation Calculation</t>
  </si>
  <si>
    <t>Prior year, page 219, line 25, column b</t>
  </si>
  <si>
    <t>page 219, line 25, column b</t>
  </si>
  <si>
    <t>Prior year, page 219, line 26, column b</t>
  </si>
  <si>
    <t>page 219, line 26, column b</t>
  </si>
  <si>
    <t>Transmission Accumulated Depreciation</t>
  </si>
  <si>
    <t>Average Transmission Accumulated Depreciation</t>
  </si>
  <si>
    <t>Distribution Accumulated Depreciation</t>
  </si>
  <si>
    <t>Average Distribution Accumulated Depreciation</t>
  </si>
  <si>
    <t>Intangible Accumulated Depreciation</t>
  </si>
  <si>
    <t>Average Intangible Accumulated Depreciation</t>
  </si>
  <si>
    <t>General Accumulated Depreciation</t>
  </si>
  <si>
    <t>Average General Accumulated Depreciation</t>
  </si>
  <si>
    <t>Production Accumulated Depreciation</t>
  </si>
  <si>
    <t>Average Production Accumulated Depreciation</t>
  </si>
  <si>
    <t>Total Average Accumulated Depreciation</t>
  </si>
  <si>
    <t xml:space="preserve">Total Average Accumulated Depreciation General and Intangible Accumulated Depreciation </t>
  </si>
  <si>
    <t>Prior year, page 200, line 21, column b</t>
  </si>
  <si>
    <t>page 200, line 21, column b</t>
  </si>
  <si>
    <t>Prior Year, page 219, line 20 thru line 24, column b</t>
  </si>
  <si>
    <t>page 219, line 20 thru line 24, column b</t>
  </si>
  <si>
    <t>Prior Year, page 219, line 28, column b</t>
  </si>
  <si>
    <t>page 219, line 28, column b</t>
  </si>
  <si>
    <t>Accumulated Depreciation</t>
  </si>
  <si>
    <t>Total Transmission Accumulated Depreciation</t>
  </si>
  <si>
    <t>General and Intangible Accumulated Depreciation Allocated to Transmission</t>
  </si>
  <si>
    <t>Total Transmission Net Plant In Service</t>
  </si>
  <si>
    <t>Line No</t>
  </si>
  <si>
    <t>Other Rate Base Items</t>
  </si>
  <si>
    <t>Accumulated Deferred Income Taxes</t>
  </si>
  <si>
    <t>Schedule 2</t>
  </si>
  <si>
    <t>Schedule 2 - Accumulated Deferred Income Taxes</t>
  </si>
  <si>
    <t>Balance at Beginning Of Year</t>
  </si>
  <si>
    <t>Balance at End of Year</t>
  </si>
  <si>
    <t>Description</t>
  </si>
  <si>
    <t>Note 1</t>
  </si>
  <si>
    <t>Regulatory Assets</t>
  </si>
  <si>
    <t>Schedule 4</t>
  </si>
  <si>
    <t>Schedule 4 Regulatory Assets</t>
  </si>
  <si>
    <t>Transmission Related Regulatory Assets</t>
  </si>
  <si>
    <t>Total Transmission Related Regulatory Assets</t>
  </si>
  <si>
    <t>Non-Transmission Related Regulatory Assets</t>
  </si>
  <si>
    <t>Total Non-Transmission Related Regulatory Assets</t>
  </si>
  <si>
    <t>Total Regulatory Assets</t>
  </si>
  <si>
    <t>Average Balance Transmission Related Regulatory Assets</t>
  </si>
  <si>
    <t>Electric - Income taxes</t>
  </si>
  <si>
    <t>PCB Refinancing Hedge</t>
  </si>
  <si>
    <t xml:space="preserve">Coal Mine Decommissioning </t>
  </si>
  <si>
    <t>Renewable Energy Costs</t>
  </si>
  <si>
    <t>SUNs Refinancing Costs</t>
  </si>
  <si>
    <t>Deferred Coal Costs</t>
  </si>
  <si>
    <t>Pension</t>
  </si>
  <si>
    <t>Underground Rate Riders</t>
  </si>
  <si>
    <t>Fuel Clause Deferral</t>
  </si>
  <si>
    <t>Las Vegas Decommissioning</t>
  </si>
  <si>
    <t>Page 111, line 72, column d</t>
  </si>
  <si>
    <t>Miscellaneous Deferred Debits</t>
  </si>
  <si>
    <t>Schedule 5</t>
  </si>
  <si>
    <t>Non-Transmission Related Deferred Debits</t>
  </si>
  <si>
    <t>Total Transmission Related Deferred Debits</t>
  </si>
  <si>
    <t>Total Non-Transmission Related Deferred Debits</t>
  </si>
  <si>
    <t>Total Deferred Debits</t>
  </si>
  <si>
    <t>Transmission Related Deferred Debits</t>
  </si>
  <si>
    <t>Average Balance Transmission Related Deferred Debits</t>
  </si>
  <si>
    <t>Rights of Way Renewals</t>
  </si>
  <si>
    <t>Distribution Rights of way Renewals</t>
  </si>
  <si>
    <t>Afton CSA Maintenance</t>
  </si>
  <si>
    <t>Goodwill</t>
  </si>
  <si>
    <t>Deferred Regulatory Commission Expenses</t>
  </si>
  <si>
    <t>Page 111, line 78, column c</t>
  </si>
  <si>
    <t>Page 233, line 3, column b</t>
  </si>
  <si>
    <t>Page 233, line 4, column b</t>
  </si>
  <si>
    <t>Page 233, line 5, column b</t>
  </si>
  <si>
    <t>Page 233, line 8, column b</t>
  </si>
  <si>
    <t>Schedule 7</t>
  </si>
  <si>
    <t>page 112, line 28, column c</t>
  </si>
  <si>
    <t>Wages and Salaries Allocator</t>
  </si>
  <si>
    <t>Total Injuries and Damages Reserve</t>
  </si>
  <si>
    <t>Injuries and Damages Reserve (Enter as a negative)</t>
  </si>
  <si>
    <t>Other Deferred Credits</t>
  </si>
  <si>
    <t>Total Transmission Related Other Deferred Credits</t>
  </si>
  <si>
    <t>Non-Transmission Related Other Deferred Credits</t>
  </si>
  <si>
    <t>Total Non-Transmission Related Other Deferred Credits</t>
  </si>
  <si>
    <t>Total Other Deferred Credits</t>
  </si>
  <si>
    <t>Gain on Sale of EIP Transmission Line</t>
  </si>
  <si>
    <t>Page 269, line 5, column b</t>
  </si>
  <si>
    <t>Transmission Related Other Deferred Credits</t>
  </si>
  <si>
    <t>Legal Liabilities</t>
  </si>
  <si>
    <t>Environmental Reserves</t>
  </si>
  <si>
    <t>Right of Way Reserve</t>
  </si>
  <si>
    <t>Coal Mine Decommissioning</t>
  </si>
  <si>
    <t>Dry Cask - Spent Nuclear Fuel Storage</t>
  </si>
  <si>
    <t>Transmission Studies</t>
  </si>
  <si>
    <t>Page 269, line 1, column b</t>
  </si>
  <si>
    <t>Other</t>
  </si>
  <si>
    <t>Page 269, line 2, column b</t>
  </si>
  <si>
    <t>Page 269, line 3, column b</t>
  </si>
  <si>
    <t>Page 269, line 4, column b</t>
  </si>
  <si>
    <t>Page 269, line 6, column b</t>
  </si>
  <si>
    <t>Page 113, line 59, column d</t>
  </si>
  <si>
    <t>Page 111, line 78, column d</t>
  </si>
  <si>
    <t>Page 113, line 59, column c</t>
  </si>
  <si>
    <t>Page 269, line 5, column f</t>
  </si>
  <si>
    <t>Page 269, line 1, column f</t>
  </si>
  <si>
    <t>Page 269, line 2, column f</t>
  </si>
  <si>
    <t>Page 269, line 3, column f</t>
  </si>
  <si>
    <t>Page 269, line 4, column f</t>
  </si>
  <si>
    <t>Page 269, line 6, column f</t>
  </si>
  <si>
    <t>Materials and Supplies</t>
  </si>
  <si>
    <t>Working Capital</t>
  </si>
  <si>
    <t>Prepayments</t>
  </si>
  <si>
    <t>Total Working Capital</t>
  </si>
  <si>
    <t>Schedule 8</t>
  </si>
  <si>
    <t>Schedule 8- Other Deferred Credits</t>
  </si>
  <si>
    <t>Transmission Related Materials and Supplies</t>
  </si>
  <si>
    <t>Total Transmission Related Materials and Supplies</t>
  </si>
  <si>
    <t>Non-Transmission Related Materials and Supplies</t>
  </si>
  <si>
    <t>Total Non-Transmission Related Materials and Supplies</t>
  </si>
  <si>
    <t>Total Materials and Supplies</t>
  </si>
  <si>
    <t>Average Balance Transmission Related Materials and Supplies</t>
  </si>
  <si>
    <t>Schedule 7 - Working Capital</t>
  </si>
  <si>
    <t>Transmission M&amp;S</t>
  </si>
  <si>
    <t xml:space="preserve">Production </t>
  </si>
  <si>
    <t>Page 227, line 8, column b</t>
  </si>
  <si>
    <t>Page 227, line 7, column b</t>
  </si>
  <si>
    <t>Page 227, line 5 + 9 + 11, column b</t>
  </si>
  <si>
    <t>Page 110, line 48, column d</t>
  </si>
  <si>
    <t>Page 110, line 48, column c</t>
  </si>
  <si>
    <t>Page 227, line 8, column c</t>
  </si>
  <si>
    <t>Page 227, line 7, column c</t>
  </si>
  <si>
    <t>Page 227, line 5 + 9 + 11, column c</t>
  </si>
  <si>
    <t>Transmission Related Prepayments</t>
  </si>
  <si>
    <t>Total Transmission Related Prepayments</t>
  </si>
  <si>
    <t>Non-Transmission Related Prepayments</t>
  </si>
  <si>
    <t>Total Non-Transmission Related Prepayments</t>
  </si>
  <si>
    <t>Total Prepayments</t>
  </si>
  <si>
    <t>Average Balance Transmission Related Prepayments</t>
  </si>
  <si>
    <t>Transmission Prepayments</t>
  </si>
  <si>
    <t>Page 111, line 57, column d</t>
  </si>
  <si>
    <t>Page 111, line 57, column c</t>
  </si>
  <si>
    <t>Total Other Rate Base Items</t>
  </si>
  <si>
    <t>Total Transmission Rate Base</t>
  </si>
  <si>
    <t>Transmission O&amp;M</t>
  </si>
  <si>
    <t>page 321, line 112, column b</t>
  </si>
  <si>
    <t>Page 321, line 96, column b</t>
  </si>
  <si>
    <t>Administrative and General Expenses</t>
  </si>
  <si>
    <t>Total Administrative and General Expenses</t>
  </si>
  <si>
    <t>page 323, line 197, column b</t>
  </si>
  <si>
    <t>Less FERC 924 - Property Insurance</t>
  </si>
  <si>
    <t>page 323, line 185, column b</t>
  </si>
  <si>
    <t>Less FERC 928 - Regulatory commission Expenses</t>
  </si>
  <si>
    <t>page 323, line 189, column b</t>
  </si>
  <si>
    <t>Schedule 9</t>
  </si>
  <si>
    <t>page 323, line 183, column b</t>
  </si>
  <si>
    <t>Current Year Expense</t>
  </si>
  <si>
    <t>FERC 922 - Administrative Expenses Transferred Credit</t>
  </si>
  <si>
    <t>Total FERC 922 - Administrative Expenses Transferred Credit</t>
  </si>
  <si>
    <t>Details of FERC 922 - Administrative Expenses Transferred Credit</t>
  </si>
  <si>
    <t>Details of FERC 928 - Regulatory Commission Expense</t>
  </si>
  <si>
    <t>Costs Direct Assigned to FERC Transmission</t>
  </si>
  <si>
    <t>Costs Direct Assigned to Other Jurisdictions</t>
  </si>
  <si>
    <t>Common Costs for Regulatory Commission Expense</t>
  </si>
  <si>
    <t>NM Retail - Energy Efficiency Program Costs</t>
  </si>
  <si>
    <t>NM Retail - Amortization of Rate Case Expenses</t>
  </si>
  <si>
    <t>FERC Wholesale Generation - Amortization of Rate Case Expenses</t>
  </si>
  <si>
    <t>Production - Related costs</t>
  </si>
  <si>
    <t>FERC Annual Fee</t>
  </si>
  <si>
    <t>Total Common costs for Regulatory Commission Expense</t>
  </si>
  <si>
    <t>Total Costs Direct Assigned to Other Jurisdictions</t>
  </si>
  <si>
    <t>Total FERC 928 - Regulatory Commission Expense</t>
  </si>
  <si>
    <t>RTO Transmission Costs</t>
  </si>
  <si>
    <t>Add FERC 928 - Regulatory Commission Expenses, Common</t>
  </si>
  <si>
    <t>Add FERC 922 - Admin Exp Transferred - Credit, excluding Corp. Allocation</t>
  </si>
  <si>
    <t>FERC 924 - Property Insurance</t>
  </si>
  <si>
    <t>Net Plant Allocator</t>
  </si>
  <si>
    <t>Property Insurance Allocated to Transmission</t>
  </si>
  <si>
    <t>Total Transmission Operations and Maintenance Expense</t>
  </si>
  <si>
    <t>Less Account 565</t>
  </si>
  <si>
    <t>Depreciation and Amortization Expense</t>
  </si>
  <si>
    <t>Transmission Depreciation Expense</t>
  </si>
  <si>
    <t>page 336, line 7, column f</t>
  </si>
  <si>
    <t>Total Transmission Depreciation Expense</t>
  </si>
  <si>
    <t>General Depreciation</t>
  </si>
  <si>
    <t>Intangible Amortization</t>
  </si>
  <si>
    <t>page 336, line 10, column f</t>
  </si>
  <si>
    <t>page 336, line 1, column f</t>
  </si>
  <si>
    <t>Total General and Intangible Depreciation and Amortization</t>
  </si>
  <si>
    <t>General and Intangible Depreciation and Amortization Allocated to Transmission</t>
  </si>
  <si>
    <t>Total Depreciation and Amortization</t>
  </si>
  <si>
    <t>Taxes Other than Income</t>
  </si>
  <si>
    <t>Schedule 10 - Taxes other than income</t>
  </si>
  <si>
    <t>Details of FERC 408.1 - Taxes other than income</t>
  </si>
  <si>
    <t>Payroll Related Costs</t>
  </si>
  <si>
    <t>FICA</t>
  </si>
  <si>
    <t>FUTA</t>
  </si>
  <si>
    <t>SUTA</t>
  </si>
  <si>
    <t>page 263, line 2, column i</t>
  </si>
  <si>
    <t>page 263, line 3, column i</t>
  </si>
  <si>
    <t>page 263, line 11, column i</t>
  </si>
  <si>
    <t>page 263, line 14, column i</t>
  </si>
  <si>
    <t>Gross Plant Allocator</t>
  </si>
  <si>
    <t>Property Related Costs</t>
  </si>
  <si>
    <t>Property Tax Costs Allocated to Transmission</t>
  </si>
  <si>
    <t>Total Payroll related costs</t>
  </si>
  <si>
    <t>Payroll Tax costs Allocated to Transmission</t>
  </si>
  <si>
    <t>Other Tax items</t>
  </si>
  <si>
    <t>Excise</t>
  </si>
  <si>
    <t>page 263, line 4, column i</t>
  </si>
  <si>
    <t>NM S&amp;I Fees</t>
  </si>
  <si>
    <t>page 263, line 13, column i</t>
  </si>
  <si>
    <t>Gross Receipts Tax</t>
  </si>
  <si>
    <t>page 263, line 16, column i</t>
  </si>
  <si>
    <t>State Highway use</t>
  </si>
  <si>
    <t>page 263, line 17, column i</t>
  </si>
  <si>
    <t>Misc</t>
  </si>
  <si>
    <t>page 263, line 18, column i</t>
  </si>
  <si>
    <t>Local franchise</t>
  </si>
  <si>
    <t>page 263, line 23, column i</t>
  </si>
  <si>
    <t>Native American</t>
  </si>
  <si>
    <t>page 263, line 28, column i</t>
  </si>
  <si>
    <t>page 263, line 29, column i</t>
  </si>
  <si>
    <t>Total Taxes other than income</t>
  </si>
  <si>
    <t>page 114, line 14, column c</t>
  </si>
  <si>
    <t>Taxes other than income</t>
  </si>
  <si>
    <t>Schedule 10</t>
  </si>
  <si>
    <t>Property Taxes Allocated to Transmission</t>
  </si>
  <si>
    <t>Payroll Taxes Allocated to Transmission</t>
  </si>
  <si>
    <t>Total Operating Expenses</t>
  </si>
  <si>
    <t>General Depreciation  - Corporate Allocation</t>
  </si>
  <si>
    <t>Intangible Amortization - Corporate Allocation</t>
  </si>
  <si>
    <t>FERC Account 190</t>
  </si>
  <si>
    <t>FERC Account 281</t>
  </si>
  <si>
    <t>FERC Account 282</t>
  </si>
  <si>
    <t>FERC Account 283</t>
  </si>
  <si>
    <t>Average</t>
  </si>
  <si>
    <t>Transmission Allocator</t>
  </si>
  <si>
    <t>Transmission Balance</t>
  </si>
  <si>
    <t>Pages 272 &amp; 273, Line 8, Columns (b) &amp;(k)</t>
  </si>
  <si>
    <t>Page 234, Line 8, Columns (b) &amp; (c)</t>
  </si>
  <si>
    <t>Pages 274 &amp; 275, Line 9, Columns (b) &amp;(k)</t>
  </si>
  <si>
    <t>Pages 276 &amp; 277, Line 9, Columns (b) &amp;(k)</t>
  </si>
  <si>
    <t>Total Accumulated Deferred Income Taxes</t>
  </si>
  <si>
    <t>Injuries &amp; Damages</t>
  </si>
  <si>
    <t>Prepaid Pension</t>
  </si>
  <si>
    <t>Eastern Interconnect Project</t>
  </si>
  <si>
    <t>Non-Transmission related accounts</t>
  </si>
  <si>
    <t>Allocated on Net Plant</t>
  </si>
  <si>
    <t>FERC Customer Depreciation</t>
  </si>
  <si>
    <t>Liberalized Depreciation - Transmission</t>
  </si>
  <si>
    <t>Liberalized Depreciation - General &amp; Intangible</t>
  </si>
  <si>
    <t>Repair Allowance on pre-1981 assets</t>
  </si>
  <si>
    <t>Debt AFUDC</t>
  </si>
  <si>
    <t>Interest Capitalized for Tax Purposes</t>
  </si>
  <si>
    <t>Interest Capitalized for Book Purposes</t>
  </si>
  <si>
    <t>Prepaid Expenses</t>
  </si>
  <si>
    <t>Calculated on amount included in rate base</t>
  </si>
  <si>
    <t>Allocated on Prepayments</t>
  </si>
  <si>
    <t>Income Taxes</t>
  </si>
  <si>
    <t>Return on Rate Base</t>
  </si>
  <si>
    <t>Weighted cost of Capital</t>
  </si>
  <si>
    <t>Allowed Return on Rate Base</t>
  </si>
  <si>
    <t>Long Term Debt Cost of Capital</t>
  </si>
  <si>
    <t>Four Corners SO2 Flow-though Reversal</t>
  </si>
  <si>
    <t>San Juan ACRS Flow-through Reversal</t>
  </si>
  <si>
    <t>SL/GL Depreciation Flow-through Reversal</t>
  </si>
  <si>
    <t>ACRS Flow-through Reversal</t>
  </si>
  <si>
    <t xml:space="preserve">Non-Deductible Meals </t>
  </si>
  <si>
    <t>Palo Verde 1 &amp; 2 Gain Amortization</t>
  </si>
  <si>
    <t>AFUDC Equity</t>
  </si>
  <si>
    <t>Amortization of EIP Prepaid Tax</t>
  </si>
  <si>
    <t>Total Return Adjustments</t>
  </si>
  <si>
    <t>Total Provision for Deferred Tax Adjustments</t>
  </si>
  <si>
    <t>Provision for Deferred Income Tax Adjustments</t>
  </si>
  <si>
    <t>Investment Tax Credit Amortization</t>
  </si>
  <si>
    <t>Generation Investment Tax Credit Amortization</t>
  </si>
  <si>
    <t>Other Investment Tax Credit Amortization</t>
  </si>
  <si>
    <t>Total Investment Tax Credit Amortization</t>
  </si>
  <si>
    <t>Total Federal Tax Adjustments</t>
  </si>
  <si>
    <t>Schedule 11</t>
  </si>
  <si>
    <t>Schedule 11 - Income Tax Expense</t>
  </si>
  <si>
    <t>Palo Verde Valley Transmission Investment Tax Credit Amortization</t>
  </si>
  <si>
    <t>Reference</t>
  </si>
  <si>
    <t>Total Account 190</t>
  </si>
  <si>
    <t>Total Account 281</t>
  </si>
  <si>
    <t>Total Account 282</t>
  </si>
  <si>
    <t>Total Account 283</t>
  </si>
  <si>
    <t>Page 234 detail, Line 1</t>
  </si>
  <si>
    <t>Company Records</t>
  </si>
  <si>
    <t xml:space="preserve">     (Corporate Allocation)</t>
  </si>
  <si>
    <t>Page 261, Line 2 detail</t>
  </si>
  <si>
    <t>Eastern Interconnect Project Gain Amortization</t>
  </si>
  <si>
    <t>Page 266, Line 8, Column (f)</t>
  </si>
  <si>
    <t>Net Operating Loss Carryforward per Form 1</t>
  </si>
  <si>
    <t>Net Operating Loss Carryforward to be allocated</t>
  </si>
  <si>
    <t>Not Operating Loss related to renewables</t>
  </si>
  <si>
    <t>AFUDC Reversal on Retirements</t>
  </si>
  <si>
    <t>Palo Verde Prudency Audit Amortization</t>
  </si>
  <si>
    <t>Tax Exempt Interest</t>
  </si>
  <si>
    <t>Non-Deductible Dues</t>
  </si>
  <si>
    <t>Fines &amp; Penalties</t>
  </si>
  <si>
    <t>Sec 1603 Grant Amortization</t>
  </si>
  <si>
    <t>Permanent and Flow-Through Book/Tax Adjustments</t>
  </si>
  <si>
    <t>Total Permanent and Flow-Through Book/Tax Adjustments</t>
  </si>
  <si>
    <t>Net Provision for Deferred Income Tax Adjustments</t>
  </si>
  <si>
    <t xml:space="preserve">Investment Tax Credit Amortization </t>
  </si>
  <si>
    <t>Federal Income Tax Calculation</t>
  </si>
  <si>
    <t>Federal Income Tax</t>
  </si>
  <si>
    <t xml:space="preserve">EIP Amortization </t>
  </si>
  <si>
    <t>Total Additions to Federal Income Tax</t>
  </si>
  <si>
    <t>Interest on Long Term Debt</t>
  </si>
  <si>
    <t>Net Taxable Equity Return - Federal</t>
  </si>
  <si>
    <t>Less: Return Adjustments - Federal</t>
  </si>
  <si>
    <t>Income Tax Adjustments - Federal</t>
  </si>
  <si>
    <t>Income Tax Calculation - Federal</t>
  </si>
  <si>
    <t>Additions to Income Tax - Federal</t>
  </si>
  <si>
    <t>Net Allowable Income Tax - Federal</t>
  </si>
  <si>
    <t>State Income Tax Calculation</t>
  </si>
  <si>
    <t>Less: Return Adjustments - State</t>
  </si>
  <si>
    <t>Total Return Adjustments - State</t>
  </si>
  <si>
    <t>Adjusted Equity Return - Federal</t>
  </si>
  <si>
    <t>Net Taxable Equity Return - State</t>
  </si>
  <si>
    <t>Income Tax Calculation - State</t>
  </si>
  <si>
    <t>State Tax Factor</t>
  </si>
  <si>
    <t>Net Allowable Income Tax - State</t>
  </si>
  <si>
    <t>Total Allowable Income Tax - Federal &amp; State</t>
  </si>
  <si>
    <t>Capitalization Calculations</t>
  </si>
  <si>
    <t>Long Term Interest</t>
  </si>
  <si>
    <t>Total Long Term Interest</t>
  </si>
  <si>
    <t>page 118, line 24, column c</t>
  </si>
  <si>
    <t>Common Stock</t>
  </si>
  <si>
    <t>Proprietary Capital</t>
  </si>
  <si>
    <t>page 112, line 16, column c</t>
  </si>
  <si>
    <t>Less Preferred stock</t>
  </si>
  <si>
    <t>page 112, line 3, column c</t>
  </si>
  <si>
    <t>page 112, line 15, column c</t>
  </si>
  <si>
    <t>Long Term Debt</t>
  </si>
  <si>
    <t>page 112, line 24, column c</t>
  </si>
  <si>
    <t>Total Long-Term Debt</t>
  </si>
  <si>
    <t>Capitalization</t>
  </si>
  <si>
    <t>Preferred Stock</t>
  </si>
  <si>
    <t>Total Capitalization</t>
  </si>
  <si>
    <t>Long Term Debt %</t>
  </si>
  <si>
    <t>Preferred Stock %</t>
  </si>
  <si>
    <t>Common Stock %</t>
  </si>
  <si>
    <t>Cost of Debt</t>
  </si>
  <si>
    <t>Preferred Stock Cost</t>
  </si>
  <si>
    <t>Common Stock Cost</t>
  </si>
  <si>
    <t>Weighted Cost of Debt</t>
  </si>
  <si>
    <t>Weighted Cost of Preferred Stock</t>
  </si>
  <si>
    <t>Weighted Cost of Common Stock</t>
  </si>
  <si>
    <t>Total Return</t>
  </si>
  <si>
    <t>Average Balance Injuries and Damages Reserve</t>
  </si>
  <si>
    <t>Revenue Requirement Summary</t>
  </si>
  <si>
    <t>Rate Base</t>
  </si>
  <si>
    <t>O&amp;M</t>
  </si>
  <si>
    <t>Depreciation and Amortization</t>
  </si>
  <si>
    <t>Revenue Requirement before Revenue Credits</t>
  </si>
  <si>
    <t>Revenue Credits</t>
  </si>
  <si>
    <t>ATRR for Network Transmission Customers</t>
  </si>
  <si>
    <t>Allocation to Retail Native Load</t>
  </si>
  <si>
    <t>Allocation to Network Integration Transmission Service</t>
  </si>
  <si>
    <t>Allocation to GFA</t>
  </si>
  <si>
    <t>Allocation to OATT firm PTP Service</t>
  </si>
  <si>
    <t>Add Direct Assigned 3rd Party Transmission Service</t>
  </si>
  <si>
    <t>Billing Units</t>
  </si>
  <si>
    <t>Annual</t>
  </si>
  <si>
    <t>Monthly</t>
  </si>
  <si>
    <t>Weekly</t>
  </si>
  <si>
    <t>Daily</t>
  </si>
  <si>
    <t>Hourly</t>
  </si>
  <si>
    <t>Applicable to Network and Point to Point Service</t>
  </si>
  <si>
    <t>Schedule 8 Non firm Transmission Service</t>
  </si>
  <si>
    <t>Schedule 8 Conditional Firm Transmission Service</t>
  </si>
  <si>
    <t>Account 454 Pole Rentals and Rents from Electric Property</t>
  </si>
  <si>
    <t>Total Revenue Credits Applicable to All Customers</t>
  </si>
  <si>
    <t>OATT Schedule 7</t>
  </si>
  <si>
    <t>OATT Schedule 8</t>
  </si>
  <si>
    <t>Jan</t>
  </si>
  <si>
    <t>Feb</t>
  </si>
  <si>
    <t>Sept</t>
  </si>
  <si>
    <t>Oct</t>
  </si>
  <si>
    <t>Nov</t>
  </si>
  <si>
    <t>Dec</t>
  </si>
  <si>
    <t>Retail Native Load</t>
  </si>
  <si>
    <t>Add Adjustment for KAFB reading</t>
  </si>
  <si>
    <t>Net Co 2 Native Load</t>
  </si>
  <si>
    <t>Wholesale NITS Load</t>
  </si>
  <si>
    <t>Western for Kirtland Air Force Base</t>
  </si>
  <si>
    <t>Net of WAPA</t>
  </si>
  <si>
    <t>Tri-State G&amp;T</t>
  </si>
  <si>
    <t>Los Alamos County</t>
  </si>
  <si>
    <t>City of Gallup</t>
  </si>
  <si>
    <t>Navopache Electric Cooperative</t>
  </si>
  <si>
    <t>City of Aztec</t>
  </si>
  <si>
    <t>NTUA</t>
  </si>
  <si>
    <t>Total Wholesale NITS Load</t>
  </si>
  <si>
    <t>Pre-OATT PTP Load</t>
  </si>
  <si>
    <t>El Paso Electric Company</t>
  </si>
  <si>
    <t>Western P0695 &amp; 2425</t>
  </si>
  <si>
    <t>Navajo Agricultural Products Industry</t>
  </si>
  <si>
    <t>Total Pre-OATT PTP Load</t>
  </si>
  <si>
    <t>OATT Long Term Firm PTP</t>
  </si>
  <si>
    <t>TSR</t>
  </si>
  <si>
    <t>Tri-State - Hidalgo-Greenlee</t>
  </si>
  <si>
    <t>PNMM SJ-Coronado</t>
  </si>
  <si>
    <t>B&amp;B Argonne Mesa</t>
  </si>
  <si>
    <t>EPE FC-WM</t>
  </si>
  <si>
    <t>NextEra Red Mesa to Four Corners</t>
  </si>
  <si>
    <t>Total Long Term Firm PTP</t>
  </si>
  <si>
    <t>Total Unadjusted Transmission Demand</t>
  </si>
  <si>
    <t>Incremental Priced Service</t>
  </si>
  <si>
    <t>HLM Willard - Four Corners</t>
  </si>
  <si>
    <t>71486937+71532643</t>
  </si>
  <si>
    <t>Allocation Factor for Third Party Transmission Service</t>
  </si>
  <si>
    <t>Allocation</t>
  </si>
  <si>
    <t>Allocated</t>
  </si>
  <si>
    <t>Arizona Public Service Company</t>
  </si>
  <si>
    <t>to Requirements</t>
  </si>
  <si>
    <t>130 MW Palo Verde to Four Corners</t>
  </si>
  <si>
    <t>10 MW Kyrene to Four Corners</t>
  </si>
  <si>
    <t>Western Area Power Administration</t>
  </si>
  <si>
    <t>25 MW West Mesa to Amrad</t>
  </si>
  <si>
    <t>100 % Retail Native Load</t>
  </si>
  <si>
    <t>111 Afton to west Mesa</t>
  </si>
  <si>
    <t>30 MW Afton to West Mesa</t>
  </si>
  <si>
    <t>94 MW Luna to Springerville</t>
  </si>
  <si>
    <t>Tucson electric Power Company</t>
  </si>
  <si>
    <t>14 MW San Juan to Greenlee</t>
  </si>
  <si>
    <t>100% Retail Native Load</t>
  </si>
  <si>
    <t>Tri-State Generation and Transmission Inc</t>
  </si>
  <si>
    <t>Network Transmission Service to Clayton</t>
  </si>
  <si>
    <t>Network Transmission Service to Gallup</t>
  </si>
  <si>
    <t>100% to Gallup</t>
  </si>
  <si>
    <t>Total Third Party Transmission Allocated to Requirement NITS Customers</t>
  </si>
  <si>
    <t>Monthly Peak load</t>
  </si>
  <si>
    <t>Form 1, page 401b</t>
  </si>
  <si>
    <t>City of Gallup Net of WAPA</t>
  </si>
  <si>
    <t>City of Aztec - Net of WAPA</t>
  </si>
  <si>
    <t>Total Requirements Load</t>
  </si>
  <si>
    <t>Gallup Net Peak</t>
  </si>
  <si>
    <t>Measured</t>
  </si>
  <si>
    <t>WAPA</t>
  </si>
  <si>
    <t>Net Generation by PNM</t>
  </si>
  <si>
    <t>Aztec Net peak</t>
  </si>
  <si>
    <t>Schedule 1A - Allocation of Shared Services General and Intangible Plant to Transmission</t>
  </si>
  <si>
    <t>General and Intangible Plant In Service (Allocated from Shared Services)</t>
  </si>
  <si>
    <t>Schedule 1A</t>
  </si>
  <si>
    <t>Allocated to Transmission</t>
  </si>
  <si>
    <t>General and Intangible Accumulated Depreciation (Allocated from Shared Services)</t>
  </si>
  <si>
    <t xml:space="preserve">General and Intangible Accumulated Depreciation </t>
  </si>
  <si>
    <t>Transmission Related</t>
  </si>
  <si>
    <t>Non-Transmission Related</t>
  </si>
  <si>
    <t>(per Company records)</t>
  </si>
  <si>
    <t>Company records</t>
  </si>
  <si>
    <t>Rent from Electric Property - Transmission Related</t>
  </si>
  <si>
    <t>Rent from Electric Property - Distribution Related</t>
  </si>
  <si>
    <t>page 300, line 19, column b</t>
  </si>
  <si>
    <t>Schedule 12 - Revenue Credits</t>
  </si>
  <si>
    <t>Rent From Electric Property - FERC Account 454</t>
  </si>
  <si>
    <t>Current year</t>
  </si>
  <si>
    <t>Current Year</t>
  </si>
  <si>
    <t>Allocated based on SS plant allocation</t>
  </si>
  <si>
    <t>Pension Curtailment</t>
  </si>
  <si>
    <t>Allocation included in 190 Pension</t>
  </si>
  <si>
    <t>row_seq</t>
  </si>
  <si>
    <t>spplmnt_num</t>
  </si>
  <si>
    <t>row_literal</t>
  </si>
  <si>
    <t>row_prvlg</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</si>
  <si>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</si>
  <si>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</si>
  <si>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</si>
  <si>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</si>
  <si>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</si>
  <si>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</si>
  <si>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</si>
  <si>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</si>
  <si>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</si>
  <si>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</si>
  <si>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</si>
  <si>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</si>
  <si>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</si>
  <si>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</si>
  <si>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Demand Allocator</t>
  </si>
  <si>
    <t>Bilateral</t>
  </si>
  <si>
    <t>Real power Losses</t>
  </si>
  <si>
    <t>Deferral Payments</t>
  </si>
  <si>
    <t>Subject to Refund</t>
  </si>
  <si>
    <t>intercompany elimination</t>
  </si>
  <si>
    <t>Schedule 12A - Transmission Revenue - Tie out to FERC Form 1</t>
  </si>
  <si>
    <t>Source: Company Records</t>
  </si>
  <si>
    <t>Schedule 12A</t>
  </si>
  <si>
    <t>Schedule 1B - Projected Plant Calculations</t>
  </si>
  <si>
    <t>Project 1</t>
  </si>
  <si>
    <t>Project 3</t>
  </si>
  <si>
    <t>Project 5</t>
  </si>
  <si>
    <t>Project 7</t>
  </si>
  <si>
    <t>Project 9</t>
  </si>
  <si>
    <t>Projected Net Plant in Service</t>
  </si>
  <si>
    <t>Total Requested Transmission Net Plant in Service</t>
  </si>
  <si>
    <t>Plant In Service Calculation, Projected</t>
  </si>
  <si>
    <t>Accumulated Depreciation Calculation, Projected</t>
  </si>
  <si>
    <t>Calculated Depreciation Expense on Projected Projects</t>
  </si>
  <si>
    <t>Total Depreciation Expense</t>
  </si>
  <si>
    <t>Composite Depreciation Transmission Rate</t>
  </si>
  <si>
    <t>Plant In Service Calculation, True-Up to Prior Year</t>
  </si>
  <si>
    <t>Accumulated Depreciation Calculation, True-Up to Prior Year</t>
  </si>
  <si>
    <t xml:space="preserve"> Depreciation Expense on Projected Projects, True-Up To Prior Year</t>
  </si>
  <si>
    <t>Amount Reflected in Prior Year Formula Rate Schedule</t>
  </si>
  <si>
    <t>Adjustment to Current year Formula Rate Schedule</t>
  </si>
  <si>
    <t>Schedule 1B</t>
  </si>
  <si>
    <t>Accumulated Deferred Income Taxes on Projected Projects, True-Up to Prior Year</t>
  </si>
  <si>
    <t>Transmission Accumulated Deferred Income Taxes</t>
  </si>
  <si>
    <t>Average Accumulated Deferred Income Taxes</t>
  </si>
  <si>
    <t>Transmission Tax Depreciation Expense</t>
  </si>
  <si>
    <t>Total Tax Depreciation Expense</t>
  </si>
  <si>
    <t>Accumulated Deferred Income Tax Calculation, Projected</t>
  </si>
  <si>
    <t>Average Transmission Accumulated Deferred Income Taxes</t>
  </si>
  <si>
    <t>Adjusted Balance</t>
  </si>
  <si>
    <t>Property Tax Costs - Corporate Allocation</t>
  </si>
  <si>
    <t>Total Property Tax Costs Allocated to Transmission</t>
  </si>
  <si>
    <t>WAPA 12 month Total Demand from Trans Demand Allocator Worksheet</t>
  </si>
  <si>
    <t>PNM Transmission Rate In Historical Period</t>
  </si>
  <si>
    <t>Revenues to PNM if WAPA paid for transmission service</t>
  </si>
  <si>
    <t>Actual Test Period WAPA Revenue</t>
  </si>
  <si>
    <t>Deficiency - Revised Costs Imputed to WAPA</t>
  </si>
  <si>
    <t>WAPA Revenue - Historical Period</t>
  </si>
  <si>
    <t>Settled</t>
  </si>
  <si>
    <t>Actual including rate increase</t>
  </si>
  <si>
    <t>Demand</t>
  </si>
  <si>
    <t>Final Revenue</t>
  </si>
  <si>
    <t>WAPA rate</t>
  </si>
  <si>
    <t>Less diversity credit</t>
  </si>
  <si>
    <t>Net</t>
  </si>
  <si>
    <t>Less service credit</t>
  </si>
  <si>
    <t>Net Western Service rate</t>
  </si>
  <si>
    <t>Notes:</t>
  </si>
  <si>
    <t>Revenue billing units are 91 MW for April - September, 107 MW October - March</t>
  </si>
  <si>
    <t>Contracts P0695 and 2425</t>
  </si>
  <si>
    <t>Plant In Service  - Direct Assignment</t>
  </si>
  <si>
    <t>Accumulated Depreciation  - Direct Assignment</t>
  </si>
  <si>
    <t>Depreciation Expense - Direct Assignment</t>
  </si>
  <si>
    <t>Accumulated Deferred Income Tax  - Direct Assignment</t>
  </si>
  <si>
    <t>Noe Substation and 115kV Transmission Lines</t>
  </si>
  <si>
    <t>Direct Assignment</t>
  </si>
  <si>
    <t>Radial Lines</t>
  </si>
  <si>
    <t>Less Depreciation Expense Related to Direct Assigned</t>
  </si>
  <si>
    <t>Schedule 13</t>
  </si>
  <si>
    <t>line 12, Attachment H-1</t>
  </si>
  <si>
    <t>line 11, Attachment H-1</t>
  </si>
  <si>
    <t>(line 34)</t>
  </si>
  <si>
    <t>(line 49)</t>
  </si>
  <si>
    <t>(Line 11 - line 12)</t>
  </si>
  <si>
    <t>(Line 4 - line 5)</t>
  </si>
  <si>
    <t>(Line 2 / Line 6)</t>
  </si>
  <si>
    <t>line 24, Attachment H-1</t>
  </si>
  <si>
    <t>line 28, Attachment H-1</t>
  </si>
  <si>
    <t>(line 28 * line 29)</t>
  </si>
  <si>
    <t>line 31, Attachment H-1</t>
  </si>
  <si>
    <t>(line 25 + line 32)</t>
  </si>
  <si>
    <t>line 38, Attachment H-1</t>
  </si>
  <si>
    <t>line 41, Attachment H-1</t>
  </si>
  <si>
    <t>(line 41 * line 42)</t>
  </si>
  <si>
    <t>line 44, Attachment H-1</t>
  </si>
  <si>
    <t>(line 43 + line 44)</t>
  </si>
  <si>
    <t>(line 39 + line 45)</t>
  </si>
  <si>
    <t>(line 34 - line 47)</t>
  </si>
  <si>
    <t>line 52, Attachment H-1</t>
  </si>
  <si>
    <t>line 53, Attachment H-1</t>
  </si>
  <si>
    <t>line 54, Attachment H-1</t>
  </si>
  <si>
    <t>line 55, Attachment H-1</t>
  </si>
  <si>
    <t>line 56, Attachment H-1</t>
  </si>
  <si>
    <t>line 69, Attachment H-1</t>
  </si>
  <si>
    <t>line 71, Attachment H-1</t>
  </si>
  <si>
    <t>(line 8)</t>
  </si>
  <si>
    <t>line 78, Attachment H-1</t>
  </si>
  <si>
    <t>line 79, Attachment H-1</t>
  </si>
  <si>
    <t>line 82, Attachment H-1</t>
  </si>
  <si>
    <t xml:space="preserve">Injuries and Damages Reserve </t>
  </si>
  <si>
    <t>(line 82 * line 83)</t>
  </si>
  <si>
    <t>line 86, Attachment H-1</t>
  </si>
  <si>
    <t>(line 60 + line 88)</t>
  </si>
  <si>
    <t>line 106, Attachment H-1</t>
  </si>
  <si>
    <t>(sum of line 52 through line 57)</t>
  </si>
  <si>
    <t>(line 19)</t>
  </si>
  <si>
    <t>line 124, Attachment H-1</t>
  </si>
  <si>
    <t>line 132, Attachment H-1</t>
  </si>
  <si>
    <t>line 143, Attachment H-1</t>
  </si>
  <si>
    <t>(line 90)</t>
  </si>
  <si>
    <t>line 172, Attachment H-1</t>
  </si>
  <si>
    <t>(Fed Tax Rate / 1 - Fed Tax Rate)</t>
  </si>
  <si>
    <t>(line 172)</t>
  </si>
  <si>
    <t>(line 165)</t>
  </si>
  <si>
    <t>(line 229)</t>
  </si>
  <si>
    <t>(line 238 * line 242)</t>
  </si>
  <si>
    <t>(line 239 * line 243)</t>
  </si>
  <si>
    <t>Schedule 12</t>
  </si>
  <si>
    <t>line 272, Attachment H-1</t>
  </si>
  <si>
    <t>line 273, Attachment H-1</t>
  </si>
  <si>
    <t>OATT Schedule 7 - Short Term, Firm</t>
  </si>
  <si>
    <t>OATT Schedule 8 - Non-Firm</t>
  </si>
  <si>
    <t>OATT Schedule 8 - Conditional Firm</t>
  </si>
  <si>
    <t>line 274, Attachment H-1</t>
  </si>
  <si>
    <t xml:space="preserve">Certain generation step up and interconnection facilities are classified in transmission plant accounts. </t>
  </si>
  <si>
    <t>These items are reclassified in the Direct Assignment column to be reflected as production plant accounts.</t>
  </si>
  <si>
    <t>Third Party Transmission Sheet</t>
  </si>
  <si>
    <t>Removal of WAPA Contract 2425 and NAPI</t>
  </si>
  <si>
    <t>WAPA Contract 2425 Demand - MW</t>
  </si>
  <si>
    <t>WAPA Contract P0695 Demand - MW</t>
  </si>
  <si>
    <t>Breakdown of GFA Allocation</t>
  </si>
  <si>
    <t xml:space="preserve">WAPA combined 12CP </t>
  </si>
  <si>
    <t>MW</t>
  </si>
  <si>
    <t>Allocation to Contract 2425 - 140/239</t>
  </si>
  <si>
    <t>Allocation to Contract P0695 - 99/239</t>
  </si>
  <si>
    <t>Total GFA Allocation MW</t>
  </si>
  <si>
    <t>WAPA P0695</t>
  </si>
  <si>
    <t>Total included in allocation and rate design</t>
  </si>
  <si>
    <t>Removed GFA</t>
  </si>
  <si>
    <t>WAPA 2425</t>
  </si>
  <si>
    <t>NAPI</t>
  </si>
  <si>
    <t>Total excluded in allocation and rate design</t>
  </si>
  <si>
    <t>Total GFA to proof to Trans Demand Allocator worksheet</t>
  </si>
  <si>
    <t>Remainder of GFA ATRR to PTP rate design</t>
  </si>
  <si>
    <t>OATT PTP  ATRR allocation</t>
  </si>
  <si>
    <t>Per KW/year</t>
  </si>
  <si>
    <t>Per KW/month</t>
  </si>
  <si>
    <t>Per KW/Week</t>
  </si>
  <si>
    <t>Per KW/Day</t>
  </si>
  <si>
    <t>Per KW/hour</t>
  </si>
  <si>
    <t>Monthly Billing Units - MW</t>
  </si>
  <si>
    <t>Western P0695</t>
  </si>
  <si>
    <t>Total Billing Units</t>
  </si>
  <si>
    <t>With Losses</t>
  </si>
  <si>
    <t>Customer Demand Unadjusted for Losses</t>
  </si>
  <si>
    <t>Annual Transmission Revenue Requirement</t>
  </si>
  <si>
    <t>Transmission Wages Expense</t>
  </si>
  <si>
    <t>Operations and Maintenance Expense</t>
  </si>
  <si>
    <t>Less FERC 922 - Administrative Expenses Transferred - Credit</t>
  </si>
  <si>
    <t>General Expenses Allocated to Transmission</t>
  </si>
  <si>
    <t>Less Accumulated Other Comprehensive Income</t>
  </si>
  <si>
    <t>Note 1:</t>
  </si>
  <si>
    <t>Note 2:</t>
  </si>
  <si>
    <t>Note 3:</t>
  </si>
  <si>
    <t xml:space="preserve">Under "Accumulated Deferred Income Tax Calculation, projected" the associated ADIT balances are calculated, related to the new projected plant in service.  </t>
  </si>
  <si>
    <t>Note 4:</t>
  </si>
  <si>
    <t>Note 5:</t>
  </si>
  <si>
    <t>Note 6:</t>
  </si>
  <si>
    <t>The "Calculation of Tax Depreciation Expense on Projected Projects" schedule is used to calculate the ADIT balances discussed in Note 3.</t>
  </si>
  <si>
    <t>Note 7:</t>
  </si>
  <si>
    <t>In Year 2, under "Plant In Service Calculation, True-Up to Prior year" the actual original cost of plant in service and the actual month placed in service will be included for projects projected in Year 1.</t>
  </si>
  <si>
    <t>These amounts will be compared to amounts included in Year 1 filing.  Any adjustment, will be included in Attachment H-1, line 55 - line 57, and line 124.</t>
  </si>
  <si>
    <t>See Note 7</t>
  </si>
  <si>
    <t>Under "Plant in Service Calculation, Projected" - original cost of plant in service is included in the month the project is projected to be in-service.  These are the projections to be included in year 1, Attachment H-1</t>
  </si>
  <si>
    <t xml:space="preserve">Note:  ADIT Balances are included in the formula rate based on amounts included in rate base.  ADIT amounts are reconciled to FERC Form No. 1 pages.  </t>
  </si>
  <si>
    <t>Estimated</t>
  </si>
  <si>
    <t>Note:</t>
  </si>
  <si>
    <t>Regulatory Assets are identified in the FERC Form No. 1.  Additional line items will be added  or removed from schedule to reflect changes in regulatory assets.</t>
  </si>
  <si>
    <t>{A}</t>
  </si>
  <si>
    <t>{B}</t>
  </si>
  <si>
    <t>({A} + {B}) / 2</t>
  </si>
  <si>
    <t>Page 232, line 1, column b</t>
  </si>
  <si>
    <t>Page 232, line 2, column b</t>
  </si>
  <si>
    <t>Page 232, line 3, column b</t>
  </si>
  <si>
    <t>Page 232, line 4, column b</t>
  </si>
  <si>
    <t>Page 232, line 5, column b</t>
  </si>
  <si>
    <t>Page 232, line 6, column b</t>
  </si>
  <si>
    <t>Page 232, line 7, column b</t>
  </si>
  <si>
    <t>Page 232, line 10, column b</t>
  </si>
  <si>
    <t>Page 232, line 2, column f</t>
  </si>
  <si>
    <t>Page 232, line 3, column f</t>
  </si>
  <si>
    <t>Page 232, line 4, column f</t>
  </si>
  <si>
    <t>Page 232, line 5, column f</t>
  </si>
  <si>
    <t>Page 232, line 6, column f</t>
  </si>
  <si>
    <t>Page 232, line 7, column f</t>
  </si>
  <si>
    <t>Page 232, line 10, column f</t>
  </si>
  <si>
    <t>Page 232, line 1, column f</t>
  </si>
  <si>
    <t>Line No.</t>
  </si>
  <si>
    <t>({A} + {B} / 2)</t>
  </si>
  <si>
    <t>{C}</t>
  </si>
  <si>
    <t>{D}</t>
  </si>
  <si>
    <t>({C} + {D} / 2)</t>
  </si>
  <si>
    <t>({A} + {B} / 2) * -1</t>
  </si>
  <si>
    <t>Average Balance Transmission Related Other Deferred Credits</t>
  </si>
  <si>
    <t>Additional items will be added to this schedule, based on the current year activity.</t>
  </si>
  <si>
    <t>Page 323, line 183, column b</t>
  </si>
  <si>
    <t>Total Corporate Allocation Expenses reported in FERC 922</t>
  </si>
  <si>
    <t>Page 323, line 189, column b</t>
  </si>
  <si>
    <t>Note 4</t>
  </si>
  <si>
    <t>Payroll Related</t>
  </si>
  <si>
    <t>Property Related</t>
  </si>
  <si>
    <t>See Calculation Below</t>
  </si>
  <si>
    <t>Payroll Tax Costs - Corporate Allocation</t>
  </si>
  <si>
    <t>Total Payroll Tax Costs Allocated to Transmission</t>
  </si>
  <si>
    <t>see Schedule 10</t>
  </si>
  <si>
    <t>changes in taxes other than income.</t>
  </si>
  <si>
    <t xml:space="preserve">Allocated to Transmission, included above </t>
  </si>
  <si>
    <t>see Rate Design worksheet</t>
  </si>
  <si>
    <t>Note:  Columns A - Columns S reflect FERC Form No. 1 Page 328 -330 line item detail.  Columns T through AE, reflect the allocation of revenues to identify applicable revenue credits for inclusion in Attachment H-1 and Rate Design worksheets.</t>
  </si>
  <si>
    <t xml:space="preserve">Page </t>
  </si>
  <si>
    <t>Total OATT Schedule 8</t>
  </si>
  <si>
    <t>Conditional Firm (SPS - OLF classification)</t>
  </si>
  <si>
    <t>Remaining Schedule 8 revenues</t>
  </si>
  <si>
    <t>Line</t>
  </si>
  <si>
    <t>Redispatch Contract</t>
  </si>
  <si>
    <t>OATT Schedule 1</t>
  </si>
  <si>
    <t>OATT Schedule 2</t>
  </si>
  <si>
    <t>Allocations</t>
  </si>
  <si>
    <t>Trans Demand Allocator Sheet</t>
  </si>
  <si>
    <t>line 3, Rate Design sheet</t>
  </si>
  <si>
    <t>line 4, Rate Design sheet</t>
  </si>
  <si>
    <t>line 5, Rate Design sheet</t>
  </si>
  <si>
    <t>line 6, Rate Design sheet</t>
  </si>
  <si>
    <t>Imputed WAPA Transmission Exp Sheet</t>
  </si>
  <si>
    <t>(line 30 + line 31)</t>
  </si>
  <si>
    <t>Attachment H-1  - Current Year Formula Rate</t>
  </si>
  <si>
    <t>Network Credits - High Lonesome Mesa</t>
  </si>
  <si>
    <t>Total Plant In Service - PNM Resources</t>
  </si>
  <si>
    <t>13 month average</t>
  </si>
  <si>
    <t>PNM Resources Holding Co.</t>
  </si>
  <si>
    <t>Total Accumulated Depreciation- PNM Resources</t>
  </si>
  <si>
    <t>Plant in Service - Allocation of Shared Services to Transmission Function</t>
  </si>
  <si>
    <t>Plant in Service - PNM Resources</t>
  </si>
  <si>
    <t>Accumulated Depreciation - PNM Resources</t>
  </si>
  <si>
    <t>Accumulated Depreciation - Allocation of Shared Services to Transmission Function</t>
  </si>
  <si>
    <t>Plant In Service - Allocated to Transmission Function</t>
  </si>
  <si>
    <t>Total Accumulated Depreciation-Allocated to Transmission Function</t>
  </si>
  <si>
    <t>Balance per FERC Form 60 for PNMR Services Company, Schedule I, line 2, column e</t>
  </si>
  <si>
    <t>Balance per FERC Form 60 for PNMR Services Company, Schedule I, line 4, column e</t>
  </si>
  <si>
    <t>Subtotal</t>
  </si>
  <si>
    <t>Less OSO Grande Capital lease</t>
  </si>
  <si>
    <t>Reconciliation to FERC Form 60  - PNMR Services Company</t>
  </si>
  <si>
    <t>Balance per FERC Form 60 for PNMR Services Company, Schedule I, line 2, column d</t>
  </si>
  <si>
    <t>Balance per FERC Form 60 for PNMR Services Company, Schedule I, line 4, column d</t>
  </si>
  <si>
    <t>Total Plant in Service</t>
  </si>
  <si>
    <t>Balance per FERC Form 60 for PNMR Services Company, Schedule I, line 7, column e</t>
  </si>
  <si>
    <t>Balance per FERC Form 60 for PNMR Services Company, Schedule I, line 8, column e</t>
  </si>
  <si>
    <t>PNM Shared Services ***</t>
  </si>
  <si>
    <t>** Reconciliation to FERC Form 60  - PNMR Services Company</t>
  </si>
  <si>
    <t>*** Reconciliation to FERC Form 60  - PNMR Services Company</t>
  </si>
  <si>
    <t>Balance per FERC Form 60 for PNMR Services Company, Schedule I, line 7, column d</t>
  </si>
  <si>
    <t>Balance per FERC Form 60 for PNMR Services Company, Schedule I, line 8, column d</t>
  </si>
  <si>
    <t>PNMR Services Company **</t>
  </si>
  <si>
    <t>The Allocation to Transmission Function is based on the Cost Allocation Methods and percentages calculated for the current year period.</t>
  </si>
  <si>
    <t>Schedule 5 - Miscellaneous Deferred Debits</t>
  </si>
  <si>
    <t>to reflect changes in miscellaneous deferred debits.</t>
  </si>
  <si>
    <t>Less Account 561</t>
  </si>
  <si>
    <t>line 107, Attachment H-1</t>
  </si>
  <si>
    <t>Note 2</t>
  </si>
  <si>
    <t>Monthly plant balances are derived from plant management system.</t>
  </si>
  <si>
    <t>Calculation of Tax Depreciation Expense on Projected Projects</t>
  </si>
  <si>
    <t>Total Account 282, Corporate Allocation &amp; Direct Assignment</t>
  </si>
  <si>
    <t>Liberalized Depreciation on Direct Assignment</t>
  </si>
  <si>
    <t>Footnote to Page 276.1, Line 7b</t>
  </si>
  <si>
    <t>Page 233, line 3, column f</t>
  </si>
  <si>
    <t>Page 233, line 4, column f</t>
  </si>
  <si>
    <t>Page 233, line 5, column f</t>
  </si>
  <si>
    <t>Page 233, line 8, column f</t>
  </si>
  <si>
    <t>Transmission Materials and Supplies</t>
  </si>
  <si>
    <t>Schedule 9 - Operations and Maintenance Expense</t>
  </si>
  <si>
    <t>Total FERC 928 - Regulatory Commission expense Direct Assigned to FERC Transmission</t>
  </si>
  <si>
    <t>Note 2:  In FERC Form No. 1, expenses from PNMR Services Company (corporate allocation), that are not reflected in FERC 501 - FERC 935, are included in FERC 922.</t>
  </si>
  <si>
    <t>Below is a detail breakout of costs allocated to PNM from PNMR Services Company, that are reflected in FERC Form No. 1 in FERC 922.</t>
  </si>
  <si>
    <t xml:space="preserve"> Corporate Allocation Expenses, by FERC account from PNMR Services Company, reported in FERC 922:</t>
  </si>
  <si>
    <t>Note 3:  Taxes other than income from Corporate Allocation are allocated between payroll related, property related, and other, similar to classifications on PNM above.</t>
  </si>
  <si>
    <t>Taxes other than Income Taxes - Corporate Allocation</t>
  </si>
  <si>
    <t>Total FERC Account 454 - Rent from Electric Property</t>
  </si>
  <si>
    <t>Schedule 13 Direct Assignment</t>
  </si>
  <si>
    <t>input to Schedule 2 - ADIT</t>
  </si>
  <si>
    <t xml:space="preserve">Removal of ATRR for GFA </t>
  </si>
  <si>
    <t>See Third Party Transmission Worksheet</t>
  </si>
  <si>
    <t>Service credit is included in Section 8 of P0695</t>
  </si>
  <si>
    <t>60 MW Luna to Springerville</t>
  </si>
  <si>
    <t>High Lonesome Mesa</t>
  </si>
  <si>
    <t>Allocation of Regulatory Commission Expense to FERC Jurisdictional Class</t>
  </si>
  <si>
    <t>Allocation Factor for FERC Regulatory Commission Expenses</t>
  </si>
  <si>
    <t>Network Integration Transmission Service</t>
  </si>
  <si>
    <t>GFA</t>
  </si>
  <si>
    <t>OATT Firm PTP</t>
  </si>
  <si>
    <t>Cell N21</t>
  </si>
  <si>
    <t>Cell N27</t>
  </si>
  <si>
    <t>Cell N36</t>
  </si>
  <si>
    <t>Ave MW</t>
  </si>
  <si>
    <t>Allocated ATRR Including Allocated Regulatory Commission Expenses</t>
  </si>
  <si>
    <t>Non Jurisdictional</t>
  </si>
  <si>
    <t>Reduce GFA ATRR</t>
  </si>
  <si>
    <t>Reduce OATT Firm PTP ATRR</t>
  </si>
  <si>
    <t>Allocation of Short Term Firm PTP Transmission Sales</t>
  </si>
  <si>
    <t>Allocated ATRR Net of Short Term Firm PTP Sales Revenue</t>
  </si>
  <si>
    <t>Gross up of Regulatory Commission Expenses to Add to 100% ATRR</t>
  </si>
  <si>
    <t>ATRR for Network Transmission Service Customers with Regulatory Expenses</t>
  </si>
  <si>
    <t>Already Credited by Inclusion in Monthly LRS</t>
  </si>
  <si>
    <t>Allocation to Gallup</t>
  </si>
  <si>
    <t>Allocation to Navopache</t>
  </si>
  <si>
    <t>Allocation to Aztec</t>
  </si>
  <si>
    <t>%</t>
  </si>
  <si>
    <t>Annual Charge to Pro Rate Monthly to Gallup</t>
  </si>
  <si>
    <t>Annual Charge to Pro Rate Monthly to Navopache</t>
  </si>
  <si>
    <t>Annual Charge to Pro Rate Monthly to Aztec</t>
  </si>
  <si>
    <t>(line 50)</t>
  </si>
  <si>
    <t>(line 33)</t>
  </si>
  <si>
    <t>Pacificorp</t>
  </si>
  <si>
    <t>Schedule 15 - Interest Expense for Cost of Debt</t>
  </si>
  <si>
    <t>Interest for year - Long-Term Debt</t>
  </si>
  <si>
    <t>page 257, line 33, column i</t>
  </si>
  <si>
    <t>Recording of capitalized interest</t>
  </si>
  <si>
    <t>FERC 427, Interest on Long-Term Debt</t>
  </si>
  <si>
    <t>page 117, line 63, column c</t>
  </si>
  <si>
    <t>FERC 428.1, Amortization of Loss on Reacquired Debt</t>
  </si>
  <si>
    <t>page 117, line 64, column c</t>
  </si>
  <si>
    <t>Page 117, line 65, column c</t>
  </si>
  <si>
    <t>Less FERC 429, Amort. Of Gain of Premium on Debt (credit)</t>
  </si>
  <si>
    <t>Less FERC 429.1, Amort. Of Gain on Reacquired Debt (credit)</t>
  </si>
  <si>
    <t>Page 117, line 66, column c</t>
  </si>
  <si>
    <t>Amortization of Debt Related Hedge Loss</t>
  </si>
  <si>
    <t>FERC 425, Miscellaneous Amortization</t>
  </si>
  <si>
    <t>Total Interest Expense</t>
  </si>
  <si>
    <t>(sum of {A's})</t>
  </si>
  <si>
    <t>Schedule 15</t>
  </si>
  <si>
    <t>Note1: Credit recorded to FERC 427 for capitalized interest is excluded in calculation for annual interest expense to calculate average cost of debt.</t>
  </si>
  <si>
    <t xml:space="preserve">Note 2:  Interest expense includes the amortization of a hedge loss incurred in 2003 associated with the refinancing of $182 million of PCBs.  PNM had </t>
  </si>
  <si>
    <t xml:space="preserve">previously entered into various forward swaps to hedge the interest rate on the refinancing.    </t>
  </si>
  <si>
    <t>FERC 428, Amort. Of Debt Disc. And Expense</t>
  </si>
  <si>
    <t>Details of FERC 425 - Miscellaneous Amortization</t>
  </si>
  <si>
    <t>line 9, Rate Design worksheet</t>
  </si>
  <si>
    <t>(line 9 * allocation % on line 10)</t>
  </si>
  <si>
    <t>(line 9 * allocation % on line 11)</t>
  </si>
  <si>
    <t>(line 9 * allocation % on line 12)</t>
  </si>
  <si>
    <t>(line 10 + line 11 + line 12)</t>
  </si>
  <si>
    <t>(line 1 * allocation % on line 3)</t>
  </si>
  <si>
    <t>(line 1 * allocation % on line 4)</t>
  </si>
  <si>
    <t>(line 1 * allocation % on line 5)</t>
  </si>
  <si>
    <t>(line 1 * allocation % on line 6)</t>
  </si>
  <si>
    <t>(Line 4 + Line 5 + Line 6)</t>
  </si>
  <si>
    <t>(line 1 + line 15)</t>
  </si>
  <si>
    <t>(line 9 / (1 - allocation % on line 3))</t>
  </si>
  <si>
    <t>(line 23 * allocation % on line 24)</t>
  </si>
  <si>
    <t>(line 23 * allocation % on line 25)</t>
  </si>
  <si>
    <t>(line 23 * allocation % on line 26)</t>
  </si>
  <si>
    <t>(line 23 * allocation % on line 27)</t>
  </si>
  <si>
    <t>(line 24 + line 25 + line 26 + line 27)</t>
  </si>
  <si>
    <t>Check total to line 23</t>
  </si>
  <si>
    <t>Check total to line 9</t>
  </si>
  <si>
    <t>(Line 5 + Line 11)</t>
  </si>
  <si>
    <t>(Line 6 + Line 12)</t>
  </si>
  <si>
    <t>(Line 16)</t>
  </si>
  <si>
    <t>(Line 19 + Line 26)</t>
  </si>
  <si>
    <t>(Line 20 +Line 27)</t>
  </si>
  <si>
    <t>Check total to line 37</t>
  </si>
  <si>
    <t>Total Allocated to FERC Jurisdictional Classifications</t>
  </si>
  <si>
    <t>Assignment of Allocated Third Party Transmission Service Expense to Requirements Customers</t>
  </si>
  <si>
    <t>Federal Tax Factor (Rate/1-Rate), Federal Tax Rate = 35%</t>
  </si>
  <si>
    <t>Less Average Accumulated Depreciation Electric Plant In Service</t>
  </si>
  <si>
    <t>(line 15 / line 11)</t>
  </si>
  <si>
    <t>(line 18 / line 13)</t>
  </si>
  <si>
    <t>Note 3</t>
  </si>
  <si>
    <t>See Rate Design worksheet for Final ATRR including direct assigned expenses.</t>
  </si>
  <si>
    <t>Contract Demand</t>
  </si>
  <si>
    <t>Contract Demand (6 @ 107, 6 @ 91)</t>
  </si>
  <si>
    <t xml:space="preserve">Schedule 20 - Generation Demand Allocator </t>
  </si>
  <si>
    <t xml:space="preserve">Schedule 19 - Third Party Transmission Services </t>
  </si>
  <si>
    <t>Schedule 18 - Computation of Imputed Unrecovered Cost of WAPA Transmission Service</t>
  </si>
  <si>
    <t>Schedule 17 - Transmission Demand Allocator</t>
  </si>
  <si>
    <t>Schedule 16 - Rate Design Sheet</t>
  </si>
  <si>
    <t>P0695 Rate Calculation</t>
  </si>
  <si>
    <t>OATT Monthly PTP Rate</t>
  </si>
  <si>
    <t>Less Diversity Discount of 15%</t>
  </si>
  <si>
    <t>Less WAPa Credit</t>
  </si>
  <si>
    <t>Net P0695 Monthly PTP Rate</t>
  </si>
  <si>
    <t>See Schedule 13 for detail of direct assignment.</t>
  </si>
  <si>
    <t>Averages are based on 13-months.</t>
  </si>
  <si>
    <t>Adjusted Balance column reflects the reclassification or removal of directly assigned plant.</t>
  </si>
  <si>
    <t>Note:  PNM Resources, Inc. ("PNMR") holds assets that benefit its subsidiaries, including PNM.  Costs associated with these assets are allocated to subsidiaries of PNMR.  The assets have been allocated to PNM Transmission based</t>
  </si>
  <si>
    <t xml:space="preserve">on Cost Allocation Methods as reported to the New Mexico Public Regulation Commission ("NMPRC").  These allocations are updated annually and filed with the NMPRC. </t>
  </si>
  <si>
    <t>Below is a reconciliation of the December beginning and ending period balances to PNMR Services Company FERC Form No. 60.  All other amounts are from company records.</t>
  </si>
  <si>
    <t>Accumulated Depreciation is estimated based on estimated depreciation expense calculated under "Calculated Depreciation Expense".  Balance is accumulated by summarizing each months of projected depreciation expense.</t>
  </si>
  <si>
    <t>Under "Calculated Depreciation Expense on Projected Projects" depreciation expense is estimated utilizing the composite transmission depreciation rate.  Depreciation expense is calculated starting on the first month following the month placed in service.</t>
  </si>
  <si>
    <t>The composite transmission depreciation rate will be updated upon a new depreciation study performed by PNM, pursuant to protocols discussed in Attachment H-2.</t>
  </si>
  <si>
    <t>In the following section, a true-up calculation will be performed on projected plant from Year 1.  In Year 2, the actual plant in service original cost and in-service date, actual accumulated depreciation, depreciation expense, and ADIT balances will be calculated.</t>
  </si>
  <si>
    <t xml:space="preserve">Miscellaneous Deferred Debits are identified in the FERC Form No. 1.  Additional line items will be added or removed from schedule </t>
  </si>
  <si>
    <t>Other Deferred Credits are identified in the FERC Form No. 1.  Additional line items will be added or removed from schedule to reflect changes in other deferred credits.</t>
  </si>
  <si>
    <t>Note 1:  PNM will remove amounts paid to EPRI that are include in Operations and Maintenance Expense.</t>
  </si>
  <si>
    <t xml:space="preserve">Note 3:  Regulatory Commission Expenses are identified in the FERC Form No. 1.  Additional line items will be added or removed from schedule to reflect </t>
  </si>
  <si>
    <t>changes in regulatory commission expenses.</t>
  </si>
  <si>
    <t xml:space="preserve">Note 1:  Taxes other than income are identified in the FERC Form No. 1.  Additional line items will be added or removed from schedule to reflect </t>
  </si>
  <si>
    <t>Note:  Generation step up and interconnection facilities are reported in FERC Transmission Plant Accounts.  These amounts are reclassified to production plant.</t>
  </si>
  <si>
    <t>Generation step up Transformers</t>
  </si>
  <si>
    <t>Generator interconnection Facilities</t>
  </si>
  <si>
    <t>As necessary, other directly assigned facilities will be included.</t>
  </si>
  <si>
    <t>Preferred Dividends (enter as positive number)</t>
  </si>
  <si>
    <t>page 112, line 28, column d</t>
  </si>
  <si>
    <t>Alvarado Square Abandonment</t>
  </si>
  <si>
    <t>Unamort of Trans Rate Case</t>
  </si>
  <si>
    <t>January - December</t>
  </si>
  <si>
    <t>Renewable ITC basis difference</t>
  </si>
  <si>
    <t>Project 11</t>
  </si>
  <si>
    <t>Page 269, line 7, column b</t>
  </si>
  <si>
    <t>Page 269, line 7, column f</t>
  </si>
  <si>
    <t>Form 1, p 332, line 3, column e</t>
  </si>
  <si>
    <t>Form 1, p 332, line 7, column e</t>
  </si>
  <si>
    <t>page 117, line 44, column c</t>
  </si>
  <si>
    <t>Page 234 detail, Line 33</t>
  </si>
  <si>
    <t>Footnote to Page 276.1, Line 7k</t>
  </si>
  <si>
    <t>Footnote to Page 276.1, Line 7l</t>
  </si>
  <si>
    <t>Footnote to Page 276.1, Line 7m</t>
  </si>
  <si>
    <t>Footnote to page 256</t>
  </si>
  <si>
    <t>New Generation</t>
  </si>
  <si>
    <t>SJ SCRS/BART Alternatives</t>
  </si>
  <si>
    <t>Research &amp; Development Credit</t>
  </si>
  <si>
    <t>Tax Credit Carryforwards to be allocated</t>
  </si>
  <si>
    <t>Tax Credits related to renewables</t>
  </si>
  <si>
    <t>Tax Credit Carryforwards per Form 1</t>
  </si>
  <si>
    <t>Wholesale Generation Rate Case</t>
  </si>
  <si>
    <t>page 117, line 62, column c</t>
  </si>
  <si>
    <t>Navopache Electric Cooperative Net peak</t>
  </si>
  <si>
    <t>Parker Davis Allocation</t>
  </si>
  <si>
    <t>line 57, Attachment H-1</t>
  </si>
  <si>
    <t>line 90, Rate Design sheet</t>
  </si>
  <si>
    <t>line 91, Rate Design sheet</t>
  </si>
  <si>
    <t>line 92, Rate Design sheet</t>
  </si>
  <si>
    <t>line 93, Rate Design sheet</t>
  </si>
  <si>
    <t>Service Rate - KW Month</t>
  </si>
  <si>
    <t>Weighted Service Rate</t>
  </si>
  <si>
    <t>Note 5</t>
  </si>
  <si>
    <t>Note 6</t>
  </si>
  <si>
    <t>page 350, line 2, column d</t>
  </si>
  <si>
    <t>Other Specific Amortization costs</t>
  </si>
  <si>
    <t>Note 5:  PNM included in the formula rate recovery of certain rate case expenses incurred in FERC Docket Nos. ER13-685-000, et al, and ER13-690-000,et al. through December 31, 2013.</t>
  </si>
  <si>
    <t xml:space="preserve">PNM has included the amortization of these expenses over three years which will begin on June 1, 2014, concurrent with the implementation of this update. </t>
  </si>
  <si>
    <t>Note 4:  PNM received recovery of certain rate case expenses incurred related to FERC Docket No. ER11-1915-000,et al.  Amortization of expenses began in January 2013. PNM adjusted</t>
  </si>
  <si>
    <t xml:space="preserve">the historical FERC 928 regulatory commission expense to reflect the amortization of these expenses with the implementation of these formula rates.  </t>
  </si>
  <si>
    <t>Details of FERC 930.2 - Miscellaneous General Expenses</t>
  </si>
  <si>
    <t>Industry Association Dues</t>
  </si>
  <si>
    <t>page 335, line 1, column b</t>
  </si>
  <si>
    <t>Nuclear Power Research Expenses</t>
  </si>
  <si>
    <t>page 335, line 2, column b</t>
  </si>
  <si>
    <t>Other Experimental and General Research Expenses</t>
  </si>
  <si>
    <t>page 335, line 3, column b</t>
  </si>
  <si>
    <t>Pub &amp; Dist Info to Stkhldrs..,.expn servicing outstanding Securities</t>
  </si>
  <si>
    <t>page 335, line 4, column b</t>
  </si>
  <si>
    <t>Oth Expn &gt;=5,000 show purpose, recipient, amount. Group if &lt;$5,000</t>
  </si>
  <si>
    <t>page 335, line 5, column b</t>
  </si>
  <si>
    <t>Arizona Public Service Palo Verde Expense</t>
  </si>
  <si>
    <t>page 335, line 6, column b</t>
  </si>
  <si>
    <t>Arizona Public Service Four Corners Expense</t>
  </si>
  <si>
    <t>page 335, line 7, column b</t>
  </si>
  <si>
    <t>Legal Reserve</t>
  </si>
  <si>
    <t>page 335, line 8, column b</t>
  </si>
  <si>
    <t>Environmental Reserve</t>
  </si>
  <si>
    <t>page 335, line 9, column b</t>
  </si>
  <si>
    <t>page 335, line 10, column b</t>
  </si>
  <si>
    <t>page 335, line 11, column b</t>
  </si>
  <si>
    <t>page 335, line 12, column b</t>
  </si>
  <si>
    <t>Writeoff of Clearing Accounts</t>
  </si>
  <si>
    <t>Writeoff of Account Clean up</t>
  </si>
  <si>
    <t>Total FERC 930.2 - Miscellaneous General Expenses</t>
  </si>
  <si>
    <t>({B} + {C})</t>
  </si>
  <si>
    <t>Total Other Non-Transmission Expenses</t>
  </si>
  <si>
    <t>({A} + {C})</t>
  </si>
  <si>
    <t>Less Other Non-Transmission Expenses</t>
  </si>
  <si>
    <t>Less Direct Assignment Related A&amp;G</t>
  </si>
  <si>
    <t>Allocation of A&amp;G to Direct Assignment</t>
  </si>
  <si>
    <t>A&amp;G Allocator</t>
  </si>
  <si>
    <t>O&amp;M - Direct Assigned</t>
  </si>
  <si>
    <t>Account 562 - Operation Station Expenses</t>
  </si>
  <si>
    <t>Account 563 - Overhead Line Expenses</t>
  </si>
  <si>
    <t>Account 571 - Maintenance of Overhead Lines</t>
  </si>
  <si>
    <t>Account 570 - Maintenance of Station Equipment</t>
  </si>
  <si>
    <t>TOTI - Directly Assigned</t>
  </si>
  <si>
    <t>Ad Valorem Taxes</t>
  </si>
  <si>
    <t>Account</t>
  </si>
  <si>
    <t>line 98, Attachment H-1</t>
  </si>
  <si>
    <t>Less Direct Assignment Related O&amp;M</t>
  </si>
  <si>
    <t>Less Unappropriated Undistributed Subsidiary Earnings</t>
  </si>
  <si>
    <t>Less Goodwill</t>
  </si>
  <si>
    <t>page 112, line 12, column c</t>
  </si>
  <si>
    <t>Less Depreciation Expense Related to Settlement Adjustment</t>
  </si>
  <si>
    <t>Schedule 1C - Settlement Adjustment</t>
  </si>
  <si>
    <t>Transmission Related Account 242 Balances</t>
  </si>
  <si>
    <t>Wages Payable (242001)</t>
  </si>
  <si>
    <t>United Way (242003)</t>
  </si>
  <si>
    <t>Deferred Wages (242008)</t>
  </si>
  <si>
    <t>Vacation (242010)</t>
  </si>
  <si>
    <t>Illness (242011)</t>
  </si>
  <si>
    <t>Holiday (242012)</t>
  </si>
  <si>
    <t>ESC Wellness Room (242034)</t>
  </si>
  <si>
    <t>EIP Lease Accrual (242046)</t>
  </si>
  <si>
    <t>Current Pension Liability - Non Qualified (242361)</t>
  </si>
  <si>
    <t>Sub-Total</t>
  </si>
  <si>
    <t>Total Transmission Related Account 242 Balances</t>
  </si>
  <si>
    <t>Non-Transmission Related Account 242 Balances</t>
  </si>
  <si>
    <t>Misc Current and Accrued (242000)</t>
  </si>
  <si>
    <t>PV Lease Accrual (242050</t>
  </si>
  <si>
    <t>Total Non-Transmission Related Account 242 Balances</t>
  </si>
  <si>
    <t>Total Account 242 Balances</t>
  </si>
  <si>
    <t>{E}</t>
  </si>
  <si>
    <t>Average Balance Transmission Related Account 242 Balances</t>
  </si>
  <si>
    <t>({D} + {E} / 2) * -1</t>
  </si>
  <si>
    <t>{F}</t>
  </si>
  <si>
    <t>({C} + {F})</t>
  </si>
  <si>
    <t>Transmission Plant</t>
  </si>
  <si>
    <t>Depreciation, calc at avg. rate</t>
  </si>
  <si>
    <t>Depreciation, per new study</t>
  </si>
  <si>
    <t>Change in Depreciation</t>
  </si>
  <si>
    <t>Change in Gross Plant</t>
  </si>
  <si>
    <t>Change in Accumulated Depreciation</t>
  </si>
  <si>
    <t>Impact to ADIT balances</t>
  </si>
  <si>
    <t>Gross Plant</t>
  </si>
  <si>
    <t>Increase / (Decrease)</t>
  </si>
  <si>
    <t>AFUDC Accrual on CWIP per ER11-1915</t>
  </si>
  <si>
    <t>CWIP in Rate Base as of June 1, 2011</t>
  </si>
  <si>
    <t>Additional AFUDC Debt, excluded per ER11-1915</t>
  </si>
  <si>
    <t>Additional AFUDC Equity, excluded per ER11-1915</t>
  </si>
  <si>
    <t>Total Adjustment Amount</t>
  </si>
  <si>
    <t>Annual Depreciation Rate</t>
  </si>
  <si>
    <t>Depreciation Expense</t>
  </si>
  <si>
    <t>Accumulated Depreciation Balance</t>
  </si>
  <si>
    <t>Net Plant in Service Balance</t>
  </si>
  <si>
    <t>ADIT Impact on AFUDC adjustment</t>
  </si>
  <si>
    <t>PV Commons</t>
  </si>
  <si>
    <t>Substations</t>
  </si>
  <si>
    <t>Settlement Adjustment</t>
  </si>
  <si>
    <t>Dual Use</t>
  </si>
  <si>
    <t>Underbuild</t>
  </si>
  <si>
    <t>Total Property Tax Costs Allocated to Transmission before Direct Assigned</t>
  </si>
  <si>
    <t>Direct Assigned Property Taxes</t>
  </si>
  <si>
    <t>line 144, Attachment H-1</t>
  </si>
  <si>
    <t>Schedule 3 Transmission Wages Expense</t>
  </si>
  <si>
    <t>Direct assigned O&amp;M labor</t>
  </si>
  <si>
    <t>Total Transmission Wages Expense</t>
  </si>
  <si>
    <t>line 2, Attachment H-1</t>
  </si>
  <si>
    <t>Schedule 3</t>
  </si>
  <si>
    <t>Line Terminal Description</t>
  </si>
  <si>
    <t xml:space="preserve"> Circuit</t>
  </si>
  <si>
    <t xml:space="preserve"> SD</t>
  </si>
  <si>
    <t>Miles</t>
  </si>
  <si>
    <t>Tax District</t>
  </si>
  <si>
    <t>Annual Depreciation Expense</t>
  </si>
  <si>
    <t>Cornell</t>
  </si>
  <si>
    <t xml:space="preserve"> SP Line Tap</t>
  </si>
  <si>
    <t xml:space="preserve"> CN</t>
  </si>
  <si>
    <t>004</t>
  </si>
  <si>
    <t>Coal</t>
  </si>
  <si>
    <t xml:space="preserve"> CO</t>
  </si>
  <si>
    <t>002</t>
  </si>
  <si>
    <t>Wesmeco</t>
  </si>
  <si>
    <t xml:space="preserve"> WC</t>
  </si>
  <si>
    <t>001</t>
  </si>
  <si>
    <t>Juan Tabo</t>
  </si>
  <si>
    <t xml:space="preserve"> Embudo</t>
  </si>
  <si>
    <t xml:space="preserve"> EJ</t>
  </si>
  <si>
    <t>Lawrence</t>
  </si>
  <si>
    <t xml:space="preserve"> SE Line Tap</t>
  </si>
  <si>
    <t xml:space="preserve"> LW</t>
  </si>
  <si>
    <t>Jefferson</t>
  </si>
  <si>
    <t xml:space="preserve"> AB Line Tap</t>
  </si>
  <si>
    <t xml:space="preserve"> JT</t>
  </si>
  <si>
    <t>293</t>
  </si>
  <si>
    <t>Montano</t>
  </si>
  <si>
    <t xml:space="preserve"> PN Line Tap </t>
  </si>
  <si>
    <t xml:space="preserve"> MP</t>
  </si>
  <si>
    <t>Montgomery Plaza</t>
  </si>
  <si>
    <t xml:space="preserve"> TL Line Tap</t>
  </si>
  <si>
    <t>None</t>
  </si>
  <si>
    <t>Unser</t>
  </si>
  <si>
    <t xml:space="preserve"> KM Line Tap</t>
  </si>
  <si>
    <t>061</t>
  </si>
  <si>
    <t>Lomas</t>
  </si>
  <si>
    <t xml:space="preserve"> Prager Sub</t>
  </si>
  <si>
    <t xml:space="preserve"> PL</t>
  </si>
  <si>
    <t>San Lucas</t>
  </si>
  <si>
    <t xml:space="preserve"> MA Line tap</t>
  </si>
  <si>
    <t xml:space="preserve"> LS</t>
  </si>
  <si>
    <t>Marquez</t>
  </si>
  <si>
    <t xml:space="preserve"> KC</t>
  </si>
  <si>
    <t>Church Rock</t>
  </si>
  <si>
    <t xml:space="preserve"> AY Line tap</t>
  </si>
  <si>
    <t xml:space="preserve"> CM</t>
  </si>
  <si>
    <t>Lost Horizon</t>
  </si>
  <si>
    <t xml:space="preserve"> BW Line Tap</t>
  </si>
  <si>
    <t xml:space="preserve"> LO</t>
  </si>
  <si>
    <t>Coal Mine NTUA</t>
  </si>
  <si>
    <t>Yah-Ta-Hey</t>
  </si>
  <si>
    <t>YN</t>
  </si>
  <si>
    <t>Segement from switch to Coal Mine</t>
  </si>
  <si>
    <t>El Dorado</t>
  </si>
  <si>
    <t xml:space="preserve"> SL Line Tap </t>
  </si>
  <si>
    <t xml:space="preserve"> ES</t>
  </si>
  <si>
    <t>410</t>
  </si>
  <si>
    <t>South Pacheco</t>
  </si>
  <si>
    <t xml:space="preserve"> Zia Switching Sta</t>
  </si>
  <si>
    <t xml:space="preserve"> ZF</t>
  </si>
  <si>
    <t>372</t>
  </si>
  <si>
    <t>Mejia</t>
  </si>
  <si>
    <t xml:space="preserve"> NS Line Tap</t>
  </si>
  <si>
    <t xml:space="preserve"> ZN</t>
  </si>
  <si>
    <t>Arriba</t>
  </si>
  <si>
    <t>Gallinas</t>
  </si>
  <si>
    <t xml:space="preserve"> AA</t>
  </si>
  <si>
    <t>353</t>
  </si>
  <si>
    <t>includes Gallinas to VS Line Tap</t>
  </si>
  <si>
    <t>Cuchilla</t>
  </si>
  <si>
    <t xml:space="preserve"> RS Line Tap</t>
  </si>
  <si>
    <t xml:space="preserve"> RC</t>
  </si>
  <si>
    <t>Signetics</t>
  </si>
  <si>
    <t>Avila</t>
  </si>
  <si>
    <t xml:space="preserve"> RB Line Tap</t>
  </si>
  <si>
    <t xml:space="preserve"> AV</t>
  </si>
  <si>
    <t>307</t>
  </si>
  <si>
    <t>North Bernalilo</t>
  </si>
  <si>
    <t>290</t>
  </si>
  <si>
    <t>Turquois</t>
  </si>
  <si>
    <t xml:space="preserve"> PD Tyrone</t>
  </si>
  <si>
    <t xml:space="preserve"> TY</t>
  </si>
  <si>
    <t>122</t>
  </si>
  <si>
    <t>Hondale</t>
  </si>
  <si>
    <t xml:space="preserve"> Hermanas</t>
  </si>
  <si>
    <t>201</t>
  </si>
  <si>
    <t>3 segments of MW line</t>
  </si>
  <si>
    <t>Sara 1&amp;2</t>
  </si>
  <si>
    <t xml:space="preserve"> Corrales Bluffs</t>
  </si>
  <si>
    <t xml:space="preserve"> CS</t>
  </si>
  <si>
    <t>297</t>
  </si>
  <si>
    <t>combined both segments</t>
  </si>
  <si>
    <t>Sara 3&amp;4</t>
  </si>
  <si>
    <t xml:space="preserve"> CT</t>
  </si>
  <si>
    <t>Gavilan</t>
  </si>
  <si>
    <t xml:space="preserve"> Hollywood</t>
  </si>
  <si>
    <t>HG</t>
  </si>
  <si>
    <t>Included in Hondale-Hermanas</t>
  </si>
  <si>
    <t>Hermanas</t>
  </si>
  <si>
    <t xml:space="preserve"> MK Line Tap</t>
  </si>
  <si>
    <t xml:space="preserve"> MW</t>
  </si>
  <si>
    <t>combined to 11.29</t>
  </si>
  <si>
    <t>MK Line Tap</t>
  </si>
  <si>
    <t xml:space="preserve"> Mimbres</t>
  </si>
  <si>
    <t>Included in Arriba-Gallinas</t>
  </si>
  <si>
    <t xml:space="preserve"> VS Line Tap</t>
  </si>
  <si>
    <t>combined to 3.76</t>
  </si>
  <si>
    <t>Transmission voltage facilities with Zero Net Book Value in Transmission Plant in Service</t>
  </si>
  <si>
    <t>Truman</t>
  </si>
  <si>
    <t xml:space="preserve"> TR</t>
  </si>
  <si>
    <t>Menaul</t>
  </si>
  <si>
    <t xml:space="preserve"> Inez</t>
  </si>
  <si>
    <t xml:space="preserve"> MT</t>
  </si>
  <si>
    <t>Indian Hospital</t>
  </si>
  <si>
    <t xml:space="preserve"> HW Line Tap</t>
  </si>
  <si>
    <t xml:space="preserve"> UT</t>
  </si>
  <si>
    <t>Lenkurt</t>
  </si>
  <si>
    <t xml:space="preserve"> EB Line Tap</t>
  </si>
  <si>
    <t xml:space="preserve"> LU</t>
  </si>
  <si>
    <t>Eastridge</t>
  </si>
  <si>
    <t xml:space="preserve"> ET</t>
  </si>
  <si>
    <t>Claremont</t>
  </si>
  <si>
    <t xml:space="preserve"> PN Line Tap</t>
  </si>
  <si>
    <t xml:space="preserve"> CL</t>
  </si>
  <si>
    <t>UNM North</t>
  </si>
  <si>
    <t xml:space="preserve"> UT Line Tap</t>
  </si>
  <si>
    <t>UT</t>
  </si>
  <si>
    <t>UNM Central</t>
  </si>
  <si>
    <t>Cottonwood</t>
  </si>
  <si>
    <t xml:space="preserve"> IC Line Tap</t>
  </si>
  <si>
    <t>CW</t>
  </si>
  <si>
    <t>Deming West/East</t>
  </si>
  <si>
    <t xml:space="preserve"> Gold</t>
  </si>
  <si>
    <t>DM</t>
  </si>
  <si>
    <t>Gold</t>
  </si>
  <si>
    <t xml:space="preserve"> Deming</t>
  </si>
  <si>
    <t>Deming</t>
  </si>
  <si>
    <t>Transmission Voltage Facilities Directly Assigned to City of Gallup</t>
  </si>
  <si>
    <t>Noe</t>
  </si>
  <si>
    <t xml:space="preserve"> EG Line Tap </t>
  </si>
  <si>
    <t xml:space="preserve"> NO</t>
  </si>
  <si>
    <t>NO Line Tap</t>
  </si>
  <si>
    <t xml:space="preserve"> AY Line Tap</t>
  </si>
  <si>
    <t xml:space="preserve"> EG</t>
  </si>
  <si>
    <t>Sunshine</t>
  </si>
  <si>
    <t xml:space="preserve"> NO Line Tap </t>
  </si>
  <si>
    <t>Allison</t>
  </si>
  <si>
    <t xml:space="preserve"> WG</t>
  </si>
  <si>
    <t>Total Line Miles</t>
  </si>
  <si>
    <t>Line 31 - plant Balance Removed</t>
  </si>
  <si>
    <t>Line 55 - zero plant balance</t>
  </si>
  <si>
    <t>Line 61 - Gallup line taps</t>
  </si>
  <si>
    <t>Allocation of Radial Line O&amp;M</t>
  </si>
  <si>
    <t>Total Radial Lines</t>
  </si>
  <si>
    <t>Direct Assigned</t>
  </si>
  <si>
    <t>Allocated to D.A.</t>
  </si>
  <si>
    <t>Allocated O&amp;M to Radial Lines</t>
  </si>
  <si>
    <t>Allocation of 115kV O&amp;M</t>
  </si>
  <si>
    <t>Allocation of Underbuild O&amp;M</t>
  </si>
  <si>
    <t>Split 75% to Structures</t>
  </si>
  <si>
    <t>Total Structures Maintained by PNM</t>
  </si>
  <si>
    <t>Underbuild Structures</t>
  </si>
  <si>
    <t>Allocate O&amp;M to Underbuild</t>
  </si>
  <si>
    <t>Settlement Adjustments</t>
  </si>
  <si>
    <t>Total Settlement Adjustments</t>
  </si>
  <si>
    <t>Schedule 1C</t>
  </si>
  <si>
    <t>EPRI &amp; EEI Dues</t>
  </si>
  <si>
    <t>Direct Assignment Related A&amp;G</t>
  </si>
  <si>
    <t>Navopache Electric Cooperative Net of WAPA &amp; PD</t>
  </si>
  <si>
    <t>Navopache Electric Cooperative Net of PD</t>
  </si>
  <si>
    <t>Navopache Electric Cooperative PD adjustment</t>
  </si>
  <si>
    <t>line 109, Attachment H-1</t>
  </si>
  <si>
    <t>line 133, Attachment H-1</t>
  </si>
  <si>
    <t>line 108, Attachment H-1</t>
  </si>
  <si>
    <t>line 102, Attachment H-1</t>
  </si>
  <si>
    <t>line 166, Attachment H-1</t>
  </si>
  <si>
    <t>line 183, Attachment H-1</t>
  </si>
  <si>
    <t>line 173, Attachment H-1</t>
  </si>
  <si>
    <t>line 275, Attachment H-1</t>
  </si>
  <si>
    <t>line 127, Attachment H-1</t>
  </si>
  <si>
    <t>line 31, Schedule 10</t>
  </si>
  <si>
    <t>line 215, Attachment H-1</t>
  </si>
  <si>
    <t>Tax Depreciation Expense</t>
  </si>
  <si>
    <t>Accumulated Tax Depreciation Balance</t>
  </si>
  <si>
    <t>Net Tax Plant Balance</t>
  </si>
  <si>
    <t xml:space="preserve">Actual </t>
  </si>
  <si>
    <t>Adjustment</t>
  </si>
  <si>
    <t>Actual</t>
  </si>
  <si>
    <t>Projected Plant In Service at end of Current Year Adjustment</t>
  </si>
  <si>
    <t>Accumulated Depreciation Projected at end of Current Year Adjustment</t>
  </si>
  <si>
    <t>Accumulated Deferred Income Taxes Projected at end of Current Year Adjustment</t>
  </si>
  <si>
    <t>(line 65 + line 69 + line 71 + line 80 + line 84 + line 86)</t>
  </si>
  <si>
    <t>Page 321, line 84 through line 92, column b</t>
  </si>
  <si>
    <t>(line 95 - line 96 - line 97-line 98)</t>
  </si>
  <si>
    <t>(line 110 * line 111)</t>
  </si>
  <si>
    <t>(line 103)</t>
  </si>
  <si>
    <t>(line 114 * line 115)</t>
  </si>
  <si>
    <t>(line 99 + line 112 + line 116)</t>
  </si>
  <si>
    <t>Projected Plant Depreciation Expense for Current Year Adjustment</t>
  </si>
  <si>
    <t>(sum line 123 through 127)</t>
  </si>
  <si>
    <t>(sum of line 130 through line 133)</t>
  </si>
  <si>
    <t>(line 134 * line 135)</t>
  </si>
  <si>
    <t>(line 128 + line 136)</t>
  </si>
  <si>
    <t>Native American Taxes Allocated to Transmission</t>
  </si>
  <si>
    <t>(sum line 143 through 145)</t>
  </si>
  <si>
    <t>(line 249)</t>
  </si>
  <si>
    <t>(line 246)</t>
  </si>
  <si>
    <t>(line 163 * line 164 * -1)</t>
  </si>
  <si>
    <t>(line 165 + line 166)</t>
  </si>
  <si>
    <t>(line 160 + line 167)</t>
  </si>
  <si>
    <t>(line 172 + line 173)</t>
  </si>
  <si>
    <t>(line 169 + line 174)</t>
  </si>
  <si>
    <t>(line 177 * line 178)</t>
  </si>
  <si>
    <t>(line 173)</t>
  </si>
  <si>
    <t>(sum line 182 through 184)</t>
  </si>
  <si>
    <t>(line 179 + line 185)</t>
  </si>
  <si>
    <t>(line 160)</t>
  </si>
  <si>
    <t>(line 166)</t>
  </si>
  <si>
    <t>Less: EIP Prepaid Tax Reversal</t>
  </si>
  <si>
    <t>(line 183 * -1)</t>
  </si>
  <si>
    <t>(line 187)</t>
  </si>
  <si>
    <t>(sum of line 194 through line 197)</t>
  </si>
  <si>
    <t>(line 191 + line 198)</t>
  </si>
  <si>
    <t>(line 200)</t>
  </si>
  <si>
    <t>(line 203 * line 204)</t>
  </si>
  <si>
    <t>(line 187 + line 206)</t>
  </si>
  <si>
    <t>(line 118 + line 138 + line 147 + line 208)</t>
  </si>
  <si>
    <t>(line 215)</t>
  </si>
  <si>
    <t>(line 221-SUM(line 222: line225)</t>
  </si>
  <si>
    <t>(line 230)</t>
  </si>
  <si>
    <t>(line 222)</t>
  </si>
  <si>
    <t>(line 226)</t>
  </si>
  <si>
    <t>(sum line 233 through 235)</t>
  </si>
  <si>
    <t>(line 233 / line 236)</t>
  </si>
  <si>
    <t>(line 234 / line 236)</t>
  </si>
  <si>
    <t>(line 235 / line 236)</t>
  </si>
  <si>
    <t>(line 215 / line 233)</t>
  </si>
  <si>
    <t>(line 218 / line 234)</t>
  </si>
  <si>
    <t>(line 240 * line 244)</t>
  </si>
  <si>
    <t>(sum line 246 through 248)</t>
  </si>
  <si>
    <t>(line 90 * line 249)</t>
  </si>
  <si>
    <t>(line 118)</t>
  </si>
  <si>
    <t>(line 138)</t>
  </si>
  <si>
    <t>(line 147)</t>
  </si>
  <si>
    <t>(line 208)</t>
  </si>
  <si>
    <t>(line 251)</t>
  </si>
  <si>
    <t>(sum of line 257 through line 262)</t>
  </si>
  <si>
    <t>(line 264)</t>
  </si>
  <si>
    <t>(sum of line 272 through line 275)</t>
  </si>
  <si>
    <t>(line 266 - line 276)</t>
  </si>
  <si>
    <t>(line 280)</t>
  </si>
  <si>
    <t>Note 2 &amp; 3</t>
  </si>
  <si>
    <t>Note 2 &amp; 4</t>
  </si>
  <si>
    <t>Note 7</t>
  </si>
  <si>
    <t>Note 8</t>
  </si>
  <si>
    <t>Note 9</t>
  </si>
  <si>
    <t>Note 10</t>
  </si>
  <si>
    <t>Note 11</t>
  </si>
  <si>
    <t>line 105, Attachment H-1</t>
  </si>
  <si>
    <t>Amount reflects 13-month average balances.</t>
  </si>
  <si>
    <t>Amount reflects the average of beginning of year and end of year balances.</t>
  </si>
  <si>
    <t xml:space="preserve">Schedule 8 will be updated annually to reflect all Deferred Credits and the appropriate allocations to the </t>
  </si>
  <si>
    <t>transmission and non-transmission functions.</t>
  </si>
  <si>
    <t xml:space="preserve">Schedule 8 will be updated annually to reflect all sub-accounts related to Injuries and Damages (Account 242) </t>
  </si>
  <si>
    <t>and the appropriate allocations to the transmission and non-transmission functions.</t>
  </si>
  <si>
    <t>Amount includes all Regulatory Commission Expenses.</t>
  </si>
  <si>
    <t>To be entered as a positive amount.</t>
  </si>
  <si>
    <t>The depreciation rates will not change without a filing at FERC under Sections 205 or 206 of the FPA.</t>
  </si>
  <si>
    <t xml:space="preserve">To the extent the tax rates change during a calendar year, the average tax rate will be used.  The average tax rate will be computed based on the </t>
  </si>
  <si>
    <t>number of days each tax rate was effective during the calendar year.</t>
  </si>
  <si>
    <t>The rate of return on common equity will not change without a filing at FERC under Sections 205 or 206 of the FPA.</t>
  </si>
  <si>
    <t>See Schedule 16 - Rate Design worksheet for allocation of revenue credits applicable only to point-to-point customers.</t>
  </si>
  <si>
    <t>Schedule 1C - Settlement Adjustments</t>
  </si>
  <si>
    <t>({A})</t>
  </si>
  <si>
    <t>Category</t>
  </si>
  <si>
    <t>Page</t>
  </si>
  <si>
    <t>Prior Yr. Col.</t>
  </si>
  <si>
    <t>Curr. Yr. Col.</t>
  </si>
  <si>
    <t>Beginning Balance/Prior Year Amount</t>
  </si>
  <si>
    <t>Adjustments</t>
  </si>
  <si>
    <t>Beginning Balance / Prior Year Amount (Net of Adjustments)</t>
  </si>
  <si>
    <t>Ending Balance/ Current Year Amount</t>
  </si>
  <si>
    <t>Ending Balance/ Current Year Amount (Net of Adjustments)</t>
  </si>
  <si>
    <t>Comments Regarding Adjustments</t>
  </si>
  <si>
    <t>FERC Form 1, 112.3.c</t>
  </si>
  <si>
    <t>Preferred Stock Issued</t>
  </si>
  <si>
    <t>c</t>
  </si>
  <si>
    <t>FERC Form 1, 112.12.c</t>
  </si>
  <si>
    <t>Unappropriated Undistributed Sub Earnings</t>
  </si>
  <si>
    <t>FERC Form 1, 112.15.c</t>
  </si>
  <si>
    <t>Accumulated Other Comprehensive Income</t>
  </si>
  <si>
    <t>FERC Form 1, 112.16.c</t>
  </si>
  <si>
    <t>Proprietary Captial</t>
  </si>
  <si>
    <t>FERC Form 1, 112.24.c</t>
  </si>
  <si>
    <t>FERC Form 1, 117.44.c</t>
  </si>
  <si>
    <t>Miscellaneous Amortization</t>
  </si>
  <si>
    <t>FERC Form 1, 117.63.c</t>
  </si>
  <si>
    <t>Amort. Of Debt Disc. And Expense</t>
  </si>
  <si>
    <t>FERC Form 1, 117.64.c</t>
  </si>
  <si>
    <t>Amortization of Loss on Reaquired Debt</t>
  </si>
  <si>
    <t>FERC Form 1, 117.65.c</t>
  </si>
  <si>
    <t>Amort/ of Premium on Debt-Credit</t>
  </si>
  <si>
    <t>FERC Form 1, 117.66.c</t>
  </si>
  <si>
    <t>Amortization of Gain on Reaquired Debt-Credit</t>
  </si>
  <si>
    <t>FERC Form 1, 118.24.c</t>
  </si>
  <si>
    <t>Preferred Dividends-4.58% Cumulative</t>
  </si>
  <si>
    <t>FERC Form 1, 200.21.c</t>
  </si>
  <si>
    <t>Intangible Depreciation Reserve</t>
  </si>
  <si>
    <t>b</t>
  </si>
  <si>
    <t>FERC Form 1, 204-205, 5, (b) &amp; (g)</t>
  </si>
  <si>
    <t xml:space="preserve">Intangible Plant </t>
  </si>
  <si>
    <t>204-205</t>
  </si>
  <si>
    <t>g</t>
  </si>
  <si>
    <t>FERC Form 1, 204-205, 46, (b) &amp; (g)</t>
  </si>
  <si>
    <t xml:space="preserve">Production Plant </t>
  </si>
  <si>
    <t>FERC Form 1, 206-207, 58, (b) &amp; (g)</t>
  </si>
  <si>
    <t xml:space="preserve">Transmission Plant </t>
  </si>
  <si>
    <t>206-207</t>
  </si>
  <si>
    <t>FERC Form 1, 206-207, 75, (b) &amp; (g)</t>
  </si>
  <si>
    <t>Distribution Plant</t>
  </si>
  <si>
    <t>FERC Form 1, 206-207, 99, (b) &amp; (g)</t>
  </si>
  <si>
    <t xml:space="preserve">General Plant </t>
  </si>
  <si>
    <t>FERC Form 1, 219.25.b</t>
  </si>
  <si>
    <t>Transmission Depreciation Reserve</t>
  </si>
  <si>
    <t>FERC Form 1, 219.26.b</t>
  </si>
  <si>
    <t>Distribution Depreciation Reserve</t>
  </si>
  <si>
    <t>FERC Form 1, 219.28.b</t>
  </si>
  <si>
    <t>General Depreciation Reserve</t>
  </si>
  <si>
    <t>FERC Form 1, 219.20-24.b</t>
  </si>
  <si>
    <t>Production Depreciation Reserve</t>
  </si>
  <si>
    <t>20-24</t>
  </si>
  <si>
    <t>FERC Form 1, 227.5, 227.9, 227.11, (b) &amp; (c )</t>
  </si>
  <si>
    <t>Materials and Supplies- Other</t>
  </si>
  <si>
    <t>5,9,11</t>
  </si>
  <si>
    <t>FERC Form 1, 227.7.b, 227.7.c</t>
  </si>
  <si>
    <t>Materials and Supplies- Production</t>
  </si>
  <si>
    <t>FERC Form 1, 227.8.b, 227.8.c</t>
  </si>
  <si>
    <t>Materials and Supplies- Transmission</t>
  </si>
  <si>
    <t>f</t>
  </si>
  <si>
    <t>FERC Form 1, 257.33.i</t>
  </si>
  <si>
    <t>Total Long-Term Debt Interest</t>
  </si>
  <si>
    <t>i</t>
  </si>
  <si>
    <t>FERC Form 1, 263.2.i</t>
  </si>
  <si>
    <t>Taxes Accrued-FICA</t>
  </si>
  <si>
    <t>FERC Form 1, 263.3.i</t>
  </si>
  <si>
    <t>Taxes Accrued-FUTA</t>
  </si>
  <si>
    <t>FERC Form 1, 263.11.i</t>
  </si>
  <si>
    <t>Taxes Accrued-SUTA</t>
  </si>
  <si>
    <t>FERC Form 1, 263.14.i</t>
  </si>
  <si>
    <t>Taxes Accrued-Ad Valorem</t>
  </si>
  <si>
    <t>FERC Form 1, 263.29.i</t>
  </si>
  <si>
    <t>Taxes Accrued-Miscellaneous</t>
  </si>
  <si>
    <t>561.1 Load Dispatch Reliability</t>
  </si>
  <si>
    <t>561.2 Load Dispatch Monitor and Operate Trans System</t>
  </si>
  <si>
    <t>561.3 Load Dispatch Trans Service &amp; Scheduling</t>
  </si>
  <si>
    <t>561.4 Scheduling System Control and Dispatch Services</t>
  </si>
  <si>
    <t>561.5 Reliability Planning</t>
  </si>
  <si>
    <t>561.6 Transmission Service</t>
  </si>
  <si>
    <t>561.7 Generation Interconnect Studies</t>
  </si>
  <si>
    <t xml:space="preserve"> Transmission of Electricity by Others</t>
  </si>
  <si>
    <t>FERC Form 1, 321.112.b</t>
  </si>
  <si>
    <t>Transmission O&amp;M Expense</t>
  </si>
  <si>
    <t>FERC Form 1, 323.185.b</t>
  </si>
  <si>
    <t>Property Insurance</t>
  </si>
  <si>
    <t>FERC Form 1, 323.189.b</t>
  </si>
  <si>
    <t>Regulatory Commission Expense</t>
  </si>
  <si>
    <t>FERC Form 1, 323.197.b</t>
  </si>
  <si>
    <t>A&amp;G Expense</t>
  </si>
  <si>
    <t>FERC Form 1, 336.1.f</t>
  </si>
  <si>
    <t>Depr. &amp; Amort. -Intangible Plant</t>
  </si>
  <si>
    <t>FERC Form 1, 336.7.f</t>
  </si>
  <si>
    <t>Depr. &amp; Amort. -Transmission Plant</t>
  </si>
  <si>
    <t>FERC Form 1, 336.10.f</t>
  </si>
  <si>
    <t>Depr. &amp; Amort. -General Plant</t>
  </si>
  <si>
    <t>FERC Form 1 354.21.b</t>
  </si>
  <si>
    <t>Transmission O&amp;M Labor</t>
  </si>
  <si>
    <t>FERC Form 1 354.27.b</t>
  </si>
  <si>
    <t>A&amp;G Labor</t>
  </si>
  <si>
    <t>FERC Form 1 354.28.b</t>
  </si>
  <si>
    <t>Total Oper. And Maint.</t>
  </si>
  <si>
    <t>For Rates in Effect</t>
  </si>
  <si>
    <t>FERC Form 1, 321.85.b</t>
  </si>
  <si>
    <t>FERC Form 1, 321.86.b</t>
  </si>
  <si>
    <t>FERC Form 1, 321.87.b</t>
  </si>
  <si>
    <t>FERC Form 1, 321.88.b</t>
  </si>
  <si>
    <t>FERC Form 1, 321.89.b</t>
  </si>
  <si>
    <t>FERC Form 1, 321.90.b</t>
  </si>
  <si>
    <t>FERC Form 1, 321.91.b</t>
  </si>
  <si>
    <t>FERC Form 1, 321.96.b</t>
  </si>
  <si>
    <t>FERC Form 1 data from Year/Period of Report:</t>
  </si>
  <si>
    <t>Not used</t>
  </si>
  <si>
    <t>Renewable Investment Tax Credit Amortization</t>
  </si>
  <si>
    <t>FERC 403 Depreciation Expense</t>
  </si>
  <si>
    <t>FERC 404 Amortization Expense</t>
  </si>
  <si>
    <t>FERC 408 Taxes other than income</t>
  </si>
  <si>
    <t>FERC 416 M&amp;J</t>
  </si>
  <si>
    <t>FERC 418 Nonoperating rental income</t>
  </si>
  <si>
    <t>FERC 421 Misc Nonoperating income</t>
  </si>
  <si>
    <t>FERC 426 Other deductions</t>
  </si>
  <si>
    <t>FERC 427 Interest on long term debt</t>
  </si>
  <si>
    <t>FERC 454 Rent from electric property</t>
  </si>
  <si>
    <t>Summary</t>
  </si>
  <si>
    <t>Firm Requirements Allocation for third Party transmission-including NEC</t>
  </si>
  <si>
    <t>Firm Requirements Allocation for third Party transmission-excluding NEC</t>
  </si>
  <si>
    <t>Third Party Transmission Allocator 1</t>
  </si>
  <si>
    <t>Third Party Transmission Allocator 2</t>
  </si>
  <si>
    <t>Note (1)</t>
  </si>
  <si>
    <t>Navopache Electric Cooperative PV-Cholla adjustment</t>
  </si>
  <si>
    <t>Phase in factor*</t>
  </si>
  <si>
    <t>Year rate becomes effective:</t>
  </si>
  <si>
    <t>2020 &amp; beyond</t>
  </si>
  <si>
    <t>*Phase in factor:</t>
  </si>
  <si>
    <t xml:space="preserve">(1) NEC metered loads are net of WAPA in months when the WAPA transmission delivery path is WAPA to Springerville. </t>
  </si>
  <si>
    <t>Total Projected Net Plant In Service</t>
  </si>
  <si>
    <t>AFUDC Debt (Based on average AFUDC rate from 6/1/11-8/1/13)</t>
  </si>
  <si>
    <t>AFUDC Equity (Based on average AFUDC rate from 6/1/11-8/1/13)</t>
  </si>
  <si>
    <t>Schedule 6 (Reserved for Future Use)</t>
  </si>
  <si>
    <t>Transmission Related Prepayments reflect one-half of the balance of the annual payment made for the Navajo Right of Way.</t>
  </si>
  <si>
    <t>Schedule 14 (Reserved for Future Use)</t>
  </si>
  <si>
    <t>Point to Point Transmission Service Rates</t>
  </si>
  <si>
    <t>Design for Point to Point Transmission Service Rates</t>
  </si>
  <si>
    <t>Real Power Loss Rate</t>
  </si>
  <si>
    <t>Real Power Loss Rate (NEC)</t>
  </si>
  <si>
    <t>Electric Credit Basis Difference</t>
  </si>
  <si>
    <t>Electric Vehicle Credit</t>
  </si>
  <si>
    <t>Term Loan Revolver</t>
  </si>
  <si>
    <t>Jicarilla Apache Nation</t>
  </si>
  <si>
    <t>Jicarilla Net peak</t>
  </si>
  <si>
    <t>Page 234 detail, Lines 13, 14, &amp; 22</t>
  </si>
  <si>
    <t>Page 234 detail, Line 3</t>
  </si>
  <si>
    <t>Page 234 detail, Line 6</t>
  </si>
  <si>
    <t>Page 233, line 48, column f</t>
  </si>
  <si>
    <t>page 335, line 14, column b</t>
  </si>
  <si>
    <t>page 335, line 15, column b</t>
  </si>
  <si>
    <t>page 335, line 13, column b</t>
  </si>
  <si>
    <t xml:space="preserve">Note 6:  Pursuant to FERC requirements, PNM is adjusting the PBOP expense per filing ER15-1433-000. </t>
  </si>
  <si>
    <t>December 2014</t>
  </si>
  <si>
    <t>Form 1, p 332, line 6, column e</t>
  </si>
  <si>
    <t>Page 232, line 8, column b</t>
  </si>
  <si>
    <t>Page 111, line 72, column c</t>
  </si>
  <si>
    <t>Page 233, line 48, column b</t>
  </si>
  <si>
    <t>2014 Ave Net Plant</t>
  </si>
  <si>
    <t>*** December 2014 Balance of PNMR Services Company, included above</t>
  </si>
  <si>
    <t>Page 232, line 9, column b</t>
  </si>
  <si>
    <t>Page 232, line 11, column b</t>
  </si>
  <si>
    <t>Page 232, line 9, column f</t>
  </si>
  <si>
    <t>Page 232, line 11, column f</t>
  </si>
  <si>
    <t>FERC Form 1, 233.11.f</t>
  </si>
  <si>
    <t>(line 49+line 58)</t>
  </si>
  <si>
    <t>Note 2:  Transmission Related Other tax Items agrees to line 145, Attachment H-1.</t>
  </si>
  <si>
    <t>Schedule 13-A Detail</t>
  </si>
  <si>
    <t>The OATT monthly firm transmission rate for 2014 is $2.13/Kw for Jan-May and $2.22/Kw for Jun-Dec</t>
  </si>
  <si>
    <t>2015/Q4</t>
  </si>
  <si>
    <t>6/1/16-5/31/17</t>
  </si>
  <si>
    <t>NA</t>
  </si>
  <si>
    <t>Page 232, line 8, column f</t>
  </si>
  <si>
    <t>Page 233, line 1, column b</t>
  </si>
  <si>
    <t>Page 233, line 2, column b</t>
  </si>
  <si>
    <t>Page 233, line 2, column f</t>
  </si>
  <si>
    <t>Page 233, line 1, column f</t>
  </si>
  <si>
    <t>Page 269, line 9, column b</t>
  </si>
  <si>
    <t>Page 269, line 9, column f</t>
  </si>
  <si>
    <t>SJGS Restructuring</t>
  </si>
  <si>
    <t>Page 269, line 8, column f</t>
  </si>
  <si>
    <t>Cost Recovery</t>
  </si>
  <si>
    <t>page 335, line 16, column b</t>
  </si>
  <si>
    <t>Valencia Reserve</t>
  </si>
  <si>
    <t>Writeoff of Ute Mountatin</t>
  </si>
  <si>
    <t>Wtiteoff of Santa Fe Solar</t>
  </si>
  <si>
    <t>Writeoff of Alvarado Square</t>
  </si>
  <si>
    <t>Directors Fees &amp; Expesnes</t>
  </si>
  <si>
    <t>Current PBOP expense - 2015</t>
  </si>
  <si>
    <t>2016 PBOP expense</t>
  </si>
  <si>
    <t>page 350, line 9 + 10, column d</t>
  </si>
  <si>
    <t>page 350, line 8, column d</t>
  </si>
  <si>
    <t>page 350, line 3, column d</t>
  </si>
  <si>
    <t>page 350, line 12, column d</t>
  </si>
  <si>
    <t>2015</t>
  </si>
  <si>
    <t>2015 O&amp;M</t>
  </si>
  <si>
    <t>Form 1, p 332, line 2, column e</t>
  </si>
  <si>
    <t>Form 1, p 332, line 5 , column e</t>
  </si>
  <si>
    <t>Form 1, p 332, line 12, column e</t>
  </si>
  <si>
    <t>Form 1, p 332, line 13, column e</t>
  </si>
  <si>
    <t>December 2015</t>
  </si>
  <si>
    <t>Form 1, p 332.1, line 2, column e</t>
  </si>
  <si>
    <t>Broadview BKW</t>
  </si>
  <si>
    <t>line 96, Rate Design sheet</t>
  </si>
  <si>
    <t>d</t>
  </si>
  <si>
    <t>na</t>
  </si>
  <si>
    <t>Page 233, line 6, column b</t>
  </si>
  <si>
    <t>Palo Verde Lease Expenses</t>
  </si>
  <si>
    <t>Page 233, line 7, column f</t>
  </si>
  <si>
    <t>2015 Ave Net Plant</t>
  </si>
  <si>
    <t>Average Plant Balance 2015</t>
  </si>
  <si>
    <t>Page 234 detail, Line 31</t>
  </si>
  <si>
    <t>328 - 330</t>
  </si>
  <si>
    <t>Line 1</t>
  </si>
  <si>
    <t/>
  </si>
  <si>
    <t>Aragonne Wind. LLC (C,S)</t>
  </si>
  <si>
    <t>Southwestern Public Service Co.</t>
  </si>
  <si>
    <t>Arizona Public Service Co.</t>
  </si>
  <si>
    <t>LFP</t>
  </si>
  <si>
    <t>Tariff Vol. 6</t>
  </si>
  <si>
    <t>Blackwater</t>
  </si>
  <si>
    <t>Four Corners</t>
  </si>
  <si>
    <t>Line 2</t>
  </si>
  <si>
    <t>Public Service Co. of NM</t>
  </si>
  <si>
    <t>Guadalupe</t>
  </si>
  <si>
    <t>Line 3</t>
  </si>
  <si>
    <t>Arizona Public Service Co. (B,C)</t>
  </si>
  <si>
    <t>Salt River Project</t>
  </si>
  <si>
    <t>SFP</t>
  </si>
  <si>
    <t>Palo Verde</t>
  </si>
  <si>
    <t>Kyrene</t>
  </si>
  <si>
    <t>Line 4</t>
  </si>
  <si>
    <t>Arizona Public Service Co. (C)</t>
  </si>
  <si>
    <t>Arizona Public Service Co</t>
  </si>
  <si>
    <t>NF</t>
  </si>
  <si>
    <t>Line 5</t>
  </si>
  <si>
    <t>Black Hills Power (C)</t>
  </si>
  <si>
    <t>Line 6</t>
  </si>
  <si>
    <t>San Juan</t>
  </si>
  <si>
    <t>Line 7</t>
  </si>
  <si>
    <t>Brookfield Energy Marketing (C)</t>
  </si>
  <si>
    <t>Line 8</t>
  </si>
  <si>
    <t>Boradview Energy JN, LLC (EE)</t>
  </si>
  <si>
    <t>OS</t>
  </si>
  <si>
    <t>Gudalupe</t>
  </si>
  <si>
    <t>Line 9</t>
  </si>
  <si>
    <t>Cargill Power Markets (CC)</t>
  </si>
  <si>
    <t>Willard</t>
  </si>
  <si>
    <t>Line 10</t>
  </si>
  <si>
    <t>Line 11</t>
  </si>
  <si>
    <t>Line 12</t>
  </si>
  <si>
    <t>Cargill Power Markets (C)</t>
  </si>
  <si>
    <t>Line 13</t>
  </si>
  <si>
    <t>Line 14</t>
  </si>
  <si>
    <t>Line 15</t>
  </si>
  <si>
    <t>Line 16</t>
  </si>
  <si>
    <t>Line 17</t>
  </si>
  <si>
    <t>Line 18</t>
  </si>
  <si>
    <t>City of Anaheim Public Util (A)</t>
  </si>
  <si>
    <t>OLF</t>
  </si>
  <si>
    <t>95</t>
  </si>
  <si>
    <t>Line 19</t>
  </si>
  <si>
    <t>City of Aztec (C,I)</t>
  </si>
  <si>
    <t>City  of Aztec</t>
  </si>
  <si>
    <t>FNO</t>
  </si>
  <si>
    <t>Line 20</t>
  </si>
  <si>
    <t>City of Farmington Elect Util (G)</t>
  </si>
  <si>
    <t>Western Area Power Adminis</t>
  </si>
  <si>
    <t>51</t>
  </si>
  <si>
    <t>Shiprock</t>
  </si>
  <si>
    <t>Line 21</t>
  </si>
  <si>
    <t>City of Gallup Elect (C,L)</t>
  </si>
  <si>
    <t>City of Gallup Electric Utility</t>
  </si>
  <si>
    <t>Line 22</t>
  </si>
  <si>
    <t>El Paso Electric (B,C)</t>
  </si>
  <si>
    <t>El Paso Electric Co.</t>
  </si>
  <si>
    <t>West Mesa</t>
  </si>
  <si>
    <t>Line 23</t>
  </si>
  <si>
    <t>El Paso Electric (C)</t>
  </si>
  <si>
    <t>Line 24</t>
  </si>
  <si>
    <t>El Paso Electric (C,T)</t>
  </si>
  <si>
    <t>Line 25</t>
  </si>
  <si>
    <t>Eddy</t>
  </si>
  <si>
    <t>Amrad</t>
  </si>
  <si>
    <t>Line 26</t>
  </si>
  <si>
    <t>Tucson Electric Power Co.</t>
  </si>
  <si>
    <t>Springerville</t>
  </si>
  <si>
    <t>Line 27</t>
  </si>
  <si>
    <t>Line 28</t>
  </si>
  <si>
    <t>Airport</t>
  </si>
  <si>
    <t>Luna</t>
  </si>
  <si>
    <t>Line 29</t>
  </si>
  <si>
    <t>Line 30</t>
  </si>
  <si>
    <t>Line 31</t>
  </si>
  <si>
    <t>Line 32</t>
  </si>
  <si>
    <t>Picacho</t>
  </si>
  <si>
    <t>Line 33</t>
  </si>
  <si>
    <t>Line 34</t>
  </si>
  <si>
    <t>328.1 - 330.1</t>
  </si>
  <si>
    <t>Hidalgo</t>
  </si>
  <si>
    <t>Westwing</t>
  </si>
  <si>
    <t>Coronado</t>
  </si>
  <si>
    <t>El Paso Electric (C,F)</t>
  </si>
  <si>
    <t>Farmington Electric (C)</t>
  </si>
  <si>
    <t>Western Area Power Admin.</t>
  </si>
  <si>
    <t>Gallegos</t>
  </si>
  <si>
    <t>Gestamp Solar (DD)</t>
  </si>
  <si>
    <t>Albuquerque</t>
  </si>
  <si>
    <t>High Lonesome Mesa (C,W)</t>
  </si>
  <si>
    <t>Imperial Irrigation Dist (B,C)</t>
  </si>
  <si>
    <t>West Wing</t>
  </si>
  <si>
    <t>Inc. County of Los Alamos (B,C)</t>
  </si>
  <si>
    <t>Tri-State G&amp;T Assn.</t>
  </si>
  <si>
    <t>Ambrosia</t>
  </si>
  <si>
    <t>Inc. County of Los Alamos (B.C)</t>
  </si>
  <si>
    <t>Jicarilla Apache Nation (C,Z)</t>
  </si>
  <si>
    <t>Jicarilla Apache Natiion</t>
  </si>
  <si>
    <t>Kirtland AFB - WAPA (C,Q)</t>
  </si>
  <si>
    <t>Western Power Admin</t>
  </si>
  <si>
    <t>Kirtland Air Force base</t>
  </si>
  <si>
    <t>Los Alamos Co. Utility (C,H)</t>
  </si>
  <si>
    <t>Los Alamos Co. Utility</t>
  </si>
  <si>
    <t>Los Angeles Dept of W&amp;P (B,C)</t>
  </si>
  <si>
    <t>Macquarie Cook Power (B,C)</t>
  </si>
  <si>
    <t>Macquarie Cook Power (C)</t>
  </si>
  <si>
    <t>Southwestern Public Service Co</t>
  </si>
  <si>
    <t>MAG Energy Solutions (C)</t>
  </si>
  <si>
    <t>Morgan Stanley Capital (B,C)</t>
  </si>
  <si>
    <t>Morgan Stanley Capital (C)</t>
  </si>
  <si>
    <t>Municipal Energy Agency NE (C)</t>
  </si>
  <si>
    <t>328.2 - 330.2</t>
  </si>
  <si>
    <t>Navajo Tribal Utility Auth (C,R)</t>
  </si>
  <si>
    <t>Navajo Tribal Utility Auth</t>
  </si>
  <si>
    <t>Navopache Electric Coop (C,J)</t>
  </si>
  <si>
    <t>Navopache Electric Coop</t>
  </si>
  <si>
    <t>Pacificorp (C)</t>
  </si>
  <si>
    <t>Powerex (C)</t>
  </si>
  <si>
    <t>Powerex (B,C)</t>
  </si>
  <si>
    <t>Public Service Co. of NM (B,C)</t>
  </si>
  <si>
    <t>Public Service Co. of NM (C)</t>
  </si>
  <si>
    <t>Tucson Electric Power Co</t>
  </si>
  <si>
    <t>Greenlee</t>
  </si>
  <si>
    <t>Mimbres</t>
  </si>
  <si>
    <t>Public Service of Colorado (B,C)</t>
  </si>
  <si>
    <t>Public Svc NM - City of Aztec (K)</t>
  </si>
  <si>
    <t>Public Svc. NM - Whlesle ST (AA)</t>
  </si>
  <si>
    <t>Various</t>
  </si>
  <si>
    <t>328.3 - 330.3</t>
  </si>
  <si>
    <t>Public Svc NM - Whlesle Pwr (AA)</t>
  </si>
  <si>
    <t>Rainbow Energy Marketing (C)</t>
  </si>
  <si>
    <t>Salt River Project (C)</t>
  </si>
  <si>
    <t>Coronada</t>
  </si>
  <si>
    <t>Sempra Generation Co. (C)</t>
  </si>
  <si>
    <t>Shell Energy N.A. (C)</t>
  </si>
  <si>
    <t>Tenaska Power Services (B,C)</t>
  </si>
  <si>
    <t>Tenaska Power Services (C)</t>
  </si>
  <si>
    <t>Trasalta Energy Marketing (C)</t>
  </si>
  <si>
    <t>Tri-State G&amp;T Assn. (B,C)</t>
  </si>
  <si>
    <t>Tri-State G&amp;T Assn. (C)</t>
  </si>
  <si>
    <t>Ojo</t>
  </si>
  <si>
    <t>Tri-State G&amp;T Assn. (C,V)</t>
  </si>
  <si>
    <t>328.4 - 330.4</t>
  </si>
  <si>
    <t>Tri-State G&amp;T Assn. (C,M))</t>
  </si>
  <si>
    <t>Tucson Electric Power (C)</t>
  </si>
  <si>
    <t>Tucson Electric Power (B,C)</t>
  </si>
  <si>
    <t>U.S. Bureau of Reclamation (D)</t>
  </si>
  <si>
    <t>85</t>
  </si>
  <si>
    <t>Gallegos Sub</t>
  </si>
  <si>
    <t>Utah Assoc. Municipal  Pwr Sys (N)</t>
  </si>
  <si>
    <t>103</t>
  </si>
  <si>
    <t>Western Area Power Admin. (P)</t>
  </si>
  <si>
    <t>86</t>
  </si>
  <si>
    <t>Gallup Substations</t>
  </si>
  <si>
    <t>Holloman Air Force Base</t>
  </si>
  <si>
    <t>Holloman AFB</t>
  </si>
  <si>
    <t>Kirtland Air Force Base</t>
  </si>
  <si>
    <t>Kirtland AFB</t>
  </si>
  <si>
    <t>Los Alamos County Utilities/DOE</t>
  </si>
  <si>
    <t>DOE/Los Alamos</t>
  </si>
  <si>
    <t>Albuq/West Mesa</t>
  </si>
  <si>
    <t>Western Area Power Admin. (O)</t>
  </si>
  <si>
    <t>87</t>
  </si>
  <si>
    <t>Western Resources (C)</t>
  </si>
  <si>
    <t>Public Svc Co of NM-STR Rsrv (BB)</t>
  </si>
  <si>
    <t>328.5 - 330.5</t>
  </si>
  <si>
    <t>Allocation to Jicarilla</t>
  </si>
  <si>
    <t>Annual Charge to Pro Rate Monthly to Jicarilla</t>
  </si>
  <si>
    <t>(line 44 + line 45)</t>
  </si>
  <si>
    <t>(line 48 * allocation % on line 44)</t>
  </si>
  <si>
    <t>(line 50 + line 51)</t>
  </si>
  <si>
    <t>(line 51)</t>
  </si>
  <si>
    <t>(line 60 + line 61)</t>
  </si>
  <si>
    <t>(line 57 + line 62)</t>
  </si>
  <si>
    <t>(line 32 * allocation % on line 62)</t>
  </si>
  <si>
    <t>(line 32 - line 66)</t>
  </si>
  <si>
    <t>(line 68 + line 69)</t>
  </si>
  <si>
    <t>(line 77 * 12)</t>
  </si>
  <si>
    <t>(line 70 / line 98 / 1000)</t>
  </si>
  <si>
    <t>(line 75 / 52)</t>
  </si>
  <si>
    <t>(line 79 / 6)</t>
  </si>
  <si>
    <t>(line 81 / 16)</t>
  </si>
  <si>
    <t>Line 77</t>
  </si>
  <si>
    <t>Line 100 plus Line 101</t>
  </si>
  <si>
    <t>Line 102 plus Line 103</t>
  </si>
  <si>
    <t>December 2014 Balance of PNMR Services Company, included above</t>
  </si>
  <si>
    <t>** December 2015 Balance of PNMR Services Company, included above</t>
  </si>
  <si>
    <t>*** December 2015 Balance of PNMR Services Company, included above</t>
  </si>
  <si>
    <t>line 94, Rate Design sheet</t>
  </si>
  <si>
    <t>line 88, Rate Design sheet</t>
  </si>
  <si>
    <t>page 233, line 8, column F</t>
  </si>
  <si>
    <t>Excess Payroll Tax Reversal</t>
  </si>
  <si>
    <t>ARAM Excess Deferred Tax Reversal</t>
  </si>
  <si>
    <t>NOL Valuation Allowance</t>
  </si>
  <si>
    <t xml:space="preserve">SJGS Units 2 &amp; 3 Writedown </t>
  </si>
  <si>
    <t>IRS Required Proration</t>
  </si>
  <si>
    <t>(line 158 * line 159)</t>
  </si>
  <si>
    <t>page 350, line 10, column d</t>
  </si>
  <si>
    <t>(line 38 + line 39 + line 41)</t>
  </si>
  <si>
    <t>line 282, Attachment H-1</t>
  </si>
  <si>
    <t>(allocation % = line 44 / line 46)</t>
  </si>
  <si>
    <t>(allocation % = line 45 / line 46)</t>
  </si>
  <si>
    <t>(line 48 * allocation % on line 45)</t>
  </si>
  <si>
    <t>line 55, Rate Design sheet</t>
  </si>
  <si>
    <t>line 48, Rate Design sheet</t>
  </si>
  <si>
    <t>line 61, Rate Design sheet</t>
  </si>
  <si>
    <t>for comparison purposes only</t>
  </si>
  <si>
    <t>Run 1 - Projected</t>
  </si>
  <si>
    <t>Variance</t>
  </si>
  <si>
    <t>Kit Carson Elec Coop</t>
  </si>
  <si>
    <t>Kit Karson Electric Coop</t>
  </si>
  <si>
    <t>Adjustment for IRS Proration</t>
  </si>
  <si>
    <t>line 74, Attachement H-1</t>
  </si>
  <si>
    <t>01/11/2016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</si>
</sst>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d/yy\ h:mm\ AM/PM;@"/>
    <numFmt numFmtId="167" formatCode="_(&quot;$&quot;* #,##0_);_(&quot;$&quot;* \(#,##0\);_(&quot;$&quot;* &quot;-&quot;??_);_(@_)"/>
    <numFmt numFmtId="168" formatCode="0.0"/>
    <numFmt numFmtId="169" formatCode="_(* #,##0.0_);_(* \(#,##0.0\);_(* &quot;-&quot;??_);_(@_)"/>
    <numFmt numFmtId="170" formatCode="_(&quot;$&quot;* #,##0.000000_);_(&quot;$&quot;* \(#,##0.000000\);_(&quot;$&quot;* &quot;-&quot;??_);_(@_)"/>
    <numFmt numFmtId="171" formatCode="_(&quot;$&quot;* #,##0.0000_);_(&quot;$&quot;* \(#,##0.0000\);_(&quot;$&quot;* &quot;-&quot;??_);_(@_)"/>
    <numFmt numFmtId="172" formatCode="0_);\(0\)"/>
    <numFmt numFmtId="173" formatCode="_(* #,##0.000_);_(* \(#,##0.000\);_(* &quot;-&quot;??_);_(@_)"/>
    <numFmt numFmtId="174" formatCode="&quot;$&quot;#,##0.00"/>
    <numFmt numFmtId="175" formatCode="0.0%"/>
    <numFmt numFmtId="176" formatCode="0.000"/>
    <numFmt numFmtId="177" formatCode="0.000000"/>
    <numFmt numFmtId="178" formatCode="m\-d\-yy"/>
    <numFmt numFmtId="179" formatCode="_-* #,##0.0_-;\-* #,##0.0_-;_-* &quot;-&quot;??_-;_-@_-"/>
    <numFmt numFmtId="180" formatCode="#,##0.00&quot; $&quot;;\-#,##0.00&quot; $&quot;"/>
    <numFmt numFmtId="181" formatCode="0.00_);[Red]\(0.00\)"/>
    <numFmt numFmtId="182" formatCode="0.00_)"/>
    <numFmt numFmtId="183" formatCode="[$-409]mmmm\-yy;@"/>
    <numFmt numFmtId="184" formatCode="0.000000%"/>
    <numFmt numFmtId="185" formatCode="_-&quot;$&quot;* #,##0_-;\-&quot;$&quot;* #,##0_-;_-&quot;$&quot;* &quot;-&quot;_-;_-@_-"/>
    <numFmt numFmtId="186" formatCode="_-* #,##0_-;\-* #,##0_-;_-* &quot;-&quot;_-;_-@_-"/>
    <numFmt numFmtId="187" formatCode="_-* #,##0.00_-;\-* #,##0.00_-;_-* &quot;-&quot;??_-;_-@_-"/>
    <numFmt numFmtId="188" formatCode="_-&quot;$&quot;* #,##0.00_-;\-&quot;$&quot;* #,##0.00_-;_-&quot;$&quot;* &quot;-&quot;??_-;_-@_-"/>
    <numFmt numFmtId="189" formatCode="\£\ #,##0_);[Red]\(\£\ #,##0\)"/>
    <numFmt numFmtId="190" formatCode="\¥\ #,##0_);[Red]\(\¥\ #,##0\)"/>
    <numFmt numFmtId="191" formatCode="#,##0.00\ ;[Red]\(#,##0.00\)"/>
    <numFmt numFmtId="192" formatCode="#,##0.0\ \ \ _);\(#,##0.0\)"/>
    <numFmt numFmtId="193" formatCode="&quot;$&quot;#,##0_);[Red]\(&quot;$&quot;#,##0\);0_);@_)"/>
    <numFmt numFmtId="194" formatCode="#,##0.0_);[Red]\(#,##0.0\)"/>
    <numFmt numFmtId="195" formatCode="\•\ \ @"/>
    <numFmt numFmtId="196" formatCode="_-* #,##0.0_-;\-* #,##0.0_-;_-* &quot;-&quot;?_-;_-@_-"/>
    <numFmt numFmtId="197" formatCode="#,##0.00\ ;"/>
    <numFmt numFmtId="198" formatCode="#,##0,_);[Red]\(#,##0,\)"/>
    <numFmt numFmtId="199" formatCode="&quot;$&quot;#,##0.000_);\(&quot;$&quot;#,##0.000\)"/>
    <numFmt numFmtId="200" formatCode="\ \ _•\–\ \ \ \ @"/>
    <numFmt numFmtId="201" formatCode="General_)"/>
    <numFmt numFmtId="202" formatCode="_([$€-2]* #,##0.00_);_([$€-2]* \(#,##0.00\);_([$€-2]* &quot;-&quot;??_)"/>
    <numFmt numFmtId="203" formatCode="&quot; $&quot;#,##0.00\ ;&quot; $(&quot;#,##0.00\);&quot; $-&quot;#\ ;@\ "/>
    <numFmt numFmtId="204" formatCode=";;;"/>
    <numFmt numFmtId="205" formatCode="m/d/yy_);;;@_)"/>
    <numFmt numFmtId="206" formatCode="0.0000000%"/>
    <numFmt numFmtId="207" formatCode="0.000000000%"/>
    <numFmt numFmtId="208" formatCode="_ * #,##0_ ;_ * \-#,##0_ ;_ * &quot;-&quot;_ ;_ @_ "/>
    <numFmt numFmtId="209" formatCode="_ * #,##0.00_ ;_ * \-#,##0.00_ ;_ * &quot;-&quot;??_ ;_ @_ "/>
    <numFmt numFmtId="210" formatCode="#,##0.0_);\(#,##0.0\)"/>
    <numFmt numFmtId="211" formatCode="mmm\-yy_)"/>
    <numFmt numFmtId="212" formatCode="0.00000000%"/>
    <numFmt numFmtId="213" formatCode="[Blue]#,##0,_);[Red]\(#,##0,\)"/>
    <numFmt numFmtId="214" formatCode="#,##0.00;[Red]\(#,##0.00\)"/>
    <numFmt numFmtId="215" formatCode="_(* #,##0.00%_);[Red]_(* \-#,##0.00%_);[Green]_(* 0.00%_);_(@_)_%"/>
    <numFmt numFmtId="216" formatCode="0_);[Red]\(0\)"/>
    <numFmt numFmtId="217" formatCode="0.0000"/>
  </numFmts>
  <fonts count="154">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i/>
      <sz val="11"/>
      <color theme="1"/>
      <name val="Calibri"/>
      <family val="2"/>
      <scheme val="minor"/>
    </font>
    <font>
      <sz val="10"/>
      <color theme="1"/>
      <name val="Arial"/>
      <family val="2"/>
    </font>
    <font>
      <b/>
      <sz val="10"/>
      <name val="Arial"/>
      <family val="2"/>
    </font>
    <font>
      <u val="singleAccounting"/>
      <sz val="10"/>
      <name val="Arial"/>
      <family val="2"/>
    </font>
    <font>
      <u/>
      <sz val="10"/>
      <name val="Arial"/>
      <family val="2"/>
    </font>
    <font>
      <sz val="11"/>
      <name val="Times New Roman"/>
      <family val="1"/>
    </font>
    <font>
      <sz val="11"/>
      <name val="Calibri"/>
      <family val="2"/>
      <scheme val="minor"/>
    </font>
    <font>
      <b/>
      <sz val="10"/>
      <color theme="1"/>
      <name val="Arial"/>
      <family val="2"/>
    </font>
    <font>
      <sz val="8"/>
      <name val="Arial"/>
      <family val="2"/>
    </font>
    <font>
      <sz val="11"/>
      <color rgb="FF0000CC"/>
      <name val="Calibri"/>
      <family val="2"/>
      <scheme val="minor"/>
    </font>
    <font>
      <b/>
      <u/>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Times New Roman"/>
      <family val="1"/>
    </font>
    <font>
      <sz val="9"/>
      <name val="Arial"/>
      <family val="2"/>
    </font>
    <font>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sz val="11"/>
      <name val="??"/>
      <family val="3"/>
      <charset val="129"/>
    </font>
    <font>
      <i/>
      <sz val="11"/>
      <color indexed="23"/>
      <name val="Calibri"/>
      <family val="2"/>
    </font>
    <font>
      <sz val="11"/>
      <color indexed="17"/>
      <name val="Calibri"/>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0"/>
      <color indexed="12"/>
      <name val="Arial"/>
      <family val="2"/>
    </font>
    <font>
      <sz val="11"/>
      <color indexed="62"/>
      <name val="Calibri"/>
      <family val="2"/>
    </font>
    <font>
      <sz val="11"/>
      <color indexed="52"/>
      <name val="Calibri"/>
      <family val="2"/>
    </font>
    <font>
      <b/>
      <sz val="9"/>
      <name val="Arial"/>
      <family val="2"/>
    </font>
    <font>
      <sz val="11"/>
      <color indexed="60"/>
      <name val="Calibri"/>
      <family val="2"/>
    </font>
    <font>
      <sz val="7"/>
      <name val="Small Fonts"/>
      <family val="2"/>
    </font>
    <font>
      <b/>
      <i/>
      <sz val="16"/>
      <name val="Helv"/>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sz val="10"/>
      <color indexed="8"/>
      <name val="Arial"/>
      <family val="2"/>
    </font>
    <font>
      <sz val="12"/>
      <name val="????"/>
      <charset val="136"/>
    </font>
    <font>
      <sz val="12"/>
      <name val="Times New Roman"/>
      <family val="1"/>
    </font>
    <font>
      <sz val="10"/>
      <name val="MS Sans Serif"/>
      <family val="2"/>
    </font>
    <font>
      <sz val="10"/>
      <color indexed="9"/>
      <name val="Arial"/>
      <family val="2"/>
    </font>
    <font>
      <sz val="10"/>
      <color indexed="12"/>
      <name val="Tahoma"/>
      <family val="2"/>
    </font>
    <font>
      <sz val="8"/>
      <name val="Times"/>
      <family val="1"/>
    </font>
    <font>
      <sz val="12"/>
      <name val="Arial MT"/>
    </font>
    <font>
      <sz val="10"/>
      <color indexed="20"/>
      <name val="Arial"/>
      <family val="2"/>
    </font>
    <font>
      <sz val="10"/>
      <name val="Times New Roman"/>
      <family val="1"/>
    </font>
    <font>
      <b/>
      <sz val="12"/>
      <name val="Times New Roman"/>
      <family val="1"/>
    </font>
    <font>
      <b/>
      <sz val="10"/>
      <color indexed="52"/>
      <name val="Arial"/>
      <family val="2"/>
    </font>
    <font>
      <b/>
      <sz val="11"/>
      <color indexed="10"/>
      <name val="Calibri"/>
      <family val="2"/>
    </font>
    <font>
      <b/>
      <sz val="10"/>
      <color indexed="9"/>
      <name val="Arial"/>
      <family val="2"/>
    </font>
    <font>
      <sz val="8"/>
      <name val="Palatino"/>
      <family val="1"/>
    </font>
    <font>
      <i/>
      <sz val="12"/>
      <color indexed="9"/>
      <name val="Arial"/>
      <family val="2"/>
    </font>
    <font>
      <b/>
      <sz val="18"/>
      <color indexed="8"/>
      <name val="Arial"/>
      <family val="2"/>
    </font>
    <font>
      <sz val="10"/>
      <color theme="1"/>
      <name val="Times New Roman"/>
      <family val="2"/>
    </font>
    <font>
      <sz val="10"/>
      <name val="Comic Sans MS"/>
      <family val="4"/>
    </font>
    <font>
      <sz val="10"/>
      <color indexed="8"/>
      <name val="MS Sans Serif"/>
      <family val="2"/>
    </font>
    <font>
      <sz val="10"/>
      <name val="BERNHARD"/>
      <family val="2"/>
    </font>
    <font>
      <sz val="10"/>
      <name val="Helv"/>
      <family val="2"/>
    </font>
    <font>
      <sz val="10"/>
      <name val="Helv"/>
    </font>
    <font>
      <sz val="1"/>
      <color indexed="8"/>
      <name val="Courier"/>
      <family val="3"/>
    </font>
    <font>
      <b/>
      <sz val="1"/>
      <color indexed="8"/>
      <name val="Courier"/>
      <family val="3"/>
    </font>
    <font>
      <u/>
      <sz val="11"/>
      <color indexed="12"/>
      <name val="Calibri"/>
      <family val="2"/>
    </font>
    <font>
      <i/>
      <sz val="10"/>
      <color indexed="23"/>
      <name val="Arial"/>
      <family val="2"/>
    </font>
    <font>
      <sz val="7"/>
      <name val="Palatino"/>
      <family val="1"/>
    </font>
    <font>
      <sz val="11"/>
      <name val="Arial"/>
      <family val="2"/>
    </font>
    <font>
      <sz val="10"/>
      <color indexed="17"/>
      <name val="Arial"/>
      <family val="2"/>
    </font>
    <font>
      <b/>
      <sz val="12"/>
      <name val="Helv"/>
    </font>
    <font>
      <b/>
      <sz val="12"/>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u/>
      <sz val="14"/>
      <name val="Arial Narrow"/>
      <family val="2"/>
    </font>
    <font>
      <u/>
      <sz val="10"/>
      <color theme="10"/>
      <name val="Arial"/>
      <family val="2"/>
    </font>
    <font>
      <sz val="10"/>
      <color indexed="62"/>
      <name val="Arial"/>
      <family val="2"/>
    </font>
    <font>
      <sz val="12"/>
      <color indexed="37"/>
      <name val="swiss"/>
    </font>
    <font>
      <b/>
      <sz val="10"/>
      <color indexed="37"/>
      <name val="Arial MT"/>
    </font>
    <font>
      <sz val="10"/>
      <color indexed="52"/>
      <name val="Arial"/>
      <family val="2"/>
    </font>
    <font>
      <b/>
      <sz val="12"/>
      <color indexed="16"/>
      <name val="Times New Roman"/>
      <family val="1"/>
    </font>
    <font>
      <sz val="12"/>
      <color indexed="14"/>
      <name val="Arial"/>
      <family val="2"/>
    </font>
    <font>
      <b/>
      <sz val="11"/>
      <name val="Helv"/>
    </font>
    <font>
      <sz val="10"/>
      <color indexed="60"/>
      <name val="Arial"/>
      <family val="2"/>
    </font>
    <font>
      <sz val="11"/>
      <color indexed="19"/>
      <name val="Calibri"/>
      <family val="2"/>
    </font>
    <font>
      <sz val="12"/>
      <name val="Helv"/>
    </font>
    <font>
      <sz val="12"/>
      <color indexed="62"/>
      <name val="Arial"/>
      <family val="2"/>
    </font>
    <font>
      <b/>
      <sz val="10"/>
      <color indexed="63"/>
      <name val="Arial"/>
      <family val="2"/>
    </font>
    <font>
      <b/>
      <sz val="26"/>
      <name val="Times New Roman"/>
      <family val="1"/>
    </font>
    <font>
      <b/>
      <sz val="18"/>
      <name val="Times New Roman"/>
      <family val="1"/>
    </font>
    <font>
      <sz val="10"/>
      <color indexed="16"/>
      <name val="Helvetica-Black"/>
    </font>
    <font>
      <b/>
      <sz val="10"/>
      <name val="Times New Roman"/>
      <family val="1"/>
    </font>
    <font>
      <sz val="10"/>
      <name val="C Helvetica Condensed"/>
    </font>
    <font>
      <sz val="10"/>
      <color indexed="55"/>
      <name val="Arial"/>
      <family val="2"/>
    </font>
    <font>
      <sz val="11"/>
      <color indexed="8"/>
      <name val="Times New Roman"/>
      <family val="1"/>
    </font>
    <font>
      <b/>
      <sz val="10"/>
      <name val="MS Sans Serif"/>
      <family val="2"/>
    </font>
    <font>
      <b/>
      <sz val="6.5"/>
      <name val="MS Sans Serif"/>
      <family val="2"/>
    </font>
    <font>
      <b/>
      <sz val="12"/>
      <color indexed="8"/>
      <name val="Arial"/>
      <family val="2"/>
    </font>
    <font>
      <b/>
      <i/>
      <sz val="12"/>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sz val="11"/>
      <color indexed="9"/>
      <name val="Arial"/>
      <family val="2"/>
    </font>
    <font>
      <i/>
      <sz val="11"/>
      <color indexed="9"/>
      <name val="Arial"/>
      <family val="2"/>
    </font>
    <font>
      <b/>
      <i/>
      <sz val="18"/>
      <color indexed="15"/>
      <name val="Arial"/>
      <family val="2"/>
    </font>
    <font>
      <sz val="8"/>
      <name val="Arial Narrow"/>
      <family val="2"/>
    </font>
    <font>
      <b/>
      <sz val="18"/>
      <color indexed="62"/>
      <name val="Cambria"/>
      <family val="2"/>
    </font>
    <font>
      <b/>
      <u/>
      <sz val="12"/>
      <name val="Arial Narrow"/>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b/>
      <u/>
      <sz val="10"/>
      <name val="Arial Narrow"/>
      <family val="2"/>
    </font>
    <font>
      <b/>
      <sz val="14"/>
      <color indexed="13"/>
      <name val="Helv"/>
    </font>
    <font>
      <b/>
      <sz val="9"/>
      <name val="Palatino"/>
      <family val="1"/>
    </font>
    <font>
      <sz val="9"/>
      <color indexed="21"/>
      <name val="Helvetica-Black"/>
    </font>
    <font>
      <sz val="12"/>
      <color indexed="12"/>
      <name val="Arial MT"/>
    </font>
    <font>
      <b/>
      <sz val="11"/>
      <name val="Times New Roman"/>
      <family val="1"/>
    </font>
    <font>
      <b/>
      <sz val="10"/>
      <color indexed="8"/>
      <name val="Arial"/>
      <family val="2"/>
    </font>
    <font>
      <b/>
      <sz val="7"/>
      <color indexed="12"/>
      <name val="Arial"/>
      <family val="2"/>
    </font>
    <font>
      <u/>
      <sz val="10"/>
      <name val="Tms Rmn"/>
    </font>
    <font>
      <i/>
      <sz val="12"/>
      <color indexed="8"/>
      <name val="Arial MT"/>
    </font>
    <font>
      <sz val="6"/>
      <name val="DUTCH"/>
      <family val="1"/>
    </font>
    <font>
      <sz val="10"/>
      <color indexed="10"/>
      <name val="Arial"/>
      <family val="2"/>
    </font>
    <font>
      <sz val="6"/>
      <name val="Tms Rmn"/>
    </font>
    <font>
      <sz val="11"/>
      <color theme="1"/>
      <name val="Calibri"/>
      <family val="2"/>
    </font>
    <font>
      <sz val="10"/>
      <color theme="1"/>
      <name val="Calibri"/>
      <family val="2"/>
      <scheme val="minor"/>
    </font>
  </fonts>
  <fills count="10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23"/>
      </patternFill>
    </fill>
    <fill>
      <patternFill patternType="solid">
        <fgColor indexed="43"/>
        <bgColor indexed="8"/>
      </patternFill>
    </fill>
    <fill>
      <patternFill patternType="gray0625">
        <fgColor indexed="26"/>
        <bgColor indexed="43"/>
      </patternFill>
    </fill>
    <fill>
      <patternFill patternType="darkUp">
        <fgColor indexed="22"/>
      </patternFill>
    </fill>
    <fill>
      <patternFill patternType="solid">
        <fgColor indexed="41"/>
        <bgColor indexed="64"/>
      </patternFill>
    </fill>
    <fill>
      <patternFill patternType="mediumGray">
        <fgColor indexed="22"/>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62"/>
        <bgColor indexed="64"/>
      </patternFill>
    </fill>
    <fill>
      <patternFill patternType="solid">
        <fgColor indexed="27"/>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indexed="8"/>
        <bgColor indexed="8"/>
      </patternFill>
    </fill>
    <fill>
      <patternFill patternType="solid">
        <fgColor rgb="FFC2D69A"/>
        <bgColor rgb="FF000000"/>
      </patternFill>
    </fill>
    <fill>
      <patternFill patternType="solid">
        <fgColor theme="6" tint="0.39997558519241921"/>
        <bgColor rgb="FF000000"/>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bottom style="thin">
        <color indexed="44"/>
      </bottom>
      <diagonal/>
    </border>
    <border>
      <left/>
      <right/>
      <top/>
      <bottom style="dotted">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style="medium">
        <color indexed="8"/>
      </top>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top style="thin">
        <color indexed="56"/>
      </top>
      <bottom style="double">
        <color indexed="56"/>
      </bottom>
      <diagonal/>
    </border>
  </borders>
  <cellStyleXfs count="16888">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166" fontId="6" fillId="0" borderId="0"/>
    <xf numFmtId="0" fontId="4" fillId="0" borderId="0"/>
    <xf numFmtId="43" fontId="4"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6"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0" fontId="1" fillId="0" borderId="0"/>
    <xf numFmtId="0" fontId="4"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77" fontId="4" fillId="0" borderId="0">
      <alignment horizontal="left" wrapText="1"/>
    </xf>
    <xf numFmtId="177" fontId="4" fillId="0" borderId="0">
      <alignment horizontal="left" wrapText="1"/>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178" fontId="7" fillId="56" borderId="35">
      <alignment horizontal="center" vertical="center"/>
    </xf>
    <xf numFmtId="0" fontId="36" fillId="39" borderId="0" applyNumberFormat="0" applyBorder="0" applyAlignment="0" applyProtection="0"/>
    <xf numFmtId="0" fontId="36" fillId="39" borderId="0" applyNumberFormat="0" applyBorder="0" applyAlignment="0" applyProtection="0"/>
    <xf numFmtId="0" fontId="37" fillId="57" borderId="36" applyNumberFormat="0" applyAlignment="0" applyProtection="0"/>
    <xf numFmtId="0" fontId="37" fillId="57" borderId="36" applyNumberFormat="0" applyAlignment="0" applyProtection="0"/>
    <xf numFmtId="0" fontId="38" fillId="58" borderId="37" applyNumberFormat="0" applyAlignment="0" applyProtection="0"/>
    <xf numFmtId="0" fontId="38" fillId="58" borderId="37" applyNumberFormat="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6" fontId="40" fillId="0" borderId="0">
      <protection locked="0"/>
    </xf>
    <xf numFmtId="0" fontId="41" fillId="0" borderId="0" applyNumberFormat="0" applyFill="0" applyBorder="0" applyAlignment="0" applyProtection="0"/>
    <xf numFmtId="0" fontId="41" fillId="0" borderId="0" applyNumberFormat="0" applyFill="0" applyBorder="0" applyAlignment="0" applyProtection="0"/>
    <xf numFmtId="179" fontId="4" fillId="0" borderId="0">
      <protection locked="0"/>
    </xf>
    <xf numFmtId="0" fontId="42" fillId="40" borderId="0" applyNumberFormat="0" applyBorder="0" applyAlignment="0" applyProtection="0"/>
    <xf numFmtId="0" fontId="42" fillId="40" borderId="0" applyNumberFormat="0" applyBorder="0" applyAlignment="0" applyProtection="0"/>
    <xf numFmtId="38" fontId="13" fillId="59" borderId="0" applyNumberFormat="0" applyBorder="0" applyAlignment="0" applyProtection="0"/>
    <xf numFmtId="0" fontId="43" fillId="0" borderId="0" applyNumberFormat="0" applyFill="0" applyBorder="0" applyAlignment="0" applyProtection="0"/>
    <xf numFmtId="0" fontId="44" fillId="0" borderId="38"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39"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0" fontId="4" fillId="0" borderId="0">
      <protection locked="0"/>
    </xf>
    <xf numFmtId="180" fontId="4" fillId="0" borderId="0">
      <protection locked="0"/>
    </xf>
    <xf numFmtId="0" fontId="47" fillId="0" borderId="41" applyNumberFormat="0" applyFill="0" applyAlignment="0" applyProtection="0"/>
    <xf numFmtId="0" fontId="48" fillId="0" borderId="0" applyNumberFormat="0" applyFill="0" applyBorder="0" applyAlignment="0" applyProtection="0">
      <alignment vertical="top"/>
      <protection locked="0"/>
    </xf>
    <xf numFmtId="10" fontId="13" fillId="60" borderId="42" applyNumberFormat="0" applyBorder="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0" borderId="43" applyNumberFormat="0" applyFill="0" applyAlignment="0" applyProtection="0"/>
    <xf numFmtId="0" fontId="50" fillId="0" borderId="43" applyNumberFormat="0" applyFill="0" applyAlignment="0" applyProtection="0"/>
    <xf numFmtId="181" fontId="51" fillId="61" borderId="44" applyFont="0" applyFill="0" applyBorder="0" applyProtection="0">
      <alignment horizontal="center"/>
    </xf>
    <xf numFmtId="0" fontId="52" fillId="62" borderId="0" applyNumberFormat="0" applyBorder="0" applyAlignment="0" applyProtection="0"/>
    <xf numFmtId="0" fontId="52" fillId="62" borderId="0" applyNumberFormat="0" applyBorder="0" applyAlignment="0" applyProtection="0"/>
    <xf numFmtId="37" fontId="53" fillId="0" borderId="0"/>
    <xf numFmtId="182" fontId="54" fillId="0" borderId="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55" fillId="57" borderId="46" applyNumberFormat="0" applyAlignment="0" applyProtection="0"/>
    <xf numFmtId="0" fontId="55" fillId="57" borderId="46"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56" fillId="0" borderId="0" applyNumberFormat="0" applyFill="0" applyBorder="0" applyAlignment="0" applyProtection="0"/>
    <xf numFmtId="0" fontId="56" fillId="0" borderId="0" applyNumberFormat="0" applyFill="0" applyBorder="0" applyAlignment="0" applyProtection="0"/>
    <xf numFmtId="0" fontId="57" fillId="0" borderId="47" applyNumberFormat="0" applyFill="0" applyAlignment="0" applyProtection="0"/>
    <xf numFmtId="0" fontId="57" fillId="0" borderId="47" applyNumberFormat="0" applyFill="0" applyAlignment="0" applyProtection="0"/>
    <xf numFmtId="37" fontId="13" fillId="64" borderId="0" applyNumberFormat="0" applyBorder="0" applyAlignment="0" applyProtection="0"/>
    <xf numFmtId="37" fontId="13" fillId="0" borderId="0"/>
    <xf numFmtId="3" fontId="58" fillId="0" borderId="41" applyProtection="0"/>
    <xf numFmtId="0" fontId="59" fillId="0" borderId="0" applyNumberFormat="0" applyFill="0" applyBorder="0" applyAlignment="0" applyProtection="0"/>
    <xf numFmtId="0" fontId="59" fillId="0" borderId="0" applyNumberFormat="0" applyFill="0" applyBorder="0" applyAlignment="0" applyProtection="0"/>
    <xf numFmtId="43" fontId="4" fillId="0" borderId="0" applyFont="0" applyFill="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6" fillId="39" borderId="0" applyNumberFormat="0" applyBorder="0" applyAlignment="0" applyProtection="0"/>
    <xf numFmtId="0" fontId="37" fillId="57" borderId="36" applyNumberFormat="0" applyAlignment="0" applyProtection="0"/>
    <xf numFmtId="0" fontId="38" fillId="58" borderId="37" applyNumberFormat="0" applyAlignment="0" applyProtection="0"/>
    <xf numFmtId="0" fontId="41" fillId="0" borderId="0" applyNumberFormat="0" applyFill="0" applyBorder="0" applyAlignment="0" applyProtection="0"/>
    <xf numFmtId="0" fontId="42" fillId="40" borderId="0" applyNumberFormat="0" applyBorder="0" applyAlignment="0" applyProtection="0"/>
    <xf numFmtId="0" fontId="44" fillId="0" borderId="38" applyNumberFormat="0" applyFill="0" applyAlignment="0" applyProtection="0"/>
    <xf numFmtId="0" fontId="45" fillId="0" borderId="39" applyNumberFormat="0" applyFill="0" applyAlignment="0" applyProtection="0"/>
    <xf numFmtId="0" fontId="46" fillId="0" borderId="40" applyNumberFormat="0" applyFill="0" applyAlignment="0" applyProtection="0"/>
    <xf numFmtId="0" fontId="46" fillId="0" borderId="0" applyNumberFormat="0" applyFill="0" applyBorder="0" applyAlignment="0" applyProtection="0"/>
    <xf numFmtId="0" fontId="49" fillId="43" borderId="36" applyNumberFormat="0" applyAlignment="0" applyProtection="0"/>
    <xf numFmtId="0" fontId="50" fillId="0" borderId="43" applyNumberFormat="0" applyFill="0" applyAlignment="0" applyProtection="0"/>
    <xf numFmtId="0" fontId="52" fillId="62" borderId="0" applyNumberFormat="0" applyBorder="0" applyAlignment="0" applyProtection="0"/>
    <xf numFmtId="0" fontId="13" fillId="63" borderId="45" applyNumberFormat="0" applyFont="0" applyAlignment="0" applyProtection="0"/>
    <xf numFmtId="0" fontId="55" fillId="57" borderId="46" applyNumberFormat="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47" applyNumberFormat="0" applyFill="0" applyAlignment="0" applyProtection="0"/>
    <xf numFmtId="0" fontId="59" fillId="0" borderId="0" applyNumberFormat="0" applyFill="0" applyBorder="0" applyAlignment="0" applyProtection="0"/>
    <xf numFmtId="0" fontId="1" fillId="0" borderId="0"/>
    <xf numFmtId="183" fontId="1" fillId="0" borderId="0"/>
    <xf numFmtId="0" fontId="1" fillId="0" borderId="0"/>
    <xf numFmtId="183" fontId="4" fillId="0" borderId="0"/>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83" fontId="61" fillId="0" borderId="0"/>
    <xf numFmtId="185" fontId="62" fillId="0" borderId="0" applyFont="0" applyFill="0" applyBorder="0" applyAlignment="0" applyProtection="0"/>
    <xf numFmtId="186" fontId="62" fillId="0" borderId="0" applyFont="0" applyFill="0" applyBorder="0" applyAlignment="0" applyProtection="0"/>
    <xf numFmtId="187" fontId="62" fillId="0" borderId="0" applyFont="0" applyFill="0" applyBorder="0" applyAlignment="0" applyProtection="0"/>
    <xf numFmtId="185" fontId="61" fillId="0" borderId="0" applyFont="0" applyFill="0" applyBorder="0" applyAlignment="0" applyProtection="0"/>
    <xf numFmtId="188" fontId="62" fillId="0" borderId="0" applyFont="0" applyFill="0" applyBorder="0" applyAlignment="0" applyProtection="0"/>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0"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177" fontId="4" fillId="0" borderId="0">
      <alignment horizontal="left" wrapText="1"/>
    </xf>
    <xf numFmtId="0" fontId="60" fillId="0" borderId="0">
      <alignment vertical="top"/>
    </xf>
    <xf numFmtId="0" fontId="60" fillId="0" borderId="0">
      <alignment vertical="top"/>
    </xf>
    <xf numFmtId="177" fontId="4" fillId="0" borderId="0">
      <alignment horizontal="left" wrapText="1"/>
    </xf>
    <xf numFmtId="177" fontId="4" fillId="0" borderId="0">
      <alignment horizontal="left" wrapText="1"/>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0"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89" fontId="62" fillId="0" borderId="0" applyFont="0" applyFill="0" applyBorder="0" applyAlignment="0" applyProtection="0"/>
    <xf numFmtId="190" fontId="62" fillId="0" borderId="0" applyFon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183" fontId="34"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38" borderId="0" applyNumberFormat="0" applyBorder="0" applyAlignment="0" applyProtection="0"/>
    <xf numFmtId="0" fontId="60" fillId="38" borderId="0" applyNumberFormat="0" applyBorder="0" applyAlignment="0" applyProtection="0"/>
    <xf numFmtId="0" fontId="34" fillId="38" borderId="0" applyNumberFormat="0" applyBorder="0" applyAlignment="0" applyProtection="0"/>
    <xf numFmtId="183" fontId="34" fillId="38" borderId="0" applyNumberFormat="0" applyBorder="0" applyAlignment="0" applyProtection="0"/>
    <xf numFmtId="0" fontId="34" fillId="57" borderId="0" applyNumberFormat="0" applyBorder="0" applyAlignment="0" applyProtection="0"/>
    <xf numFmtId="183" fontId="34" fillId="44" borderId="0" applyNumberFormat="0" applyBorder="0" applyAlignment="0" applyProtection="0"/>
    <xf numFmtId="0" fontId="60"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183" fontId="34" fillId="3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39" borderId="0" applyNumberFormat="0" applyBorder="0" applyAlignment="0" applyProtection="0"/>
    <xf numFmtId="0" fontId="60" fillId="39" borderId="0" applyNumberFormat="0" applyBorder="0" applyAlignment="0" applyProtection="0"/>
    <xf numFmtId="0" fontId="34" fillId="39" borderId="0" applyNumberFormat="0" applyBorder="0" applyAlignment="0" applyProtection="0"/>
    <xf numFmtId="183" fontId="34" fillId="39" borderId="0" applyNumberFormat="0" applyBorder="0" applyAlignment="0" applyProtection="0"/>
    <xf numFmtId="0" fontId="34" fillId="43" borderId="0" applyNumberFormat="0" applyBorder="0" applyAlignment="0" applyProtection="0"/>
    <xf numFmtId="183" fontId="34" fillId="45" borderId="0" applyNumberFormat="0" applyBorder="0" applyAlignment="0" applyProtection="0"/>
    <xf numFmtId="0" fontId="60" fillId="3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3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183" fontId="34" fillId="4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40" borderId="0" applyNumberFormat="0" applyBorder="0" applyAlignment="0" applyProtection="0"/>
    <xf numFmtId="0" fontId="60" fillId="40" borderId="0" applyNumberFormat="0" applyBorder="0" applyAlignment="0" applyProtection="0"/>
    <xf numFmtId="0" fontId="34" fillId="40" borderId="0" applyNumberFormat="0" applyBorder="0" applyAlignment="0" applyProtection="0"/>
    <xf numFmtId="183" fontId="34" fillId="40" borderId="0" applyNumberFormat="0" applyBorder="0" applyAlignment="0" applyProtection="0"/>
    <xf numFmtId="0" fontId="34" fillId="63" borderId="0" applyNumberFormat="0" applyBorder="0" applyAlignment="0" applyProtection="0"/>
    <xf numFmtId="183" fontId="34" fillId="63" borderId="0" applyNumberFormat="0" applyBorder="0" applyAlignment="0" applyProtection="0"/>
    <xf numFmtId="0" fontId="60" fillId="4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60" fillId="4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183" fontId="34" fillId="43"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3" fontId="34"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2" borderId="0" applyNumberFormat="0" applyBorder="0" applyAlignment="0" applyProtection="0"/>
    <xf numFmtId="0" fontId="60" fillId="42" borderId="0" applyNumberFormat="0" applyBorder="0" applyAlignment="0" applyProtection="0"/>
    <xf numFmtId="0" fontId="34" fillId="42" borderId="0" applyNumberFormat="0" applyBorder="0" applyAlignment="0" applyProtection="0"/>
    <xf numFmtId="183" fontId="34" fillId="42" borderId="0" applyNumberFormat="0" applyBorder="0" applyAlignment="0" applyProtection="0"/>
    <xf numFmtId="0" fontId="34" fillId="44" borderId="0" applyNumberFormat="0" applyBorder="0" applyAlignment="0" applyProtection="0"/>
    <xf numFmtId="0" fontId="60"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0"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183" fontId="34" fillId="43" borderId="0" applyNumberFormat="0" applyBorder="0" applyAlignment="0" applyProtection="0"/>
    <xf numFmtId="0" fontId="34" fillId="43" borderId="0" applyNumberFormat="0" applyBorder="0" applyAlignment="0" applyProtection="0"/>
    <xf numFmtId="183" fontId="34" fillId="6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57" borderId="0" applyNumberFormat="0" applyBorder="0" applyAlignment="0" applyProtection="0"/>
    <xf numFmtId="183" fontId="34" fillId="42" borderId="0" applyNumberFormat="0" applyBorder="0" applyAlignment="0" applyProtection="0"/>
    <xf numFmtId="0" fontId="60" fillId="4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4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3"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183" fontId="34" fillId="45"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83" fontId="34"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46" borderId="0" applyNumberFormat="0" applyBorder="0" applyAlignment="0" applyProtection="0"/>
    <xf numFmtId="0" fontId="60" fillId="46" borderId="0" applyNumberFormat="0" applyBorder="0" applyAlignment="0" applyProtection="0"/>
    <xf numFmtId="0" fontId="34" fillId="46" borderId="0" applyNumberFormat="0" applyBorder="0" applyAlignment="0" applyProtection="0"/>
    <xf numFmtId="183" fontId="34" fillId="46" borderId="0" applyNumberFormat="0" applyBorder="0" applyAlignment="0" applyProtection="0"/>
    <xf numFmtId="0" fontId="34" fillId="62" borderId="0" applyNumberFormat="0" applyBorder="0" applyAlignment="0" applyProtection="0"/>
    <xf numFmtId="183" fontId="34" fillId="62" borderId="0" applyNumberFormat="0" applyBorder="0" applyAlignment="0" applyProtection="0"/>
    <xf numFmtId="0" fontId="60"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60"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4"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183" fontId="34" fillId="39"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44" borderId="0" applyNumberFormat="0" applyBorder="0" applyAlignment="0" applyProtection="0"/>
    <xf numFmtId="183" fontId="34" fillId="42"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83"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60" fillId="47" borderId="0" applyNumberFormat="0" applyBorder="0" applyAlignment="0" applyProtection="0"/>
    <xf numFmtId="0" fontId="34" fillId="47" borderId="0" applyNumberFormat="0" applyBorder="0" applyAlignment="0" applyProtection="0"/>
    <xf numFmtId="183" fontId="34" fillId="47" borderId="0" applyNumberFormat="0" applyBorder="0" applyAlignment="0" applyProtection="0"/>
    <xf numFmtId="0" fontId="34" fillId="43" borderId="0" applyNumberFormat="0" applyBorder="0" applyAlignment="0" applyProtection="0"/>
    <xf numFmtId="183" fontId="34" fillId="63" borderId="0" applyNumberFormat="0" applyBorder="0" applyAlignment="0" applyProtection="0"/>
    <xf numFmtId="0" fontId="60"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4"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34"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183" fontId="35" fillId="48"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8" borderId="0" applyNumberFormat="0" applyBorder="0" applyAlignment="0" applyProtection="0"/>
    <xf numFmtId="0" fontId="64" fillId="48" borderId="0" applyNumberFormat="0" applyBorder="0" applyAlignment="0" applyProtection="0"/>
    <xf numFmtId="0" fontId="35" fillId="48" borderId="0" applyNumberFormat="0" applyBorder="0" applyAlignment="0" applyProtection="0"/>
    <xf numFmtId="183" fontId="35" fillId="48" borderId="0" applyNumberFormat="0" applyBorder="0" applyAlignment="0" applyProtection="0"/>
    <xf numFmtId="0" fontId="35" fillId="50" borderId="0" applyNumberFormat="0" applyBorder="0" applyAlignment="0" applyProtection="0"/>
    <xf numFmtId="183" fontId="35" fillId="4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17" borderId="0" applyNumberFormat="0" applyBorder="0" applyAlignment="0" applyProtection="0"/>
    <xf numFmtId="0" fontId="35"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183"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64" fillId="45" borderId="0" applyNumberFormat="0" applyBorder="0" applyAlignment="0" applyProtection="0"/>
    <xf numFmtId="0" fontId="35" fillId="45" borderId="0" applyNumberFormat="0" applyBorder="0" applyAlignment="0" applyProtection="0"/>
    <xf numFmtId="183" fontId="35" fillId="45" borderId="0" applyNumberFormat="0" applyBorder="0" applyAlignment="0" applyProtection="0"/>
    <xf numFmtId="0" fontId="35" fillId="45" borderId="0" applyNumberFormat="0" applyBorder="0" applyAlignment="0" applyProtection="0"/>
    <xf numFmtId="183" fontId="35" fillId="5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0" fillId="21" borderId="0" applyNumberFormat="0" applyBorder="0" applyAlignment="0" applyProtection="0"/>
    <xf numFmtId="0" fontId="35"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183" fontId="35" fillId="46"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6" borderId="0" applyNumberFormat="0" applyBorder="0" applyAlignment="0" applyProtection="0"/>
    <xf numFmtId="0" fontId="64" fillId="46" borderId="0" applyNumberFormat="0" applyBorder="0" applyAlignment="0" applyProtection="0"/>
    <xf numFmtId="0" fontId="35" fillId="46" borderId="0" applyNumberFormat="0" applyBorder="0" applyAlignment="0" applyProtection="0"/>
    <xf numFmtId="183" fontId="35" fillId="46" borderId="0" applyNumberFormat="0" applyBorder="0" applyAlignment="0" applyProtection="0"/>
    <xf numFmtId="0" fontId="35" fillId="62" borderId="0" applyNumberFormat="0" applyBorder="0" applyAlignment="0" applyProtection="0"/>
    <xf numFmtId="183" fontId="35" fillId="47"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0" fillId="25" borderId="0" applyNumberFormat="0" applyBorder="0" applyAlignment="0" applyProtection="0"/>
    <xf numFmtId="0" fontId="35"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58" borderId="0" applyNumberFormat="0" applyBorder="0" applyAlignment="0" applyProtection="0"/>
    <xf numFmtId="183" fontId="35" fillId="3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0" fillId="29"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183" fontId="35" fillId="4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33"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83" fontId="35" fillId="5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51" borderId="0" applyNumberFormat="0" applyBorder="0" applyAlignment="0" applyProtection="0"/>
    <xf numFmtId="0" fontId="64" fillId="51" borderId="0" applyNumberFormat="0" applyBorder="0" applyAlignment="0" applyProtection="0"/>
    <xf numFmtId="0" fontId="35" fillId="51" borderId="0" applyNumberFormat="0" applyBorder="0" applyAlignment="0" applyProtection="0"/>
    <xf numFmtId="183" fontId="35" fillId="51" borderId="0" applyNumberFormat="0" applyBorder="0" applyAlignment="0" applyProtection="0"/>
    <xf numFmtId="0" fontId="35" fillId="43" borderId="0" applyNumberFormat="0" applyBorder="0" applyAlignment="0" applyProtection="0"/>
    <xf numFmtId="183" fontId="35" fillId="45"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0" fillId="37" borderId="0" applyNumberFormat="0" applyBorder="0" applyAlignment="0" applyProtection="0"/>
    <xf numFmtId="0" fontId="35"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35" fillId="51" borderId="0" applyNumberFormat="0" applyBorder="0" applyAlignment="0" applyProtection="0"/>
    <xf numFmtId="183" fontId="34" fillId="65" borderId="0" applyNumberFormat="0" applyBorder="0" applyAlignment="0" applyProtection="0"/>
    <xf numFmtId="183" fontId="34" fillId="65" borderId="0" applyNumberFormat="0" applyBorder="0" applyAlignment="0" applyProtection="0"/>
    <xf numFmtId="183" fontId="35" fillId="6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183" fontId="35" fillId="5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2" borderId="0" applyNumberFormat="0" applyBorder="0" applyAlignment="0" applyProtection="0"/>
    <xf numFmtId="0" fontId="64" fillId="52" borderId="0" applyNumberFormat="0" applyBorder="0" applyAlignment="0" applyProtection="0"/>
    <xf numFmtId="0" fontId="35" fillId="52" borderId="0" applyNumberFormat="0" applyBorder="0" applyAlignment="0" applyProtection="0"/>
    <xf numFmtId="183" fontId="35" fillId="52" borderId="0" applyNumberFormat="0" applyBorder="0" applyAlignment="0" applyProtection="0"/>
    <xf numFmtId="0" fontId="35" fillId="50" borderId="0" applyNumberFormat="0" applyBorder="0" applyAlignment="0" applyProtection="0"/>
    <xf numFmtId="183" fontId="35" fillId="6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14" borderId="0" applyNumberFormat="0" applyBorder="0" applyAlignment="0" applyProtection="0"/>
    <xf numFmtId="0" fontId="35"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35" fillId="52" borderId="0" applyNumberFormat="0" applyBorder="0" applyAlignment="0" applyProtection="0"/>
    <xf numFmtId="183" fontId="34" fillId="68" borderId="0" applyNumberFormat="0" applyBorder="0" applyAlignment="0" applyProtection="0"/>
    <xf numFmtId="183" fontId="34" fillId="69" borderId="0" applyNumberFormat="0" applyBorder="0" applyAlignment="0" applyProtection="0"/>
    <xf numFmtId="183" fontId="35" fillId="70"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183"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64" fillId="53" borderId="0" applyNumberFormat="0" applyBorder="0" applyAlignment="0" applyProtection="0"/>
    <xf numFmtId="0" fontId="35" fillId="53" borderId="0" applyNumberFormat="0" applyBorder="0" applyAlignment="0" applyProtection="0"/>
    <xf numFmtId="183" fontId="35" fillId="53" borderId="0" applyNumberFormat="0" applyBorder="0" applyAlignment="0" applyProtection="0"/>
    <xf numFmtId="0" fontId="35" fillId="53" borderId="0" applyNumberFormat="0" applyBorder="0" applyAlignment="0" applyProtection="0"/>
    <xf numFmtId="183" fontId="35" fillId="5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0" fillId="18" borderId="0" applyNumberFormat="0" applyBorder="0" applyAlignment="0" applyProtection="0"/>
    <xf numFmtId="0" fontId="35"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35" fillId="53" borderId="0" applyNumberFormat="0" applyBorder="0" applyAlignment="0" applyProtection="0"/>
    <xf numFmtId="183" fontId="34" fillId="68" borderId="0" applyNumberFormat="0" applyBorder="0" applyAlignment="0" applyProtection="0"/>
    <xf numFmtId="183" fontId="34" fillId="71" borderId="0" applyNumberFormat="0" applyBorder="0" applyAlignment="0" applyProtection="0"/>
    <xf numFmtId="183" fontId="35" fillId="69"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183"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64" fillId="54" borderId="0" applyNumberFormat="0" applyBorder="0" applyAlignment="0" applyProtection="0"/>
    <xf numFmtId="0" fontId="35" fillId="54" borderId="0" applyNumberFormat="0" applyBorder="0" applyAlignment="0" applyProtection="0"/>
    <xf numFmtId="183" fontId="35" fillId="54" borderId="0" applyNumberFormat="0" applyBorder="0" applyAlignment="0" applyProtection="0"/>
    <xf numFmtId="0" fontId="35" fillId="54" borderId="0" applyNumberFormat="0" applyBorder="0" applyAlignment="0" applyProtection="0"/>
    <xf numFmtId="183" fontId="35" fillId="47"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0" fillId="22" borderId="0" applyNumberFormat="0" applyBorder="0" applyAlignment="0" applyProtection="0"/>
    <xf numFmtId="0" fontId="35"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35" fillId="54" borderId="0" applyNumberFormat="0" applyBorder="0" applyAlignment="0" applyProtection="0"/>
    <xf numFmtId="183" fontId="34" fillId="65" borderId="0" applyNumberFormat="0" applyBorder="0" applyAlignment="0" applyProtection="0"/>
    <xf numFmtId="183" fontId="34" fillId="69" borderId="0" applyNumberFormat="0" applyBorder="0" applyAlignment="0" applyProtection="0"/>
    <xf numFmtId="183" fontId="35" fillId="6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72" borderId="0" applyNumberFormat="0" applyBorder="0" applyAlignment="0" applyProtection="0"/>
    <xf numFmtId="183"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0" fillId="26"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183" fontId="34" fillId="73" borderId="0" applyNumberFormat="0" applyBorder="0" applyAlignment="0" applyProtection="0"/>
    <xf numFmtId="183" fontId="34" fillId="65" borderId="0" applyNumberFormat="0" applyBorder="0" applyAlignment="0" applyProtection="0"/>
    <xf numFmtId="183" fontId="35" fillId="66"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30"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183" fontId="34" fillId="68" borderId="0" applyNumberFormat="0" applyBorder="0" applyAlignment="0" applyProtection="0"/>
    <xf numFmtId="183" fontId="34" fillId="74" borderId="0" applyNumberFormat="0" applyBorder="0" applyAlignment="0" applyProtection="0"/>
    <xf numFmtId="183" fontId="35" fillId="7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183"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64" fillId="55" borderId="0" applyNumberFormat="0" applyBorder="0" applyAlignment="0" applyProtection="0"/>
    <xf numFmtId="0" fontId="35" fillId="55" borderId="0" applyNumberFormat="0" applyBorder="0" applyAlignment="0" applyProtection="0"/>
    <xf numFmtId="183" fontId="35" fillId="55" borderId="0" applyNumberFormat="0" applyBorder="0" applyAlignment="0" applyProtection="0"/>
    <xf numFmtId="0" fontId="35" fillId="55" borderId="0" applyNumberFormat="0" applyBorder="0" applyAlignment="0" applyProtection="0"/>
    <xf numFmtId="183" fontId="35" fillId="5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0" fillId="34" borderId="0" applyNumberFormat="0" applyBorder="0" applyAlignment="0" applyProtection="0"/>
    <xf numFmtId="0" fontId="35"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35" fillId="55" borderId="0" applyNumberFormat="0" applyBorder="0" applyAlignment="0" applyProtection="0"/>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78" fontId="7"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91" fontId="4" fillId="56" borderId="35">
      <alignment horizontal="center" vertical="center"/>
    </xf>
    <xf numFmtId="178" fontId="7"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78" fontId="7" fillId="56" borderId="35">
      <alignment horizontal="center" vertical="center"/>
    </xf>
    <xf numFmtId="0" fontId="65" fillId="0" borderId="0" applyNumberFormat="0" applyFill="0" applyBorder="0" applyAlignment="0">
      <protection locked="0"/>
    </xf>
    <xf numFmtId="192" fontId="31"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0" fontId="67"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0" fontId="36" fillId="39" borderId="0" applyNumberFormat="0" applyBorder="0" applyAlignment="0" applyProtection="0"/>
    <xf numFmtId="0" fontId="36" fillId="39" borderId="0" applyNumberFormat="0" applyBorder="0" applyAlignment="0" applyProtection="0"/>
    <xf numFmtId="183"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68" fillId="39" borderId="0" applyNumberFormat="0" applyBorder="0" applyAlignment="0" applyProtection="0"/>
    <xf numFmtId="0" fontId="36" fillId="39" borderId="0" applyNumberFormat="0" applyBorder="0" applyAlignment="0" applyProtection="0"/>
    <xf numFmtId="183" fontId="36" fillId="39" borderId="0" applyNumberFormat="0" applyBorder="0" applyAlignment="0" applyProtection="0"/>
    <xf numFmtId="0" fontId="36" fillId="39" borderId="0" applyNumberFormat="0" applyBorder="0" applyAlignment="0" applyProtection="0"/>
    <xf numFmtId="183" fontId="36" fillId="4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21" fillId="8" borderId="0" applyNumberFormat="0" applyBorder="0" applyAlignment="0" applyProtection="0"/>
    <xf numFmtId="0" fontId="36"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36" fillId="39" borderId="0" applyNumberFormat="0" applyBorder="0" applyAlignment="0" applyProtection="0"/>
    <xf numFmtId="194" fontId="69" fillId="0" borderId="8"/>
    <xf numFmtId="0" fontId="70" fillId="0" borderId="4" applyNumberFormat="0" applyFill="0" applyAlignment="0" applyProtection="0"/>
    <xf numFmtId="38" fontId="69" fillId="0" borderId="8"/>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95" fontId="62" fillId="0" borderId="0" applyFont="0" applyFill="0" applyBorder="0" applyAlignment="0" applyProtection="0"/>
    <xf numFmtId="0" fontId="37" fillId="57" borderId="36" applyNumberFormat="0" applyAlignment="0" applyProtection="0"/>
    <xf numFmtId="0" fontId="37" fillId="57" borderId="36" applyNumberFormat="0" applyAlignment="0" applyProtection="0"/>
    <xf numFmtId="183" fontId="37" fillId="57" borderId="36" applyNumberFormat="0" applyAlignment="0" applyProtection="0"/>
    <xf numFmtId="0" fontId="37" fillId="75" borderId="36" applyNumberFormat="0" applyAlignment="0" applyProtection="0"/>
    <xf numFmtId="183" fontId="37" fillId="57" borderId="36" applyNumberFormat="0" applyFont="0" applyBorder="0" applyAlignment="0" applyProtection="0"/>
    <xf numFmtId="0" fontId="37" fillId="75" borderId="36" applyNumberFormat="0" applyAlignment="0" applyProtection="0"/>
    <xf numFmtId="0" fontId="37" fillId="75" borderId="36" applyNumberFormat="0" applyAlignment="0" applyProtection="0"/>
    <xf numFmtId="0" fontId="37" fillId="57" borderId="36" applyNumberFormat="0" applyAlignment="0" applyProtection="0"/>
    <xf numFmtId="0" fontId="71" fillId="57" borderId="36" applyNumberFormat="0" applyAlignment="0" applyProtection="0"/>
    <xf numFmtId="0" fontId="37" fillId="57" borderId="36" applyNumberFormat="0" applyAlignment="0" applyProtection="0"/>
    <xf numFmtId="183" fontId="37" fillId="57" borderId="36" applyNumberFormat="0" applyAlignment="0" applyProtection="0"/>
    <xf numFmtId="0" fontId="37" fillId="75" borderId="36" applyNumberFormat="0" applyAlignment="0" applyProtection="0"/>
    <xf numFmtId="183" fontId="72"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25" fillId="11" borderId="29" applyNumberFormat="0" applyAlignment="0" applyProtection="0"/>
    <xf numFmtId="0" fontId="37" fillId="57" borderId="36" applyNumberFormat="0" applyAlignment="0" applyProtection="0"/>
    <xf numFmtId="0" fontId="71" fillId="57" borderId="36" applyNumberFormat="0" applyAlignment="0" applyProtection="0"/>
    <xf numFmtId="0" fontId="71" fillId="57" borderId="36" applyNumberFormat="0" applyAlignment="0" applyProtection="0"/>
    <xf numFmtId="0" fontId="37" fillId="57" borderId="36" applyNumberFormat="0" applyAlignment="0" applyProtection="0"/>
    <xf numFmtId="0" fontId="38" fillId="58" borderId="37" applyNumberFormat="0" applyAlignment="0" applyProtection="0"/>
    <xf numFmtId="0" fontId="38" fillId="58" borderId="37" applyNumberFormat="0" applyAlignment="0" applyProtection="0"/>
    <xf numFmtId="183"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73" fillId="58" borderId="37" applyNumberFormat="0" applyAlignment="0" applyProtection="0"/>
    <xf numFmtId="0" fontId="38" fillId="58" borderId="37" applyNumberFormat="0" applyAlignment="0" applyProtection="0"/>
    <xf numFmtId="183"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27" fillId="12" borderId="32" applyNumberFormat="0" applyAlignment="0" applyProtection="0"/>
    <xf numFmtId="0" fontId="38" fillId="58" borderId="37" applyNumberFormat="0" applyAlignment="0" applyProtection="0"/>
    <xf numFmtId="0" fontId="73" fillId="58" borderId="37" applyNumberFormat="0" applyAlignment="0" applyProtection="0"/>
    <xf numFmtId="0" fontId="73" fillId="58" borderId="37" applyNumberFormat="0" applyAlignment="0" applyProtection="0"/>
    <xf numFmtId="0" fontId="38" fillId="58" borderId="37" applyNumberFormat="0" applyAlignment="0" applyProtection="0"/>
    <xf numFmtId="37" fontId="62" fillId="0" borderId="0"/>
    <xf numFmtId="40" fontId="4" fillId="0" borderId="0" applyBorder="0" applyProtection="0"/>
    <xf numFmtId="40" fontId="4" fillId="0" borderId="0" applyBorder="0" applyProtection="0"/>
    <xf numFmtId="40" fontId="4" fillId="0" borderId="0" applyBorder="0" applyProtection="0"/>
    <xf numFmtId="40" fontId="4" fillId="0" borderId="0" applyBorder="0" applyProtection="0"/>
    <xf numFmtId="196" fontId="4" fillId="0" borderId="0" applyFont="0" applyFill="0" applyBorder="0" applyAlignment="0" applyProtection="0"/>
    <xf numFmtId="37" fontId="60" fillId="0" borderId="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83" fontId="74" fillId="0" borderId="0" applyFont="0" applyFill="0" applyBorder="0" applyAlignment="0" applyProtection="0">
      <alignment horizontal="right"/>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13" fillId="0" borderId="0" applyFont="0" applyFill="0" applyBorder="0" applyAlignment="0" applyProtection="0"/>
    <xf numFmtId="183" fontId="74" fillId="0" borderId="0" applyFont="0" applyFill="0" applyBorder="0" applyAlignment="0" applyProtection="0">
      <alignment horizontal="right"/>
    </xf>
    <xf numFmtId="43" fontId="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183" fontId="74" fillId="0" borderId="0" applyFont="0" applyFill="0" applyBorder="0" applyAlignment="0" applyProtection="0">
      <alignment horizontal="right"/>
    </xf>
    <xf numFmtId="43" fontId="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7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 fillId="0" borderId="0" applyFill="0" applyBorder="0" applyAlignment="0" applyProtection="0"/>
    <xf numFmtId="0" fontId="80" fillId="0" borderId="0"/>
    <xf numFmtId="0" fontId="81" fillId="0" borderId="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80" fillId="0" borderId="0"/>
    <xf numFmtId="0" fontId="81" fillId="0" borderId="0"/>
    <xf numFmtId="197" fontId="31" fillId="0" borderId="42"/>
    <xf numFmtId="198" fontId="4" fillId="0" borderId="0" applyFont="0" applyFill="0" applyBorder="0" applyAlignment="0" applyProtection="0"/>
    <xf numFmtId="199" fontId="62" fillId="0" borderId="0"/>
    <xf numFmtId="183" fontId="7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3" fontId="74"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3" fontId="7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183" fontId="74" fillId="0" borderId="0" applyFont="0" applyFill="0" applyBorder="0" applyAlignment="0" applyProtection="0">
      <alignment horizontal="right"/>
    </xf>
    <xf numFmtId="44" fontId="4" fillId="0" borderId="0" applyFont="0" applyFill="0" applyBorder="0" applyAlignment="0" applyProtection="0"/>
    <xf numFmtId="44" fontId="31" fillId="0" borderId="0" applyFont="0" applyFill="0" applyBorder="0" applyAlignment="0" applyProtection="0"/>
    <xf numFmtId="44" fontId="7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200" fontId="62" fillId="0" borderId="0" applyFont="0" applyFill="0" applyBorder="0" applyAlignment="0" applyProtection="0"/>
    <xf numFmtId="15" fontId="82" fillId="0" borderId="0">
      <alignment horizontal="center"/>
    </xf>
    <xf numFmtId="15" fontId="82" fillId="0" borderId="0">
      <alignment horizontal="center"/>
    </xf>
    <xf numFmtId="15" fontId="82" fillId="0" borderId="0">
      <alignment horizontal="center"/>
    </xf>
    <xf numFmtId="183" fontId="74" fillId="0" borderId="0" applyFont="0" applyFill="0" applyBorder="0" applyAlignment="0" applyProtection="0"/>
    <xf numFmtId="201" fontId="31" fillId="0" borderId="0" applyFont="0" applyFill="0" applyBorder="0" applyProtection="0">
      <alignment horizontal="right"/>
    </xf>
    <xf numFmtId="0" fontId="83" fillId="0" borderId="0">
      <protection locked="0"/>
    </xf>
    <xf numFmtId="183" fontId="74" fillId="0" borderId="51" applyNumberFormat="0" applyFont="0" applyFill="0" applyAlignment="0" applyProtection="0"/>
    <xf numFmtId="183" fontId="57" fillId="76" borderId="0" applyNumberFormat="0" applyBorder="0" applyAlignment="0" applyProtection="0"/>
    <xf numFmtId="183" fontId="57" fillId="77" borderId="0" applyNumberFormat="0" applyBorder="0" applyAlignment="0" applyProtection="0"/>
    <xf numFmtId="183" fontId="57" fillId="78" borderId="0" applyNumberFormat="0" applyBorder="0" applyAlignment="0" applyProtection="0"/>
    <xf numFmtId="0" fontId="84" fillId="0" borderId="0">
      <protection locked="0"/>
    </xf>
    <xf numFmtId="0" fontId="84" fillId="0" borderId="0">
      <protection locked="0"/>
    </xf>
    <xf numFmtId="183" fontId="62"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62"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202" fontId="4" fillId="0" borderId="0" applyFont="0" applyFill="0" applyBorder="0" applyAlignment="0" applyProtection="0"/>
    <xf numFmtId="183"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35" fillId="79" borderId="0"/>
    <xf numFmtId="203" fontId="34" fillId="0" borderId="0"/>
    <xf numFmtId="183" fontId="85" fillId="0" borderId="0"/>
    <xf numFmtId="183" fontId="34" fillId="0" borderId="0"/>
    <xf numFmtId="0" fontId="41" fillId="0" borderId="0" applyNumberFormat="0" applyFill="0" applyBorder="0" applyAlignment="0" applyProtection="0"/>
    <xf numFmtId="0" fontId="41" fillId="0" borderId="0" applyNumberFormat="0" applyFill="0" applyBorder="0" applyAlignment="0" applyProtection="0"/>
    <xf numFmtId="183"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41" fillId="0" borderId="0" applyNumberFormat="0" applyFill="0" applyBorder="0" applyAlignment="0" applyProtection="0"/>
    <xf numFmtId="183"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Alignment="0">
      <alignment horizontal="right" indent="1"/>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6" fontId="32" fillId="0" borderId="0"/>
    <xf numFmtId="0" fontId="83"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2" fontId="4" fillId="0" borderId="0" applyFill="0" applyBorder="0" applyAlignment="0" applyProtection="0"/>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183" fontId="87" fillId="0" borderId="0" applyFill="0" applyBorder="0" applyProtection="0">
      <alignment horizontal="left"/>
    </xf>
    <xf numFmtId="0" fontId="88" fillId="1" borderId="0"/>
    <xf numFmtId="0" fontId="42" fillId="40" borderId="0" applyNumberFormat="0" applyBorder="0" applyAlignment="0" applyProtection="0"/>
    <xf numFmtId="0" fontId="42" fillId="40" borderId="0" applyNumberFormat="0" applyBorder="0" applyAlignment="0" applyProtection="0"/>
    <xf numFmtId="183"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89" fillId="40" borderId="0" applyNumberFormat="0" applyBorder="0" applyAlignment="0" applyProtection="0"/>
    <xf numFmtId="0" fontId="42" fillId="40" borderId="0" applyNumberFormat="0" applyBorder="0" applyAlignment="0" applyProtection="0"/>
    <xf numFmtId="183" fontId="42" fillId="40" borderId="0" applyNumberFormat="0" applyBorder="0" applyAlignment="0" applyProtection="0"/>
    <xf numFmtId="0" fontId="42" fillId="40" borderId="0" applyNumberFormat="0" applyBorder="0" applyAlignment="0" applyProtection="0"/>
    <xf numFmtId="183" fontId="42" fillId="42"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0" fillId="7" borderId="0" applyNumberFormat="0" applyBorder="0" applyAlignment="0" applyProtection="0"/>
    <xf numFmtId="0" fontId="42"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42" fillId="40"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183" fontId="74" fillId="0" borderId="0" applyFont="0" applyFill="0" applyBorder="0" applyAlignment="0" applyProtection="0">
      <alignment horizontal="right"/>
    </xf>
    <xf numFmtId="183" fontId="43" fillId="0" borderId="0" applyNumberFormat="0" applyFill="0" applyBorder="0" applyAlignment="0" applyProtection="0"/>
    <xf numFmtId="183" fontId="90" fillId="0" borderId="0">
      <alignment horizontal="left"/>
    </xf>
    <xf numFmtId="183" fontId="90" fillId="0" borderId="0">
      <alignment horizontal="left"/>
    </xf>
    <xf numFmtId="183" fontId="90" fillId="0" borderId="0">
      <alignment horizontal="left"/>
    </xf>
    <xf numFmtId="0" fontId="43" fillId="0" borderId="0" applyNumberFormat="0" applyFill="0" applyBorder="0" applyAlignment="0" applyProtection="0"/>
    <xf numFmtId="183" fontId="91" fillId="0" borderId="2" applyNumberFormat="0" applyAlignment="0" applyProtection="0">
      <alignment horizontal="left" vertical="center"/>
    </xf>
    <xf numFmtId="183" fontId="91" fillId="0" borderId="14">
      <alignment horizontal="left" vertical="center"/>
    </xf>
    <xf numFmtId="0" fontId="44" fillId="0" borderId="38" applyNumberFormat="0" applyFill="0" applyAlignment="0" applyProtection="0"/>
    <xf numFmtId="0" fontId="44" fillId="0" borderId="38" applyNumberFormat="0" applyFill="0" applyAlignment="0" applyProtection="0"/>
    <xf numFmtId="183" fontId="44" fillId="0" borderId="38"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44" fillId="0" borderId="38" applyNumberFormat="0" applyFill="0" applyAlignment="0" applyProtection="0"/>
    <xf numFmtId="0" fontId="93" fillId="0" borderId="38" applyNumberFormat="0" applyFill="0" applyAlignment="0" applyProtection="0"/>
    <xf numFmtId="0" fontId="44" fillId="0" borderId="38" applyNumberFormat="0" applyFill="0" applyAlignment="0" applyProtection="0"/>
    <xf numFmtId="183" fontId="44" fillId="0" borderId="38" applyNumberFormat="0" applyFill="0" applyAlignment="0" applyProtection="0"/>
    <xf numFmtId="0" fontId="92" fillId="0" borderId="52" applyNumberFormat="0" applyFill="0" applyAlignment="0" applyProtection="0"/>
    <xf numFmtId="183" fontId="92" fillId="0" borderId="53"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17" fillId="0" borderId="26" applyNumberFormat="0" applyFill="0" applyAlignment="0" applyProtection="0"/>
    <xf numFmtId="0" fontId="44"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39" applyNumberFormat="0" applyFill="0" applyAlignment="0" applyProtection="0"/>
    <xf numFmtId="183" fontId="45"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45" fillId="0" borderId="39" applyNumberFormat="0" applyFill="0" applyAlignment="0" applyProtection="0"/>
    <xf numFmtId="0" fontId="95" fillId="0" borderId="39" applyNumberFormat="0" applyFill="0" applyAlignment="0" applyProtection="0"/>
    <xf numFmtId="0" fontId="45" fillId="0" borderId="39" applyNumberFormat="0" applyFill="0" applyAlignment="0" applyProtection="0"/>
    <xf numFmtId="183" fontId="45" fillId="0" borderId="39" applyNumberFormat="0" applyFill="0" applyAlignment="0" applyProtection="0"/>
    <xf numFmtId="0" fontId="94" fillId="0" borderId="39" applyNumberFormat="0" applyFill="0" applyAlignment="0" applyProtection="0"/>
    <xf numFmtId="183" fontId="94" fillId="0" borderId="54"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18" fillId="0" borderId="27" applyNumberFormat="0" applyFill="0" applyAlignment="0" applyProtection="0"/>
    <xf numFmtId="0" fontId="45" fillId="0" borderId="39" applyNumberFormat="0" applyFill="0" applyAlignment="0" applyProtection="0"/>
    <xf numFmtId="0" fontId="95" fillId="0" borderId="39" applyNumberFormat="0" applyFill="0" applyAlignment="0" applyProtection="0"/>
    <xf numFmtId="0" fontId="95" fillId="0" borderId="39" applyNumberFormat="0" applyFill="0" applyAlignment="0" applyProtection="0"/>
    <xf numFmtId="0" fontId="45" fillId="0" borderId="39"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83" fontId="46" fillId="0" borderId="40"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46" fillId="0" borderId="40" applyNumberFormat="0" applyFill="0" applyAlignment="0" applyProtection="0"/>
    <xf numFmtId="0" fontId="97" fillId="0" borderId="40" applyNumberFormat="0" applyFill="0" applyAlignment="0" applyProtection="0"/>
    <xf numFmtId="0" fontId="46" fillId="0" borderId="40" applyNumberFormat="0" applyFill="0" applyAlignment="0" applyProtection="0"/>
    <xf numFmtId="183" fontId="46" fillId="0" borderId="40" applyNumberFormat="0" applyFill="0" applyAlignment="0" applyProtection="0"/>
    <xf numFmtId="0" fontId="96" fillId="0" borderId="55" applyNumberFormat="0" applyFill="0" applyAlignment="0" applyProtection="0"/>
    <xf numFmtId="183" fontId="96" fillId="0" borderId="56"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19" fillId="0" borderId="28" applyNumberFormat="0" applyFill="0" applyAlignment="0" applyProtection="0"/>
    <xf numFmtId="0" fontId="46" fillId="0" borderId="40" applyNumberFormat="0" applyFill="0" applyAlignment="0" applyProtection="0"/>
    <xf numFmtId="0" fontId="97" fillId="0" borderId="40" applyNumberFormat="0" applyFill="0" applyAlignment="0" applyProtection="0"/>
    <xf numFmtId="0" fontId="97" fillId="0" borderId="40" applyNumberFormat="0" applyFill="0" applyAlignment="0" applyProtection="0"/>
    <xf numFmtId="0" fontId="46" fillId="0" borderId="4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3" fontId="4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183" fontId="46" fillId="0" borderId="0" applyNumberFormat="0" applyFill="0" applyBorder="0" applyAlignment="0" applyProtection="0"/>
    <xf numFmtId="0" fontId="96" fillId="0" borderId="0" applyNumberFormat="0" applyFill="0" applyBorder="0" applyAlignment="0" applyProtection="0"/>
    <xf numFmtId="183"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3" fontId="98" fillId="0" borderId="0"/>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183" fontId="47" fillId="0" borderId="41" applyNumberFormat="0" applyFill="0" applyAlignment="0" applyProtection="0"/>
    <xf numFmtId="0" fontId="47" fillId="0" borderId="41" applyNumberFormat="0" applyFill="0" applyAlignment="0" applyProtection="0"/>
    <xf numFmtId="0" fontId="99" fillId="0" borderId="0" applyNumberFormat="0" applyFill="0" applyBorder="0" applyAlignment="0" applyProtection="0">
      <alignment vertical="top"/>
      <protection locked="0"/>
    </xf>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100" fillId="43" borderId="36" applyNumberFormat="0" applyAlignment="0" applyProtection="0"/>
    <xf numFmtId="0" fontId="49" fillId="43" borderId="36" applyNumberFormat="0" applyAlignment="0" applyProtection="0"/>
    <xf numFmtId="0" fontId="100"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183" fontId="49" fillId="43" borderId="36" applyNumberFormat="0" applyFont="0" applyBorder="0" applyAlignment="0" applyProtection="0"/>
    <xf numFmtId="0" fontId="49" fillId="43" borderId="36" applyNumberFormat="0" applyAlignment="0" applyProtection="0"/>
    <xf numFmtId="0" fontId="49" fillId="43" borderId="36" applyNumberFormat="0" applyAlignment="0" applyProtection="0"/>
    <xf numFmtId="0" fontId="100"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183" fontId="49" fillId="62"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41" fontId="47" fillId="61" borderId="57">
      <alignment horizontal="left"/>
      <protection locked="0"/>
    </xf>
    <xf numFmtId="183" fontId="101" fillId="80" borderId="58" applyNumberFormat="0" applyBorder="0" applyAlignment="0" applyProtection="0"/>
    <xf numFmtId="183" fontId="102" fillId="81" borderId="0" applyNumberFormat="0"/>
    <xf numFmtId="183" fontId="13" fillId="59" borderId="0"/>
    <xf numFmtId="0" fontId="50" fillId="0" borderId="43" applyNumberFormat="0" applyFill="0" applyAlignment="0" applyProtection="0"/>
    <xf numFmtId="0" fontId="50" fillId="0" borderId="43" applyNumberFormat="0" applyFill="0" applyAlignment="0" applyProtection="0"/>
    <xf numFmtId="183"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103" fillId="0" borderId="43" applyNumberFormat="0" applyFill="0" applyAlignment="0" applyProtection="0"/>
    <xf numFmtId="0" fontId="50" fillId="0" borderId="43" applyNumberFormat="0" applyFill="0" applyAlignment="0" applyProtection="0"/>
    <xf numFmtId="183" fontId="50" fillId="0" borderId="43" applyNumberFormat="0" applyFill="0" applyAlignment="0" applyProtection="0"/>
    <xf numFmtId="0" fontId="50" fillId="0" borderId="43" applyNumberFormat="0" applyFill="0" applyAlignment="0" applyProtection="0"/>
    <xf numFmtId="183" fontId="59" fillId="0" borderId="59"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26" fillId="0" borderId="31" applyNumberFormat="0" applyFill="0" applyAlignment="0" applyProtection="0"/>
    <xf numFmtId="0" fontId="50" fillId="0" borderId="43" applyNumberFormat="0" applyFill="0" applyAlignment="0" applyProtection="0"/>
    <xf numFmtId="0" fontId="103" fillId="0" borderId="43" applyNumberFormat="0" applyFill="0" applyAlignment="0" applyProtection="0"/>
    <xf numFmtId="0" fontId="103" fillId="0" borderId="43" applyNumberFormat="0" applyFill="0" applyAlignment="0" applyProtection="0"/>
    <xf numFmtId="0" fontId="50" fillId="0" borderId="43" applyNumberFormat="0" applyFill="0" applyAlignment="0" applyProtection="0"/>
    <xf numFmtId="205" fontId="9" fillId="0" borderId="0" applyFill="0" applyBorder="0" applyProtection="0">
      <alignment horizontal="right"/>
    </xf>
    <xf numFmtId="0" fontId="104" fillId="0" borderId="0"/>
    <xf numFmtId="206" fontId="10" fillId="0" borderId="0" applyFont="0" applyFill="0" applyBorder="0" applyAlignment="0" applyProtection="0"/>
    <xf numFmtId="207" fontId="10"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10" fontId="105" fillId="0" borderId="0"/>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183" fontId="106" fillId="0" borderId="11"/>
    <xf numFmtId="184" fontId="10" fillId="0" borderId="0" applyFont="0" applyFill="0" applyBorder="0" applyAlignment="0" applyProtection="0"/>
    <xf numFmtId="212" fontId="1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83" fontId="74" fillId="0" borderId="0" applyFont="0" applyFill="0" applyBorder="0" applyAlignment="0" applyProtection="0">
      <alignment horizontal="right"/>
    </xf>
    <xf numFmtId="0" fontId="52" fillId="62" borderId="0" applyNumberFormat="0" applyBorder="0" applyAlignment="0" applyProtection="0"/>
    <xf numFmtId="0" fontId="52" fillId="62" borderId="0" applyNumberFormat="0" applyBorder="0" applyAlignment="0" applyProtection="0"/>
    <xf numFmtId="183"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107" fillId="62" borderId="0" applyNumberFormat="0" applyBorder="0" applyAlignment="0" applyProtection="0"/>
    <xf numFmtId="0" fontId="52" fillId="62" borderId="0" applyNumberFormat="0" applyBorder="0" applyAlignment="0" applyProtection="0"/>
    <xf numFmtId="183" fontId="52" fillId="62" borderId="0" applyNumberFormat="0" applyBorder="0" applyAlignment="0" applyProtection="0"/>
    <xf numFmtId="0" fontId="52" fillId="62" borderId="0" applyNumberFormat="0" applyBorder="0" applyAlignment="0" applyProtection="0"/>
    <xf numFmtId="183" fontId="108"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2" fillId="9" borderId="0" applyNumberFormat="0" applyBorder="0" applyAlignment="0" applyProtection="0"/>
    <xf numFmtId="0" fontId="52"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52" fillId="62" borderId="0" applyNumberFormat="0" applyBorder="0" applyAlignment="0" applyProtection="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0" fontId="109" fillId="0" borderId="0"/>
    <xf numFmtId="0" fontId="10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67" fontId="4" fillId="0" borderId="0">
      <alignment horizontal="left" wrapText="1"/>
    </xf>
    <xf numFmtId="183" fontId="1" fillId="0" borderId="0"/>
    <xf numFmtId="183" fontId="1" fillId="0" borderId="0"/>
    <xf numFmtId="183" fontId="1" fillId="0" borderId="0"/>
    <xf numFmtId="0"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6" fillId="0" borderId="0"/>
    <xf numFmtId="183" fontId="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4"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183" fontId="4" fillId="0" borderId="0"/>
    <xf numFmtId="0" fontId="4" fillId="0" borderId="0"/>
    <xf numFmtId="183" fontId="34" fillId="0" borderId="0"/>
    <xf numFmtId="0" fontId="79" fillId="0" borderId="0"/>
    <xf numFmtId="183" fontId="4" fillId="0" borderId="0"/>
    <xf numFmtId="0" fontId="79" fillId="0" borderId="0"/>
    <xf numFmtId="183" fontId="34" fillId="0" borderId="0"/>
    <xf numFmtId="183" fontId="31"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75"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79" fillId="0" borderId="0"/>
    <xf numFmtId="0" fontId="6" fillId="0" borderId="0"/>
    <xf numFmtId="183"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83" fontId="1" fillId="0" borderId="0"/>
    <xf numFmtId="183"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4" fillId="0" borderId="0"/>
    <xf numFmtId="0" fontId="4" fillId="0" borderId="0"/>
    <xf numFmtId="183" fontId="4" fillId="0" borderId="0"/>
    <xf numFmtId="183" fontId="4" fillId="0" borderId="0"/>
    <xf numFmtId="0" fontId="4" fillId="0" borderId="0"/>
    <xf numFmtId="183" fontId="77" fillId="0" borderId="0"/>
    <xf numFmtId="183" fontId="6" fillId="0" borderId="0"/>
    <xf numFmtId="183" fontId="1" fillId="0" borderId="0"/>
    <xf numFmtId="183" fontId="6" fillId="0" borderId="0"/>
    <xf numFmtId="183" fontId="4" fillId="0" borderId="0"/>
    <xf numFmtId="0" fontId="4" fillId="0" borderId="0"/>
    <xf numFmtId="183" fontId="4" fillId="0" borderId="0"/>
    <xf numFmtId="183" fontId="4" fillId="0" borderId="0"/>
    <xf numFmtId="183" fontId="1" fillId="0" borderId="0"/>
    <xf numFmtId="183" fontId="4" fillId="0" borderId="0"/>
    <xf numFmtId="183" fontId="4" fillId="0" borderId="0"/>
    <xf numFmtId="0" fontId="4" fillId="0" borderId="0"/>
    <xf numFmtId="183" fontId="77"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183" fontId="77"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3" fontId="77" fillId="0" borderId="0"/>
    <xf numFmtId="18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3" fontId="79" fillId="0" borderId="0"/>
    <xf numFmtId="0" fontId="79" fillId="0" borderId="0"/>
    <xf numFmtId="183" fontId="4" fillId="0" borderId="0"/>
    <xf numFmtId="0" fontId="4" fillId="0" borderId="0"/>
    <xf numFmtId="183" fontId="1" fillId="0" borderId="0"/>
    <xf numFmtId="0" fontId="79" fillId="0" borderId="0"/>
    <xf numFmtId="183" fontId="1" fillId="0" borderId="0"/>
    <xf numFmtId="0" fontId="79" fillId="0" borderId="0"/>
    <xf numFmtId="183" fontId="1"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4" fillId="0" borderId="0"/>
    <xf numFmtId="183" fontId="1" fillId="0" borderId="0"/>
    <xf numFmtId="183" fontId="33" fillId="0" borderId="0"/>
    <xf numFmtId="183" fontId="6" fillId="0" borderId="0"/>
    <xf numFmtId="0" fontId="60" fillId="0" borderId="0"/>
    <xf numFmtId="183" fontId="6"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37" fontId="4" fillId="0" borderId="0"/>
    <xf numFmtId="183" fontId="1" fillId="0" borderId="0"/>
    <xf numFmtId="183" fontId="4" fillId="0" borderId="0"/>
    <xf numFmtId="0" fontId="60" fillId="0" borderId="0"/>
    <xf numFmtId="183" fontId="4"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0" fontId="4" fillId="0" borderId="0"/>
    <xf numFmtId="183" fontId="1" fillId="0" borderId="0"/>
    <xf numFmtId="183" fontId="1"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183" fontId="1" fillId="0" borderId="0"/>
    <xf numFmtId="183" fontId="1" fillId="0" borderId="0"/>
    <xf numFmtId="0" fontId="79" fillId="0" borderId="0"/>
    <xf numFmtId="183" fontId="1" fillId="0" borderId="0"/>
    <xf numFmtId="183" fontId="1" fillId="0" borderId="0"/>
    <xf numFmtId="183" fontId="1" fillId="0" borderId="0"/>
    <xf numFmtId="183" fontId="1" fillId="0" borderId="0"/>
    <xf numFmtId="0" fontId="7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183" fontId="79" fillId="0" borderId="0"/>
    <xf numFmtId="183" fontId="1" fillId="0" borderId="0"/>
    <xf numFmtId="183" fontId="1" fillId="0" borderId="0"/>
    <xf numFmtId="183" fontId="1" fillId="0" borderId="0"/>
    <xf numFmtId="183" fontId="1" fillId="0" borderId="0"/>
    <xf numFmtId="0" fontId="79" fillId="0" borderId="0"/>
    <xf numFmtId="183" fontId="79" fillId="0" borderId="0"/>
    <xf numFmtId="183" fontId="1" fillId="0" borderId="0"/>
    <xf numFmtId="0" fontId="79" fillId="0" borderId="0"/>
    <xf numFmtId="183" fontId="79" fillId="0" borderId="0"/>
    <xf numFmtId="183" fontId="77"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83" fontId="77"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3" fontId="77" fillId="0" borderId="0"/>
    <xf numFmtId="183"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3" fontId="4" fillId="0" borderId="0"/>
    <xf numFmtId="183"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183" fontId="79" fillId="0" borderId="0"/>
    <xf numFmtId="0" fontId="1" fillId="0" borderId="0"/>
    <xf numFmtId="0" fontId="1" fillId="0" borderId="0"/>
    <xf numFmtId="0" fontId="79" fillId="0" borderId="0"/>
    <xf numFmtId="0" fontId="1" fillId="0" borderId="0"/>
    <xf numFmtId="0" fontId="1" fillId="0" borderId="0"/>
    <xf numFmtId="0" fontId="79" fillId="0" borderId="0"/>
    <xf numFmtId="183" fontId="4" fillId="0" borderId="0"/>
    <xf numFmtId="0" fontId="79" fillId="0" borderId="0"/>
    <xf numFmtId="0" fontId="1" fillId="0" borderId="0"/>
    <xf numFmtId="0" fontId="1" fillId="0" borderId="0"/>
    <xf numFmtId="0" fontId="79"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183" fontId="1" fillId="0" borderId="0"/>
    <xf numFmtId="0" fontId="1" fillId="0" borderId="0"/>
    <xf numFmtId="0" fontId="1" fillId="0" borderId="0"/>
    <xf numFmtId="0" fontId="1" fillId="0" borderId="0"/>
    <xf numFmtId="183" fontId="77" fillId="0" borderId="0"/>
    <xf numFmtId="0" fontId="1" fillId="0" borderId="0"/>
    <xf numFmtId="183" fontId="13"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62" fillId="0" borderId="0"/>
    <xf numFmtId="0" fontId="79" fillId="0" borderId="0"/>
    <xf numFmtId="183" fontId="79"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3" fillId="63" borderId="45" applyNumberFormat="0" applyFont="0" applyAlignment="0" applyProtection="0"/>
    <xf numFmtId="0" fontId="79" fillId="63" borderId="45" applyNumberFormat="0" applyFont="0" applyAlignment="0" applyProtection="0"/>
    <xf numFmtId="0" fontId="79"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3" fillId="63" borderId="45" applyNumberFormat="0" applyFont="0" applyAlignment="0" applyProtection="0"/>
    <xf numFmtId="0" fontId="79"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3" fontId="4" fillId="63" borderId="45" applyNumberFormat="0" applyFont="0" applyAlignment="0" applyProtection="0"/>
    <xf numFmtId="183" fontId="4" fillId="63" borderId="45" applyNumberFormat="0" applyFont="0" applyAlignment="0" applyProtection="0"/>
    <xf numFmtId="183" fontId="13" fillId="63" borderId="45"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3" fontId="4" fillId="63" borderId="45"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43" fontId="110" fillId="0" borderId="0"/>
    <xf numFmtId="3" fontId="82" fillId="82" borderId="0" applyNumberFormat="0"/>
    <xf numFmtId="2" fontId="63" fillId="0" borderId="0" applyFont="0" applyFill="0" applyBorder="0" applyAlignment="0" applyProtection="0"/>
    <xf numFmtId="213" fontId="58" fillId="0" borderId="0"/>
    <xf numFmtId="0" fontId="55" fillId="57" borderId="46" applyNumberFormat="0" applyAlignment="0" applyProtection="0"/>
    <xf numFmtId="0" fontId="55" fillId="57" borderId="46" applyNumberFormat="0" applyAlignment="0" applyProtection="0"/>
    <xf numFmtId="183" fontId="55" fillId="57"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57" borderId="46" applyNumberFormat="0" applyAlignment="0" applyProtection="0"/>
    <xf numFmtId="0" fontId="111" fillId="57" borderId="46" applyNumberFormat="0" applyAlignment="0" applyProtection="0"/>
    <xf numFmtId="0" fontId="55" fillId="57" borderId="46" applyNumberFormat="0" applyAlignment="0" applyProtection="0"/>
    <xf numFmtId="183" fontId="55" fillId="57" borderId="46" applyNumberFormat="0" applyAlignment="0" applyProtection="0"/>
    <xf numFmtId="0" fontId="55" fillId="75" borderId="46" applyNumberFormat="0" applyAlignment="0" applyProtection="0"/>
    <xf numFmtId="183"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24" fillId="11" borderId="30" applyNumberFormat="0" applyAlignment="0" applyProtection="0"/>
    <xf numFmtId="0" fontId="55" fillId="57" borderId="46" applyNumberFormat="0" applyAlignment="0" applyProtection="0"/>
    <xf numFmtId="0" fontId="111" fillId="57" borderId="46" applyNumberFormat="0" applyAlignment="0" applyProtection="0"/>
    <xf numFmtId="0" fontId="111" fillId="57" borderId="46" applyNumberFormat="0" applyAlignment="0" applyProtection="0"/>
    <xf numFmtId="0" fontId="55" fillId="57" borderId="46" applyNumberFormat="0" applyAlignment="0" applyProtection="0"/>
    <xf numFmtId="214" fontId="60" fillId="75" borderId="0">
      <alignment horizontal="right"/>
    </xf>
    <xf numFmtId="183" fontId="112" fillId="0" borderId="0" applyFill="0" applyBorder="0" applyProtection="0">
      <alignment horizontal="left"/>
    </xf>
    <xf numFmtId="183" fontId="113" fillId="0" borderId="0" applyFill="0" applyBorder="0" applyProtection="0">
      <alignment horizontal="left"/>
    </xf>
    <xf numFmtId="1" fontId="114" fillId="0" borderId="0" applyProtection="0">
      <alignment horizontal="right" vertical="center"/>
    </xf>
    <xf numFmtId="210" fontId="62" fillId="0" borderId="0"/>
    <xf numFmtId="0" fontId="115" fillId="0" borderId="61" applyNumberFormat="0" applyAlignment="0" applyProtection="0"/>
    <xf numFmtId="0" fontId="69" fillId="61" borderId="0" applyNumberFormat="0" applyFont="0" applyBorder="0" applyAlignment="0" applyProtection="0"/>
    <xf numFmtId="0" fontId="13" fillId="83" borderId="48" applyNumberFormat="0" applyFont="0" applyBorder="0" applyAlignment="0" applyProtection="0">
      <alignment horizontal="center"/>
    </xf>
    <xf numFmtId="0" fontId="13" fillId="56" borderId="48" applyNumberFormat="0" applyFont="0" applyBorder="0" applyAlignment="0" applyProtection="0">
      <alignment horizontal="center"/>
    </xf>
    <xf numFmtId="0" fontId="69" fillId="0" borderId="62" applyNumberFormat="0" applyAlignment="0" applyProtection="0"/>
    <xf numFmtId="0" fontId="69" fillId="0" borderId="63" applyNumberFormat="0" applyAlignment="0" applyProtection="0"/>
    <xf numFmtId="0" fontId="115" fillId="0" borderId="64"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5" fontId="116"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5" fontId="116"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5" fontId="116"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5" fontId="117" fillId="0" borderId="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62" fillId="0" borderId="0" applyFont="0" applyFill="0" applyBorder="0" applyAlignment="0" applyProtection="0"/>
    <xf numFmtId="9" fontId="78"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183"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2"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83"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83"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2" fontId="63" fillId="0" borderId="0" applyFont="0" applyFill="0" applyBorder="0" applyAlignment="0" applyProtection="0"/>
    <xf numFmtId="0" fontId="120" fillId="75" borderId="0" applyNumberFormat="0" applyFont="0" applyFill="0" applyBorder="0" applyAlignment="0" applyProtection="0"/>
    <xf numFmtId="0" fontId="120" fillId="85" borderId="0" applyNumberFormat="0" applyFont="0" applyFill="0" applyBorder="0" applyAlignment="0" applyProtection="0"/>
    <xf numFmtId="43" fontId="13" fillId="0" borderId="0" applyFont="0" applyFill="0" applyBorder="0" applyAlignment="0" applyProtection="0"/>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183" fontId="69" fillId="100" borderId="0" applyNumberFormat="0" applyFont="0" applyBorder="0" applyAlignment="0" applyProtection="0"/>
    <xf numFmtId="183" fontId="131" fillId="61" borderId="0" applyNumberFormat="0" applyFont="0" applyBorder="0" applyAlignment="0" applyProtection="0">
      <alignment horizontal="center"/>
    </xf>
    <xf numFmtId="183" fontId="132" fillId="0" borderId="0" applyNumberFormat="0" applyFill="0" applyBorder="0" applyAlignment="0" applyProtection="0"/>
    <xf numFmtId="183" fontId="133" fillId="0" borderId="0"/>
    <xf numFmtId="177" fontId="4" fillId="0" borderId="0">
      <alignment horizontal="left" wrapText="1"/>
    </xf>
    <xf numFmtId="183" fontId="60" fillId="0" borderId="0">
      <alignment vertical="top"/>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38" fontId="63" fillId="0" borderId="0" applyFont="0" applyFill="0" applyBorder="0" applyAlignment="0" applyProtection="0"/>
    <xf numFmtId="0" fontId="60" fillId="0" borderId="0">
      <alignment vertical="top"/>
    </xf>
    <xf numFmtId="183" fontId="60" fillId="0" borderId="0">
      <alignment vertical="top"/>
    </xf>
    <xf numFmtId="183" fontId="60" fillId="0" borderId="0">
      <alignment vertical="top"/>
    </xf>
    <xf numFmtId="38" fontId="63" fillId="0" borderId="0" applyFont="0" applyFill="0" applyBorder="0" applyAlignment="0" applyProtection="0"/>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38" fontId="63" fillId="0" borderId="0" applyFont="0" applyFill="0" applyBorder="0" applyAlignment="0" applyProtection="0"/>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139" fillId="0" borderId="0"/>
    <xf numFmtId="183" fontId="140" fillId="56" borderId="0"/>
    <xf numFmtId="183" fontId="82" fillId="0" borderId="0"/>
    <xf numFmtId="183" fontId="51" fillId="0" borderId="0" applyFill="0" applyBorder="0" applyProtection="0">
      <alignment horizontal="center" vertical="center"/>
    </xf>
    <xf numFmtId="183" fontId="141" fillId="0" borderId="0" applyBorder="0" applyProtection="0">
      <alignment vertical="center"/>
    </xf>
    <xf numFmtId="183" fontId="141" fillId="0" borderId="4" applyBorder="0" applyProtection="0">
      <alignment horizontal="right" vertical="center"/>
    </xf>
    <xf numFmtId="183" fontId="142" fillId="102" borderId="0" applyBorder="0" applyProtection="0">
      <alignment horizontal="centerContinuous" vertical="center"/>
    </xf>
    <xf numFmtId="183" fontId="142" fillId="101" borderId="4" applyBorder="0" applyProtection="0">
      <alignment horizontal="centerContinuous" vertical="center"/>
    </xf>
    <xf numFmtId="183" fontId="51" fillId="0" borderId="0" applyFill="0" applyBorder="0" applyProtection="0"/>
    <xf numFmtId="183" fontId="7" fillId="0" borderId="0" applyFill="0" applyBorder="0" applyProtection="0">
      <alignment horizontal="left"/>
    </xf>
    <xf numFmtId="183" fontId="87" fillId="0" borderId="49" applyFill="0" applyBorder="0" applyProtection="0">
      <alignment horizontal="left" vertical="top"/>
    </xf>
    <xf numFmtId="49" fontId="4" fillId="0" borderId="0" applyFont="0" applyFill="0" applyBorder="0" applyAlignment="0" applyProtection="0"/>
    <xf numFmtId="210" fontId="143" fillId="0" borderId="0"/>
    <xf numFmtId="40" fontId="144" fillId="0" borderId="0"/>
    <xf numFmtId="0" fontId="56" fillId="0" borderId="0" applyNumberFormat="0" applyFill="0" applyBorder="0" applyAlignment="0" applyProtection="0"/>
    <xf numFmtId="0" fontId="56" fillId="0" borderId="0" applyNumberFormat="0" applyFill="0" applyBorder="0" applyAlignment="0" applyProtection="0"/>
    <xf numFmtId="183" fontId="56"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3" fontId="56" fillId="0" borderId="0" applyNumberFormat="0" applyFill="0" applyBorder="0" applyAlignment="0" applyProtection="0"/>
    <xf numFmtId="0" fontId="132" fillId="0" borderId="0" applyNumberFormat="0" applyFill="0" applyBorder="0" applyAlignment="0" applyProtection="0"/>
    <xf numFmtId="183"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0" fontId="2" fillId="0" borderId="34" applyNumberFormat="0" applyFill="0" applyAlignment="0" applyProtection="0"/>
    <xf numFmtId="180" fontId="4" fillId="0" borderId="22">
      <protection locked="0"/>
    </xf>
    <xf numFmtId="0" fontId="57"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183" fontId="57" fillId="0" borderId="47"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0" fontId="57" fillId="0" borderId="47" applyNumberFormat="0" applyFill="0" applyAlignment="0" applyProtection="0"/>
    <xf numFmtId="0" fontId="145" fillId="0" borderId="47" applyNumberFormat="0" applyFill="0" applyAlignment="0" applyProtection="0"/>
    <xf numFmtId="0" fontId="57" fillId="0" borderId="47"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3" fontId="57" fillId="0" borderId="47" applyNumberFormat="0" applyFill="0" applyAlignment="0" applyProtection="0"/>
    <xf numFmtId="180" fontId="4" fillId="0" borderId="22">
      <protection locked="0"/>
    </xf>
    <xf numFmtId="180" fontId="4" fillId="0" borderId="22">
      <protection locked="0"/>
    </xf>
    <xf numFmtId="183" fontId="57" fillId="0" borderId="47" applyNumberFormat="0" applyFill="0" applyAlignment="0" applyProtection="0"/>
    <xf numFmtId="183" fontId="57" fillId="0" borderId="47"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3" fontId="57" fillId="0" borderId="47" applyNumberFormat="0" applyFill="0" applyAlignment="0" applyProtection="0"/>
    <xf numFmtId="180" fontId="4" fillId="0" borderId="22">
      <protection locked="0"/>
    </xf>
    <xf numFmtId="183" fontId="57" fillId="0" borderId="71"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201" fontId="146" fillId="0" borderId="0">
      <alignment horizontal="left"/>
      <protection locked="0"/>
    </xf>
    <xf numFmtId="3" fontId="147" fillId="0" borderId="0">
      <alignment horizontal="left"/>
    </xf>
    <xf numFmtId="183" fontId="148" fillId="0" borderId="0" applyNumberFormat="0" applyFont="0" applyFill="0"/>
    <xf numFmtId="37" fontId="13" fillId="64" borderId="0" applyNumberFormat="0" applyBorder="0" applyAlignment="0" applyProtection="0"/>
    <xf numFmtId="37" fontId="13" fillId="64" borderId="0" applyNumberFormat="0" applyBorder="0" applyAlignment="0" applyProtection="0"/>
    <xf numFmtId="37" fontId="13" fillId="64" borderId="0" applyNumberFormat="0" applyBorder="0" applyAlignment="0" applyProtection="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64" borderId="0" applyNumberFormat="0" applyBorder="0" applyAlignment="0" applyProtection="0"/>
    <xf numFmtId="14" fontId="131" fillId="0" borderId="0" applyNumberFormat="0" applyFont="0" applyBorder="0" applyAlignment="0" applyProtection="0">
      <alignment horizontal="center"/>
    </xf>
    <xf numFmtId="183" fontId="149" fillId="103" borderId="0"/>
    <xf numFmtId="0" fontId="59" fillId="0" borderId="0" applyNumberFormat="0" applyFill="0" applyBorder="0" applyAlignment="0" applyProtection="0"/>
    <xf numFmtId="0" fontId="59" fillId="0" borderId="0" applyNumberFormat="0" applyFill="0" applyBorder="0" applyAlignment="0" applyProtection="0"/>
    <xf numFmtId="183"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0" fillId="0" borderId="0" applyNumberFormat="0" applyFill="0" applyBorder="0" applyAlignment="0" applyProtection="0"/>
    <xf numFmtId="0" fontId="59" fillId="0" borderId="0" applyNumberFormat="0" applyFill="0" applyBorder="0" applyAlignment="0" applyProtection="0"/>
    <xf numFmtId="183"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59" fillId="0" borderId="0" applyNumberFormat="0" applyFill="0" applyBorder="0" applyAlignment="0" applyProtection="0"/>
    <xf numFmtId="183" fontId="151" fillId="0" borderId="0" applyAlignment="0">
      <alignment horizontal="center"/>
    </xf>
    <xf numFmtId="0" fontId="70" fillId="0" borderId="4" applyNumberFormat="0" applyFill="0" applyAlignment="0" applyProtection="0"/>
    <xf numFmtId="0" fontId="4" fillId="0" borderId="0"/>
    <xf numFmtId="43" fontId="34" fillId="0" borderId="0" applyFont="0" applyFill="0" applyBorder="0" applyAlignment="0" applyProtection="0"/>
    <xf numFmtId="0" fontId="4" fillId="0" borderId="0"/>
    <xf numFmtId="0" fontId="4" fillId="0" borderId="0"/>
    <xf numFmtId="0" fontId="4" fillId="0" borderId="0"/>
    <xf numFmtId="0" fontId="1" fillId="0" borderId="0"/>
  </cellStyleXfs>
  <cellXfs count="869">
    <xf numFmtId="0" fontId="0" fillId="0" borderId="0" xfId="0"/>
    <xf numFmtId="0" fontId="2" fillId="0" borderId="0" xfId="0" applyFont="1"/>
    <xf numFmtId="0" fontId="0" fillId="0" borderId="2" xfId="0" applyBorder="1"/>
    <xf numFmtId="0" fontId="0" fillId="2" borderId="4" xfId="0" applyFill="1" applyBorder="1"/>
    <xf numFmtId="164" fontId="0" fillId="0" borderId="0" xfId="1" applyNumberFormat="1" applyFont="1"/>
    <xf numFmtId="0" fontId="0" fillId="0" borderId="0" xfId="0" applyFont="1"/>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13" xfId="1" applyNumberFormat="1" applyFont="1" applyBorder="1"/>
    <xf numFmtId="10" fontId="0" fillId="0" borderId="4" xfId="2" applyNumberFormat="1" applyFont="1" applyBorder="1"/>
    <xf numFmtId="10" fontId="0" fillId="0" borderId="0" xfId="2" applyNumberFormat="1" applyFont="1" applyBorder="1"/>
    <xf numFmtId="0" fontId="2" fillId="0" borderId="0" xfId="0" applyFont="1" applyBorder="1" applyAlignment="1">
      <alignment horizontal="center"/>
    </xf>
    <xf numFmtId="0" fontId="2" fillId="0" borderId="8" xfId="0" applyFont="1" applyBorder="1"/>
    <xf numFmtId="0" fontId="0" fillId="0" borderId="5" xfId="0" applyBorder="1"/>
    <xf numFmtId="0" fontId="3" fillId="0" borderId="6" xfId="0" applyFont="1" applyBorder="1"/>
    <xf numFmtId="0" fontId="3" fillId="0" borderId="10" xfId="0" applyFont="1" applyBorder="1"/>
    <xf numFmtId="0" fontId="0" fillId="0" borderId="8" xfId="0" applyFont="1" applyBorder="1"/>
    <xf numFmtId="0" fontId="3" fillId="0" borderId="8" xfId="0" applyFont="1" applyBorder="1"/>
    <xf numFmtId="0" fontId="5" fillId="0" borderId="8" xfId="0" applyFont="1" applyBorder="1"/>
    <xf numFmtId="0" fontId="5" fillId="0" borderId="0" xfId="0" applyFont="1" applyBorder="1"/>
    <xf numFmtId="0" fontId="0" fillId="0" borderId="0" xfId="0" applyFill="1" applyBorder="1"/>
    <xf numFmtId="164" fontId="1" fillId="0" borderId="0" xfId="1" applyNumberFormat="1" applyFont="1" applyFill="1" applyBorder="1"/>
    <xf numFmtId="0" fontId="0" fillId="0" borderId="0" xfId="0" applyFont="1" applyFill="1" applyBorder="1"/>
    <xf numFmtId="164" fontId="1" fillId="0" borderId="0" xfId="1" applyNumberFormat="1" applyFont="1" applyBorder="1"/>
    <xf numFmtId="10" fontId="1" fillId="0" borderId="4" xfId="2" applyNumberFormat="1" applyFont="1" applyFill="1" applyBorder="1"/>
    <xf numFmtId="164" fontId="1" fillId="0" borderId="13" xfId="1" applyNumberFormat="1" applyFont="1" applyFill="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3" fontId="0" fillId="0" borderId="0" xfId="1" applyFont="1" applyBorder="1"/>
    <xf numFmtId="164" fontId="0" fillId="0" borderId="0" xfId="0" applyNumberFormat="1" applyBorder="1"/>
    <xf numFmtId="0" fontId="0" fillId="0" borderId="6" xfId="0" applyFont="1" applyBorder="1"/>
    <xf numFmtId="0" fontId="0" fillId="0" borderId="8" xfId="0" applyFont="1" applyFill="1" applyBorder="1"/>
    <xf numFmtId="0" fontId="2" fillId="0" borderId="8" xfId="0" applyFont="1" applyFill="1" applyBorder="1"/>
    <xf numFmtId="0" fontId="0" fillId="0" borderId="8" xfId="0" applyFill="1" applyBorder="1"/>
    <xf numFmtId="0" fontId="5" fillId="0" borderId="10" xfId="0" applyFont="1" applyBorder="1"/>
    <xf numFmtId="0" fontId="0" fillId="0" borderId="11" xfId="0" applyFont="1" applyBorder="1"/>
    <xf numFmtId="164" fontId="1" fillId="0" borderId="11" xfId="1" applyNumberFormat="1" applyFont="1" applyBorder="1"/>
    <xf numFmtId="0" fontId="0" fillId="2" borderId="0" xfId="0" applyFill="1"/>
    <xf numFmtId="41" fontId="2" fillId="0" borderId="0" xfId="0" applyNumberFormat="1" applyFont="1"/>
    <xf numFmtId="41" fontId="0" fillId="0" borderId="0" xfId="0" applyNumberFormat="1"/>
    <xf numFmtId="41" fontId="2" fillId="0" borderId="0" xfId="0" applyNumberFormat="1" applyFont="1" applyFill="1" applyBorder="1"/>
    <xf numFmtId="41" fontId="2" fillId="0" borderId="0" xfId="0" applyNumberFormat="1" applyFont="1" applyAlignment="1">
      <alignment horizontal="center" wrapText="1"/>
    </xf>
    <xf numFmtId="10" fontId="0" fillId="0" borderId="0" xfId="0" applyNumberFormat="1"/>
    <xf numFmtId="41" fontId="0" fillId="0" borderId="4" xfId="0" applyNumberFormat="1" applyBorder="1"/>
    <xf numFmtId="10" fontId="0" fillId="0" borderId="4" xfId="0" applyNumberFormat="1" applyBorder="1"/>
    <xf numFmtId="41" fontId="0" fillId="0" borderId="0" xfId="0" applyNumberFormat="1" applyFont="1" applyBorder="1"/>
    <xf numFmtId="41" fontId="0" fillId="0" borderId="0" xfId="0" applyNumberFormat="1" applyBorder="1"/>
    <xf numFmtId="43" fontId="0" fillId="0" borderId="0" xfId="0" applyNumberFormat="1"/>
    <xf numFmtId="164" fontId="0" fillId="0" borderId="0" xfId="0" applyNumberFormat="1"/>
    <xf numFmtId="41" fontId="2" fillId="0" borderId="15" xfId="0" applyNumberFormat="1" applyFont="1" applyBorder="1" applyAlignment="1">
      <alignment horizontal="left" wrapText="1"/>
    </xf>
    <xf numFmtId="14" fontId="2" fillId="0" borderId="16" xfId="0" applyNumberFormat="1" applyFont="1" applyBorder="1" applyAlignment="1">
      <alignment horizontal="center" wrapText="1"/>
    </xf>
    <xf numFmtId="41" fontId="2" fillId="0" borderId="16" xfId="0" applyNumberFormat="1" applyFont="1" applyBorder="1" applyAlignment="1">
      <alignment horizontal="center" wrapText="1"/>
    </xf>
    <xf numFmtId="10" fontId="2" fillId="0" borderId="16" xfId="0" applyNumberFormat="1" applyFont="1" applyBorder="1" applyAlignment="1">
      <alignment horizontal="center" wrapText="1"/>
    </xf>
    <xf numFmtId="41" fontId="0" fillId="0" borderId="8" xfId="0" applyNumberFormat="1" applyBorder="1"/>
    <xf numFmtId="10" fontId="0" fillId="0" borderId="0" xfId="0" applyNumberFormat="1" applyBorder="1"/>
    <xf numFmtId="41" fontId="0" fillId="0" borderId="9" xfId="0" applyNumberFormat="1" applyBorder="1"/>
    <xf numFmtId="41" fontId="0" fillId="0" borderId="8" xfId="0" applyNumberFormat="1" applyFont="1" applyBorder="1"/>
    <xf numFmtId="41" fontId="0" fillId="0" borderId="11" xfId="0" applyNumberFormat="1" applyBorder="1"/>
    <xf numFmtId="10" fontId="0" fillId="0" borderId="11" xfId="0" applyNumberFormat="1" applyBorder="1"/>
    <xf numFmtId="41" fontId="2" fillId="0" borderId="18" xfId="0" applyNumberFormat="1" applyFont="1" applyBorder="1" applyAlignment="1">
      <alignment horizontal="center" wrapText="1"/>
    </xf>
    <xf numFmtId="41" fontId="2" fillId="0" borderId="16" xfId="0" quotePrefix="1" applyNumberFormat="1" applyFont="1" applyBorder="1" applyAlignment="1">
      <alignment horizontal="center" wrapText="1"/>
    </xf>
    <xf numFmtId="41" fontId="2" fillId="0" borderId="8" xfId="0" applyNumberFormat="1" applyFont="1" applyFill="1" applyBorder="1"/>
    <xf numFmtId="41" fontId="0" fillId="0" borderId="8" xfId="0" applyNumberFormat="1" applyFont="1" applyFill="1" applyBorder="1"/>
    <xf numFmtId="41" fontId="0" fillId="0" borderId="0" xfId="0" applyNumberFormat="1" applyFill="1" applyBorder="1"/>
    <xf numFmtId="41" fontId="0" fillId="0" borderId="17" xfId="0" applyNumberFormat="1" applyBorder="1"/>
    <xf numFmtId="41" fontId="2" fillId="0" borderId="15" xfId="0" applyNumberFormat="1" applyFont="1" applyBorder="1"/>
    <xf numFmtId="41" fontId="2" fillId="0" borderId="19" xfId="0" applyNumberFormat="1" applyFont="1" applyBorder="1"/>
    <xf numFmtId="41" fontId="2" fillId="0" borderId="20" xfId="0" applyNumberFormat="1" applyFont="1" applyBorder="1"/>
    <xf numFmtId="10" fontId="2" fillId="0" borderId="20" xfId="0" applyNumberFormat="1" applyFont="1" applyBorder="1"/>
    <xf numFmtId="41" fontId="2" fillId="0" borderId="12" xfId="0" applyNumberFormat="1" applyFont="1" applyBorder="1"/>
    <xf numFmtId="41" fontId="0" fillId="0" borderId="6" xfId="0" applyNumberFormat="1" applyBorder="1"/>
    <xf numFmtId="10" fontId="0" fillId="0" borderId="6" xfId="0" applyNumberFormat="1" applyBorder="1"/>
    <xf numFmtId="41" fontId="2" fillId="0" borderId="19" xfId="0" applyNumberFormat="1" applyFont="1" applyFill="1" applyBorder="1"/>
    <xf numFmtId="41" fontId="2" fillId="0" borderId="20" xfId="0" applyNumberFormat="1" applyFont="1" applyFill="1" applyBorder="1"/>
    <xf numFmtId="41" fontId="2" fillId="0" borderId="1" xfId="0" applyNumberFormat="1" applyFont="1" applyFill="1" applyBorder="1"/>
    <xf numFmtId="41" fontId="2" fillId="0" borderId="2" xfId="0" applyNumberFormat="1" applyFont="1" applyFill="1" applyBorder="1"/>
    <xf numFmtId="41" fontId="2" fillId="0" borderId="2" xfId="0" applyNumberFormat="1" applyFont="1" applyBorder="1"/>
    <xf numFmtId="41" fontId="0" fillId="0" borderId="2" xfId="0" applyNumberFormat="1" applyBorder="1"/>
    <xf numFmtId="10" fontId="0" fillId="0" borderId="2" xfId="0" applyNumberFormat="1" applyBorder="1"/>
    <xf numFmtId="0" fontId="2" fillId="0" borderId="0" xfId="0" applyFont="1" applyFill="1" applyBorder="1"/>
    <xf numFmtId="0" fontId="0" fillId="0" borderId="0" xfId="0" applyFill="1"/>
    <xf numFmtId="0" fontId="2" fillId="0" borderId="0" xfId="0" applyFont="1" applyFill="1"/>
    <xf numFmtId="41" fontId="0" fillId="0" borderId="2" xfId="0" applyNumberFormat="1" applyFill="1" applyBorder="1"/>
    <xf numFmtId="14" fontId="2" fillId="0" borderId="16" xfId="0" applyNumberFormat="1" applyFont="1" applyFill="1" applyBorder="1" applyAlignment="1">
      <alignment horizontal="center" wrapText="1"/>
    </xf>
    <xf numFmtId="10" fontId="0" fillId="0" borderId="0" xfId="2" applyNumberFormat="1" applyFont="1"/>
    <xf numFmtId="0" fontId="0" fillId="0" borderId="0" xfId="0" applyAlignment="1">
      <alignment wrapText="1"/>
    </xf>
    <xf numFmtId="167" fontId="0" fillId="0" borderId="0" xfId="4" applyNumberFormat="1" applyFont="1"/>
    <xf numFmtId="169" fontId="0" fillId="0" borderId="0" xfId="0" applyNumberFormat="1"/>
    <xf numFmtId="164" fontId="0" fillId="0" borderId="0" xfId="1" applyNumberFormat="1" applyFont="1" applyFill="1" applyBorder="1"/>
    <xf numFmtId="0" fontId="0" fillId="0" borderId="0" xfId="0" applyNumberFormat="1" applyBorder="1"/>
    <xf numFmtId="0" fontId="7" fillId="0" borderId="0" xfId="6" applyFont="1"/>
    <xf numFmtId="0" fontId="4" fillId="0" borderId="0" xfId="6"/>
    <xf numFmtId="0" fontId="0" fillId="0" borderId="6" xfId="0" applyFill="1" applyBorder="1"/>
    <xf numFmtId="0" fontId="0" fillId="0" borderId="8" xfId="0" applyBorder="1" applyAlignment="1">
      <alignment horizontal="left"/>
    </xf>
    <xf numFmtId="0" fontId="0" fillId="0" borderId="11" xfId="0" applyFill="1" applyBorder="1"/>
    <xf numFmtId="41" fontId="0" fillId="0" borderId="8" xfId="0" applyNumberFormat="1" applyFill="1" applyBorder="1"/>
    <xf numFmtId="10" fontId="0" fillId="0" borderId="0" xfId="0" applyNumberFormat="1" applyFill="1" applyBorder="1"/>
    <xf numFmtId="41" fontId="0" fillId="0" borderId="0" xfId="0" applyNumberFormat="1" applyFill="1"/>
    <xf numFmtId="164" fontId="0" fillId="0" borderId="11" xfId="1" applyNumberFormat="1" applyFont="1" applyFill="1" applyBorder="1"/>
    <xf numFmtId="164" fontId="0" fillId="2" borderId="0" xfId="1" applyNumberFormat="1" applyFont="1" applyFill="1" applyBorder="1"/>
    <xf numFmtId="41" fontId="0" fillId="0" borderId="0" xfId="0" applyNumberFormat="1"/>
    <xf numFmtId="41" fontId="0" fillId="0" borderId="0" xfId="0" applyNumberFormat="1" applyBorder="1"/>
    <xf numFmtId="41" fontId="0" fillId="0" borderId="8" xfId="0" applyNumberFormat="1" applyBorder="1"/>
    <xf numFmtId="10" fontId="0" fillId="0" borderId="0" xfId="0" applyNumberFormat="1" applyBorder="1"/>
    <xf numFmtId="41" fontId="0" fillId="0" borderId="9" xfId="0" applyNumberFormat="1" applyBorder="1"/>
    <xf numFmtId="41" fontId="0" fillId="0" borderId="0" xfId="0" applyNumberFormat="1" applyFill="1" applyBorder="1"/>
    <xf numFmtId="41" fontId="0" fillId="0" borderId="9" xfId="0" applyNumberFormat="1" applyFill="1" applyBorder="1"/>
    <xf numFmtId="40" fontId="4" fillId="0" borderId="0" xfId="7" applyNumberFormat="1"/>
    <xf numFmtId="40" fontId="4" fillId="0" borderId="0" xfId="6" applyNumberFormat="1"/>
    <xf numFmtId="0" fontId="7" fillId="0" borderId="5" xfId="6" applyFont="1" applyBorder="1"/>
    <xf numFmtId="0" fontId="0" fillId="0" borderId="9" xfId="0" applyFill="1" applyBorder="1"/>
    <xf numFmtId="10" fontId="0" fillId="2" borderId="21" xfId="2" applyNumberFormat="1" applyFont="1" applyFill="1" applyBorder="1"/>
    <xf numFmtId="0" fontId="0" fillId="0" borderId="4" xfId="0" applyBorder="1"/>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6" xfId="1" applyNumberFormat="1" applyFont="1" applyFill="1" applyBorder="1"/>
    <xf numFmtId="0" fontId="0" fillId="0" borderId="0" xfId="0"/>
    <xf numFmtId="0" fontId="0" fillId="0" borderId="0" xfId="0" applyBorder="1"/>
    <xf numFmtId="0" fontId="0" fillId="0" borderId="9" xfId="0" applyBorder="1"/>
    <xf numFmtId="0" fontId="0" fillId="0" borderId="0" xfId="0" applyFont="1" applyBorder="1"/>
    <xf numFmtId="164" fontId="1" fillId="0" borderId="0" xfId="1" applyNumberFormat="1" applyFont="1" applyFill="1" applyBorder="1"/>
    <xf numFmtId="0" fontId="0" fillId="0" borderId="0" xfId="0" applyFont="1" applyFill="1" applyBorder="1"/>
    <xf numFmtId="0" fontId="2" fillId="0" borderId="8" xfId="0" applyFont="1" applyFill="1" applyBorder="1"/>
    <xf numFmtId="0" fontId="0" fillId="0" borderId="0" xfId="0"/>
    <xf numFmtId="0" fontId="2" fillId="0" borderId="0" xfId="0" applyFont="1"/>
    <xf numFmtId="164" fontId="0" fillId="0" borderId="0" xfId="1" applyNumberFormat="1" applyFont="1"/>
    <xf numFmtId="164" fontId="0" fillId="2" borderId="4" xfId="1" applyNumberFormat="1" applyFont="1" applyFill="1" applyBorder="1"/>
    <xf numFmtId="164" fontId="0" fillId="0" borderId="4" xfId="1" applyNumberFormat="1" applyFont="1" applyFill="1" applyBorder="1"/>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4" xfId="1" applyNumberFormat="1" applyFont="1" applyBorder="1"/>
    <xf numFmtId="0" fontId="0" fillId="0" borderId="0" xfId="0" applyAlignment="1">
      <alignment horizontal="center"/>
    </xf>
    <xf numFmtId="0" fontId="0" fillId="0" borderId="8" xfId="0" applyFont="1" applyFill="1" applyBorder="1"/>
    <xf numFmtId="0" fontId="2" fillId="0" borderId="8" xfId="0" applyFont="1" applyFill="1" applyBorder="1"/>
    <xf numFmtId="0" fontId="0" fillId="0" borderId="0" xfId="0" applyFill="1"/>
    <xf numFmtId="44" fontId="0" fillId="0" borderId="0" xfId="4" applyFont="1"/>
    <xf numFmtId="167" fontId="0" fillId="0" borderId="0" xfId="4" applyNumberFormat="1" applyFont="1"/>
    <xf numFmtId="167" fontId="0" fillId="0" borderId="0" xfId="0" applyNumberFormat="1"/>
    <xf numFmtId="168" fontId="0" fillId="0" borderId="0" xfId="0" applyNumberFormat="1"/>
    <xf numFmtId="164" fontId="0" fillId="0" borderId="0" xfId="1" applyNumberFormat="1" applyFont="1" applyFill="1" applyBorder="1"/>
    <xf numFmtId="17" fontId="0" fillId="0" borderId="0" xfId="0" applyNumberFormat="1"/>
    <xf numFmtId="0" fontId="0" fillId="0" borderId="0" xfId="0" applyAlignment="1">
      <alignment horizontal="center" vertical="center" wrapText="1"/>
    </xf>
    <xf numFmtId="44" fontId="0" fillId="0" borderId="0" xfId="0" applyNumberFormat="1"/>
    <xf numFmtId="41" fontId="0" fillId="0" borderId="0" xfId="0" applyNumberFormat="1" applyFont="1" applyFill="1" applyBorder="1"/>
    <xf numFmtId="0" fontId="2" fillId="0" borderId="5" xfId="0" applyFont="1" applyFill="1" applyBorder="1"/>
    <xf numFmtId="0" fontId="0" fillId="0" borderId="7" xfId="0" applyFill="1" applyBorder="1"/>
    <xf numFmtId="43" fontId="0" fillId="0" borderId="0" xfId="0" applyNumberFormat="1" applyFill="1" applyBorder="1"/>
    <xf numFmtId="0" fontId="0" fillId="0" borderId="0" xfId="0" quotePrefix="1" applyFill="1" applyBorder="1"/>
    <xf numFmtId="0" fontId="0" fillId="0" borderId="10" xfId="0" applyFill="1" applyBorder="1"/>
    <xf numFmtId="0" fontId="0" fillId="0" borderId="12" xfId="0" applyFill="1" applyBorder="1"/>
    <xf numFmtId="0" fontId="3" fillId="0" borderId="0" xfId="0" applyFont="1" applyFill="1" applyBorder="1" applyAlignment="1">
      <alignment horizontal="center"/>
    </xf>
    <xf numFmtId="10" fontId="1" fillId="0" borderId="0" xfId="2" applyNumberFormat="1" applyFont="1" applyFill="1" applyBorder="1"/>
    <xf numFmtId="41" fontId="0" fillId="0" borderId="3" xfId="0" applyNumberFormat="1" applyFont="1" applyBorder="1"/>
    <xf numFmtId="0" fontId="0" fillId="0" borderId="0" xfId="0" applyAlignment="1">
      <alignment horizontal="right"/>
    </xf>
    <xf numFmtId="41" fontId="0" fillId="0" borderId="12" xfId="0" applyNumberFormat="1" applyFont="1" applyBorder="1"/>
    <xf numFmtId="10" fontId="0" fillId="2" borderId="0" xfId="2" applyNumberFormat="1" applyFont="1" applyFill="1"/>
    <xf numFmtId="0" fontId="2" fillId="0" borderId="0" xfId="0" applyFont="1" applyAlignment="1">
      <alignment wrapText="1"/>
    </xf>
    <xf numFmtId="43" fontId="0" fillId="0" borderId="0" xfId="1" applyFont="1"/>
    <xf numFmtId="169" fontId="0" fillId="0" borderId="0" xfId="1" applyNumberFormat="1" applyFont="1"/>
    <xf numFmtId="170" fontId="0" fillId="0" borderId="0" xfId="4" applyNumberFormat="1" applyFont="1"/>
    <xf numFmtId="167" fontId="0" fillId="0" borderId="0" xfId="4" applyNumberFormat="1" applyFont="1" applyFill="1"/>
    <xf numFmtId="0" fontId="0" fillId="3" borderId="0" xfId="0" applyFill="1"/>
    <xf numFmtId="43" fontId="0" fillId="0" borderId="0" xfId="1" applyNumberFormat="1" applyFont="1"/>
    <xf numFmtId="0" fontId="0" fillId="0" borderId="0" xfId="0" applyBorder="1" applyAlignment="1">
      <alignment horizontal="right"/>
    </xf>
    <xf numFmtId="0" fontId="5" fillId="0" borderId="5" xfId="0" applyFont="1" applyBorder="1"/>
    <xf numFmtId="164" fontId="1" fillId="0" borderId="6" xfId="1" applyNumberFormat="1" applyFont="1" applyBorder="1"/>
    <xf numFmtId="0" fontId="0" fillId="0" borderId="10" xfId="0" applyFont="1" applyBorder="1"/>
    <xf numFmtId="164" fontId="0" fillId="0" borderId="13" xfId="0" applyNumberFormat="1" applyBorder="1"/>
    <xf numFmtId="164" fontId="4" fillId="0" borderId="11" xfId="6" applyNumberFormat="1" applyBorder="1"/>
    <xf numFmtId="164" fontId="0" fillId="4" borderId="0" xfId="1" applyNumberFormat="1" applyFont="1" applyFill="1" applyBorder="1"/>
    <xf numFmtId="164" fontId="0" fillId="4" borderId="4" xfId="1" applyNumberFormat="1" applyFont="1" applyFill="1" applyBorder="1"/>
    <xf numFmtId="164" fontId="4" fillId="0" borderId="0" xfId="6" applyNumberFormat="1" applyBorder="1"/>
    <xf numFmtId="0" fontId="4" fillId="0" borderId="0" xfId="6" applyAlignment="1">
      <alignment wrapText="1"/>
    </xf>
    <xf numFmtId="40" fontId="4" fillId="0" borderId="0" xfId="7" applyNumberFormat="1" applyAlignment="1">
      <alignment wrapText="1"/>
    </xf>
    <xf numFmtId="40" fontId="0" fillId="0" borderId="8" xfId="7" applyNumberFormat="1" applyFont="1" applyBorder="1" applyAlignment="1">
      <alignment wrapText="1"/>
    </xf>
    <xf numFmtId="40" fontId="0" fillId="0" borderId="0" xfId="7" applyNumberFormat="1" applyFont="1" applyBorder="1" applyAlignment="1">
      <alignment wrapText="1"/>
    </xf>
    <xf numFmtId="0" fontId="0" fillId="0" borderId="0" xfId="0" applyBorder="1" applyAlignment="1">
      <alignment wrapText="1"/>
    </xf>
    <xf numFmtId="169" fontId="0" fillId="0" borderId="4" xfId="1" applyNumberFormat="1" applyFont="1" applyBorder="1"/>
    <xf numFmtId="167" fontId="0" fillId="0" borderId="4" xfId="4" applyNumberFormat="1" applyFont="1" applyBorder="1"/>
    <xf numFmtId="164" fontId="0" fillId="0" borderId="13" xfId="1" applyNumberFormat="1" applyFont="1" applyFill="1" applyBorder="1"/>
    <xf numFmtId="43" fontId="0" fillId="0" borderId="4" xfId="1" applyNumberFormat="1" applyFont="1" applyBorder="1"/>
    <xf numFmtId="0" fontId="0" fillId="0" borderId="0" xfId="0" applyFill="1" applyBorder="1" applyAlignment="1">
      <alignment horizontal="center"/>
    </xf>
    <xf numFmtId="169" fontId="0" fillId="2" borderId="0" xfId="1" applyNumberFormat="1" applyFont="1" applyFill="1"/>
    <xf numFmtId="169" fontId="0" fillId="2" borderId="4" xfId="1" applyNumberFormat="1" applyFont="1" applyFill="1" applyBorder="1"/>
    <xf numFmtId="167" fontId="0" fillId="0" borderId="4" xfId="0" applyNumberFormat="1" applyBorder="1"/>
    <xf numFmtId="9" fontId="0" fillId="0" borderId="0" xfId="2" applyFont="1"/>
    <xf numFmtId="9" fontId="0" fillId="0" borderId="0" xfId="0" applyNumberFormat="1"/>
    <xf numFmtId="167" fontId="0" fillId="0" borderId="0" xfId="0" applyNumberFormat="1" applyFill="1"/>
    <xf numFmtId="164" fontId="0" fillId="0" borderId="0" xfId="1" applyNumberFormat="1" applyFont="1" applyAlignment="1">
      <alignment horizontal="right"/>
    </xf>
    <xf numFmtId="164" fontId="0" fillId="0" borderId="0" xfId="1" applyNumberFormat="1" applyFont="1" applyBorder="1" applyAlignment="1">
      <alignment horizontal="right"/>
    </xf>
    <xf numFmtId="164" fontId="0" fillId="0" borderId="4" xfId="1" applyNumberFormat="1" applyFont="1" applyBorder="1" applyAlignment="1">
      <alignment horizontal="right"/>
    </xf>
    <xf numFmtId="164" fontId="0" fillId="0" borderId="0" xfId="1" applyNumberFormat="1" applyFont="1" applyAlignment="1"/>
    <xf numFmtId="164" fontId="0" fillId="0" borderId="23" xfId="1" applyNumberFormat="1" applyFont="1" applyFill="1" applyBorder="1"/>
    <xf numFmtId="0" fontId="0" fillId="0" borderId="8" xfId="0" applyFill="1" applyBorder="1" applyAlignment="1">
      <alignment horizontal="left"/>
    </xf>
    <xf numFmtId="167" fontId="0" fillId="0" borderId="23" xfId="4" applyNumberFormat="1" applyFont="1" applyBorder="1"/>
    <xf numFmtId="167" fontId="0" fillId="0" borderId="23" xfId="0" applyNumberFormat="1" applyFill="1" applyBorder="1"/>
    <xf numFmtId="0" fontId="0" fillId="0" borderId="0" xfId="0" applyFont="1" applyFill="1"/>
    <xf numFmtId="167" fontId="0" fillId="0" borderId="21" xfId="4" applyNumberFormat="1" applyFont="1" applyFill="1" applyBorder="1"/>
    <xf numFmtId="0" fontId="0" fillId="0" borderId="0" xfId="0" applyFill="1" applyAlignment="1">
      <alignment wrapText="1"/>
    </xf>
    <xf numFmtId="164" fontId="0" fillId="0" borderId="0" xfId="0" applyNumberFormat="1" applyFill="1"/>
    <xf numFmtId="41" fontId="0" fillId="2" borderId="0" xfId="0" applyNumberFormat="1" applyFill="1" applyBorder="1"/>
    <xf numFmtId="0" fontId="2" fillId="2" borderId="0" xfId="0" applyFont="1" applyFill="1" applyAlignment="1">
      <alignment horizontal="center"/>
    </xf>
    <xf numFmtId="167" fontId="0" fillId="2" borderId="0" xfId="4" applyNumberFormat="1" applyFont="1" applyFill="1"/>
    <xf numFmtId="44" fontId="0" fillId="2" borderId="0" xfId="4" applyFont="1" applyFill="1"/>
    <xf numFmtId="168" fontId="0" fillId="0" borderId="0" xfId="0" applyNumberFormat="1" applyFill="1"/>
    <xf numFmtId="1" fontId="0" fillId="2" borderId="0" xfId="0" applyNumberFormat="1" applyFill="1" applyAlignment="1">
      <alignment horizontal="right"/>
    </xf>
    <xf numFmtId="49" fontId="2" fillId="0" borderId="0" xfId="0" applyNumberFormat="1" applyFont="1" applyAlignment="1">
      <alignment horizontal="center"/>
    </xf>
    <xf numFmtId="171" fontId="0" fillId="0" borderId="0" xfId="4" applyNumberFormat="1" applyFont="1"/>
    <xf numFmtId="43" fontId="4" fillId="0" borderId="0" xfId="6" applyNumberFormat="1"/>
    <xf numFmtId="14" fontId="2" fillId="2" borderId="0" xfId="0" applyNumberFormat="1" applyFont="1" applyFill="1" applyAlignment="1">
      <alignment horizontal="center"/>
    </xf>
    <xf numFmtId="164" fontId="2" fillId="2" borderId="0" xfId="1" applyNumberFormat="1" applyFont="1" applyFill="1" applyAlignment="1">
      <alignment horizontal="center"/>
    </xf>
    <xf numFmtId="167" fontId="10" fillId="2" borderId="0" xfId="4" applyNumberFormat="1" applyFont="1" applyFill="1" applyBorder="1" applyAlignment="1">
      <alignment horizontal="center"/>
    </xf>
    <xf numFmtId="44" fontId="0" fillId="0" borderId="0" xfId="4" applyFont="1" applyFill="1"/>
    <xf numFmtId="164" fontId="3" fillId="0" borderId="0" xfId="1" applyNumberFormat="1" applyFont="1" applyBorder="1"/>
    <xf numFmtId="0" fontId="0" fillId="0" borderId="0" xfId="0" applyBorder="1"/>
    <xf numFmtId="164" fontId="0" fillId="0" borderId="13" xfId="0" applyNumberFormat="1" applyFill="1" applyBorder="1"/>
    <xf numFmtId="164" fontId="0" fillId="2" borderId="4" xfId="1" applyNumberFormat="1" applyFont="1" applyFill="1" applyBorder="1"/>
    <xf numFmtId="164" fontId="0" fillId="0" borderId="0" xfId="1" applyNumberFormat="1" applyFont="1" applyBorder="1"/>
    <xf numFmtId="164" fontId="0" fillId="2" borderId="0" xfId="1" applyNumberFormat="1" applyFont="1" applyFill="1" applyBorder="1"/>
    <xf numFmtId="0" fontId="0" fillId="0" borderId="0" xfId="0" applyFill="1" applyBorder="1"/>
    <xf numFmtId="164" fontId="0" fillId="0" borderId="0" xfId="1" applyNumberFormat="1" applyFont="1" applyFill="1" applyBorder="1"/>
    <xf numFmtId="41" fontId="0" fillId="0" borderId="17" xfId="0" applyNumberFormat="1" applyFill="1" applyBorder="1"/>
    <xf numFmtId="41" fontId="0" fillId="0" borderId="4" xfId="0" applyNumberFormat="1" applyFill="1" applyBorder="1"/>
    <xf numFmtId="43" fontId="0" fillId="0" borderId="0" xfId="0" applyNumberFormat="1" applyBorder="1"/>
    <xf numFmtId="43" fontId="0" fillId="0" borderId="0" xfId="0" applyNumberFormat="1" applyFill="1"/>
    <xf numFmtId="44" fontId="0" fillId="2" borderId="0" xfId="0" applyNumberFormat="1" applyFill="1"/>
    <xf numFmtId="0" fontId="0" fillId="0" borderId="0" xfId="0"/>
    <xf numFmtId="0" fontId="0" fillId="0" borderId="0" xfId="0"/>
    <xf numFmtId="164" fontId="0" fillId="2" borderId="4" xfId="1" applyNumberFormat="1" applyFont="1" applyFill="1" applyBorder="1"/>
    <xf numFmtId="164" fontId="0" fillId="0" borderId="4" xfId="1" applyNumberFormat="1" applyFont="1" applyFill="1" applyBorder="1"/>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0" fillId="2" borderId="0" xfId="1" applyNumberFormat="1" applyFont="1" applyFill="1" applyBorder="1"/>
    <xf numFmtId="0" fontId="0" fillId="0" borderId="11" xfId="0" applyBorder="1"/>
    <xf numFmtId="164" fontId="0" fillId="0" borderId="11" xfId="1" applyNumberFormat="1" applyFont="1" applyBorder="1"/>
    <xf numFmtId="0" fontId="0" fillId="0" borderId="12" xfId="0" applyBorder="1"/>
    <xf numFmtId="0" fontId="2" fillId="0" borderId="8" xfId="0" applyFont="1" applyBorder="1"/>
    <xf numFmtId="0" fontId="0" fillId="0" borderId="5" xfId="0" applyBorder="1"/>
    <xf numFmtId="0" fontId="3" fillId="0" borderId="10" xfId="0" applyFont="1" applyBorder="1"/>
    <xf numFmtId="0" fontId="0" fillId="0" borderId="8" xfId="0" applyFont="1" applyBorder="1"/>
    <xf numFmtId="0" fontId="3" fillId="0" borderId="8" xfId="0" applyFont="1" applyBorder="1"/>
    <xf numFmtId="0" fontId="0" fillId="0" borderId="0" xfId="0" applyFill="1" applyBorder="1"/>
    <xf numFmtId="0" fontId="2" fillId="0" borderId="8" xfId="0" applyFont="1" applyFill="1" applyBorder="1"/>
    <xf numFmtId="164" fontId="0" fillId="0" borderId="0" xfId="1" applyNumberFormat="1" applyFont="1" applyFill="1" applyBorder="1"/>
    <xf numFmtId="0" fontId="0" fillId="0" borderId="9" xfId="0" applyFill="1" applyBorder="1"/>
    <xf numFmtId="164" fontId="0" fillId="0" borderId="22" xfId="1" applyNumberFormat="1" applyFont="1" applyBorder="1"/>
    <xf numFmtId="164" fontId="11" fillId="0" borderId="0" xfId="1" applyNumberFormat="1" applyFont="1" applyFill="1" applyBorder="1"/>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0" fontId="0" fillId="0" borderId="11" xfId="0" applyBorder="1"/>
    <xf numFmtId="164" fontId="0" fillId="0" borderId="11" xfId="1" applyNumberFormat="1" applyFont="1" applyBorder="1"/>
    <xf numFmtId="0" fontId="0" fillId="0" borderId="12" xfId="0" applyBorder="1"/>
    <xf numFmtId="0" fontId="2" fillId="0" borderId="8" xfId="0" applyFont="1" applyBorder="1"/>
    <xf numFmtId="0" fontId="0" fillId="0" borderId="5" xfId="0" applyBorder="1"/>
    <xf numFmtId="0" fontId="3" fillId="0" borderId="10" xfId="0" applyFont="1" applyBorder="1"/>
    <xf numFmtId="0" fontId="0" fillId="0" borderId="8" xfId="0" applyFont="1" applyBorder="1"/>
    <xf numFmtId="0" fontId="0" fillId="0" borderId="0" xfId="0"/>
    <xf numFmtId="0" fontId="0" fillId="0" borderId="0" xfId="0" applyBorder="1"/>
    <xf numFmtId="0" fontId="0" fillId="0" borderId="9" xfId="0" applyBorder="1"/>
    <xf numFmtId="164" fontId="0" fillId="0" borderId="0" xfId="1" applyNumberFormat="1" applyFont="1" applyFill="1" applyBorder="1"/>
    <xf numFmtId="0" fontId="0" fillId="0" borderId="8" xfId="0" applyBorder="1" applyAlignment="1">
      <alignment horizontal="left" indent="2"/>
    </xf>
    <xf numFmtId="0" fontId="0" fillId="0" borderId="8" xfId="0" applyFill="1" applyBorder="1" applyAlignment="1">
      <alignment horizontal="left" indent="2"/>
    </xf>
    <xf numFmtId="0" fontId="0" fillId="0" borderId="0" xfId="0"/>
    <xf numFmtId="164" fontId="0" fillId="0" borderId="4" xfId="1" applyNumberFormat="1" applyFont="1" applyFill="1" applyBorder="1"/>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164" fontId="0" fillId="2" borderId="0" xfId="1" applyNumberFormat="1" applyFont="1" applyFill="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Fill="1" applyBorder="1"/>
    <xf numFmtId="0" fontId="0" fillId="0" borderId="0" xfId="0" applyAlignment="1">
      <alignment wrapText="1"/>
    </xf>
    <xf numFmtId="164" fontId="0" fillId="0" borderId="0" xfId="1" applyNumberFormat="1" applyFont="1" applyFill="1" applyBorder="1"/>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8" xfId="0" applyBorder="1" applyAlignment="1">
      <alignment horizontal="left" indent="2"/>
    </xf>
    <xf numFmtId="0" fontId="0" fillId="0" borderId="0" xfId="0"/>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0" fontId="0" fillId="0" borderId="0" xfId="2" applyNumberFormat="1" applyFont="1" applyBorder="1"/>
    <xf numFmtId="0" fontId="0" fillId="0" borderId="0" xfId="0" applyAlignment="1">
      <alignment wrapText="1"/>
    </xf>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22" xfId="1" applyNumberFormat="1" applyFont="1" applyBorder="1"/>
    <xf numFmtId="0" fontId="0" fillId="0" borderId="0" xfId="0" applyBorder="1" applyAlignment="1">
      <alignment wrapText="1"/>
    </xf>
    <xf numFmtId="0" fontId="0" fillId="0" borderId="0" xfId="0" applyBorder="1"/>
    <xf numFmtId="0" fontId="0" fillId="0" borderId="0" xfId="0"/>
    <xf numFmtId="0" fontId="0" fillId="0" borderId="0" xfId="0"/>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0" fillId="0" borderId="10" xfId="0" applyBorder="1"/>
    <xf numFmtId="0" fontId="0" fillId="0" borderId="11" xfId="0" applyBorder="1"/>
    <xf numFmtId="0" fontId="0" fillId="0" borderId="12" xfId="0" applyBorder="1"/>
    <xf numFmtId="164" fontId="0" fillId="0" borderId="13" xfId="1" applyNumberFormat="1" applyFont="1" applyBorder="1"/>
    <xf numFmtId="0" fontId="2" fillId="0" borderId="0" xfId="0" applyFont="1" applyBorder="1" applyAlignment="1">
      <alignment horizontal="center"/>
    </xf>
    <xf numFmtId="0" fontId="2" fillId="0" borderId="8"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164" fontId="0" fillId="0" borderId="0" xfId="0" applyNumberFormat="1" applyBorder="1"/>
    <xf numFmtId="0" fontId="2" fillId="0" borderId="8" xfId="0" applyFont="1" applyFill="1" applyBorder="1"/>
    <xf numFmtId="0" fontId="0" fillId="0" borderId="8" xfId="0" applyFill="1" applyBorder="1"/>
    <xf numFmtId="164" fontId="0" fillId="0" borderId="0" xfId="0" applyNumberFormat="1"/>
    <xf numFmtId="10" fontId="0" fillId="0" borderId="0" xfId="2" applyNumberFormat="1" applyFont="1" applyBorder="1" applyAlignment="1">
      <alignment horizontal="right"/>
    </xf>
    <xf numFmtId="0" fontId="0" fillId="0" borderId="0" xfId="0" applyBorder="1"/>
    <xf numFmtId="0" fontId="0" fillId="0" borderId="0" xfId="0"/>
    <xf numFmtId="164" fontId="0" fillId="0" borderId="0" xfId="1" applyNumberFormat="1" applyFont="1"/>
    <xf numFmtId="164" fontId="0" fillId="0" borderId="0" xfId="1" applyNumberFormat="1" applyFont="1" applyFill="1"/>
    <xf numFmtId="164" fontId="0" fillId="0" borderId="4" xfId="1" applyNumberFormat="1" applyFont="1" applyFill="1" applyBorder="1"/>
    <xf numFmtId="164" fontId="0" fillId="0" borderId="6" xfId="1" applyNumberFormat="1" applyFont="1"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0" fillId="0" borderId="0" xfId="0" applyFont="1" applyBorder="1"/>
    <xf numFmtId="164" fontId="0" fillId="0" borderId="11" xfId="1" applyNumberFormat="1" applyFont="1" applyBorder="1"/>
    <xf numFmtId="0" fontId="0" fillId="0" borderId="0" xfId="0" applyFill="1" applyBorder="1"/>
    <xf numFmtId="164" fontId="1" fillId="0" borderId="0" xfId="1" applyNumberFormat="1" applyFont="1" applyFill="1" applyBorder="1"/>
    <xf numFmtId="164" fontId="1" fillId="0" borderId="13" xfId="1" applyNumberFormat="1" applyFont="1" applyFill="1" applyBorder="1"/>
    <xf numFmtId="164" fontId="0" fillId="0" borderId="0" xfId="0" applyNumberFormat="1" applyBorder="1"/>
    <xf numFmtId="0" fontId="0" fillId="0" borderId="8" xfId="0" applyFont="1" applyFill="1" applyBorder="1"/>
    <xf numFmtId="0" fontId="2" fillId="0" borderId="8" xfId="0" applyFont="1" applyFill="1" applyBorder="1"/>
    <xf numFmtId="41" fontId="0" fillId="0" borderId="9" xfId="0" applyNumberFormat="1" applyBorder="1"/>
    <xf numFmtId="0" fontId="0" fillId="0" borderId="0" xfId="0" applyFill="1"/>
    <xf numFmtId="0" fontId="0" fillId="0" borderId="0" xfId="0" applyAlignment="1">
      <alignment wrapText="1"/>
    </xf>
    <xf numFmtId="164" fontId="0" fillId="0" borderId="0" xfId="1" applyNumberFormat="1" applyFont="1" applyFill="1" applyBorder="1"/>
    <xf numFmtId="164" fontId="0" fillId="0" borderId="11" xfId="1" applyNumberFormat="1" applyFont="1" applyFill="1" applyBorder="1"/>
    <xf numFmtId="41" fontId="0" fillId="0" borderId="9" xfId="0" applyNumberFormat="1" applyFill="1" applyBorder="1"/>
    <xf numFmtId="0" fontId="0" fillId="0" borderId="9" xfId="0" applyFill="1" applyBorder="1"/>
    <xf numFmtId="164" fontId="3" fillId="0" borderId="0" xfId="1" applyNumberFormat="1" applyFont="1" applyBorder="1" applyAlignment="1">
      <alignment wrapText="1"/>
    </xf>
    <xf numFmtId="164" fontId="0" fillId="0" borderId="9" xfId="0" applyNumberFormat="1" applyBorder="1"/>
    <xf numFmtId="164" fontId="0" fillId="0" borderId="6" xfId="1" applyNumberFormat="1" applyFont="1" applyFill="1" applyBorder="1"/>
    <xf numFmtId="164" fontId="3" fillId="0" borderId="0" xfId="1" applyNumberFormat="1" applyFont="1" applyFill="1" applyBorder="1"/>
    <xf numFmtId="164" fontId="0" fillId="0" borderId="23" xfId="1" applyNumberFormat="1" applyFont="1" applyFill="1" applyBorder="1"/>
    <xf numFmtId="0" fontId="0" fillId="0" borderId="0" xfId="0"/>
    <xf numFmtId="0" fontId="2" fillId="0" borderId="0" xfId="0" applyFont="1"/>
    <xf numFmtId="0" fontId="0" fillId="0" borderId="0" xfId="0" applyNumberFormat="1"/>
    <xf numFmtId="0" fontId="2" fillId="0" borderId="0" xfId="0" applyNumberFormat="1" applyFont="1"/>
    <xf numFmtId="0" fontId="0" fillId="0" borderId="0" xfId="0" applyNumberFormat="1" applyFont="1"/>
    <xf numFmtId="0" fontId="0" fillId="0" borderId="0" xfId="0" applyBorder="1"/>
    <xf numFmtId="164" fontId="0" fillId="0" borderId="13" xfId="0" applyNumberFormat="1" applyBorder="1"/>
    <xf numFmtId="0" fontId="12" fillId="0" borderId="0" xfId="14" applyFont="1" applyAlignment="1">
      <alignment horizontal="center"/>
    </xf>
    <xf numFmtId="0" fontId="12" fillId="0" borderId="0" xfId="14" applyFont="1" applyAlignment="1">
      <alignment horizontal="center" wrapText="1"/>
    </xf>
    <xf numFmtId="0" fontId="6" fillId="0" borderId="0" xfId="14"/>
    <xf numFmtId="0" fontId="6" fillId="0" borderId="0" xfId="14" applyFill="1"/>
    <xf numFmtId="0" fontId="6" fillId="0" borderId="0" xfId="14" applyAlignment="1">
      <alignment horizontal="center"/>
    </xf>
    <xf numFmtId="49" fontId="6" fillId="0" borderId="0" xfId="14" applyNumberFormat="1" applyFill="1" applyAlignment="1">
      <alignment horizontal="right"/>
    </xf>
    <xf numFmtId="167" fontId="6" fillId="0" borderId="0" xfId="12" applyNumberFormat="1" applyFont="1" applyFill="1"/>
    <xf numFmtId="14" fontId="6" fillId="0" borderId="0" xfId="14" applyNumberFormat="1"/>
    <xf numFmtId="167" fontId="6" fillId="0" borderId="0" xfId="12" applyNumberFormat="1" applyFont="1"/>
    <xf numFmtId="167" fontId="6" fillId="0" borderId="0" xfId="12" applyNumberFormat="1" applyFont="1" applyFill="1" applyBorder="1"/>
    <xf numFmtId="167" fontId="6" fillId="0" borderId="0" xfId="14" applyNumberFormat="1" applyFill="1" applyBorder="1"/>
    <xf numFmtId="0" fontId="6" fillId="0" borderId="0" xfId="14" applyFill="1" applyAlignment="1">
      <alignment horizontal="right"/>
    </xf>
    <xf numFmtId="167" fontId="6" fillId="0" borderId="0" xfId="14" applyNumberFormat="1" applyFill="1"/>
    <xf numFmtId="0" fontId="6" fillId="0" borderId="0" xfId="14" applyFill="1" applyAlignment="1">
      <alignment horizontal="left"/>
    </xf>
    <xf numFmtId="44" fontId="6" fillId="0" borderId="0" xfId="12" applyFont="1" applyAlignment="1">
      <alignment horizontal="center"/>
    </xf>
    <xf numFmtId="2" fontId="6" fillId="0" borderId="0" xfId="14" applyNumberFormat="1" applyFill="1"/>
    <xf numFmtId="44" fontId="6" fillId="0" borderId="0" xfId="12" applyFont="1"/>
    <xf numFmtId="0" fontId="6" fillId="0" borderId="0" xfId="14" applyFill="1" applyAlignment="1">
      <alignment horizontal="center"/>
    </xf>
    <xf numFmtId="43" fontId="6" fillId="0" borderId="0" xfId="11" applyFont="1" applyFill="1"/>
    <xf numFmtId="167" fontId="6" fillId="0" borderId="0" xfId="14" applyNumberFormat="1"/>
    <xf numFmtId="43" fontId="6" fillId="0" borderId="0" xfId="14" applyNumberFormat="1"/>
    <xf numFmtId="0" fontId="12" fillId="0" borderId="0" xfId="14" applyFont="1"/>
    <xf numFmtId="14" fontId="6" fillId="0" borderId="0" xfId="14" applyNumberFormat="1" applyFill="1"/>
    <xf numFmtId="0" fontId="12" fillId="0" borderId="0" xfId="14" applyFont="1" applyFill="1"/>
    <xf numFmtId="44" fontId="6" fillId="0" borderId="0" xfId="12" applyFont="1" applyFill="1" applyAlignment="1">
      <alignment horizontal="center"/>
    </xf>
    <xf numFmtId="0" fontId="6" fillId="0" borderId="0" xfId="14" applyAlignment="1">
      <alignment horizontal="right"/>
    </xf>
    <xf numFmtId="43" fontId="6" fillId="0" borderId="0" xfId="14" applyNumberFormat="1" applyAlignment="1">
      <alignment horizontal="right"/>
    </xf>
    <xf numFmtId="43" fontId="6" fillId="0" borderId="0" xfId="1" applyNumberFormat="1" applyFont="1"/>
    <xf numFmtId="10" fontId="6" fillId="0" borderId="0" xfId="2" applyNumberFormat="1" applyFont="1" applyFill="1"/>
    <xf numFmtId="0" fontId="12" fillId="0" borderId="5" xfId="14" applyFont="1" applyBorder="1"/>
    <xf numFmtId="0" fontId="6" fillId="0" borderId="6" xfId="14" applyFill="1" applyBorder="1"/>
    <xf numFmtId="0" fontId="6" fillId="0" borderId="6" xfId="14" applyBorder="1" applyAlignment="1">
      <alignment horizontal="center"/>
    </xf>
    <xf numFmtId="0" fontId="6" fillId="0" borderId="6" xfId="14" applyFill="1" applyBorder="1" applyAlignment="1">
      <alignment horizontal="center"/>
    </xf>
    <xf numFmtId="0" fontId="6" fillId="0" borderId="7" xfId="14" applyFill="1" applyBorder="1"/>
    <xf numFmtId="0" fontId="6" fillId="0" borderId="8" xfId="14" applyBorder="1"/>
    <xf numFmtId="0" fontId="6" fillId="0" borderId="0" xfId="14" applyFill="1" applyBorder="1"/>
    <xf numFmtId="167" fontId="6" fillId="0" borderId="0" xfId="12" applyNumberFormat="1" applyFont="1" applyBorder="1"/>
    <xf numFmtId="0" fontId="6" fillId="0" borderId="0" xfId="14" applyFill="1" applyBorder="1" applyAlignment="1">
      <alignment horizontal="center"/>
    </xf>
    <xf numFmtId="10" fontId="6" fillId="0" borderId="0" xfId="2" applyNumberFormat="1" applyFont="1" applyFill="1" applyBorder="1"/>
    <xf numFmtId="0" fontId="6" fillId="0" borderId="9" xfId="14" applyFill="1" applyBorder="1"/>
    <xf numFmtId="0" fontId="6" fillId="0" borderId="8" xfId="14" applyFill="1" applyBorder="1"/>
    <xf numFmtId="0" fontId="6" fillId="0" borderId="10" xfId="14" applyFill="1" applyBorder="1"/>
    <xf numFmtId="0" fontId="6" fillId="0" borderId="11" xfId="14" applyFill="1" applyBorder="1"/>
    <xf numFmtId="0" fontId="6" fillId="0" borderId="11" xfId="14" applyFill="1" applyBorder="1" applyAlignment="1">
      <alignment horizontal="center"/>
    </xf>
    <xf numFmtId="0" fontId="6" fillId="0" borderId="12" xfId="14" applyFill="1" applyBorder="1"/>
    <xf numFmtId="0" fontId="6" fillId="0" borderId="6" xfId="14" applyBorder="1"/>
    <xf numFmtId="0" fontId="6" fillId="0" borderId="0" xfId="14" applyBorder="1" applyAlignment="1">
      <alignment horizontal="center"/>
    </xf>
    <xf numFmtId="0" fontId="12" fillId="0" borderId="0" xfId="14" applyFont="1" applyBorder="1" applyAlignment="1">
      <alignment horizontal="center" vertical="center" wrapText="1"/>
    </xf>
    <xf numFmtId="167" fontId="6" fillId="0" borderId="0" xfId="14" applyNumberFormat="1" applyBorder="1"/>
    <xf numFmtId="0" fontId="6" fillId="0" borderId="0" xfId="14" applyBorder="1"/>
    <xf numFmtId="0" fontId="12" fillId="0" borderId="0" xfId="14" applyFont="1" applyBorder="1"/>
    <xf numFmtId="174" fontId="6" fillId="0" borderId="9" xfId="14" applyNumberFormat="1" applyFill="1" applyBorder="1" applyAlignment="1">
      <alignment wrapText="1"/>
    </xf>
    <xf numFmtId="174" fontId="6" fillId="0" borderId="12" xfId="14" applyNumberFormat="1" applyFill="1" applyBorder="1" applyAlignment="1">
      <alignment wrapText="1"/>
    </xf>
    <xf numFmtId="174" fontId="6" fillId="0" borderId="0" xfId="14" applyNumberFormat="1" applyFill="1" applyAlignment="1">
      <alignment wrapText="1"/>
    </xf>
    <xf numFmtId="43" fontId="6" fillId="0" borderId="0" xfId="14" applyNumberFormat="1" applyFill="1"/>
    <xf numFmtId="41" fontId="2" fillId="0" borderId="11" xfId="0" applyNumberFormat="1" applyFont="1" applyFill="1" applyBorder="1"/>
    <xf numFmtId="41" fontId="2" fillId="0" borderId="11" xfId="0" applyNumberFormat="1" applyFont="1" applyBorder="1"/>
    <xf numFmtId="41" fontId="2" fillId="0" borderId="5" xfId="0" applyNumberFormat="1" applyFont="1" applyFill="1" applyBorder="1"/>
    <xf numFmtId="41" fontId="2" fillId="0" borderId="6" xfId="0" applyNumberFormat="1" applyFont="1" applyFill="1" applyBorder="1"/>
    <xf numFmtId="41" fontId="2" fillId="0" borderId="6" xfId="0" applyNumberFormat="1" applyFont="1" applyBorder="1"/>
    <xf numFmtId="41" fontId="2" fillId="0" borderId="7" xfId="0" applyNumberFormat="1" applyFont="1" applyBorder="1"/>
    <xf numFmtId="41" fontId="2" fillId="0" borderId="9" xfId="0" applyNumberFormat="1" applyFont="1" applyBorder="1"/>
    <xf numFmtId="41" fontId="2" fillId="0" borderId="10" xfId="0" applyNumberFormat="1" applyFont="1" applyFill="1" applyBorder="1"/>
    <xf numFmtId="10" fontId="0" fillId="0" borderId="4" xfId="0" applyNumberFormat="1" applyFill="1" applyBorder="1"/>
    <xf numFmtId="174" fontId="6" fillId="0" borderId="0" xfId="14" applyNumberFormat="1" applyFill="1" applyBorder="1" applyAlignment="1">
      <alignment wrapText="1"/>
    </xf>
    <xf numFmtId="164" fontId="6" fillId="0" borderId="0" xfId="14" applyNumberFormat="1" applyFill="1"/>
    <xf numFmtId="167" fontId="6" fillId="0" borderId="22" xfId="14" applyNumberFormat="1" applyBorder="1"/>
    <xf numFmtId="167" fontId="6" fillId="0" borderId="22" xfId="14" applyNumberFormat="1" applyFill="1" applyBorder="1"/>
    <xf numFmtId="164" fontId="6" fillId="0" borderId="0" xfId="1" applyNumberFormat="1" applyFont="1" applyFill="1" applyBorder="1" applyAlignment="1">
      <alignment horizontal="center"/>
    </xf>
    <xf numFmtId="0" fontId="0" fillId="0" borderId="0" xfId="0"/>
    <xf numFmtId="164" fontId="0" fillId="2" borderId="4" xfId="1" applyNumberFormat="1" applyFont="1" applyFill="1" applyBorder="1"/>
    <xf numFmtId="0" fontId="0" fillId="0" borderId="8" xfId="0" applyBorder="1"/>
    <xf numFmtId="0" fontId="0" fillId="0" borderId="0" xfId="0" applyBorder="1"/>
    <xf numFmtId="0" fontId="0" fillId="0" borderId="9" xfId="0" applyBorder="1"/>
    <xf numFmtId="164" fontId="0" fillId="2" borderId="0" xfId="1" applyNumberFormat="1" applyFont="1" applyFill="1" applyBorder="1"/>
    <xf numFmtId="0" fontId="0" fillId="0" borderId="8" xfId="0" applyFont="1" applyBorder="1"/>
    <xf numFmtId="0" fontId="0" fillId="0" borderId="0" xfId="0" applyFill="1" applyBorder="1"/>
    <xf numFmtId="0" fontId="2" fillId="0" borderId="0" xfId="0" applyFont="1" applyFill="1" applyBorder="1"/>
    <xf numFmtId="164" fontId="0" fillId="0" borderId="0" xfId="1" applyNumberFormat="1" applyFont="1" applyFill="1" applyBorder="1"/>
    <xf numFmtId="10" fontId="0" fillId="0" borderId="0" xfId="2" applyNumberFormat="1" applyFont="1" applyFill="1" applyBorder="1"/>
    <xf numFmtId="0" fontId="0" fillId="0" borderId="0" xfId="0" applyFill="1"/>
    <xf numFmtId="41" fontId="0" fillId="0" borderId="0" xfId="0" applyNumberFormat="1" applyFill="1"/>
    <xf numFmtId="164" fontId="3" fillId="0" borderId="0" xfId="1" applyNumberFormat="1" applyFont="1" applyBorder="1" applyAlignment="1">
      <alignment horizontal="center"/>
    </xf>
    <xf numFmtId="164" fontId="3" fillId="0" borderId="0" xfId="1" applyNumberFormat="1" applyFont="1" applyFill="1" applyBorder="1" applyAlignment="1">
      <alignment horizontal="center"/>
    </xf>
    <xf numFmtId="164" fontId="3" fillId="0" borderId="0" xfId="1" applyNumberFormat="1" applyFont="1" applyFill="1" applyBorder="1" applyAlignment="1">
      <alignment wrapText="1"/>
    </xf>
    <xf numFmtId="0" fontId="0" fillId="0" borderId="0" xfId="0"/>
    <xf numFmtId="9" fontId="0" fillId="0" borderId="0" xfId="0" applyNumberFormat="1" applyFill="1" applyAlignment="1">
      <alignment horizontal="left"/>
    </xf>
    <xf numFmtId="169" fontId="0" fillId="0" borderId="0" xfId="0" applyNumberFormat="1" applyFill="1"/>
    <xf numFmtId="0" fontId="5" fillId="0" borderId="0" xfId="0" applyFont="1" applyFill="1" applyAlignment="1">
      <alignment wrapText="1"/>
    </xf>
    <xf numFmtId="0" fontId="0" fillId="0" borderId="0" xfId="0" applyFill="1" applyAlignment="1">
      <alignment horizontal="right"/>
    </xf>
    <xf numFmtId="10" fontId="0" fillId="0" borderId="0" xfId="2" applyNumberFormat="1" applyFont="1" applyFill="1" applyAlignment="1">
      <alignment horizontal="left"/>
    </xf>
    <xf numFmtId="169" fontId="0" fillId="0" borderId="0" xfId="1" applyNumberFormat="1" applyFont="1" applyFill="1"/>
    <xf numFmtId="164" fontId="0" fillId="2" borderId="0" xfId="1" applyNumberFormat="1" applyFont="1" applyFill="1" applyBorder="1"/>
    <xf numFmtId="0" fontId="0" fillId="0" borderId="0" xfId="0" applyFill="1" applyBorder="1"/>
    <xf numFmtId="0" fontId="0" fillId="0" borderId="0" xfId="0" applyFill="1"/>
    <xf numFmtId="167" fontId="0" fillId="0" borderId="0" xfId="4" applyNumberFormat="1" applyFont="1" applyFill="1"/>
    <xf numFmtId="167" fontId="0" fillId="0" borderId="23" xfId="0" applyNumberFormat="1" applyFill="1" applyBorder="1"/>
    <xf numFmtId="0" fontId="0" fillId="0" borderId="0" xfId="0" applyFill="1" applyAlignment="1">
      <alignment wrapText="1"/>
    </xf>
    <xf numFmtId="10" fontId="0" fillId="0" borderId="0" xfId="0" applyNumberFormat="1" applyFill="1"/>
    <xf numFmtId="164" fontId="0" fillId="0" borderId="0" xfId="0" applyNumberFormat="1" applyFill="1"/>
    <xf numFmtId="41" fontId="2" fillId="0" borderId="9" xfId="0" applyNumberFormat="1" applyFont="1" applyFill="1" applyBorder="1"/>
    <xf numFmtId="43" fontId="6" fillId="0" borderId="0" xfId="14" applyNumberFormat="1" applyFill="1" applyBorder="1" applyAlignment="1">
      <alignment horizontal="center"/>
    </xf>
    <xf numFmtId="0" fontId="12" fillId="0" borderId="0" xfId="14" applyFont="1" applyFill="1" applyBorder="1" applyAlignment="1">
      <alignment horizontal="center" wrapText="1"/>
    </xf>
    <xf numFmtId="0" fontId="12" fillId="0" borderId="0" xfId="14" applyFont="1" applyFill="1" applyBorder="1" applyAlignment="1">
      <alignment horizontal="center" vertical="center" wrapText="1"/>
    </xf>
    <xf numFmtId="164" fontId="0" fillId="2" borderId="4" xfId="1" applyNumberFormat="1" applyFont="1" applyFill="1" applyBorder="1"/>
    <xf numFmtId="0" fontId="0" fillId="0" borderId="0" xfId="0" applyFill="1"/>
    <xf numFmtId="0" fontId="2" fillId="0" borderId="0" xfId="0" applyFont="1" applyFill="1"/>
    <xf numFmtId="0" fontId="5" fillId="0" borderId="0" xfId="0" applyFont="1" applyFill="1"/>
    <xf numFmtId="175" fontId="0" fillId="0" borderId="0" xfId="0" applyNumberFormat="1" applyFill="1"/>
    <xf numFmtId="0" fontId="0" fillId="0" borderId="0" xfId="0"/>
    <xf numFmtId="0" fontId="2" fillId="0" borderId="0" xfId="0" applyFont="1"/>
    <xf numFmtId="0" fontId="0" fillId="0" borderId="0" xfId="0" applyFill="1"/>
    <xf numFmtId="0" fontId="11" fillId="0" borderId="0" xfId="0" applyFont="1" applyFill="1"/>
    <xf numFmtId="164" fontId="2" fillId="0" borderId="0" xfId="1" applyNumberFormat="1" applyFont="1" applyAlignment="1">
      <alignment horizontal="center"/>
    </xf>
    <xf numFmtId="164" fontId="2" fillId="0" borderId="0" xfId="1" applyNumberFormat="1" applyFont="1" applyFill="1" applyAlignment="1">
      <alignment horizontal="center"/>
    </xf>
    <xf numFmtId="0" fontId="7" fillId="0" borderId="25" xfId="0" applyFont="1" applyFill="1" applyBorder="1" applyAlignment="1"/>
    <xf numFmtId="0" fontId="7" fillId="0" borderId="14" xfId="0" applyFont="1" applyFill="1" applyBorder="1" applyAlignment="1"/>
    <xf numFmtId="0" fontId="7" fillId="0" borderId="14" xfId="0" applyFont="1" applyFill="1" applyBorder="1" applyAlignment="1">
      <alignment horizontal="center"/>
    </xf>
    <xf numFmtId="0" fontId="7" fillId="0" borderId="14" xfId="0" applyFont="1" applyFill="1" applyBorder="1" applyAlignment="1">
      <alignment horizontal="center" wrapText="1"/>
    </xf>
    <xf numFmtId="0" fontId="11" fillId="0" borderId="0" xfId="0" applyFont="1" applyFill="1" applyAlignment="1"/>
    <xf numFmtId="0" fontId="11" fillId="0" borderId="0" xfId="0" applyNumberFormat="1" applyFont="1" applyFill="1" applyAlignment="1">
      <alignment horizontal="center"/>
    </xf>
    <xf numFmtId="164" fontId="14" fillId="0" borderId="0" xfId="1" applyNumberFormat="1" applyFont="1" applyFill="1" applyAlignment="1">
      <alignment horizontal="center"/>
    </xf>
    <xf numFmtId="164" fontId="11" fillId="0" borderId="0" xfId="1" applyNumberFormat="1" applyFont="1" applyFill="1" applyAlignment="1">
      <alignment horizontal="center"/>
    </xf>
    <xf numFmtId="164" fontId="4" fillId="0" borderId="0" xfId="1" applyNumberFormat="1" applyFont="1" applyFill="1" applyProtection="1">
      <protection locked="0"/>
    </xf>
    <xf numFmtId="0" fontId="4" fillId="0" borderId="0" xfId="35" applyNumberFormat="1" applyFont="1" applyFill="1" applyAlignment="1">
      <alignment horizontal="center"/>
    </xf>
    <xf numFmtId="0" fontId="11" fillId="0" borderId="0" xfId="0" applyFont="1" applyFill="1" applyAlignment="1">
      <alignment horizontal="left"/>
    </xf>
    <xf numFmtId="164" fontId="4" fillId="0" borderId="0" xfId="0" applyNumberFormat="1" applyFont="1" applyFill="1"/>
    <xf numFmtId="0" fontId="11" fillId="0" borderId="0" xfId="0" quotePrefix="1" applyFont="1" applyFill="1" applyAlignment="1"/>
    <xf numFmtId="0" fontId="11" fillId="0" borderId="0" xfId="0" applyFont="1" applyFill="1" applyBorder="1" applyAlignment="1"/>
    <xf numFmtId="0" fontId="11" fillId="0" borderId="0" xfId="0" applyNumberFormat="1" applyFont="1" applyFill="1" applyBorder="1" applyAlignment="1">
      <alignment horizontal="center"/>
    </xf>
    <xf numFmtId="164" fontId="14"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164" fontId="4" fillId="0" borderId="0" xfId="1" applyNumberFormat="1" applyFont="1" applyFill="1" applyBorder="1" applyProtection="1">
      <protection locked="0"/>
    </xf>
    <xf numFmtId="0" fontId="11" fillId="0" borderId="0" xfId="0" applyFont="1" applyFill="1" applyBorder="1"/>
    <xf numFmtId="0" fontId="0" fillId="0" borderId="0" xfId="0"/>
    <xf numFmtId="0" fontId="2" fillId="0" borderId="0" xfId="0" applyFont="1"/>
    <xf numFmtId="164" fontId="0" fillId="0" borderId="0" xfId="1" applyNumberFormat="1" applyFont="1" applyFill="1"/>
    <xf numFmtId="164" fontId="0" fillId="0" borderId="4" xfId="1" applyNumberFormat="1" applyFont="1" applyFill="1" applyBorder="1"/>
    <xf numFmtId="164" fontId="1" fillId="0" borderId="0" xfId="1" applyNumberFormat="1" applyFont="1" applyFill="1" applyBorder="1"/>
    <xf numFmtId="0" fontId="0" fillId="0" borderId="0" xfId="0" applyFill="1"/>
    <xf numFmtId="164" fontId="0" fillId="0" borderId="0" xfId="1" applyNumberFormat="1" applyFont="1" applyFill="1" applyBorder="1"/>
    <xf numFmtId="164" fontId="1" fillId="0" borderId="4" xfId="1" applyNumberFormat="1" applyFont="1" applyFill="1" applyBorder="1"/>
    <xf numFmtId="164" fontId="2" fillId="0" borderId="0" xfId="1" applyNumberFormat="1" applyFont="1" applyFill="1" applyAlignment="1">
      <alignment horizontal="center"/>
    </xf>
    <xf numFmtId="164" fontId="4" fillId="0" borderId="0" xfId="1" applyNumberFormat="1" applyFont="1" applyFill="1" applyBorder="1" applyProtection="1">
      <protection locked="0"/>
    </xf>
    <xf numFmtId="43" fontId="0" fillId="2" borderId="0" xfId="1" applyFont="1" applyFill="1"/>
    <xf numFmtId="0" fontId="0" fillId="0" borderId="0" xfId="0"/>
    <xf numFmtId="0" fontId="2" fillId="0" borderId="0" xfId="0" applyFont="1"/>
    <xf numFmtId="167" fontId="0" fillId="0" borderId="0" xfId="4" applyNumberFormat="1" applyFont="1"/>
    <xf numFmtId="164" fontId="2" fillId="0" borderId="0" xfId="1" applyNumberFormat="1" applyFont="1" applyAlignment="1">
      <alignment horizontal="center"/>
    </xf>
    <xf numFmtId="167" fontId="0" fillId="0" borderId="0" xfId="4" applyNumberFormat="1" applyFont="1" applyFill="1" applyBorder="1"/>
    <xf numFmtId="10" fontId="0" fillId="0" borderId="0" xfId="2" applyNumberFormat="1" applyFont="1" applyFill="1" applyAlignment="1">
      <alignment horizontal="left"/>
    </xf>
    <xf numFmtId="169" fontId="0" fillId="0" borderId="0" xfId="0" applyNumberFormat="1" applyFill="1"/>
    <xf numFmtId="176" fontId="0" fillId="0" borderId="0" xfId="0" applyNumberFormat="1" applyFill="1"/>
    <xf numFmtId="0" fontId="15" fillId="0" borderId="0" xfId="0" applyFont="1" applyFill="1" applyAlignment="1">
      <alignment horizontal="center"/>
    </xf>
    <xf numFmtId="0" fontId="15" fillId="0" borderId="0" xfId="0" applyFont="1" applyFill="1" applyAlignment="1">
      <alignment horizontal="left"/>
    </xf>
    <xf numFmtId="9" fontId="0" fillId="0" borderId="0" xfId="2" applyFont="1" applyFill="1"/>
    <xf numFmtId="175" fontId="0" fillId="0" borderId="0" xfId="2" applyNumberFormat="1" applyFont="1" applyFill="1"/>
    <xf numFmtId="0" fontId="0" fillId="0" borderId="0" xfId="0" applyFill="1" applyAlignment="1">
      <alignment horizontal="center" wrapText="1"/>
    </xf>
    <xf numFmtId="167" fontId="0" fillId="0" borderId="4" xfId="4" applyNumberFormat="1" applyFont="1" applyFill="1" applyBorder="1"/>
    <xf numFmtId="167" fontId="0" fillId="0" borderId="13" xfId="0" applyNumberFormat="1" applyFill="1" applyBorder="1"/>
    <xf numFmtId="167" fontId="2" fillId="0" borderId="11" xfId="1" applyNumberFormat="1" applyFont="1" applyFill="1" applyBorder="1" applyAlignment="1">
      <alignment horizontal="center"/>
    </xf>
    <xf numFmtId="167" fontId="2" fillId="0" borderId="0" xfId="1" applyNumberFormat="1" applyFont="1" applyFill="1" applyBorder="1" applyAlignment="1">
      <alignment horizontal="center"/>
    </xf>
    <xf numFmtId="169" fontId="0" fillId="0" borderId="0" xfId="1" applyNumberFormat="1" applyFont="1"/>
    <xf numFmtId="0" fontId="0" fillId="0" borderId="0" xfId="0" applyFill="1"/>
    <xf numFmtId="0" fontId="2" fillId="0" borderId="0" xfId="0" applyFont="1" applyFill="1"/>
    <xf numFmtId="0" fontId="0" fillId="0" borderId="8" xfId="0" applyFill="1" applyBorder="1"/>
    <xf numFmtId="0" fontId="0" fillId="0" borderId="0" xfId="0" applyFill="1"/>
    <xf numFmtId="10" fontId="0" fillId="2" borderId="0" xfId="2" applyNumberFormat="1" applyFont="1" applyFill="1"/>
    <xf numFmtId="167" fontId="0" fillId="0" borderId="0" xfId="4" applyNumberFormat="1" applyFont="1" applyFill="1"/>
    <xf numFmtId="167" fontId="0" fillId="0" borderId="0" xfId="0" applyNumberFormat="1" applyFill="1"/>
    <xf numFmtId="0" fontId="0" fillId="0" borderId="0" xfId="0" applyFill="1" applyAlignment="1">
      <alignment wrapText="1"/>
    </xf>
    <xf numFmtId="10" fontId="0" fillId="0" borderId="0" xfId="0" applyNumberFormat="1" applyFill="1"/>
    <xf numFmtId="10" fontId="0" fillId="0" borderId="0" xfId="2" applyNumberFormat="1" applyFont="1" applyFill="1"/>
    <xf numFmtId="0" fontId="0" fillId="0" borderId="0" xfId="0" applyFill="1" applyAlignment="1">
      <alignment horizontal="right"/>
    </xf>
    <xf numFmtId="0" fontId="0" fillId="0" borderId="0" xfId="0" applyFill="1" applyAlignment="1">
      <alignment horizontal="center"/>
    </xf>
    <xf numFmtId="169" fontId="0" fillId="0" borderId="0" xfId="1" applyNumberFormat="1" applyFont="1" applyFill="1"/>
    <xf numFmtId="44" fontId="0" fillId="0" borderId="0" xfId="0" applyNumberFormat="1" applyFill="1"/>
    <xf numFmtId="171" fontId="0" fillId="0" borderId="0" xfId="0" applyNumberFormat="1" applyFill="1"/>
    <xf numFmtId="170" fontId="0" fillId="0" borderId="0" xfId="0" applyNumberFormat="1" applyFill="1"/>
    <xf numFmtId="0" fontId="3" fillId="0" borderId="0" xfId="0" applyFont="1" applyFill="1"/>
    <xf numFmtId="169" fontId="0" fillId="0" borderId="0" xfId="0" applyNumberFormat="1" applyFill="1" applyBorder="1"/>
    <xf numFmtId="14" fontId="2" fillId="2" borderId="0" xfId="36" applyNumberFormat="1" applyFont="1" applyFill="1" applyAlignment="1">
      <alignment horizontal="center"/>
    </xf>
    <xf numFmtId="172" fontId="2" fillId="2" borderId="0" xfId="37" applyNumberFormat="1" applyFont="1" applyFill="1" applyAlignment="1">
      <alignment horizontal="center"/>
    </xf>
    <xf numFmtId="164" fontId="0" fillId="2" borderId="0" xfId="0" applyNumberFormat="1" applyFill="1"/>
    <xf numFmtId="164" fontId="0" fillId="2" borderId="4" xfId="0" applyNumberFormat="1" applyFill="1" applyBorder="1"/>
    <xf numFmtId="0" fontId="0" fillId="0" borderId="0" xfId="0" applyFill="1"/>
    <xf numFmtId="164" fontId="0" fillId="2" borderId="0" xfId="1" applyNumberFormat="1" applyFont="1" applyFill="1" applyBorder="1"/>
    <xf numFmtId="164" fontId="0" fillId="2" borderId="4" xfId="1" applyNumberFormat="1" applyFont="1" applyFill="1" applyBorder="1"/>
    <xf numFmtId="164" fontId="30" fillId="0" borderId="0" xfId="1" applyNumberFormat="1" applyFont="1" applyFill="1" applyBorder="1"/>
    <xf numFmtId="164" fontId="27" fillId="0" borderId="0" xfId="1" applyNumberFormat="1" applyFont="1" applyFill="1" applyBorder="1"/>
    <xf numFmtId="0" fontId="30" fillId="0" borderId="0" xfId="0" applyFont="1" applyFill="1" applyBorder="1"/>
    <xf numFmtId="0" fontId="30" fillId="0" borderId="9" xfId="0" applyFont="1" applyFill="1" applyBorder="1"/>
    <xf numFmtId="217" fontId="0" fillId="2" borderId="0" xfId="0" applyNumberFormat="1" applyFill="1"/>
    <xf numFmtId="0" fontId="0" fillId="0" borderId="0" xfId="0"/>
    <xf numFmtId="0" fontId="0" fillId="0" borderId="0" xfId="0" applyBorder="1"/>
    <xf numFmtId="0" fontId="0" fillId="0" borderId="9" xfId="0" applyBorder="1"/>
    <xf numFmtId="0" fontId="0" fillId="0" borderId="0" xfId="0" applyBorder="1"/>
    <xf numFmtId="164" fontId="0" fillId="2" borderId="0" xfId="1" applyNumberFormat="1" applyFont="1" applyFill="1" applyBorder="1"/>
    <xf numFmtId="0" fontId="0" fillId="0" borderId="8" xfId="0" applyFont="1" applyBorder="1"/>
    <xf numFmtId="0" fontId="0" fillId="0" borderId="0" xfId="0" applyBorder="1"/>
    <xf numFmtId="164" fontId="0" fillId="2" borderId="0" xfId="1" applyNumberFormat="1" applyFont="1" applyFill="1" applyBorder="1"/>
    <xf numFmtId="0" fontId="0" fillId="0" borderId="8" xfId="0" applyFont="1" applyBorder="1"/>
    <xf numFmtId="167" fontId="6" fillId="0" borderId="0" xfId="14" applyNumberFormat="1" applyFill="1" applyBorder="1"/>
    <xf numFmtId="43" fontId="0" fillId="2" borderId="0" xfId="1" applyFont="1" applyFill="1"/>
    <xf numFmtId="0" fontId="0" fillId="0" borderId="0" xfId="0"/>
    <xf numFmtId="0" fontId="2" fillId="0" borderId="0" xfId="0" applyFont="1"/>
    <xf numFmtId="0" fontId="2" fillId="0" borderId="1" xfId="0" applyFont="1" applyBorder="1"/>
    <xf numFmtId="164" fontId="0" fillId="0" borderId="0" xfId="1" applyNumberFormat="1" applyFont="1"/>
    <xf numFmtId="164" fontId="0" fillId="2" borderId="4" xfId="1" applyNumberFormat="1" applyFont="1" applyFill="1" applyBorder="1"/>
    <xf numFmtId="49" fontId="2" fillId="2" borderId="0" xfId="1" applyNumberFormat="1" applyFont="1" applyFill="1" applyAlignment="1">
      <alignment horizontal="center"/>
    </xf>
    <xf numFmtId="164" fontId="1" fillId="2" borderId="4" xfId="1" applyNumberFormat="1" applyFont="1" applyFill="1" applyBorder="1"/>
    <xf numFmtId="0" fontId="0" fillId="0" borderId="0" xfId="0" applyFont="1"/>
    <xf numFmtId="0" fontId="0" fillId="0" borderId="0" xfId="0" applyAlignment="1">
      <alignment horizontal="left"/>
    </xf>
    <xf numFmtId="0" fontId="0" fillId="0" borderId="0" xfId="0" applyNumberFormat="1"/>
    <xf numFmtId="0" fontId="2" fillId="0" borderId="0" xfId="0" applyNumberFormat="1" applyFont="1"/>
    <xf numFmtId="0" fontId="0" fillId="0" borderId="0" xfId="0" applyNumberFormat="1" applyFont="1"/>
    <xf numFmtId="49" fontId="2" fillId="0" borderId="0" xfId="1" applyNumberFormat="1" applyFont="1" applyFill="1" applyAlignment="1">
      <alignment horizontal="center"/>
    </xf>
    <xf numFmtId="0" fontId="2" fillId="0" borderId="0" xfId="1" applyNumberFormat="1" applyFont="1" applyFill="1" applyAlignment="1">
      <alignment horizontal="center"/>
    </xf>
    <xf numFmtId="164" fontId="0" fillId="0" borderId="0" xfId="1" applyNumberFormat="1" applyFont="1" applyFill="1"/>
    <xf numFmtId="164" fontId="0" fillId="0" borderId="4" xfId="1" applyNumberFormat="1" applyFont="1" applyFill="1" applyBorder="1"/>
    <xf numFmtId="0" fontId="0" fillId="0" borderId="0" xfId="0" applyNumberForma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Alignment="1">
      <alignment horizontal="center"/>
    </xf>
    <xf numFmtId="0" fontId="0" fillId="0" borderId="0" xfId="0" applyAlignment="1">
      <alignment horizontal="left" indent="2"/>
    </xf>
    <xf numFmtId="0" fontId="0" fillId="0" borderId="0" xfId="0" applyNumberFormat="1" applyFont="1" applyAlignment="1">
      <alignment horizontal="left" indent="2"/>
    </xf>
    <xf numFmtId="0" fontId="0" fillId="0" borderId="0" xfId="0" applyFill="1" applyBorder="1"/>
    <xf numFmtId="164" fontId="1" fillId="0" borderId="0" xfId="1" applyNumberFormat="1" applyFont="1" applyFill="1" applyBorder="1"/>
    <xf numFmtId="164" fontId="0" fillId="0" borderId="0" xfId="0" applyNumberFormat="1" applyBorder="1"/>
    <xf numFmtId="0" fontId="2" fillId="2" borderId="0" xfId="0" applyFont="1" applyFill="1"/>
    <xf numFmtId="0" fontId="0" fillId="2" borderId="0" xfId="0" applyFill="1"/>
    <xf numFmtId="164" fontId="0" fillId="0" borderId="0" xfId="0" applyNumberFormat="1"/>
    <xf numFmtId="10" fontId="0" fillId="0" borderId="0" xfId="0" applyNumberFormat="1" applyBorder="1"/>
    <xf numFmtId="0" fontId="2" fillId="0" borderId="0" xfId="0" applyFont="1" applyFill="1" applyBorder="1"/>
    <xf numFmtId="0" fontId="0" fillId="0" borderId="0" xfId="0" applyFill="1"/>
    <xf numFmtId="0" fontId="2" fillId="0" borderId="0" xfId="0" applyFont="1" applyFill="1"/>
    <xf numFmtId="164" fontId="0" fillId="0" borderId="0" xfId="1" applyNumberFormat="1" applyFont="1" applyFill="1" applyBorder="1"/>
    <xf numFmtId="0" fontId="4" fillId="0" borderId="0" xfId="6"/>
    <xf numFmtId="0" fontId="4" fillId="0" borderId="0" xfId="6" applyFill="1"/>
    <xf numFmtId="0" fontId="7" fillId="0" borderId="0" xfId="6" applyFont="1" applyFill="1"/>
    <xf numFmtId="164" fontId="1" fillId="2" borderId="0" xfId="1" applyNumberFormat="1" applyFont="1" applyFill="1" applyBorder="1"/>
    <xf numFmtId="164" fontId="0" fillId="0" borderId="11" xfId="1" applyNumberFormat="1" applyFont="1" applyFill="1" applyBorder="1"/>
    <xf numFmtId="0" fontId="4" fillId="0" borderId="6" xfId="6" applyBorder="1"/>
    <xf numFmtId="0" fontId="4" fillId="0" borderId="7" xfId="6" applyBorder="1"/>
    <xf numFmtId="0" fontId="4" fillId="0" borderId="9" xfId="6" applyBorder="1"/>
    <xf numFmtId="0" fontId="4" fillId="0" borderId="0" xfId="6" applyBorder="1"/>
    <xf numFmtId="0" fontId="4" fillId="0" borderId="8" xfId="6" applyBorder="1"/>
    <xf numFmtId="0" fontId="4" fillId="0" borderId="10" xfId="6" applyBorder="1"/>
    <xf numFmtId="0" fontId="4" fillId="0" borderId="11" xfId="6" applyBorder="1"/>
    <xf numFmtId="0" fontId="4" fillId="0" borderId="12" xfId="6" applyBorder="1"/>
    <xf numFmtId="164" fontId="0" fillId="0" borderId="6" xfId="1" applyNumberFormat="1" applyFont="1" applyFill="1" applyBorder="1"/>
    <xf numFmtId="164" fontId="3" fillId="0" borderId="0" xfId="1" applyNumberFormat="1" applyFont="1" applyFill="1" applyBorder="1"/>
    <xf numFmtId="164" fontId="0" fillId="0" borderId="4" xfId="0" applyNumberFormat="1" applyBorder="1"/>
    <xf numFmtId="0" fontId="3" fillId="0" borderId="0" xfId="0" applyFont="1" applyFill="1" applyBorder="1"/>
    <xf numFmtId="164" fontId="0" fillId="0" borderId="0" xfId="1" applyNumberFormat="1" applyFont="1" applyFill="1" applyBorder="1" applyAlignment="1">
      <alignment horizontal="center"/>
    </xf>
    <xf numFmtId="164" fontId="3" fillId="0" borderId="0" xfId="0" applyNumberFormat="1" applyFont="1" applyFill="1" applyBorder="1"/>
    <xf numFmtId="10" fontId="0" fillId="0" borderId="0" xfId="1" applyNumberFormat="1" applyFont="1" applyFill="1"/>
    <xf numFmtId="0" fontId="0" fillId="0" borderId="0" xfId="0" applyAlignment="1">
      <alignment horizontal="right"/>
    </xf>
    <xf numFmtId="164" fontId="0" fillId="0" borderId="0" xfId="0" applyNumberFormat="1" applyFill="1" applyBorder="1"/>
    <xf numFmtId="0" fontId="7" fillId="0" borderId="8" xfId="6" applyFont="1" applyBorder="1"/>
    <xf numFmtId="164" fontId="4" fillId="2" borderId="0" xfId="1" applyNumberFormat="1" applyFont="1" applyFill="1" applyBorder="1"/>
    <xf numFmtId="164" fontId="4" fillId="0" borderId="0" xfId="1" applyNumberFormat="1" applyFont="1" applyBorder="1"/>
    <xf numFmtId="164" fontId="2" fillId="0" borderId="0" xfId="1" applyNumberFormat="1" applyFont="1"/>
    <xf numFmtId="0" fontId="4" fillId="0" borderId="5" xfId="6" applyBorder="1"/>
    <xf numFmtId="17" fontId="4" fillId="0" borderId="0" xfId="6" applyNumberFormat="1" applyBorder="1"/>
    <xf numFmtId="164" fontId="4" fillId="0" borderId="11" xfId="1" applyNumberFormat="1" applyFont="1" applyBorder="1"/>
    <xf numFmtId="164" fontId="8" fillId="2" borderId="0" xfId="1" applyNumberFormat="1" applyFont="1" applyFill="1" applyBorder="1"/>
    <xf numFmtId="164" fontId="4" fillId="0" borderId="0" xfId="1" applyNumberFormat="1" applyFont="1" applyFill="1"/>
    <xf numFmtId="17" fontId="4" fillId="0" borderId="0" xfId="6" applyNumberFormat="1" applyFill="1" applyAlignment="1">
      <alignment horizontal="center"/>
    </xf>
    <xf numFmtId="0" fontId="4" fillId="0" borderId="0" xfId="6" applyFill="1" applyAlignment="1">
      <alignment horizontal="center"/>
    </xf>
    <xf numFmtId="164" fontId="4" fillId="0" borderId="22" xfId="1" applyNumberFormat="1" applyFont="1" applyFill="1" applyBorder="1"/>
    <xf numFmtId="164" fontId="4" fillId="0" borderId="22" xfId="1" applyNumberFormat="1" applyFont="1" applyBorder="1"/>
    <xf numFmtId="41" fontId="0" fillId="2" borderId="0" xfId="0" applyNumberFormat="1" applyFill="1" applyBorder="1"/>
    <xf numFmtId="167" fontId="0" fillId="2" borderId="0" xfId="4" applyNumberFormat="1" applyFont="1" applyFill="1"/>
    <xf numFmtId="16" fontId="4" fillId="0" borderId="0" xfId="6" applyNumberFormat="1" applyBorder="1"/>
    <xf numFmtId="44" fontId="0" fillId="2" borderId="0" xfId="0" applyNumberFormat="1" applyFill="1"/>
    <xf numFmtId="164" fontId="4" fillId="0" borderId="0" xfId="6" applyNumberFormat="1" applyFill="1"/>
    <xf numFmtId="164" fontId="4" fillId="2" borderId="0" xfId="1" applyNumberFormat="1" applyFont="1" applyFill="1"/>
    <xf numFmtId="164" fontId="4" fillId="2" borderId="4" xfId="1" applyNumberFormat="1" applyFont="1" applyFill="1" applyBorder="1"/>
    <xf numFmtId="164" fontId="0" fillId="0" borderId="23" xfId="1" applyNumberFormat="1" applyFont="1" applyBorder="1"/>
    <xf numFmtId="164" fontId="152" fillId="0" borderId="0" xfId="1" applyNumberFormat="1" applyFont="1" applyFill="1" applyBorder="1"/>
    <xf numFmtId="164" fontId="152" fillId="0" borderId="4" xfId="1" applyNumberFormat="1" applyFont="1" applyFill="1" applyBorder="1"/>
    <xf numFmtId="10" fontId="152" fillId="0" borderId="13" xfId="2" applyNumberFormat="1" applyFont="1" applyFill="1" applyBorder="1"/>
    <xf numFmtId="164" fontId="152" fillId="0" borderId="0" xfId="1" applyNumberFormat="1" applyFont="1" applyBorder="1"/>
    <xf numFmtId="10" fontId="152" fillId="0" borderId="4" xfId="2" applyNumberFormat="1" applyFont="1" applyFill="1" applyBorder="1"/>
    <xf numFmtId="164" fontId="152" fillId="0" borderId="4" xfId="1" applyNumberFormat="1" applyFont="1" applyBorder="1"/>
    <xf numFmtId="164" fontId="152" fillId="0" borderId="13" xfId="1" applyNumberFormat="1" applyFont="1" applyBorder="1"/>
    <xf numFmtId="164" fontId="152" fillId="0" borderId="13" xfId="1" applyNumberFormat="1" applyFont="1" applyFill="1" applyBorder="1"/>
    <xf numFmtId="10" fontId="152" fillId="0" borderId="0" xfId="2" applyNumberFormat="1" applyFont="1" applyFill="1" applyBorder="1"/>
    <xf numFmtId="10" fontId="152" fillId="0" borderId="4" xfId="2" applyNumberFormat="1" applyFont="1" applyBorder="1"/>
    <xf numFmtId="10" fontId="152" fillId="0" borderId="4" xfId="1" applyNumberFormat="1" applyFont="1" applyFill="1" applyBorder="1"/>
    <xf numFmtId="165" fontId="152" fillId="104" borderId="4" xfId="1" applyNumberFormat="1" applyFont="1" applyFill="1" applyBorder="1"/>
    <xf numFmtId="164" fontId="152" fillId="0" borderId="14" xfId="1" applyNumberFormat="1" applyFont="1" applyBorder="1"/>
    <xf numFmtId="10" fontId="152" fillId="0" borderId="0" xfId="2" applyNumberFormat="1" applyFont="1" applyBorder="1"/>
    <xf numFmtId="10" fontId="152" fillId="104" borderId="0" xfId="2" applyNumberFormat="1" applyFont="1" applyFill="1" applyBorder="1"/>
    <xf numFmtId="164" fontId="152" fillId="0" borderId="22" xfId="1" applyNumberFormat="1" applyFont="1" applyFill="1" applyBorder="1"/>
    <xf numFmtId="173" fontId="152" fillId="0" borderId="0" xfId="1" applyNumberFormat="1" applyFont="1" applyBorder="1"/>
    <xf numFmtId="164" fontId="152" fillId="0" borderId="23" xfId="1" applyNumberFormat="1" applyFont="1" applyFill="1" applyBorder="1"/>
    <xf numFmtId="10" fontId="152" fillId="105" borderId="0" xfId="1" applyNumberFormat="1" applyFont="1" applyFill="1" applyBorder="1"/>
    <xf numFmtId="164" fontId="0" fillId="2" borderId="0" xfId="0" applyNumberFormat="1" applyFill="1" applyBorder="1"/>
    <xf numFmtId="164" fontId="4" fillId="0" borderId="0" xfId="6" applyNumberFormat="1"/>
    <xf numFmtId="1" fontId="0" fillId="0" borderId="0" xfId="0" applyNumberFormat="1" applyBorder="1"/>
    <xf numFmtId="40" fontId="4" fillId="0" borderId="9" xfId="6" applyNumberFormat="1" applyBorder="1"/>
    <xf numFmtId="0" fontId="4" fillId="0" borderId="0" xfId="6"/>
    <xf numFmtId="0" fontId="4" fillId="0" borderId="0" xfId="6" applyBorder="1"/>
    <xf numFmtId="164" fontId="4" fillId="2" borderId="8" xfId="1" applyNumberFormat="1" applyFont="1" applyFill="1" applyBorder="1"/>
    <xf numFmtId="164" fontId="4" fillId="2" borderId="0" xfId="1" applyNumberFormat="1" applyFont="1" applyFill="1" applyBorder="1"/>
    <xf numFmtId="164" fontId="4" fillId="0" borderId="0" xfId="1" applyNumberFormat="1" applyFont="1" applyBorder="1"/>
    <xf numFmtId="164" fontId="4" fillId="0" borderId="9" xfId="1" applyNumberFormat="1" applyFont="1" applyBorder="1"/>
    <xf numFmtId="164" fontId="9" fillId="2" borderId="8" xfId="1" applyNumberFormat="1" applyFont="1" applyFill="1" applyBorder="1"/>
    <xf numFmtId="164" fontId="9" fillId="2" borderId="0" xfId="1" applyNumberFormat="1" applyFont="1" applyFill="1" applyBorder="1"/>
    <xf numFmtId="0" fontId="4" fillId="0" borderId="0" xfId="11222"/>
    <xf numFmtId="164" fontId="3" fillId="0" borderId="0" xfId="1" applyNumberFormat="1" applyFont="1" applyFill="1"/>
    <xf numFmtId="164" fontId="0" fillId="0" borderId="0" xfId="1" applyNumberFormat="1" applyFont="1" applyFill="1" applyAlignment="1">
      <alignment wrapText="1"/>
    </xf>
    <xf numFmtId="164" fontId="0" fillId="0" borderId="0" xfId="1" applyNumberFormat="1" applyFont="1" applyAlignment="1">
      <alignment wrapText="1"/>
    </xf>
    <xf numFmtId="40" fontId="0" fillId="0" borderId="9" xfId="7" applyNumberFormat="1" applyFont="1" applyBorder="1" applyAlignment="1">
      <alignment wrapText="1"/>
    </xf>
    <xf numFmtId="164" fontId="4" fillId="0" borderId="8" xfId="1" applyNumberFormat="1" applyFont="1" applyBorder="1"/>
    <xf numFmtId="164" fontId="4" fillId="0" borderId="6" xfId="6" applyNumberFormat="1" applyFill="1" applyBorder="1"/>
    <xf numFmtId="0" fontId="0" fillId="0" borderId="1" xfId="0" applyBorder="1"/>
    <xf numFmtId="165" fontId="152" fillId="2" borderId="4" xfId="2" applyNumberFormat="1" applyFont="1" applyFill="1" applyBorder="1"/>
    <xf numFmtId="10" fontId="152" fillId="2" borderId="0" xfId="2" applyNumberFormat="1" applyFont="1" applyFill="1" applyBorder="1"/>
    <xf numFmtId="164" fontId="152" fillId="0" borderId="14"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0" xfId="0"/>
    <xf numFmtId="0" fontId="0" fillId="0" borderId="2" xfId="0" applyBorder="1"/>
    <xf numFmtId="164" fontId="0" fillId="0" borderId="0" xfId="1" applyNumberFormat="1" applyFont="1"/>
    <xf numFmtId="0" fontId="0" fillId="0" borderId="0" xfId="0" applyBorder="1"/>
    <xf numFmtId="0" fontId="0" fillId="0" borderId="0" xfId="0" applyFill="1"/>
    <xf numFmtId="0" fontId="0" fillId="0" borderId="4" xfId="0" applyBorder="1"/>
    <xf numFmtId="0" fontId="2" fillId="0" borderId="4" xfId="0" applyFont="1" applyBorder="1" applyAlignment="1">
      <alignment horizontal="center" wrapText="1"/>
    </xf>
    <xf numFmtId="164" fontId="2" fillId="0" borderId="0" xfId="1" applyNumberFormat="1" applyFont="1" applyFill="1" applyAlignment="1">
      <alignment horizontal="center"/>
    </xf>
    <xf numFmtId="0" fontId="2" fillId="0" borderId="1" xfId="0" applyFont="1" applyBorder="1"/>
    <xf numFmtId="0" fontId="2" fillId="0" borderId="2" xfId="0" applyFont="1" applyBorder="1"/>
    <xf numFmtId="164" fontId="152" fillId="0" borderId="0" xfId="1" applyNumberFormat="1" applyFont="1" applyFill="1" applyBorder="1"/>
    <xf numFmtId="164" fontId="152" fillId="0" borderId="4" xfId="1" applyNumberFormat="1" applyFont="1" applyFill="1" applyBorder="1"/>
    <xf numFmtId="10" fontId="152" fillId="0" borderId="13" xfId="2" applyNumberFormat="1" applyFont="1" applyFill="1" applyBorder="1"/>
    <xf numFmtId="164" fontId="152" fillId="0" borderId="0" xfId="1" applyNumberFormat="1" applyFont="1" applyBorder="1"/>
    <xf numFmtId="164" fontId="152" fillId="0" borderId="3" xfId="1" applyNumberFormat="1" applyFont="1" applyBorder="1"/>
    <xf numFmtId="10" fontId="152" fillId="0" borderId="4" xfId="2" applyNumberFormat="1" applyFont="1" applyFill="1" applyBorder="1"/>
    <xf numFmtId="164" fontId="152" fillId="0" borderId="4" xfId="1" applyNumberFormat="1" applyFont="1" applyBorder="1"/>
    <xf numFmtId="164" fontId="152" fillId="0" borderId="13" xfId="1" applyNumberFormat="1" applyFont="1" applyBorder="1"/>
    <xf numFmtId="164" fontId="152" fillId="0" borderId="13" xfId="1" applyNumberFormat="1" applyFont="1" applyFill="1" applyBorder="1"/>
    <xf numFmtId="164" fontId="152" fillId="0" borderId="3" xfId="1" applyNumberFormat="1" applyFont="1" applyFill="1" applyBorder="1"/>
    <xf numFmtId="10" fontId="152" fillId="0" borderId="0" xfId="2" applyNumberFormat="1" applyFont="1" applyFill="1" applyBorder="1"/>
    <xf numFmtId="10" fontId="152" fillId="0" borderId="4" xfId="2" applyNumberFormat="1" applyFont="1" applyBorder="1"/>
    <xf numFmtId="10" fontId="152" fillId="0" borderId="4" xfId="1" applyNumberFormat="1" applyFont="1" applyFill="1" applyBorder="1"/>
    <xf numFmtId="165" fontId="152" fillId="104" borderId="4" xfId="1" applyNumberFormat="1" applyFont="1" applyFill="1" applyBorder="1"/>
    <xf numFmtId="164" fontId="152" fillId="0" borderId="14" xfId="1" applyNumberFormat="1" applyFont="1" applyBorder="1"/>
    <xf numFmtId="10" fontId="152" fillId="0" borderId="0" xfId="2" applyNumberFormat="1" applyFont="1" applyBorder="1"/>
    <xf numFmtId="10" fontId="152" fillId="104" borderId="0" xfId="2" applyNumberFormat="1" applyFont="1" applyFill="1" applyBorder="1"/>
    <xf numFmtId="164" fontId="152" fillId="0" borderId="22" xfId="1" applyNumberFormat="1" applyFont="1" applyFill="1" applyBorder="1"/>
    <xf numFmtId="173" fontId="152" fillId="0" borderId="0" xfId="1" applyNumberFormat="1" applyFont="1" applyBorder="1"/>
    <xf numFmtId="0" fontId="0" fillId="0" borderId="3" xfId="0" applyBorder="1"/>
    <xf numFmtId="49" fontId="2" fillId="0" borderId="4" xfId="1" applyNumberFormat="1" applyFont="1" applyFill="1" applyBorder="1" applyAlignment="1">
      <alignment horizontal="center"/>
    </xf>
    <xf numFmtId="10" fontId="152" fillId="104" borderId="0" xfId="1" applyNumberFormat="1" applyFont="1" applyFill="1" applyBorder="1"/>
    <xf numFmtId="164" fontId="152" fillId="0" borderId="2" xfId="1" applyNumberFormat="1" applyFont="1" applyFill="1" applyBorder="1"/>
    <xf numFmtId="164" fontId="152" fillId="0" borderId="2" xfId="1" applyNumberFormat="1" applyFont="1" applyBorder="1"/>
    <xf numFmtId="0" fontId="0" fillId="0" borderId="0" xfId="0"/>
    <xf numFmtId="0" fontId="2" fillId="0" borderId="0" xfId="0" applyFont="1"/>
    <xf numFmtId="164" fontId="0" fillId="0" borderId="0" xfId="1" applyNumberFormat="1" applyFont="1"/>
    <xf numFmtId="0" fontId="2" fillId="0" borderId="0" xfId="0" applyFont="1" applyAlignment="1">
      <alignment horizontal="center"/>
    </xf>
    <xf numFmtId="0" fontId="0" fillId="0" borderId="8" xfId="0" applyBorder="1"/>
    <xf numFmtId="0" fontId="0" fillId="0" borderId="0" xfId="0" applyBorder="1"/>
    <xf numFmtId="164" fontId="0" fillId="0" borderId="0" xfId="1" applyNumberFormat="1" applyFont="1" applyBorder="1"/>
    <xf numFmtId="0" fontId="0" fillId="0" borderId="9" xfId="0" applyBorder="1"/>
    <xf numFmtId="164" fontId="0" fillId="2" borderId="0" xfId="1" applyNumberFormat="1" applyFont="1" applyFill="1" applyBorder="1"/>
    <xf numFmtId="164" fontId="0" fillId="0" borderId="0" xfId="0" applyNumberFormat="1" applyBorder="1"/>
    <xf numFmtId="10" fontId="0" fillId="0" borderId="0" xfId="0" applyNumberFormat="1"/>
    <xf numFmtId="164" fontId="0" fillId="0" borderId="0" xfId="0" applyNumberFormat="1"/>
    <xf numFmtId="41" fontId="0" fillId="0" borderId="9" xfId="0" applyNumberFormat="1" applyBorder="1"/>
    <xf numFmtId="0" fontId="0" fillId="0" borderId="0" xfId="0" applyFill="1"/>
    <xf numFmtId="0" fontId="2" fillId="0" borderId="0" xfId="0" applyFont="1" applyFill="1"/>
    <xf numFmtId="0" fontId="0" fillId="0" borderId="0" xfId="0" applyAlignment="1">
      <alignment wrapText="1"/>
    </xf>
    <xf numFmtId="167" fontId="0" fillId="0" borderId="0" xfId="4" applyNumberFormat="1" applyFont="1"/>
    <xf numFmtId="164" fontId="0" fillId="0" borderId="0" xfId="1" applyNumberFormat="1" applyFont="1" applyFill="1" applyBorder="1"/>
    <xf numFmtId="41" fontId="0" fillId="0" borderId="0" xfId="0" applyNumberFormat="1" applyFill="1"/>
    <xf numFmtId="41" fontId="0" fillId="0" borderId="9" xfId="0" applyNumberFormat="1" applyFill="1" applyBorder="1"/>
    <xf numFmtId="0" fontId="0" fillId="0" borderId="9" xfId="0" applyFill="1" applyBorder="1"/>
    <xf numFmtId="164" fontId="0" fillId="2" borderId="4" xfId="1" applyNumberFormat="1" applyFont="1" applyFill="1" applyBorder="1"/>
    <xf numFmtId="164" fontId="0" fillId="0" borderId="4" xfId="1" applyNumberFormat="1" applyFont="1" applyFill="1" applyBorder="1"/>
    <xf numFmtId="0" fontId="0" fillId="0" borderId="0" xfId="0" applyAlignment="1">
      <alignment horizontal="center"/>
    </xf>
    <xf numFmtId="164" fontId="0" fillId="0" borderId="0" xfId="1" applyNumberFormat="1" applyFont="1" applyAlignment="1"/>
    <xf numFmtId="164" fontId="0" fillId="0" borderId="23" xfId="1" applyNumberFormat="1" applyFont="1" applyFill="1" applyBorder="1"/>
    <xf numFmtId="164" fontId="0" fillId="0" borderId="0" xfId="0" applyNumberFormat="1" applyFill="1"/>
    <xf numFmtId="41" fontId="0" fillId="2" borderId="0" xfId="0" applyNumberFormat="1" applyFill="1" applyBorder="1"/>
    <xf numFmtId="164" fontId="0" fillId="0" borderId="0" xfId="1" applyNumberFormat="1" applyFont="1" applyFill="1"/>
    <xf numFmtId="0" fontId="2" fillId="0" borderId="0" xfId="0" applyFont="1" applyAlignment="1">
      <alignment horizontal="center" wrapText="1"/>
    </xf>
    <xf numFmtId="164" fontId="1" fillId="2" borderId="0" xfId="1" applyNumberFormat="1" applyFont="1" applyFill="1" applyBorder="1"/>
    <xf numFmtId="164" fontId="0" fillId="0" borderId="9" xfId="0" applyNumberFormat="1" applyBorder="1"/>
    <xf numFmtId="164" fontId="0" fillId="0" borderId="0" xfId="0" applyNumberFormat="1" applyFill="1" applyBorder="1"/>
    <xf numFmtId="0" fontId="0" fillId="0" borderId="5" xfId="0" applyBorder="1" applyAlignment="1">
      <alignment horizontal="center"/>
    </xf>
    <xf numFmtId="0" fontId="0" fillId="0" borderId="8" xfId="0" applyBorder="1" applyAlignment="1">
      <alignment horizontal="center"/>
    </xf>
    <xf numFmtId="10" fontId="0" fillId="0" borderId="0" xfId="2" applyNumberFormat="1" applyFont="1" applyFill="1"/>
    <xf numFmtId="10" fontId="0" fillId="0" borderId="0" xfId="0" applyNumberFormat="1" applyFill="1"/>
    <xf numFmtId="0" fontId="0" fillId="0" borderId="6" xfId="0" applyBorder="1" applyAlignment="1">
      <alignment horizontal="center"/>
    </xf>
    <xf numFmtId="0" fontId="0" fillId="0" borderId="0" xfId="0" applyBorder="1" applyAlignment="1">
      <alignment horizontal="center"/>
    </xf>
    <xf numFmtId="14" fontId="0" fillId="0" borderId="0" xfId="0" applyNumberFormat="1" applyAlignment="1">
      <alignment horizontal="left"/>
    </xf>
    <xf numFmtId="0" fontId="0" fillId="0" borderId="9" xfId="0" applyBorder="1" applyAlignment="1">
      <alignment horizontal="center"/>
    </xf>
    <xf numFmtId="0" fontId="0" fillId="0" borderId="7" xfId="0" applyBorder="1" applyAlignment="1">
      <alignment horizontal="center"/>
    </xf>
    <xf numFmtId="164" fontId="0" fillId="0" borderId="8" xfId="0" applyNumberFormat="1" applyBorder="1"/>
    <xf numFmtId="164" fontId="0" fillId="0" borderId="22" xfId="0" applyNumberFormat="1" applyBorder="1"/>
    <xf numFmtId="10" fontId="0" fillId="0" borderId="0" xfId="0" applyNumberFormat="1" applyFill="1" applyAlignment="1">
      <alignment horizontal="center"/>
    </xf>
    <xf numFmtId="10" fontId="0" fillId="6" borderId="0" xfId="0" applyNumberFormat="1" applyFill="1" applyAlignment="1">
      <alignment horizontal="center"/>
    </xf>
    <xf numFmtId="0" fontId="2" fillId="0" borderId="0" xfId="0" applyFont="1" applyAlignment="1">
      <alignment horizontal="right"/>
    </xf>
    <xf numFmtId="164" fontId="0" fillId="0" borderId="8" xfId="1" applyNumberFormat="1" applyFont="1" applyBorder="1" applyAlignment="1"/>
    <xf numFmtId="164" fontId="0" fillId="0" borderId="0" xfId="1" applyNumberFormat="1" applyFont="1" applyAlignment="1">
      <alignment horizontal="left"/>
    </xf>
    <xf numFmtId="164" fontId="0" fillId="5" borderId="8" xfId="0" applyNumberFormat="1" applyFill="1" applyBorder="1"/>
    <xf numFmtId="164" fontId="0" fillId="5" borderId="0" xfId="0" applyNumberFormat="1" applyFill="1" applyBorder="1"/>
    <xf numFmtId="41" fontId="0" fillId="5" borderId="9" xfId="0" applyNumberFormat="1" applyFill="1" applyBorder="1"/>
    <xf numFmtId="164" fontId="0" fillId="5" borderId="10" xfId="0" applyNumberFormat="1" applyFill="1" applyBorder="1"/>
    <xf numFmtId="164" fontId="0" fillId="5" borderId="11" xfId="0" applyNumberFormat="1" applyFill="1" applyBorder="1"/>
    <xf numFmtId="41" fontId="0" fillId="5" borderId="12" xfId="0" applyNumberFormat="1" applyFill="1" applyBorder="1"/>
    <xf numFmtId="14" fontId="0" fillId="0" borderId="0" xfId="0" applyNumberFormat="1" applyFill="1" applyAlignment="1">
      <alignment horizontal="left"/>
    </xf>
    <xf numFmtId="164" fontId="0" fillId="0" borderId="8" xfId="0" applyNumberFormat="1" applyFill="1" applyBorder="1"/>
    <xf numFmtId="164" fontId="0" fillId="5" borderId="0" xfId="1" applyNumberFormat="1" applyFont="1" applyFill="1" applyAlignment="1">
      <alignment horizontal="left"/>
    </xf>
    <xf numFmtId="0" fontId="0" fillId="0" borderId="17" xfId="0" applyBorder="1" applyAlignment="1">
      <alignment horizontal="center"/>
    </xf>
    <xf numFmtId="41" fontId="2" fillId="0" borderId="4" xfId="0" applyNumberFormat="1" applyFont="1" applyFill="1" applyBorder="1" applyAlignment="1">
      <alignment horizontal="center" wrapText="1"/>
    </xf>
    <xf numFmtId="0" fontId="0" fillId="0" borderId="24" xfId="0" applyBorder="1" applyAlignment="1">
      <alignment horizontal="center"/>
    </xf>
    <xf numFmtId="0" fontId="2" fillId="0" borderId="4" xfId="0" applyFont="1" applyFill="1" applyBorder="1" applyAlignment="1">
      <alignment horizontal="center" wrapText="1"/>
    </xf>
    <xf numFmtId="0" fontId="2" fillId="0" borderId="4" xfId="0" applyFont="1" applyBorder="1" applyAlignment="1">
      <alignment horizontal="center" wrapText="1"/>
    </xf>
    <xf numFmtId="164" fontId="0" fillId="5" borderId="0" xfId="0" applyNumberFormat="1" applyFill="1"/>
    <xf numFmtId="0" fontId="0" fillId="0" borderId="4" xfId="0" applyBorder="1" applyAlignment="1">
      <alignment horizontal="center"/>
    </xf>
    <xf numFmtId="164" fontId="0" fillId="0" borderId="0" xfId="1" applyNumberFormat="1" applyFont="1" applyFill="1" applyAlignment="1">
      <alignment horizontal="left"/>
    </xf>
    <xf numFmtId="41" fontId="0" fillId="2" borderId="4" xfId="0" applyNumberFormat="1" applyFill="1" applyBorder="1"/>
    <xf numFmtId="43" fontId="0" fillId="0" borderId="0" xfId="1" applyNumberFormat="1" applyFont="1" applyFill="1" applyBorder="1"/>
    <xf numFmtId="168" fontId="0" fillId="2" borderId="0" xfId="0" applyNumberFormat="1" applyFill="1"/>
    <xf numFmtId="1" fontId="0" fillId="2" borderId="0" xfId="0" applyNumberFormat="1" applyFill="1"/>
    <xf numFmtId="164" fontId="153" fillId="2" borderId="0" xfId="1" applyNumberFormat="1" applyFont="1" applyFill="1"/>
    <xf numFmtId="1" fontId="0" fillId="0" borderId="0" xfId="0" applyNumberFormat="1" applyFill="1"/>
    <xf numFmtId="14" fontId="2" fillId="2" borderId="0" xfId="0" quotePrefix="1" applyNumberFormat="1" applyFont="1" applyFill="1" applyAlignment="1">
      <alignment horizontal="center"/>
    </xf>
    <xf numFmtId="164" fontId="3" fillId="0" borderId="1" xfId="1" applyNumberFormat="1" applyFont="1" applyFill="1" applyBorder="1" applyAlignment="1">
      <alignment horizontal="center"/>
    </xf>
    <xf numFmtId="164" fontId="3" fillId="0" borderId="2" xfId="1" applyNumberFormat="1" applyFont="1" applyFill="1" applyBorder="1" applyAlignment="1">
      <alignment horizontal="center"/>
    </xf>
    <xf numFmtId="164" fontId="3" fillId="0" borderId="3" xfId="1" applyNumberFormat="1" applyFont="1" applyFill="1" applyBorder="1" applyAlignment="1">
      <alignment horizontal="center"/>
    </xf>
    <xf numFmtId="0" fontId="7" fillId="0" borderId="0" xfId="14" applyFont="1" applyAlignment="1">
      <alignment horizontal="center"/>
    </xf>
  </cellXfs>
  <cellStyles count="16888">
    <cellStyle name="_x0013_" xfId="3227"/>
    <cellStyle name=" 1" xfId="3228"/>
    <cellStyle name=" 1 2" xfId="3229"/>
    <cellStyle name=" 1 2 2" xfId="3230"/>
    <cellStyle name=" 1 2 2 2" xfId="3231"/>
    <cellStyle name=" 1 2 3" xfId="3232"/>
    <cellStyle name=" 1 2_Actual" xfId="3233"/>
    <cellStyle name=" 1 3" xfId="3234"/>
    <cellStyle name=" 1 3 2" xfId="3235"/>
    <cellStyle name=" 1 4" xfId="3236"/>
    <cellStyle name=" 1_Actual" xfId="3237"/>
    <cellStyle name="_x0013_ 2" xfId="3238"/>
    <cellStyle name="_x0013_ 2 2" xfId="3239"/>
    <cellStyle name="_x0013_ 2 2 2" xfId="3240"/>
    <cellStyle name="_x0013_ 3" xfId="3241"/>
    <cellStyle name="_x0013_ 4" xfId="3242"/>
    <cellStyle name="_x0013_ 5" xfId="3243"/>
    <cellStyle name="??" xfId="3244"/>
    <cellStyle name="?? [0]_BINV" xfId="3245"/>
    <cellStyle name="???[0]_BINV" xfId="3246"/>
    <cellStyle name="???_BINV" xfId="3247"/>
    <cellStyle name="??[0]_laroux" xfId="3248"/>
    <cellStyle name="??_BINV" xfId="3249"/>
    <cellStyle name="_4C 0105 to 0905" xfId="3250"/>
    <cellStyle name="_4C 0105 to 0905 2" xfId="3251"/>
    <cellStyle name="_4C 0105 to 0905 2 2" xfId="3252"/>
    <cellStyle name="_4C 0105 to 0905 2 2 2" xfId="3253"/>
    <cellStyle name="_4C 0105 to 0905 2 3" xfId="3254"/>
    <cellStyle name="_4C 0105 to 0905 2_Actual" xfId="3255"/>
    <cellStyle name="_4C 0105 to 0905 2_Actual 2" xfId="3256"/>
    <cellStyle name="_4C 0105 to 0905 3" xfId="3257"/>
    <cellStyle name="_4C 0105 to 0905 3 2" xfId="3258"/>
    <cellStyle name="_4C 0105 to 0905 3_Actual" xfId="3259"/>
    <cellStyle name="_4C 0105 to 0905 3_Actual 2" xfId="3260"/>
    <cellStyle name="_4C 0105 to 0905 4" xfId="3261"/>
    <cellStyle name="_4C 0105 to 0905 4 2" xfId="3262"/>
    <cellStyle name="_4C 0105 to 0905 4 2 2" xfId="3263"/>
    <cellStyle name="_4C 0105 to 0905 4 3" xfId="3264"/>
    <cellStyle name="_4C 0105 to 0905 4_Actual" xfId="3265"/>
    <cellStyle name="_4C 0105 to 0905 4_Actual 2" xfId="3266"/>
    <cellStyle name="_4C 0105 to 0905 5" xfId="3267"/>
    <cellStyle name="_4C 0105 to 0905_2010 Q2RF TX 07152010 b (2)" xfId="3268"/>
    <cellStyle name="_4C 0105 to 0905_Actual" xfId="3269"/>
    <cellStyle name="_4C 0105 to 0905_Actual 2" xfId="3270"/>
    <cellStyle name="_4C 0105 to 0905_Actual 2 2" xfId="3271"/>
    <cellStyle name="_4C 0105 to 0905_Actual 2 2 2" xfId="3272"/>
    <cellStyle name="_4C 0105 to 0905_Actual 2 3" xfId="3273"/>
    <cellStyle name="_4C 0105 to 0905_Actual 2_Actual" xfId="3274"/>
    <cellStyle name="_4C 0105 to 0905_Actual 2_Actual 2" xfId="3275"/>
    <cellStyle name="_4C 0105 to 0905_Actual 3" xfId="3276"/>
    <cellStyle name="_4C 0105 to 0905_Actual 3 2" xfId="3277"/>
    <cellStyle name="_4C 0105 to 0905_Actual 3_Actual" xfId="3278"/>
    <cellStyle name="_4C 0105 to 0905_Actual 3_Actual 2" xfId="3279"/>
    <cellStyle name="_4C 0105 to 0905_Actual 4" xfId="3280"/>
    <cellStyle name="_4C 0105 to 0905_Actual_1" xfId="3281"/>
    <cellStyle name="_4C 0105 to 0905_Actual_1 2" xfId="3282"/>
    <cellStyle name="_4C 0105 to 0905_Actual_Actual" xfId="3283"/>
    <cellStyle name="_4C 0105 to 0905_Actual_Actual 2" xfId="3284"/>
    <cellStyle name="_4C 0105 to 0905_Actual_Actual 2 2" xfId="3285"/>
    <cellStyle name="_4C 0105 to 0905_Actual_Actual 3" xfId="3286"/>
    <cellStyle name="_AMS-Cost-Benefit-v10" xfId="3287"/>
    <cellStyle name="_AMS-Cost-Benefit-v10 10" xfId="3288"/>
    <cellStyle name="_AMS-Cost-Benefit-v10 11" xfId="3289"/>
    <cellStyle name="_AMS-Cost-Benefit-v10 12" xfId="3290"/>
    <cellStyle name="_AMS-Cost-Benefit-v10 13" xfId="3291"/>
    <cellStyle name="_AMS-Cost-Benefit-v10 14" xfId="3292"/>
    <cellStyle name="_AMS-Cost-Benefit-v10 15" xfId="3293"/>
    <cellStyle name="_AMS-Cost-Benefit-v10 16" xfId="3294"/>
    <cellStyle name="_AMS-Cost-Benefit-v10 17" xfId="3295"/>
    <cellStyle name="_AMS-Cost-Benefit-v10 18" xfId="3296"/>
    <cellStyle name="_AMS-Cost-Benefit-v10 19" xfId="3297"/>
    <cellStyle name="_AMS-Cost-Benefit-v10 2" xfId="3298"/>
    <cellStyle name="_AMS-Cost-Benefit-v10 20" xfId="3299"/>
    <cellStyle name="_AMS-Cost-Benefit-v10 21" xfId="3300"/>
    <cellStyle name="_AMS-Cost-Benefit-v10 22" xfId="3301"/>
    <cellStyle name="_AMS-Cost-Benefit-v10 23" xfId="3302"/>
    <cellStyle name="_AMS-Cost-Benefit-v10 24" xfId="3303"/>
    <cellStyle name="_AMS-Cost-Benefit-v10 25" xfId="3304"/>
    <cellStyle name="_AMS-Cost-Benefit-v10 26" xfId="3305"/>
    <cellStyle name="_AMS-Cost-Benefit-v10 27" xfId="3306"/>
    <cellStyle name="_AMS-Cost-Benefit-v10 28" xfId="3307"/>
    <cellStyle name="_AMS-Cost-Benefit-v10 29" xfId="3308"/>
    <cellStyle name="_AMS-Cost-Benefit-v10 3" xfId="3309"/>
    <cellStyle name="_AMS-Cost-Benefit-v10 30" xfId="3310"/>
    <cellStyle name="_AMS-Cost-Benefit-v10 4" xfId="3311"/>
    <cellStyle name="_AMS-Cost-Benefit-v10 5" xfId="3312"/>
    <cellStyle name="_AMS-Cost-Benefit-v10 6" xfId="3313"/>
    <cellStyle name="_AMS-Cost-Benefit-v10 7" xfId="3314"/>
    <cellStyle name="_AMS-Cost-Benefit-v10 8" xfId="3315"/>
    <cellStyle name="_AMS-Cost-Benefit-v10 9" xfId="3316"/>
    <cellStyle name="_Copy of 2009Q2RF Forecast of Large Customers for RPS Exclusion analysis" xfId="3317"/>
    <cellStyle name="_II-E-4.2" xfId="3318"/>
    <cellStyle name="_II-E-4.2_2010 Q2RF TX 07152010 b (2)" xfId="3319"/>
    <cellStyle name="_Inputs" xfId="3320"/>
    <cellStyle name="_Lg Cust Cap" xfId="3321"/>
    <cellStyle name="_Most Likely reg asset and amort (2)" xfId="2989"/>
    <cellStyle name="_Most Likely reg asset and amort (2) 2" xfId="2990"/>
    <cellStyle name="_Palo Verde 0105 to 0905" xfId="3322"/>
    <cellStyle name="_Palo Verde 0105 to 0905 2" xfId="3323"/>
    <cellStyle name="_Palo Verde 0105 to 0905 2 2" xfId="3324"/>
    <cellStyle name="_Palo Verde 0105 to 0905 2 2 2" xfId="3325"/>
    <cellStyle name="_Palo Verde 0105 to 0905 2 3" xfId="3326"/>
    <cellStyle name="_Palo Verde 0105 to 0905 2_Actual" xfId="3327"/>
    <cellStyle name="_Palo Verde 0105 to 0905 2_Actual 2" xfId="3328"/>
    <cellStyle name="_Palo Verde 0105 to 0905 3" xfId="3329"/>
    <cellStyle name="_Palo Verde 0105 to 0905 3 2" xfId="3330"/>
    <cellStyle name="_Palo Verde 0105 to 0905 3_Actual" xfId="3331"/>
    <cellStyle name="_Palo Verde 0105 to 0905 3_Actual 2" xfId="3332"/>
    <cellStyle name="_Palo Verde 0105 to 0905 4" xfId="3333"/>
    <cellStyle name="_Palo Verde 0105 to 0905 4 2" xfId="3334"/>
    <cellStyle name="_Palo Verde 0105 to 0905 4 2 2" xfId="3335"/>
    <cellStyle name="_Palo Verde 0105 to 0905 4 3" xfId="3336"/>
    <cellStyle name="_Palo Verde 0105 to 0905 4_Actual" xfId="3337"/>
    <cellStyle name="_Palo Verde 0105 to 0905 4_Actual 2" xfId="3338"/>
    <cellStyle name="_Palo Verde 0105 to 0905 5" xfId="3339"/>
    <cellStyle name="_Palo Verde 0105 to 0905_2010 Q2RF TX 07152010 b (2)" xfId="3340"/>
    <cellStyle name="_Palo Verde 0105 to 0905_Actual" xfId="3341"/>
    <cellStyle name="_Palo Verde 0105 to 0905_Actual 2" xfId="3342"/>
    <cellStyle name="_Palo Verde 0105 to 0905_Actual 2 2" xfId="3343"/>
    <cellStyle name="_Palo Verde 0105 to 0905_Actual 2 2 2" xfId="3344"/>
    <cellStyle name="_Palo Verde 0105 to 0905_Actual 2 3" xfId="3345"/>
    <cellStyle name="_Palo Verde 0105 to 0905_Actual 2_Actual" xfId="3346"/>
    <cellStyle name="_Palo Verde 0105 to 0905_Actual 2_Actual 2" xfId="3347"/>
    <cellStyle name="_Palo Verde 0105 to 0905_Actual 3" xfId="3348"/>
    <cellStyle name="_Palo Verde 0105 to 0905_Actual 3 2" xfId="3349"/>
    <cellStyle name="_Palo Verde 0105 to 0905_Actual 3_Actual" xfId="3350"/>
    <cellStyle name="_Palo Verde 0105 to 0905_Actual 3_Actual 2" xfId="3351"/>
    <cellStyle name="_Palo Verde 0105 to 0905_Actual 4" xfId="3352"/>
    <cellStyle name="_Palo Verde 0105 to 0905_Actual_1" xfId="3353"/>
    <cellStyle name="_Palo Verde 0105 to 0905_Actual_1 2" xfId="3354"/>
    <cellStyle name="_Palo Verde 0105 to 0905_Actual_Actual" xfId="3355"/>
    <cellStyle name="_Palo Verde 0105 to 0905_Actual_Actual 2" xfId="3356"/>
    <cellStyle name="_Palo Verde 0105 to 0905_Actual_Actual 2 2" xfId="3357"/>
    <cellStyle name="_Palo Verde 0105 to 0905_Actual_Actual 3" xfId="3358"/>
    <cellStyle name="_Philadelphia (6-27-05)" xfId="3359"/>
    <cellStyle name="_Philadelphia (6-27-05) 10" xfId="3360"/>
    <cellStyle name="_Philadelphia (6-27-05) 11" xfId="3361"/>
    <cellStyle name="_Philadelphia (6-27-05) 12" xfId="3362"/>
    <cellStyle name="_Philadelphia (6-27-05) 13" xfId="3363"/>
    <cellStyle name="_Philadelphia (6-27-05) 14" xfId="3364"/>
    <cellStyle name="_Philadelphia (6-27-05) 15" xfId="3365"/>
    <cellStyle name="_Philadelphia (6-27-05) 16" xfId="3366"/>
    <cellStyle name="_Philadelphia (6-27-05) 17" xfId="3367"/>
    <cellStyle name="_Philadelphia (6-27-05) 18" xfId="3368"/>
    <cellStyle name="_Philadelphia (6-27-05) 19" xfId="3369"/>
    <cellStyle name="_Philadelphia (6-27-05) 2" xfId="3370"/>
    <cellStyle name="_Philadelphia (6-27-05) 20" xfId="3371"/>
    <cellStyle name="_Philadelphia (6-27-05) 21" xfId="3372"/>
    <cellStyle name="_Philadelphia (6-27-05) 22" xfId="3373"/>
    <cellStyle name="_Philadelphia (6-27-05) 23" xfId="3374"/>
    <cellStyle name="_Philadelphia (6-27-05) 24" xfId="3375"/>
    <cellStyle name="_Philadelphia (6-27-05) 25" xfId="3376"/>
    <cellStyle name="_Philadelphia (6-27-05) 26" xfId="3377"/>
    <cellStyle name="_Philadelphia (6-27-05) 27" xfId="3378"/>
    <cellStyle name="_Philadelphia (6-27-05) 28" xfId="3379"/>
    <cellStyle name="_Philadelphia (6-27-05) 29" xfId="3380"/>
    <cellStyle name="_Philadelphia (6-27-05) 3" xfId="3381"/>
    <cellStyle name="_Philadelphia (6-27-05) 30" xfId="3382"/>
    <cellStyle name="_Philadelphia (6-27-05) 4" xfId="3383"/>
    <cellStyle name="_Philadelphia (6-27-05) 5" xfId="3384"/>
    <cellStyle name="_Philadelphia (6-27-05) 6" xfId="3385"/>
    <cellStyle name="_Philadelphia (6-27-05) 7" xfId="3386"/>
    <cellStyle name="_Philadelphia (6-27-05) 8" xfId="3387"/>
    <cellStyle name="_Philadelphia (6-27-05) 9" xfId="3388"/>
    <cellStyle name="_Pricing Updates" xfId="3389"/>
    <cellStyle name="_Utility Solar" xfId="3390"/>
    <cellStyle name="_VariableRef" xfId="3391"/>
    <cellStyle name="£ BP" xfId="3392"/>
    <cellStyle name="¥ JY" xfId="3393"/>
    <cellStyle name="20% - Accent1 10" xfId="3394"/>
    <cellStyle name="20% - Accent1 11" xfId="3395"/>
    <cellStyle name="20% - Accent1 2" xfId="2991"/>
    <cellStyle name="20% - Accent1 2 2" xfId="3396"/>
    <cellStyle name="20% - Accent1 2 2 2" xfId="3397"/>
    <cellStyle name="20% - Accent1 2 3" xfId="3398"/>
    <cellStyle name="20% - Accent1 2 4" xfId="3399"/>
    <cellStyle name="20% - Accent1 2 5" xfId="3400"/>
    <cellStyle name="20% - Accent1 2 6" xfId="3401"/>
    <cellStyle name="20% - Accent1 2 7" xfId="3402"/>
    <cellStyle name="20% - Accent1 3" xfId="2992"/>
    <cellStyle name="20% - Accent1 3 2" xfId="3403"/>
    <cellStyle name="20% - Accent1 3 2 2" xfId="3404"/>
    <cellStyle name="20% - Accent1 3 3" xfId="3405"/>
    <cellStyle name="20% - Accent1 3 3 2" xfId="3406"/>
    <cellStyle name="20% - Accent1 3 4" xfId="3407"/>
    <cellStyle name="20% - Accent1 4" xfId="3182"/>
    <cellStyle name="20% - Accent1 4 2" xfId="3408"/>
    <cellStyle name="20% - Accent1 4 3" xfId="3409"/>
    <cellStyle name="20% - Accent1 4 4" xfId="3410"/>
    <cellStyle name="20% - Accent1 5" xfId="3411"/>
    <cellStyle name="20% - Accent1 5 2" xfId="3412"/>
    <cellStyle name="20% - Accent1 6" xfId="3413"/>
    <cellStyle name="20% - Accent1 6 2" xfId="3414"/>
    <cellStyle name="20% - Accent1 7" xfId="3415"/>
    <cellStyle name="20% - Accent1 7 10" xfId="3416"/>
    <cellStyle name="20% - Accent1 7 11" xfId="3417"/>
    <cellStyle name="20% - Accent1 7 12" xfId="3418"/>
    <cellStyle name="20% - Accent1 7 13" xfId="3419"/>
    <cellStyle name="20% - Accent1 7 14" xfId="3420"/>
    <cellStyle name="20% - Accent1 7 2" xfId="3421"/>
    <cellStyle name="20% - Accent1 7 2 10" xfId="3422"/>
    <cellStyle name="20% - Accent1 7 2 11" xfId="3423"/>
    <cellStyle name="20% - Accent1 7 2 12" xfId="3424"/>
    <cellStyle name="20% - Accent1 7 2 13" xfId="3425"/>
    <cellStyle name="20% - Accent1 7 2 2" xfId="3426"/>
    <cellStyle name="20% - Accent1 7 2 2 10" xfId="3427"/>
    <cellStyle name="20% - Accent1 7 2 2 11" xfId="3428"/>
    <cellStyle name="20% - Accent1 7 2 2 12" xfId="3429"/>
    <cellStyle name="20% - Accent1 7 2 2 2" xfId="3430"/>
    <cellStyle name="20% - Accent1 7 2 2 2 10" xfId="3431"/>
    <cellStyle name="20% - Accent1 7 2 2 2 11" xfId="3432"/>
    <cellStyle name="20% - Accent1 7 2 2 2 2" xfId="3433"/>
    <cellStyle name="20% - Accent1 7 2 2 2 2 2" xfId="3434"/>
    <cellStyle name="20% - Accent1 7 2 2 2 2 2 2" xfId="3435"/>
    <cellStyle name="20% - Accent1 7 2 2 2 2 2 3" xfId="3436"/>
    <cellStyle name="20% - Accent1 7 2 2 2 2 3" xfId="3437"/>
    <cellStyle name="20% - Accent1 7 2 2 2 2 3 2" xfId="3438"/>
    <cellStyle name="20% - Accent1 7 2 2 2 2 4" xfId="3439"/>
    <cellStyle name="20% - Accent1 7 2 2 2 2 5" xfId="3440"/>
    <cellStyle name="20% - Accent1 7 2 2 2 2 6" xfId="3441"/>
    <cellStyle name="20% - Accent1 7 2 2 2 2 7" xfId="3442"/>
    <cellStyle name="20% - Accent1 7 2 2 2 2 8" xfId="3443"/>
    <cellStyle name="20% - Accent1 7 2 2 2 3" xfId="3444"/>
    <cellStyle name="20% - Accent1 7 2 2 2 3 2" xfId="3445"/>
    <cellStyle name="20% - Accent1 7 2 2 2 3 2 2" xfId="3446"/>
    <cellStyle name="20% - Accent1 7 2 2 2 3 3" xfId="3447"/>
    <cellStyle name="20% - Accent1 7 2 2 2 3 4" xfId="3448"/>
    <cellStyle name="20% - Accent1 7 2 2 2 4" xfId="3449"/>
    <cellStyle name="20% - Accent1 7 2 2 2 4 2" xfId="3450"/>
    <cellStyle name="20% - Accent1 7 2 2 2 5" xfId="3451"/>
    <cellStyle name="20% - Accent1 7 2 2 2 5 2" xfId="3452"/>
    <cellStyle name="20% - Accent1 7 2 2 2 6" xfId="3453"/>
    <cellStyle name="20% - Accent1 7 2 2 2 6 2" xfId="3454"/>
    <cellStyle name="20% - Accent1 7 2 2 2 7" xfId="3455"/>
    <cellStyle name="20% - Accent1 7 2 2 2 8" xfId="3456"/>
    <cellStyle name="20% - Accent1 7 2 2 2 9" xfId="3457"/>
    <cellStyle name="20% - Accent1 7 2 2 3" xfId="3458"/>
    <cellStyle name="20% - Accent1 7 2 2 3 2" xfId="3459"/>
    <cellStyle name="20% - Accent1 7 2 2 3 2 2" xfId="3460"/>
    <cellStyle name="20% - Accent1 7 2 2 3 2 3" xfId="3461"/>
    <cellStyle name="20% - Accent1 7 2 2 3 3" xfId="3462"/>
    <cellStyle name="20% - Accent1 7 2 2 3 3 2" xfId="3463"/>
    <cellStyle name="20% - Accent1 7 2 2 3 4" xfId="3464"/>
    <cellStyle name="20% - Accent1 7 2 2 3 5" xfId="3465"/>
    <cellStyle name="20% - Accent1 7 2 2 3 6" xfId="3466"/>
    <cellStyle name="20% - Accent1 7 2 2 3 7" xfId="3467"/>
    <cellStyle name="20% - Accent1 7 2 2 3 8" xfId="3468"/>
    <cellStyle name="20% - Accent1 7 2 2 4" xfId="3469"/>
    <cellStyle name="20% - Accent1 7 2 2 4 2" xfId="3470"/>
    <cellStyle name="20% - Accent1 7 2 2 4 2 2" xfId="3471"/>
    <cellStyle name="20% - Accent1 7 2 2 4 3" xfId="3472"/>
    <cellStyle name="20% - Accent1 7 2 2 4 4" xfId="3473"/>
    <cellStyle name="20% - Accent1 7 2 2 5" xfId="3474"/>
    <cellStyle name="20% - Accent1 7 2 2 5 2" xfId="3475"/>
    <cellStyle name="20% - Accent1 7 2 2 6" xfId="3476"/>
    <cellStyle name="20% - Accent1 7 2 2 6 2" xfId="3477"/>
    <cellStyle name="20% - Accent1 7 2 2 7" xfId="3478"/>
    <cellStyle name="20% - Accent1 7 2 2 7 2" xfId="3479"/>
    <cellStyle name="20% - Accent1 7 2 2 8" xfId="3480"/>
    <cellStyle name="20% - Accent1 7 2 2 9" xfId="3481"/>
    <cellStyle name="20% - Accent1 7 2 3" xfId="3482"/>
    <cellStyle name="20% - Accent1 7 2 3 10" xfId="3483"/>
    <cellStyle name="20% - Accent1 7 2 3 11" xfId="3484"/>
    <cellStyle name="20% - Accent1 7 2 3 2" xfId="3485"/>
    <cellStyle name="20% - Accent1 7 2 3 2 2" xfId="3486"/>
    <cellStyle name="20% - Accent1 7 2 3 2 2 2" xfId="3487"/>
    <cellStyle name="20% - Accent1 7 2 3 2 2 3" xfId="3488"/>
    <cellStyle name="20% - Accent1 7 2 3 2 3" xfId="3489"/>
    <cellStyle name="20% - Accent1 7 2 3 2 3 2" xfId="3490"/>
    <cellStyle name="20% - Accent1 7 2 3 2 4" xfId="3491"/>
    <cellStyle name="20% - Accent1 7 2 3 2 5" xfId="3492"/>
    <cellStyle name="20% - Accent1 7 2 3 2 6" xfId="3493"/>
    <cellStyle name="20% - Accent1 7 2 3 2 7" xfId="3494"/>
    <cellStyle name="20% - Accent1 7 2 3 2 8" xfId="3495"/>
    <cellStyle name="20% - Accent1 7 2 3 3" xfId="3496"/>
    <cellStyle name="20% - Accent1 7 2 3 3 2" xfId="3497"/>
    <cellStyle name="20% - Accent1 7 2 3 3 2 2" xfId="3498"/>
    <cellStyle name="20% - Accent1 7 2 3 3 3" xfId="3499"/>
    <cellStyle name="20% - Accent1 7 2 3 3 4" xfId="3500"/>
    <cellStyle name="20% - Accent1 7 2 3 4" xfId="3501"/>
    <cellStyle name="20% - Accent1 7 2 3 4 2" xfId="3502"/>
    <cellStyle name="20% - Accent1 7 2 3 5" xfId="3503"/>
    <cellStyle name="20% - Accent1 7 2 3 5 2" xfId="3504"/>
    <cellStyle name="20% - Accent1 7 2 3 6" xfId="3505"/>
    <cellStyle name="20% - Accent1 7 2 3 6 2" xfId="3506"/>
    <cellStyle name="20% - Accent1 7 2 3 7" xfId="3507"/>
    <cellStyle name="20% - Accent1 7 2 3 8" xfId="3508"/>
    <cellStyle name="20% - Accent1 7 2 3 9" xfId="3509"/>
    <cellStyle name="20% - Accent1 7 2 4" xfId="3510"/>
    <cellStyle name="20% - Accent1 7 2 4 2" xfId="3511"/>
    <cellStyle name="20% - Accent1 7 2 4 2 2" xfId="3512"/>
    <cellStyle name="20% - Accent1 7 2 4 2 3" xfId="3513"/>
    <cellStyle name="20% - Accent1 7 2 4 3" xfId="3514"/>
    <cellStyle name="20% - Accent1 7 2 4 3 2" xfId="3515"/>
    <cellStyle name="20% - Accent1 7 2 4 4" xfId="3516"/>
    <cellStyle name="20% - Accent1 7 2 4 5" xfId="3517"/>
    <cellStyle name="20% - Accent1 7 2 4 6" xfId="3518"/>
    <cellStyle name="20% - Accent1 7 2 4 7" xfId="3519"/>
    <cellStyle name="20% - Accent1 7 2 4 8" xfId="3520"/>
    <cellStyle name="20% - Accent1 7 2 5" xfId="3521"/>
    <cellStyle name="20% - Accent1 7 2 5 2" xfId="3522"/>
    <cellStyle name="20% - Accent1 7 2 5 2 2" xfId="3523"/>
    <cellStyle name="20% - Accent1 7 2 5 3" xfId="3524"/>
    <cellStyle name="20% - Accent1 7 2 5 4" xfId="3525"/>
    <cellStyle name="20% - Accent1 7 2 6" xfId="3526"/>
    <cellStyle name="20% - Accent1 7 2 6 2" xfId="3527"/>
    <cellStyle name="20% - Accent1 7 2 7" xfId="3528"/>
    <cellStyle name="20% - Accent1 7 2 7 2" xfId="3529"/>
    <cellStyle name="20% - Accent1 7 2 8" xfId="3530"/>
    <cellStyle name="20% - Accent1 7 2 8 2" xfId="3531"/>
    <cellStyle name="20% - Accent1 7 2 9" xfId="3532"/>
    <cellStyle name="20% - Accent1 7 3" xfId="3533"/>
    <cellStyle name="20% - Accent1 7 3 10" xfId="3534"/>
    <cellStyle name="20% - Accent1 7 3 11" xfId="3535"/>
    <cellStyle name="20% - Accent1 7 3 12" xfId="3536"/>
    <cellStyle name="20% - Accent1 7 3 2" xfId="3537"/>
    <cellStyle name="20% - Accent1 7 3 2 10" xfId="3538"/>
    <cellStyle name="20% - Accent1 7 3 2 11" xfId="3539"/>
    <cellStyle name="20% - Accent1 7 3 2 2" xfId="3540"/>
    <cellStyle name="20% - Accent1 7 3 2 2 2" xfId="3541"/>
    <cellStyle name="20% - Accent1 7 3 2 2 2 2" xfId="3542"/>
    <cellStyle name="20% - Accent1 7 3 2 2 2 3" xfId="3543"/>
    <cellStyle name="20% - Accent1 7 3 2 2 3" xfId="3544"/>
    <cellStyle name="20% - Accent1 7 3 2 2 3 2" xfId="3545"/>
    <cellStyle name="20% - Accent1 7 3 2 2 4" xfId="3546"/>
    <cellStyle name="20% - Accent1 7 3 2 2 5" xfId="3547"/>
    <cellStyle name="20% - Accent1 7 3 2 2 6" xfId="3548"/>
    <cellStyle name="20% - Accent1 7 3 2 2 7" xfId="3549"/>
    <cellStyle name="20% - Accent1 7 3 2 2 8" xfId="3550"/>
    <cellStyle name="20% - Accent1 7 3 2 3" xfId="3551"/>
    <cellStyle name="20% - Accent1 7 3 2 3 2" xfId="3552"/>
    <cellStyle name="20% - Accent1 7 3 2 3 2 2" xfId="3553"/>
    <cellStyle name="20% - Accent1 7 3 2 3 3" xfId="3554"/>
    <cellStyle name="20% - Accent1 7 3 2 3 4" xfId="3555"/>
    <cellStyle name="20% - Accent1 7 3 2 4" xfId="3556"/>
    <cellStyle name="20% - Accent1 7 3 2 4 2" xfId="3557"/>
    <cellStyle name="20% - Accent1 7 3 2 5" xfId="3558"/>
    <cellStyle name="20% - Accent1 7 3 2 5 2" xfId="3559"/>
    <cellStyle name="20% - Accent1 7 3 2 6" xfId="3560"/>
    <cellStyle name="20% - Accent1 7 3 2 6 2" xfId="3561"/>
    <cellStyle name="20% - Accent1 7 3 2 7" xfId="3562"/>
    <cellStyle name="20% - Accent1 7 3 2 8" xfId="3563"/>
    <cellStyle name="20% - Accent1 7 3 2 9" xfId="3564"/>
    <cellStyle name="20% - Accent1 7 3 3" xfId="3565"/>
    <cellStyle name="20% - Accent1 7 3 3 2" xfId="3566"/>
    <cellStyle name="20% - Accent1 7 3 3 2 2" xfId="3567"/>
    <cellStyle name="20% - Accent1 7 3 3 2 3" xfId="3568"/>
    <cellStyle name="20% - Accent1 7 3 3 3" xfId="3569"/>
    <cellStyle name="20% - Accent1 7 3 3 3 2" xfId="3570"/>
    <cellStyle name="20% - Accent1 7 3 3 4" xfId="3571"/>
    <cellStyle name="20% - Accent1 7 3 3 5" xfId="3572"/>
    <cellStyle name="20% - Accent1 7 3 3 6" xfId="3573"/>
    <cellStyle name="20% - Accent1 7 3 3 7" xfId="3574"/>
    <cellStyle name="20% - Accent1 7 3 3 8" xfId="3575"/>
    <cellStyle name="20% - Accent1 7 3 4" xfId="3576"/>
    <cellStyle name="20% - Accent1 7 3 4 2" xfId="3577"/>
    <cellStyle name="20% - Accent1 7 3 4 2 2" xfId="3578"/>
    <cellStyle name="20% - Accent1 7 3 4 3" xfId="3579"/>
    <cellStyle name="20% - Accent1 7 3 4 4" xfId="3580"/>
    <cellStyle name="20% - Accent1 7 3 5" xfId="3581"/>
    <cellStyle name="20% - Accent1 7 3 5 2" xfId="3582"/>
    <cellStyle name="20% - Accent1 7 3 6" xfId="3583"/>
    <cellStyle name="20% - Accent1 7 3 6 2" xfId="3584"/>
    <cellStyle name="20% - Accent1 7 3 7" xfId="3585"/>
    <cellStyle name="20% - Accent1 7 3 7 2" xfId="3586"/>
    <cellStyle name="20% - Accent1 7 3 8" xfId="3587"/>
    <cellStyle name="20% - Accent1 7 3 9" xfId="3588"/>
    <cellStyle name="20% - Accent1 7 4" xfId="3589"/>
    <cellStyle name="20% - Accent1 7 4 10" xfId="3590"/>
    <cellStyle name="20% - Accent1 7 4 11" xfId="3591"/>
    <cellStyle name="20% - Accent1 7 4 2" xfId="3592"/>
    <cellStyle name="20% - Accent1 7 4 2 2" xfId="3593"/>
    <cellStyle name="20% - Accent1 7 4 2 2 2" xfId="3594"/>
    <cellStyle name="20% - Accent1 7 4 2 2 3" xfId="3595"/>
    <cellStyle name="20% - Accent1 7 4 2 3" xfId="3596"/>
    <cellStyle name="20% - Accent1 7 4 2 3 2" xfId="3597"/>
    <cellStyle name="20% - Accent1 7 4 2 4" xfId="3598"/>
    <cellStyle name="20% - Accent1 7 4 2 5" xfId="3599"/>
    <cellStyle name="20% - Accent1 7 4 2 6" xfId="3600"/>
    <cellStyle name="20% - Accent1 7 4 2 7" xfId="3601"/>
    <cellStyle name="20% - Accent1 7 4 2 8" xfId="3602"/>
    <cellStyle name="20% - Accent1 7 4 3" xfId="3603"/>
    <cellStyle name="20% - Accent1 7 4 3 2" xfId="3604"/>
    <cellStyle name="20% - Accent1 7 4 3 2 2" xfId="3605"/>
    <cellStyle name="20% - Accent1 7 4 3 3" xfId="3606"/>
    <cellStyle name="20% - Accent1 7 4 3 4" xfId="3607"/>
    <cellStyle name="20% - Accent1 7 4 4" xfId="3608"/>
    <cellStyle name="20% - Accent1 7 4 4 2" xfId="3609"/>
    <cellStyle name="20% - Accent1 7 4 5" xfId="3610"/>
    <cellStyle name="20% - Accent1 7 4 5 2" xfId="3611"/>
    <cellStyle name="20% - Accent1 7 4 6" xfId="3612"/>
    <cellStyle name="20% - Accent1 7 4 6 2" xfId="3613"/>
    <cellStyle name="20% - Accent1 7 4 7" xfId="3614"/>
    <cellStyle name="20% - Accent1 7 4 8" xfId="3615"/>
    <cellStyle name="20% - Accent1 7 4 9" xfId="3616"/>
    <cellStyle name="20% - Accent1 7 5" xfId="3617"/>
    <cellStyle name="20% - Accent1 7 5 2" xfId="3618"/>
    <cellStyle name="20% - Accent1 7 5 2 2" xfId="3619"/>
    <cellStyle name="20% - Accent1 7 5 2 3" xfId="3620"/>
    <cellStyle name="20% - Accent1 7 5 3" xfId="3621"/>
    <cellStyle name="20% - Accent1 7 5 3 2" xfId="3622"/>
    <cellStyle name="20% - Accent1 7 5 4" xfId="3623"/>
    <cellStyle name="20% - Accent1 7 5 5" xfId="3624"/>
    <cellStyle name="20% - Accent1 7 5 6" xfId="3625"/>
    <cellStyle name="20% - Accent1 7 5 7" xfId="3626"/>
    <cellStyle name="20% - Accent1 7 5 8" xfId="3627"/>
    <cellStyle name="20% - Accent1 7 6" xfId="3628"/>
    <cellStyle name="20% - Accent1 7 6 2" xfId="3629"/>
    <cellStyle name="20% - Accent1 7 6 2 2" xfId="3630"/>
    <cellStyle name="20% - Accent1 7 6 3" xfId="3631"/>
    <cellStyle name="20% - Accent1 7 6 4" xfId="3632"/>
    <cellStyle name="20% - Accent1 7 7" xfId="3633"/>
    <cellStyle name="20% - Accent1 7 7 2" xfId="3634"/>
    <cellStyle name="20% - Accent1 7 8" xfId="3635"/>
    <cellStyle name="20% - Accent1 7 8 2" xfId="3636"/>
    <cellStyle name="20% - Accent1 7 9" xfId="3637"/>
    <cellStyle name="20% - Accent1 7 9 2" xfId="3638"/>
    <cellStyle name="20% - Accent1 8" xfId="3639"/>
    <cellStyle name="20% - Accent1 9" xfId="3640"/>
    <cellStyle name="20% - Accent1 9 2" xfId="3641"/>
    <cellStyle name="20% - Accent1 9 3" xfId="3642"/>
    <cellStyle name="20% - Accent2 10" xfId="3643"/>
    <cellStyle name="20% - Accent2 11" xfId="3644"/>
    <cellStyle name="20% - Accent2 2" xfId="2993"/>
    <cellStyle name="20% - Accent2 2 2" xfId="3645"/>
    <cellStyle name="20% - Accent2 2 2 2" xfId="3646"/>
    <cellStyle name="20% - Accent2 2 3" xfId="3647"/>
    <cellStyle name="20% - Accent2 2 4" xfId="3648"/>
    <cellStyle name="20% - Accent2 2 5" xfId="3649"/>
    <cellStyle name="20% - Accent2 2 6" xfId="3650"/>
    <cellStyle name="20% - Accent2 2 7" xfId="3651"/>
    <cellStyle name="20% - Accent2 3" xfId="2994"/>
    <cellStyle name="20% - Accent2 3 2" xfId="3652"/>
    <cellStyle name="20% - Accent2 3 2 2" xfId="3653"/>
    <cellStyle name="20% - Accent2 3 3" xfId="3654"/>
    <cellStyle name="20% - Accent2 3 3 2" xfId="3655"/>
    <cellStyle name="20% - Accent2 3 4" xfId="3656"/>
    <cellStyle name="20% - Accent2 4" xfId="3183"/>
    <cellStyle name="20% - Accent2 4 2" xfId="3657"/>
    <cellStyle name="20% - Accent2 4 3" xfId="3658"/>
    <cellStyle name="20% - Accent2 4 4" xfId="3659"/>
    <cellStyle name="20% - Accent2 5" xfId="3660"/>
    <cellStyle name="20% - Accent2 5 2" xfId="3661"/>
    <cellStyle name="20% - Accent2 6" xfId="3662"/>
    <cellStyle name="20% - Accent2 6 2" xfId="3663"/>
    <cellStyle name="20% - Accent2 7" xfId="3664"/>
    <cellStyle name="20% - Accent2 7 10" xfId="3665"/>
    <cellStyle name="20% - Accent2 7 11" xfId="3666"/>
    <cellStyle name="20% - Accent2 7 12" xfId="3667"/>
    <cellStyle name="20% - Accent2 7 13" xfId="3668"/>
    <cellStyle name="20% - Accent2 7 14" xfId="3669"/>
    <cellStyle name="20% - Accent2 7 2" xfId="3670"/>
    <cellStyle name="20% - Accent2 7 2 10" xfId="3671"/>
    <cellStyle name="20% - Accent2 7 2 11" xfId="3672"/>
    <cellStyle name="20% - Accent2 7 2 12" xfId="3673"/>
    <cellStyle name="20% - Accent2 7 2 13" xfId="3674"/>
    <cellStyle name="20% - Accent2 7 2 2" xfId="3675"/>
    <cellStyle name="20% - Accent2 7 2 2 10" xfId="3676"/>
    <cellStyle name="20% - Accent2 7 2 2 11" xfId="3677"/>
    <cellStyle name="20% - Accent2 7 2 2 12" xfId="3678"/>
    <cellStyle name="20% - Accent2 7 2 2 2" xfId="3679"/>
    <cellStyle name="20% - Accent2 7 2 2 2 10" xfId="3680"/>
    <cellStyle name="20% - Accent2 7 2 2 2 11" xfId="3681"/>
    <cellStyle name="20% - Accent2 7 2 2 2 2" xfId="3682"/>
    <cellStyle name="20% - Accent2 7 2 2 2 2 2" xfId="3683"/>
    <cellStyle name="20% - Accent2 7 2 2 2 2 2 2" xfId="3684"/>
    <cellStyle name="20% - Accent2 7 2 2 2 2 2 3" xfId="3685"/>
    <cellStyle name="20% - Accent2 7 2 2 2 2 3" xfId="3686"/>
    <cellStyle name="20% - Accent2 7 2 2 2 2 3 2" xfId="3687"/>
    <cellStyle name="20% - Accent2 7 2 2 2 2 4" xfId="3688"/>
    <cellStyle name="20% - Accent2 7 2 2 2 2 5" xfId="3689"/>
    <cellStyle name="20% - Accent2 7 2 2 2 2 6" xfId="3690"/>
    <cellStyle name="20% - Accent2 7 2 2 2 2 7" xfId="3691"/>
    <cellStyle name="20% - Accent2 7 2 2 2 2 8" xfId="3692"/>
    <cellStyle name="20% - Accent2 7 2 2 2 3" xfId="3693"/>
    <cellStyle name="20% - Accent2 7 2 2 2 3 2" xfId="3694"/>
    <cellStyle name="20% - Accent2 7 2 2 2 3 2 2" xfId="3695"/>
    <cellStyle name="20% - Accent2 7 2 2 2 3 3" xfId="3696"/>
    <cellStyle name="20% - Accent2 7 2 2 2 3 4" xfId="3697"/>
    <cellStyle name="20% - Accent2 7 2 2 2 4" xfId="3698"/>
    <cellStyle name="20% - Accent2 7 2 2 2 4 2" xfId="3699"/>
    <cellStyle name="20% - Accent2 7 2 2 2 5" xfId="3700"/>
    <cellStyle name="20% - Accent2 7 2 2 2 5 2" xfId="3701"/>
    <cellStyle name="20% - Accent2 7 2 2 2 6" xfId="3702"/>
    <cellStyle name="20% - Accent2 7 2 2 2 6 2" xfId="3703"/>
    <cellStyle name="20% - Accent2 7 2 2 2 7" xfId="3704"/>
    <cellStyle name="20% - Accent2 7 2 2 2 8" xfId="3705"/>
    <cellStyle name="20% - Accent2 7 2 2 2 9" xfId="3706"/>
    <cellStyle name="20% - Accent2 7 2 2 3" xfId="3707"/>
    <cellStyle name="20% - Accent2 7 2 2 3 2" xfId="3708"/>
    <cellStyle name="20% - Accent2 7 2 2 3 2 2" xfId="3709"/>
    <cellStyle name="20% - Accent2 7 2 2 3 2 3" xfId="3710"/>
    <cellStyle name="20% - Accent2 7 2 2 3 3" xfId="3711"/>
    <cellStyle name="20% - Accent2 7 2 2 3 3 2" xfId="3712"/>
    <cellStyle name="20% - Accent2 7 2 2 3 4" xfId="3713"/>
    <cellStyle name="20% - Accent2 7 2 2 3 5" xfId="3714"/>
    <cellStyle name="20% - Accent2 7 2 2 3 6" xfId="3715"/>
    <cellStyle name="20% - Accent2 7 2 2 3 7" xfId="3716"/>
    <cellStyle name="20% - Accent2 7 2 2 3 8" xfId="3717"/>
    <cellStyle name="20% - Accent2 7 2 2 4" xfId="3718"/>
    <cellStyle name="20% - Accent2 7 2 2 4 2" xfId="3719"/>
    <cellStyle name="20% - Accent2 7 2 2 4 2 2" xfId="3720"/>
    <cellStyle name="20% - Accent2 7 2 2 4 3" xfId="3721"/>
    <cellStyle name="20% - Accent2 7 2 2 4 4" xfId="3722"/>
    <cellStyle name="20% - Accent2 7 2 2 5" xfId="3723"/>
    <cellStyle name="20% - Accent2 7 2 2 5 2" xfId="3724"/>
    <cellStyle name="20% - Accent2 7 2 2 6" xfId="3725"/>
    <cellStyle name="20% - Accent2 7 2 2 6 2" xfId="3726"/>
    <cellStyle name="20% - Accent2 7 2 2 7" xfId="3727"/>
    <cellStyle name="20% - Accent2 7 2 2 7 2" xfId="3728"/>
    <cellStyle name="20% - Accent2 7 2 2 8" xfId="3729"/>
    <cellStyle name="20% - Accent2 7 2 2 9" xfId="3730"/>
    <cellStyle name="20% - Accent2 7 2 3" xfId="3731"/>
    <cellStyle name="20% - Accent2 7 2 3 10" xfId="3732"/>
    <cellStyle name="20% - Accent2 7 2 3 11" xfId="3733"/>
    <cellStyle name="20% - Accent2 7 2 3 2" xfId="3734"/>
    <cellStyle name="20% - Accent2 7 2 3 2 2" xfId="3735"/>
    <cellStyle name="20% - Accent2 7 2 3 2 2 2" xfId="3736"/>
    <cellStyle name="20% - Accent2 7 2 3 2 2 3" xfId="3737"/>
    <cellStyle name="20% - Accent2 7 2 3 2 3" xfId="3738"/>
    <cellStyle name="20% - Accent2 7 2 3 2 3 2" xfId="3739"/>
    <cellStyle name="20% - Accent2 7 2 3 2 4" xfId="3740"/>
    <cellStyle name="20% - Accent2 7 2 3 2 5" xfId="3741"/>
    <cellStyle name="20% - Accent2 7 2 3 2 6" xfId="3742"/>
    <cellStyle name="20% - Accent2 7 2 3 2 7" xfId="3743"/>
    <cellStyle name="20% - Accent2 7 2 3 2 8" xfId="3744"/>
    <cellStyle name="20% - Accent2 7 2 3 3" xfId="3745"/>
    <cellStyle name="20% - Accent2 7 2 3 3 2" xfId="3746"/>
    <cellStyle name="20% - Accent2 7 2 3 3 2 2" xfId="3747"/>
    <cellStyle name="20% - Accent2 7 2 3 3 3" xfId="3748"/>
    <cellStyle name="20% - Accent2 7 2 3 3 4" xfId="3749"/>
    <cellStyle name="20% - Accent2 7 2 3 4" xfId="3750"/>
    <cellStyle name="20% - Accent2 7 2 3 4 2" xfId="3751"/>
    <cellStyle name="20% - Accent2 7 2 3 5" xfId="3752"/>
    <cellStyle name="20% - Accent2 7 2 3 5 2" xfId="3753"/>
    <cellStyle name="20% - Accent2 7 2 3 6" xfId="3754"/>
    <cellStyle name="20% - Accent2 7 2 3 6 2" xfId="3755"/>
    <cellStyle name="20% - Accent2 7 2 3 7" xfId="3756"/>
    <cellStyle name="20% - Accent2 7 2 3 8" xfId="3757"/>
    <cellStyle name="20% - Accent2 7 2 3 9" xfId="3758"/>
    <cellStyle name="20% - Accent2 7 2 4" xfId="3759"/>
    <cellStyle name="20% - Accent2 7 2 4 2" xfId="3760"/>
    <cellStyle name="20% - Accent2 7 2 4 2 2" xfId="3761"/>
    <cellStyle name="20% - Accent2 7 2 4 2 3" xfId="3762"/>
    <cellStyle name="20% - Accent2 7 2 4 3" xfId="3763"/>
    <cellStyle name="20% - Accent2 7 2 4 3 2" xfId="3764"/>
    <cellStyle name="20% - Accent2 7 2 4 4" xfId="3765"/>
    <cellStyle name="20% - Accent2 7 2 4 5" xfId="3766"/>
    <cellStyle name="20% - Accent2 7 2 4 6" xfId="3767"/>
    <cellStyle name="20% - Accent2 7 2 4 7" xfId="3768"/>
    <cellStyle name="20% - Accent2 7 2 4 8" xfId="3769"/>
    <cellStyle name="20% - Accent2 7 2 5" xfId="3770"/>
    <cellStyle name="20% - Accent2 7 2 5 2" xfId="3771"/>
    <cellStyle name="20% - Accent2 7 2 5 2 2" xfId="3772"/>
    <cellStyle name="20% - Accent2 7 2 5 3" xfId="3773"/>
    <cellStyle name="20% - Accent2 7 2 5 4" xfId="3774"/>
    <cellStyle name="20% - Accent2 7 2 6" xfId="3775"/>
    <cellStyle name="20% - Accent2 7 2 6 2" xfId="3776"/>
    <cellStyle name="20% - Accent2 7 2 7" xfId="3777"/>
    <cellStyle name="20% - Accent2 7 2 7 2" xfId="3778"/>
    <cellStyle name="20% - Accent2 7 2 8" xfId="3779"/>
    <cellStyle name="20% - Accent2 7 2 8 2" xfId="3780"/>
    <cellStyle name="20% - Accent2 7 2 9" xfId="3781"/>
    <cellStyle name="20% - Accent2 7 3" xfId="3782"/>
    <cellStyle name="20% - Accent2 7 3 10" xfId="3783"/>
    <cellStyle name="20% - Accent2 7 3 11" xfId="3784"/>
    <cellStyle name="20% - Accent2 7 3 12" xfId="3785"/>
    <cellStyle name="20% - Accent2 7 3 2" xfId="3786"/>
    <cellStyle name="20% - Accent2 7 3 2 10" xfId="3787"/>
    <cellStyle name="20% - Accent2 7 3 2 11" xfId="3788"/>
    <cellStyle name="20% - Accent2 7 3 2 2" xfId="3789"/>
    <cellStyle name="20% - Accent2 7 3 2 2 2" xfId="3790"/>
    <cellStyle name="20% - Accent2 7 3 2 2 2 2" xfId="3791"/>
    <cellStyle name="20% - Accent2 7 3 2 2 2 3" xfId="3792"/>
    <cellStyle name="20% - Accent2 7 3 2 2 3" xfId="3793"/>
    <cellStyle name="20% - Accent2 7 3 2 2 3 2" xfId="3794"/>
    <cellStyle name="20% - Accent2 7 3 2 2 4" xfId="3795"/>
    <cellStyle name="20% - Accent2 7 3 2 2 5" xfId="3796"/>
    <cellStyle name="20% - Accent2 7 3 2 2 6" xfId="3797"/>
    <cellStyle name="20% - Accent2 7 3 2 2 7" xfId="3798"/>
    <cellStyle name="20% - Accent2 7 3 2 2 8" xfId="3799"/>
    <cellStyle name="20% - Accent2 7 3 2 3" xfId="3800"/>
    <cellStyle name="20% - Accent2 7 3 2 3 2" xfId="3801"/>
    <cellStyle name="20% - Accent2 7 3 2 3 2 2" xfId="3802"/>
    <cellStyle name="20% - Accent2 7 3 2 3 3" xfId="3803"/>
    <cellStyle name="20% - Accent2 7 3 2 3 4" xfId="3804"/>
    <cellStyle name="20% - Accent2 7 3 2 4" xfId="3805"/>
    <cellStyle name="20% - Accent2 7 3 2 4 2" xfId="3806"/>
    <cellStyle name="20% - Accent2 7 3 2 5" xfId="3807"/>
    <cellStyle name="20% - Accent2 7 3 2 5 2" xfId="3808"/>
    <cellStyle name="20% - Accent2 7 3 2 6" xfId="3809"/>
    <cellStyle name="20% - Accent2 7 3 2 6 2" xfId="3810"/>
    <cellStyle name="20% - Accent2 7 3 2 7" xfId="3811"/>
    <cellStyle name="20% - Accent2 7 3 2 8" xfId="3812"/>
    <cellStyle name="20% - Accent2 7 3 2 9" xfId="3813"/>
    <cellStyle name="20% - Accent2 7 3 3" xfId="3814"/>
    <cellStyle name="20% - Accent2 7 3 3 2" xfId="3815"/>
    <cellStyle name="20% - Accent2 7 3 3 2 2" xfId="3816"/>
    <cellStyle name="20% - Accent2 7 3 3 2 3" xfId="3817"/>
    <cellStyle name="20% - Accent2 7 3 3 3" xfId="3818"/>
    <cellStyle name="20% - Accent2 7 3 3 3 2" xfId="3819"/>
    <cellStyle name="20% - Accent2 7 3 3 4" xfId="3820"/>
    <cellStyle name="20% - Accent2 7 3 3 5" xfId="3821"/>
    <cellStyle name="20% - Accent2 7 3 3 6" xfId="3822"/>
    <cellStyle name="20% - Accent2 7 3 3 7" xfId="3823"/>
    <cellStyle name="20% - Accent2 7 3 3 8" xfId="3824"/>
    <cellStyle name="20% - Accent2 7 3 4" xfId="3825"/>
    <cellStyle name="20% - Accent2 7 3 4 2" xfId="3826"/>
    <cellStyle name="20% - Accent2 7 3 4 2 2" xfId="3827"/>
    <cellStyle name="20% - Accent2 7 3 4 3" xfId="3828"/>
    <cellStyle name="20% - Accent2 7 3 4 4" xfId="3829"/>
    <cellStyle name="20% - Accent2 7 3 5" xfId="3830"/>
    <cellStyle name="20% - Accent2 7 3 5 2" xfId="3831"/>
    <cellStyle name="20% - Accent2 7 3 6" xfId="3832"/>
    <cellStyle name="20% - Accent2 7 3 6 2" xfId="3833"/>
    <cellStyle name="20% - Accent2 7 3 7" xfId="3834"/>
    <cellStyle name="20% - Accent2 7 3 7 2" xfId="3835"/>
    <cellStyle name="20% - Accent2 7 3 8" xfId="3836"/>
    <cellStyle name="20% - Accent2 7 3 9" xfId="3837"/>
    <cellStyle name="20% - Accent2 7 4" xfId="3838"/>
    <cellStyle name="20% - Accent2 7 4 10" xfId="3839"/>
    <cellStyle name="20% - Accent2 7 4 11" xfId="3840"/>
    <cellStyle name="20% - Accent2 7 4 2" xfId="3841"/>
    <cellStyle name="20% - Accent2 7 4 2 2" xfId="3842"/>
    <cellStyle name="20% - Accent2 7 4 2 2 2" xfId="3843"/>
    <cellStyle name="20% - Accent2 7 4 2 2 3" xfId="3844"/>
    <cellStyle name="20% - Accent2 7 4 2 3" xfId="3845"/>
    <cellStyle name="20% - Accent2 7 4 2 3 2" xfId="3846"/>
    <cellStyle name="20% - Accent2 7 4 2 4" xfId="3847"/>
    <cellStyle name="20% - Accent2 7 4 2 5" xfId="3848"/>
    <cellStyle name="20% - Accent2 7 4 2 6" xfId="3849"/>
    <cellStyle name="20% - Accent2 7 4 2 7" xfId="3850"/>
    <cellStyle name="20% - Accent2 7 4 2 8" xfId="3851"/>
    <cellStyle name="20% - Accent2 7 4 3" xfId="3852"/>
    <cellStyle name="20% - Accent2 7 4 3 2" xfId="3853"/>
    <cellStyle name="20% - Accent2 7 4 3 2 2" xfId="3854"/>
    <cellStyle name="20% - Accent2 7 4 3 3" xfId="3855"/>
    <cellStyle name="20% - Accent2 7 4 3 4" xfId="3856"/>
    <cellStyle name="20% - Accent2 7 4 4" xfId="3857"/>
    <cellStyle name="20% - Accent2 7 4 4 2" xfId="3858"/>
    <cellStyle name="20% - Accent2 7 4 5" xfId="3859"/>
    <cellStyle name="20% - Accent2 7 4 5 2" xfId="3860"/>
    <cellStyle name="20% - Accent2 7 4 6" xfId="3861"/>
    <cellStyle name="20% - Accent2 7 4 6 2" xfId="3862"/>
    <cellStyle name="20% - Accent2 7 4 7" xfId="3863"/>
    <cellStyle name="20% - Accent2 7 4 8" xfId="3864"/>
    <cellStyle name="20% - Accent2 7 4 9" xfId="3865"/>
    <cellStyle name="20% - Accent2 7 5" xfId="3866"/>
    <cellStyle name="20% - Accent2 7 5 2" xfId="3867"/>
    <cellStyle name="20% - Accent2 7 5 2 2" xfId="3868"/>
    <cellStyle name="20% - Accent2 7 5 2 3" xfId="3869"/>
    <cellStyle name="20% - Accent2 7 5 3" xfId="3870"/>
    <cellStyle name="20% - Accent2 7 5 3 2" xfId="3871"/>
    <cellStyle name="20% - Accent2 7 5 4" xfId="3872"/>
    <cellStyle name="20% - Accent2 7 5 5" xfId="3873"/>
    <cellStyle name="20% - Accent2 7 5 6" xfId="3874"/>
    <cellStyle name="20% - Accent2 7 5 7" xfId="3875"/>
    <cellStyle name="20% - Accent2 7 5 8" xfId="3876"/>
    <cellStyle name="20% - Accent2 7 6" xfId="3877"/>
    <cellStyle name="20% - Accent2 7 6 2" xfId="3878"/>
    <cellStyle name="20% - Accent2 7 6 2 2" xfId="3879"/>
    <cellStyle name="20% - Accent2 7 6 3" xfId="3880"/>
    <cellStyle name="20% - Accent2 7 6 4" xfId="3881"/>
    <cellStyle name="20% - Accent2 7 7" xfId="3882"/>
    <cellStyle name="20% - Accent2 7 7 2" xfId="3883"/>
    <cellStyle name="20% - Accent2 7 8" xfId="3884"/>
    <cellStyle name="20% - Accent2 7 8 2" xfId="3885"/>
    <cellStyle name="20% - Accent2 7 9" xfId="3886"/>
    <cellStyle name="20% - Accent2 7 9 2" xfId="3887"/>
    <cellStyle name="20% - Accent2 8" xfId="3888"/>
    <cellStyle name="20% - Accent2 9" xfId="3889"/>
    <cellStyle name="20% - Accent2 9 2" xfId="3890"/>
    <cellStyle name="20% - Accent2 9 3" xfId="3891"/>
    <cellStyle name="20% - Accent3 10" xfId="3892"/>
    <cellStyle name="20% - Accent3 11" xfId="3893"/>
    <cellStyle name="20% - Accent3 2" xfId="2995"/>
    <cellStyle name="20% - Accent3 2 2" xfId="3894"/>
    <cellStyle name="20% - Accent3 2 2 2" xfId="3895"/>
    <cellStyle name="20% - Accent3 2 3" xfId="3896"/>
    <cellStyle name="20% - Accent3 2 4" xfId="3897"/>
    <cellStyle name="20% - Accent3 2 5" xfId="3898"/>
    <cellStyle name="20% - Accent3 2 6" xfId="3899"/>
    <cellStyle name="20% - Accent3 2 7" xfId="3900"/>
    <cellStyle name="20% - Accent3 3" xfId="2996"/>
    <cellStyle name="20% - Accent3 3 2" xfId="3901"/>
    <cellStyle name="20% - Accent3 3 2 2" xfId="3902"/>
    <cellStyle name="20% - Accent3 3 3" xfId="3903"/>
    <cellStyle name="20% - Accent3 3 3 2" xfId="3904"/>
    <cellStyle name="20% - Accent3 3 4" xfId="3905"/>
    <cellStyle name="20% - Accent3 4" xfId="3184"/>
    <cellStyle name="20% - Accent3 4 2" xfId="3906"/>
    <cellStyle name="20% - Accent3 4 3" xfId="3907"/>
    <cellStyle name="20% - Accent3 4 4" xfId="3908"/>
    <cellStyle name="20% - Accent3 5" xfId="3909"/>
    <cellStyle name="20% - Accent3 5 2" xfId="3910"/>
    <cellStyle name="20% - Accent3 6" xfId="3911"/>
    <cellStyle name="20% - Accent3 6 2" xfId="3912"/>
    <cellStyle name="20% - Accent3 7" xfId="3913"/>
    <cellStyle name="20% - Accent3 7 10" xfId="3914"/>
    <cellStyle name="20% - Accent3 7 11" xfId="3915"/>
    <cellStyle name="20% - Accent3 7 12" xfId="3916"/>
    <cellStyle name="20% - Accent3 7 13" xfId="3917"/>
    <cellStyle name="20% - Accent3 7 14" xfId="3918"/>
    <cellStyle name="20% - Accent3 7 2" xfId="3919"/>
    <cellStyle name="20% - Accent3 7 2 10" xfId="3920"/>
    <cellStyle name="20% - Accent3 7 2 11" xfId="3921"/>
    <cellStyle name="20% - Accent3 7 2 12" xfId="3922"/>
    <cellStyle name="20% - Accent3 7 2 13" xfId="3923"/>
    <cellStyle name="20% - Accent3 7 2 2" xfId="3924"/>
    <cellStyle name="20% - Accent3 7 2 2 10" xfId="3925"/>
    <cellStyle name="20% - Accent3 7 2 2 11" xfId="3926"/>
    <cellStyle name="20% - Accent3 7 2 2 12" xfId="3927"/>
    <cellStyle name="20% - Accent3 7 2 2 2" xfId="3928"/>
    <cellStyle name="20% - Accent3 7 2 2 2 10" xfId="3929"/>
    <cellStyle name="20% - Accent3 7 2 2 2 11" xfId="3930"/>
    <cellStyle name="20% - Accent3 7 2 2 2 2" xfId="3931"/>
    <cellStyle name="20% - Accent3 7 2 2 2 2 2" xfId="3932"/>
    <cellStyle name="20% - Accent3 7 2 2 2 2 2 2" xfId="3933"/>
    <cellStyle name="20% - Accent3 7 2 2 2 2 2 3" xfId="3934"/>
    <cellStyle name="20% - Accent3 7 2 2 2 2 3" xfId="3935"/>
    <cellStyle name="20% - Accent3 7 2 2 2 2 3 2" xfId="3936"/>
    <cellStyle name="20% - Accent3 7 2 2 2 2 4" xfId="3937"/>
    <cellStyle name="20% - Accent3 7 2 2 2 2 5" xfId="3938"/>
    <cellStyle name="20% - Accent3 7 2 2 2 2 6" xfId="3939"/>
    <cellStyle name="20% - Accent3 7 2 2 2 2 7" xfId="3940"/>
    <cellStyle name="20% - Accent3 7 2 2 2 2 8" xfId="3941"/>
    <cellStyle name="20% - Accent3 7 2 2 2 3" xfId="3942"/>
    <cellStyle name="20% - Accent3 7 2 2 2 3 2" xfId="3943"/>
    <cellStyle name="20% - Accent3 7 2 2 2 3 2 2" xfId="3944"/>
    <cellStyle name="20% - Accent3 7 2 2 2 3 3" xfId="3945"/>
    <cellStyle name="20% - Accent3 7 2 2 2 3 4" xfId="3946"/>
    <cellStyle name="20% - Accent3 7 2 2 2 4" xfId="3947"/>
    <cellStyle name="20% - Accent3 7 2 2 2 4 2" xfId="3948"/>
    <cellStyle name="20% - Accent3 7 2 2 2 5" xfId="3949"/>
    <cellStyle name="20% - Accent3 7 2 2 2 5 2" xfId="3950"/>
    <cellStyle name="20% - Accent3 7 2 2 2 6" xfId="3951"/>
    <cellStyle name="20% - Accent3 7 2 2 2 6 2" xfId="3952"/>
    <cellStyle name="20% - Accent3 7 2 2 2 7" xfId="3953"/>
    <cellStyle name="20% - Accent3 7 2 2 2 8" xfId="3954"/>
    <cellStyle name="20% - Accent3 7 2 2 2 9" xfId="3955"/>
    <cellStyle name="20% - Accent3 7 2 2 3" xfId="3956"/>
    <cellStyle name="20% - Accent3 7 2 2 3 2" xfId="3957"/>
    <cellStyle name="20% - Accent3 7 2 2 3 2 2" xfId="3958"/>
    <cellStyle name="20% - Accent3 7 2 2 3 2 3" xfId="3959"/>
    <cellStyle name="20% - Accent3 7 2 2 3 3" xfId="3960"/>
    <cellStyle name="20% - Accent3 7 2 2 3 3 2" xfId="3961"/>
    <cellStyle name="20% - Accent3 7 2 2 3 4" xfId="3962"/>
    <cellStyle name="20% - Accent3 7 2 2 3 5" xfId="3963"/>
    <cellStyle name="20% - Accent3 7 2 2 3 6" xfId="3964"/>
    <cellStyle name="20% - Accent3 7 2 2 3 7" xfId="3965"/>
    <cellStyle name="20% - Accent3 7 2 2 3 8" xfId="3966"/>
    <cellStyle name="20% - Accent3 7 2 2 4" xfId="3967"/>
    <cellStyle name="20% - Accent3 7 2 2 4 2" xfId="3968"/>
    <cellStyle name="20% - Accent3 7 2 2 4 2 2" xfId="3969"/>
    <cellStyle name="20% - Accent3 7 2 2 4 3" xfId="3970"/>
    <cellStyle name="20% - Accent3 7 2 2 4 4" xfId="3971"/>
    <cellStyle name="20% - Accent3 7 2 2 5" xfId="3972"/>
    <cellStyle name="20% - Accent3 7 2 2 5 2" xfId="3973"/>
    <cellStyle name="20% - Accent3 7 2 2 6" xfId="3974"/>
    <cellStyle name="20% - Accent3 7 2 2 6 2" xfId="3975"/>
    <cellStyle name="20% - Accent3 7 2 2 7" xfId="3976"/>
    <cellStyle name="20% - Accent3 7 2 2 7 2" xfId="3977"/>
    <cellStyle name="20% - Accent3 7 2 2 8" xfId="3978"/>
    <cellStyle name="20% - Accent3 7 2 2 9" xfId="3979"/>
    <cellStyle name="20% - Accent3 7 2 3" xfId="3980"/>
    <cellStyle name="20% - Accent3 7 2 3 10" xfId="3981"/>
    <cellStyle name="20% - Accent3 7 2 3 11" xfId="3982"/>
    <cellStyle name="20% - Accent3 7 2 3 2" xfId="3983"/>
    <cellStyle name="20% - Accent3 7 2 3 2 2" xfId="3984"/>
    <cellStyle name="20% - Accent3 7 2 3 2 2 2" xfId="3985"/>
    <cellStyle name="20% - Accent3 7 2 3 2 2 3" xfId="3986"/>
    <cellStyle name="20% - Accent3 7 2 3 2 3" xfId="3987"/>
    <cellStyle name="20% - Accent3 7 2 3 2 3 2" xfId="3988"/>
    <cellStyle name="20% - Accent3 7 2 3 2 4" xfId="3989"/>
    <cellStyle name="20% - Accent3 7 2 3 2 5" xfId="3990"/>
    <cellStyle name="20% - Accent3 7 2 3 2 6" xfId="3991"/>
    <cellStyle name="20% - Accent3 7 2 3 2 7" xfId="3992"/>
    <cellStyle name="20% - Accent3 7 2 3 2 8" xfId="3993"/>
    <cellStyle name="20% - Accent3 7 2 3 3" xfId="3994"/>
    <cellStyle name="20% - Accent3 7 2 3 3 2" xfId="3995"/>
    <cellStyle name="20% - Accent3 7 2 3 3 2 2" xfId="3996"/>
    <cellStyle name="20% - Accent3 7 2 3 3 3" xfId="3997"/>
    <cellStyle name="20% - Accent3 7 2 3 3 4" xfId="3998"/>
    <cellStyle name="20% - Accent3 7 2 3 4" xfId="3999"/>
    <cellStyle name="20% - Accent3 7 2 3 4 2" xfId="4000"/>
    <cellStyle name="20% - Accent3 7 2 3 5" xfId="4001"/>
    <cellStyle name="20% - Accent3 7 2 3 5 2" xfId="4002"/>
    <cellStyle name="20% - Accent3 7 2 3 6" xfId="4003"/>
    <cellStyle name="20% - Accent3 7 2 3 6 2" xfId="4004"/>
    <cellStyle name="20% - Accent3 7 2 3 7" xfId="4005"/>
    <cellStyle name="20% - Accent3 7 2 3 8" xfId="4006"/>
    <cellStyle name="20% - Accent3 7 2 3 9" xfId="4007"/>
    <cellStyle name="20% - Accent3 7 2 4" xfId="4008"/>
    <cellStyle name="20% - Accent3 7 2 4 2" xfId="4009"/>
    <cellStyle name="20% - Accent3 7 2 4 2 2" xfId="4010"/>
    <cellStyle name="20% - Accent3 7 2 4 2 3" xfId="4011"/>
    <cellStyle name="20% - Accent3 7 2 4 3" xfId="4012"/>
    <cellStyle name="20% - Accent3 7 2 4 3 2" xfId="4013"/>
    <cellStyle name="20% - Accent3 7 2 4 4" xfId="4014"/>
    <cellStyle name="20% - Accent3 7 2 4 5" xfId="4015"/>
    <cellStyle name="20% - Accent3 7 2 4 6" xfId="4016"/>
    <cellStyle name="20% - Accent3 7 2 4 7" xfId="4017"/>
    <cellStyle name="20% - Accent3 7 2 4 8" xfId="4018"/>
    <cellStyle name="20% - Accent3 7 2 5" xfId="4019"/>
    <cellStyle name="20% - Accent3 7 2 5 2" xfId="4020"/>
    <cellStyle name="20% - Accent3 7 2 5 2 2" xfId="4021"/>
    <cellStyle name="20% - Accent3 7 2 5 3" xfId="4022"/>
    <cellStyle name="20% - Accent3 7 2 5 4" xfId="4023"/>
    <cellStyle name="20% - Accent3 7 2 6" xfId="4024"/>
    <cellStyle name="20% - Accent3 7 2 6 2" xfId="4025"/>
    <cellStyle name="20% - Accent3 7 2 7" xfId="4026"/>
    <cellStyle name="20% - Accent3 7 2 7 2" xfId="4027"/>
    <cellStyle name="20% - Accent3 7 2 8" xfId="4028"/>
    <cellStyle name="20% - Accent3 7 2 8 2" xfId="4029"/>
    <cellStyle name="20% - Accent3 7 2 9" xfId="4030"/>
    <cellStyle name="20% - Accent3 7 3" xfId="4031"/>
    <cellStyle name="20% - Accent3 7 3 10" xfId="4032"/>
    <cellStyle name="20% - Accent3 7 3 11" xfId="4033"/>
    <cellStyle name="20% - Accent3 7 3 12" xfId="4034"/>
    <cellStyle name="20% - Accent3 7 3 2" xfId="4035"/>
    <cellStyle name="20% - Accent3 7 3 2 10" xfId="4036"/>
    <cellStyle name="20% - Accent3 7 3 2 11" xfId="4037"/>
    <cellStyle name="20% - Accent3 7 3 2 2" xfId="4038"/>
    <cellStyle name="20% - Accent3 7 3 2 2 2" xfId="4039"/>
    <cellStyle name="20% - Accent3 7 3 2 2 2 2" xfId="4040"/>
    <cellStyle name="20% - Accent3 7 3 2 2 2 3" xfId="4041"/>
    <cellStyle name="20% - Accent3 7 3 2 2 3" xfId="4042"/>
    <cellStyle name="20% - Accent3 7 3 2 2 3 2" xfId="4043"/>
    <cellStyle name="20% - Accent3 7 3 2 2 4" xfId="4044"/>
    <cellStyle name="20% - Accent3 7 3 2 2 5" xfId="4045"/>
    <cellStyle name="20% - Accent3 7 3 2 2 6" xfId="4046"/>
    <cellStyle name="20% - Accent3 7 3 2 2 7" xfId="4047"/>
    <cellStyle name="20% - Accent3 7 3 2 2 8" xfId="4048"/>
    <cellStyle name="20% - Accent3 7 3 2 3" xfId="4049"/>
    <cellStyle name="20% - Accent3 7 3 2 3 2" xfId="4050"/>
    <cellStyle name="20% - Accent3 7 3 2 3 2 2" xfId="4051"/>
    <cellStyle name="20% - Accent3 7 3 2 3 3" xfId="4052"/>
    <cellStyle name="20% - Accent3 7 3 2 3 4" xfId="4053"/>
    <cellStyle name="20% - Accent3 7 3 2 4" xfId="4054"/>
    <cellStyle name="20% - Accent3 7 3 2 4 2" xfId="4055"/>
    <cellStyle name="20% - Accent3 7 3 2 5" xfId="4056"/>
    <cellStyle name="20% - Accent3 7 3 2 5 2" xfId="4057"/>
    <cellStyle name="20% - Accent3 7 3 2 6" xfId="4058"/>
    <cellStyle name="20% - Accent3 7 3 2 6 2" xfId="4059"/>
    <cellStyle name="20% - Accent3 7 3 2 7" xfId="4060"/>
    <cellStyle name="20% - Accent3 7 3 2 8" xfId="4061"/>
    <cellStyle name="20% - Accent3 7 3 2 9" xfId="4062"/>
    <cellStyle name="20% - Accent3 7 3 3" xfId="4063"/>
    <cellStyle name="20% - Accent3 7 3 3 2" xfId="4064"/>
    <cellStyle name="20% - Accent3 7 3 3 2 2" xfId="4065"/>
    <cellStyle name="20% - Accent3 7 3 3 2 3" xfId="4066"/>
    <cellStyle name="20% - Accent3 7 3 3 3" xfId="4067"/>
    <cellStyle name="20% - Accent3 7 3 3 3 2" xfId="4068"/>
    <cellStyle name="20% - Accent3 7 3 3 4" xfId="4069"/>
    <cellStyle name="20% - Accent3 7 3 3 5" xfId="4070"/>
    <cellStyle name="20% - Accent3 7 3 3 6" xfId="4071"/>
    <cellStyle name="20% - Accent3 7 3 3 7" xfId="4072"/>
    <cellStyle name="20% - Accent3 7 3 3 8" xfId="4073"/>
    <cellStyle name="20% - Accent3 7 3 4" xfId="4074"/>
    <cellStyle name="20% - Accent3 7 3 4 2" xfId="4075"/>
    <cellStyle name="20% - Accent3 7 3 4 2 2" xfId="4076"/>
    <cellStyle name="20% - Accent3 7 3 4 3" xfId="4077"/>
    <cellStyle name="20% - Accent3 7 3 4 4" xfId="4078"/>
    <cellStyle name="20% - Accent3 7 3 5" xfId="4079"/>
    <cellStyle name="20% - Accent3 7 3 5 2" xfId="4080"/>
    <cellStyle name="20% - Accent3 7 3 6" xfId="4081"/>
    <cellStyle name="20% - Accent3 7 3 6 2" xfId="4082"/>
    <cellStyle name="20% - Accent3 7 3 7" xfId="4083"/>
    <cellStyle name="20% - Accent3 7 3 7 2" xfId="4084"/>
    <cellStyle name="20% - Accent3 7 3 8" xfId="4085"/>
    <cellStyle name="20% - Accent3 7 3 9" xfId="4086"/>
    <cellStyle name="20% - Accent3 7 4" xfId="4087"/>
    <cellStyle name="20% - Accent3 7 4 10" xfId="4088"/>
    <cellStyle name="20% - Accent3 7 4 11" xfId="4089"/>
    <cellStyle name="20% - Accent3 7 4 2" xfId="4090"/>
    <cellStyle name="20% - Accent3 7 4 2 2" xfId="4091"/>
    <cellStyle name="20% - Accent3 7 4 2 2 2" xfId="4092"/>
    <cellStyle name="20% - Accent3 7 4 2 2 3" xfId="4093"/>
    <cellStyle name="20% - Accent3 7 4 2 3" xfId="4094"/>
    <cellStyle name="20% - Accent3 7 4 2 3 2" xfId="4095"/>
    <cellStyle name="20% - Accent3 7 4 2 4" xfId="4096"/>
    <cellStyle name="20% - Accent3 7 4 2 5" xfId="4097"/>
    <cellStyle name="20% - Accent3 7 4 2 6" xfId="4098"/>
    <cellStyle name="20% - Accent3 7 4 2 7" xfId="4099"/>
    <cellStyle name="20% - Accent3 7 4 2 8" xfId="4100"/>
    <cellStyle name="20% - Accent3 7 4 3" xfId="4101"/>
    <cellStyle name="20% - Accent3 7 4 3 2" xfId="4102"/>
    <cellStyle name="20% - Accent3 7 4 3 2 2" xfId="4103"/>
    <cellStyle name="20% - Accent3 7 4 3 3" xfId="4104"/>
    <cellStyle name="20% - Accent3 7 4 3 4" xfId="4105"/>
    <cellStyle name="20% - Accent3 7 4 4" xfId="4106"/>
    <cellStyle name="20% - Accent3 7 4 4 2" xfId="4107"/>
    <cellStyle name="20% - Accent3 7 4 5" xfId="4108"/>
    <cellStyle name="20% - Accent3 7 4 5 2" xfId="4109"/>
    <cellStyle name="20% - Accent3 7 4 6" xfId="4110"/>
    <cellStyle name="20% - Accent3 7 4 6 2" xfId="4111"/>
    <cellStyle name="20% - Accent3 7 4 7" xfId="4112"/>
    <cellStyle name="20% - Accent3 7 4 8" xfId="4113"/>
    <cellStyle name="20% - Accent3 7 4 9" xfId="4114"/>
    <cellStyle name="20% - Accent3 7 5" xfId="4115"/>
    <cellStyle name="20% - Accent3 7 5 2" xfId="4116"/>
    <cellStyle name="20% - Accent3 7 5 2 2" xfId="4117"/>
    <cellStyle name="20% - Accent3 7 5 2 3" xfId="4118"/>
    <cellStyle name="20% - Accent3 7 5 3" xfId="4119"/>
    <cellStyle name="20% - Accent3 7 5 3 2" xfId="4120"/>
    <cellStyle name="20% - Accent3 7 5 4" xfId="4121"/>
    <cellStyle name="20% - Accent3 7 5 5" xfId="4122"/>
    <cellStyle name="20% - Accent3 7 5 6" xfId="4123"/>
    <cellStyle name="20% - Accent3 7 5 7" xfId="4124"/>
    <cellStyle name="20% - Accent3 7 5 8" xfId="4125"/>
    <cellStyle name="20% - Accent3 7 6" xfId="4126"/>
    <cellStyle name="20% - Accent3 7 6 2" xfId="4127"/>
    <cellStyle name="20% - Accent3 7 6 2 2" xfId="4128"/>
    <cellStyle name="20% - Accent3 7 6 3" xfId="4129"/>
    <cellStyle name="20% - Accent3 7 6 4" xfId="4130"/>
    <cellStyle name="20% - Accent3 7 7" xfId="4131"/>
    <cellStyle name="20% - Accent3 7 7 2" xfId="4132"/>
    <cellStyle name="20% - Accent3 7 8" xfId="4133"/>
    <cellStyle name="20% - Accent3 7 8 2" xfId="4134"/>
    <cellStyle name="20% - Accent3 7 9" xfId="4135"/>
    <cellStyle name="20% - Accent3 7 9 2" xfId="4136"/>
    <cellStyle name="20% - Accent3 8" xfId="4137"/>
    <cellStyle name="20% - Accent3 9" xfId="4138"/>
    <cellStyle name="20% - Accent3 9 2" xfId="4139"/>
    <cellStyle name="20% - Accent3 9 3" xfId="4140"/>
    <cellStyle name="20% - Accent4 10" xfId="4141"/>
    <cellStyle name="20% - Accent4 11" xfId="4142"/>
    <cellStyle name="20% - Accent4 2" xfId="2997"/>
    <cellStyle name="20% - Accent4 2 2" xfId="4143"/>
    <cellStyle name="20% - Accent4 2 2 2" xfId="4144"/>
    <cellStyle name="20% - Accent4 2 3" xfId="4145"/>
    <cellStyle name="20% - Accent4 2 4" xfId="4146"/>
    <cellStyle name="20% - Accent4 2 5" xfId="4147"/>
    <cellStyle name="20% - Accent4 2 6" xfId="4148"/>
    <cellStyle name="20% - Accent4 2 7" xfId="4149"/>
    <cellStyle name="20% - Accent4 3" xfId="2998"/>
    <cellStyle name="20% - Accent4 3 2" xfId="4150"/>
    <cellStyle name="20% - Accent4 3 2 2" xfId="4151"/>
    <cellStyle name="20% - Accent4 3 3" xfId="4152"/>
    <cellStyle name="20% - Accent4 3 3 2" xfId="4153"/>
    <cellStyle name="20% - Accent4 3 4" xfId="4154"/>
    <cellStyle name="20% - Accent4 4" xfId="3185"/>
    <cellStyle name="20% - Accent4 4 2" xfId="4155"/>
    <cellStyle name="20% - Accent4 4 3" xfId="4156"/>
    <cellStyle name="20% - Accent4 4 4" xfId="4157"/>
    <cellStyle name="20% - Accent4 5" xfId="4158"/>
    <cellStyle name="20% - Accent4 5 2" xfId="4159"/>
    <cellStyle name="20% - Accent4 6" xfId="4160"/>
    <cellStyle name="20% - Accent4 6 2" xfId="4161"/>
    <cellStyle name="20% - Accent4 7" xfId="4162"/>
    <cellStyle name="20% - Accent4 7 10" xfId="4163"/>
    <cellStyle name="20% - Accent4 7 11" xfId="4164"/>
    <cellStyle name="20% - Accent4 7 12" xfId="4165"/>
    <cellStyle name="20% - Accent4 7 13" xfId="4166"/>
    <cellStyle name="20% - Accent4 7 14" xfId="4167"/>
    <cellStyle name="20% - Accent4 7 2" xfId="4168"/>
    <cellStyle name="20% - Accent4 7 2 10" xfId="4169"/>
    <cellStyle name="20% - Accent4 7 2 11" xfId="4170"/>
    <cellStyle name="20% - Accent4 7 2 12" xfId="4171"/>
    <cellStyle name="20% - Accent4 7 2 13" xfId="4172"/>
    <cellStyle name="20% - Accent4 7 2 2" xfId="4173"/>
    <cellStyle name="20% - Accent4 7 2 2 10" xfId="4174"/>
    <cellStyle name="20% - Accent4 7 2 2 11" xfId="4175"/>
    <cellStyle name="20% - Accent4 7 2 2 12" xfId="4176"/>
    <cellStyle name="20% - Accent4 7 2 2 2" xfId="4177"/>
    <cellStyle name="20% - Accent4 7 2 2 2 10" xfId="4178"/>
    <cellStyle name="20% - Accent4 7 2 2 2 11" xfId="4179"/>
    <cellStyle name="20% - Accent4 7 2 2 2 2" xfId="4180"/>
    <cellStyle name="20% - Accent4 7 2 2 2 2 2" xfId="4181"/>
    <cellStyle name="20% - Accent4 7 2 2 2 2 2 2" xfId="4182"/>
    <cellStyle name="20% - Accent4 7 2 2 2 2 2 3" xfId="4183"/>
    <cellStyle name="20% - Accent4 7 2 2 2 2 3" xfId="4184"/>
    <cellStyle name="20% - Accent4 7 2 2 2 2 3 2" xfId="4185"/>
    <cellStyle name="20% - Accent4 7 2 2 2 2 4" xfId="4186"/>
    <cellStyle name="20% - Accent4 7 2 2 2 2 5" xfId="4187"/>
    <cellStyle name="20% - Accent4 7 2 2 2 2 6" xfId="4188"/>
    <cellStyle name="20% - Accent4 7 2 2 2 2 7" xfId="4189"/>
    <cellStyle name="20% - Accent4 7 2 2 2 2 8" xfId="4190"/>
    <cellStyle name="20% - Accent4 7 2 2 2 3" xfId="4191"/>
    <cellStyle name="20% - Accent4 7 2 2 2 3 2" xfId="4192"/>
    <cellStyle name="20% - Accent4 7 2 2 2 3 2 2" xfId="4193"/>
    <cellStyle name="20% - Accent4 7 2 2 2 3 3" xfId="4194"/>
    <cellStyle name="20% - Accent4 7 2 2 2 3 4" xfId="4195"/>
    <cellStyle name="20% - Accent4 7 2 2 2 4" xfId="4196"/>
    <cellStyle name="20% - Accent4 7 2 2 2 4 2" xfId="4197"/>
    <cellStyle name="20% - Accent4 7 2 2 2 5" xfId="4198"/>
    <cellStyle name="20% - Accent4 7 2 2 2 5 2" xfId="4199"/>
    <cellStyle name="20% - Accent4 7 2 2 2 6" xfId="4200"/>
    <cellStyle name="20% - Accent4 7 2 2 2 6 2" xfId="4201"/>
    <cellStyle name="20% - Accent4 7 2 2 2 7" xfId="4202"/>
    <cellStyle name="20% - Accent4 7 2 2 2 8" xfId="4203"/>
    <cellStyle name="20% - Accent4 7 2 2 2 9" xfId="4204"/>
    <cellStyle name="20% - Accent4 7 2 2 3" xfId="4205"/>
    <cellStyle name="20% - Accent4 7 2 2 3 2" xfId="4206"/>
    <cellStyle name="20% - Accent4 7 2 2 3 2 2" xfId="4207"/>
    <cellStyle name="20% - Accent4 7 2 2 3 2 3" xfId="4208"/>
    <cellStyle name="20% - Accent4 7 2 2 3 3" xfId="4209"/>
    <cellStyle name="20% - Accent4 7 2 2 3 3 2" xfId="4210"/>
    <cellStyle name="20% - Accent4 7 2 2 3 4" xfId="4211"/>
    <cellStyle name="20% - Accent4 7 2 2 3 5" xfId="4212"/>
    <cellStyle name="20% - Accent4 7 2 2 3 6" xfId="4213"/>
    <cellStyle name="20% - Accent4 7 2 2 3 7" xfId="4214"/>
    <cellStyle name="20% - Accent4 7 2 2 3 8" xfId="4215"/>
    <cellStyle name="20% - Accent4 7 2 2 4" xfId="4216"/>
    <cellStyle name="20% - Accent4 7 2 2 4 2" xfId="4217"/>
    <cellStyle name="20% - Accent4 7 2 2 4 2 2" xfId="4218"/>
    <cellStyle name="20% - Accent4 7 2 2 4 3" xfId="4219"/>
    <cellStyle name="20% - Accent4 7 2 2 4 4" xfId="4220"/>
    <cellStyle name="20% - Accent4 7 2 2 5" xfId="4221"/>
    <cellStyle name="20% - Accent4 7 2 2 5 2" xfId="4222"/>
    <cellStyle name="20% - Accent4 7 2 2 6" xfId="4223"/>
    <cellStyle name="20% - Accent4 7 2 2 6 2" xfId="4224"/>
    <cellStyle name="20% - Accent4 7 2 2 7" xfId="4225"/>
    <cellStyle name="20% - Accent4 7 2 2 7 2" xfId="4226"/>
    <cellStyle name="20% - Accent4 7 2 2 8" xfId="4227"/>
    <cellStyle name="20% - Accent4 7 2 2 9" xfId="4228"/>
    <cellStyle name="20% - Accent4 7 2 3" xfId="4229"/>
    <cellStyle name="20% - Accent4 7 2 3 10" xfId="4230"/>
    <cellStyle name="20% - Accent4 7 2 3 11" xfId="4231"/>
    <cellStyle name="20% - Accent4 7 2 3 2" xfId="4232"/>
    <cellStyle name="20% - Accent4 7 2 3 2 2" xfId="4233"/>
    <cellStyle name="20% - Accent4 7 2 3 2 2 2" xfId="4234"/>
    <cellStyle name="20% - Accent4 7 2 3 2 2 3" xfId="4235"/>
    <cellStyle name="20% - Accent4 7 2 3 2 3" xfId="4236"/>
    <cellStyle name="20% - Accent4 7 2 3 2 3 2" xfId="4237"/>
    <cellStyle name="20% - Accent4 7 2 3 2 4" xfId="4238"/>
    <cellStyle name="20% - Accent4 7 2 3 2 5" xfId="4239"/>
    <cellStyle name="20% - Accent4 7 2 3 2 6" xfId="4240"/>
    <cellStyle name="20% - Accent4 7 2 3 2 7" xfId="4241"/>
    <cellStyle name="20% - Accent4 7 2 3 2 8" xfId="4242"/>
    <cellStyle name="20% - Accent4 7 2 3 3" xfId="4243"/>
    <cellStyle name="20% - Accent4 7 2 3 3 2" xfId="4244"/>
    <cellStyle name="20% - Accent4 7 2 3 3 2 2" xfId="4245"/>
    <cellStyle name="20% - Accent4 7 2 3 3 3" xfId="4246"/>
    <cellStyle name="20% - Accent4 7 2 3 3 4" xfId="4247"/>
    <cellStyle name="20% - Accent4 7 2 3 4" xfId="4248"/>
    <cellStyle name="20% - Accent4 7 2 3 4 2" xfId="4249"/>
    <cellStyle name="20% - Accent4 7 2 3 5" xfId="4250"/>
    <cellStyle name="20% - Accent4 7 2 3 5 2" xfId="4251"/>
    <cellStyle name="20% - Accent4 7 2 3 6" xfId="4252"/>
    <cellStyle name="20% - Accent4 7 2 3 6 2" xfId="4253"/>
    <cellStyle name="20% - Accent4 7 2 3 7" xfId="4254"/>
    <cellStyle name="20% - Accent4 7 2 3 8" xfId="4255"/>
    <cellStyle name="20% - Accent4 7 2 3 9" xfId="4256"/>
    <cellStyle name="20% - Accent4 7 2 4" xfId="4257"/>
    <cellStyle name="20% - Accent4 7 2 4 2" xfId="4258"/>
    <cellStyle name="20% - Accent4 7 2 4 2 2" xfId="4259"/>
    <cellStyle name="20% - Accent4 7 2 4 2 3" xfId="4260"/>
    <cellStyle name="20% - Accent4 7 2 4 3" xfId="4261"/>
    <cellStyle name="20% - Accent4 7 2 4 3 2" xfId="4262"/>
    <cellStyle name="20% - Accent4 7 2 4 4" xfId="4263"/>
    <cellStyle name="20% - Accent4 7 2 4 5" xfId="4264"/>
    <cellStyle name="20% - Accent4 7 2 4 6" xfId="4265"/>
    <cellStyle name="20% - Accent4 7 2 4 7" xfId="4266"/>
    <cellStyle name="20% - Accent4 7 2 4 8" xfId="4267"/>
    <cellStyle name="20% - Accent4 7 2 5" xfId="4268"/>
    <cellStyle name="20% - Accent4 7 2 5 2" xfId="4269"/>
    <cellStyle name="20% - Accent4 7 2 5 2 2" xfId="4270"/>
    <cellStyle name="20% - Accent4 7 2 5 3" xfId="4271"/>
    <cellStyle name="20% - Accent4 7 2 5 4" xfId="4272"/>
    <cellStyle name="20% - Accent4 7 2 6" xfId="4273"/>
    <cellStyle name="20% - Accent4 7 2 6 2" xfId="4274"/>
    <cellStyle name="20% - Accent4 7 2 7" xfId="4275"/>
    <cellStyle name="20% - Accent4 7 2 7 2" xfId="4276"/>
    <cellStyle name="20% - Accent4 7 2 8" xfId="4277"/>
    <cellStyle name="20% - Accent4 7 2 8 2" xfId="4278"/>
    <cellStyle name="20% - Accent4 7 2 9" xfId="4279"/>
    <cellStyle name="20% - Accent4 7 3" xfId="4280"/>
    <cellStyle name="20% - Accent4 7 3 10" xfId="4281"/>
    <cellStyle name="20% - Accent4 7 3 11" xfId="4282"/>
    <cellStyle name="20% - Accent4 7 3 12" xfId="4283"/>
    <cellStyle name="20% - Accent4 7 3 2" xfId="4284"/>
    <cellStyle name="20% - Accent4 7 3 2 10" xfId="4285"/>
    <cellStyle name="20% - Accent4 7 3 2 11" xfId="4286"/>
    <cellStyle name="20% - Accent4 7 3 2 2" xfId="4287"/>
    <cellStyle name="20% - Accent4 7 3 2 2 2" xfId="4288"/>
    <cellStyle name="20% - Accent4 7 3 2 2 2 2" xfId="4289"/>
    <cellStyle name="20% - Accent4 7 3 2 2 2 3" xfId="4290"/>
    <cellStyle name="20% - Accent4 7 3 2 2 3" xfId="4291"/>
    <cellStyle name="20% - Accent4 7 3 2 2 3 2" xfId="4292"/>
    <cellStyle name="20% - Accent4 7 3 2 2 4" xfId="4293"/>
    <cellStyle name="20% - Accent4 7 3 2 2 5" xfId="4294"/>
    <cellStyle name="20% - Accent4 7 3 2 2 6" xfId="4295"/>
    <cellStyle name="20% - Accent4 7 3 2 2 7" xfId="4296"/>
    <cellStyle name="20% - Accent4 7 3 2 2 8" xfId="4297"/>
    <cellStyle name="20% - Accent4 7 3 2 3" xfId="4298"/>
    <cellStyle name="20% - Accent4 7 3 2 3 2" xfId="4299"/>
    <cellStyle name="20% - Accent4 7 3 2 3 2 2" xfId="4300"/>
    <cellStyle name="20% - Accent4 7 3 2 3 3" xfId="4301"/>
    <cellStyle name="20% - Accent4 7 3 2 3 4" xfId="4302"/>
    <cellStyle name="20% - Accent4 7 3 2 4" xfId="4303"/>
    <cellStyle name="20% - Accent4 7 3 2 4 2" xfId="4304"/>
    <cellStyle name="20% - Accent4 7 3 2 5" xfId="4305"/>
    <cellStyle name="20% - Accent4 7 3 2 5 2" xfId="4306"/>
    <cellStyle name="20% - Accent4 7 3 2 6" xfId="4307"/>
    <cellStyle name="20% - Accent4 7 3 2 6 2" xfId="4308"/>
    <cellStyle name="20% - Accent4 7 3 2 7" xfId="4309"/>
    <cellStyle name="20% - Accent4 7 3 2 8" xfId="4310"/>
    <cellStyle name="20% - Accent4 7 3 2 9" xfId="4311"/>
    <cellStyle name="20% - Accent4 7 3 3" xfId="4312"/>
    <cellStyle name="20% - Accent4 7 3 3 2" xfId="4313"/>
    <cellStyle name="20% - Accent4 7 3 3 2 2" xfId="4314"/>
    <cellStyle name="20% - Accent4 7 3 3 2 3" xfId="4315"/>
    <cellStyle name="20% - Accent4 7 3 3 3" xfId="4316"/>
    <cellStyle name="20% - Accent4 7 3 3 3 2" xfId="4317"/>
    <cellStyle name="20% - Accent4 7 3 3 4" xfId="4318"/>
    <cellStyle name="20% - Accent4 7 3 3 5" xfId="4319"/>
    <cellStyle name="20% - Accent4 7 3 3 6" xfId="4320"/>
    <cellStyle name="20% - Accent4 7 3 3 7" xfId="4321"/>
    <cellStyle name="20% - Accent4 7 3 3 8" xfId="4322"/>
    <cellStyle name="20% - Accent4 7 3 4" xfId="4323"/>
    <cellStyle name="20% - Accent4 7 3 4 2" xfId="4324"/>
    <cellStyle name="20% - Accent4 7 3 4 2 2" xfId="4325"/>
    <cellStyle name="20% - Accent4 7 3 4 3" xfId="4326"/>
    <cellStyle name="20% - Accent4 7 3 4 4" xfId="4327"/>
    <cellStyle name="20% - Accent4 7 3 5" xfId="4328"/>
    <cellStyle name="20% - Accent4 7 3 5 2" xfId="4329"/>
    <cellStyle name="20% - Accent4 7 3 6" xfId="4330"/>
    <cellStyle name="20% - Accent4 7 3 6 2" xfId="4331"/>
    <cellStyle name="20% - Accent4 7 3 7" xfId="4332"/>
    <cellStyle name="20% - Accent4 7 3 7 2" xfId="4333"/>
    <cellStyle name="20% - Accent4 7 3 8" xfId="4334"/>
    <cellStyle name="20% - Accent4 7 3 9" xfId="4335"/>
    <cellStyle name="20% - Accent4 7 4" xfId="4336"/>
    <cellStyle name="20% - Accent4 7 4 10" xfId="4337"/>
    <cellStyle name="20% - Accent4 7 4 11" xfId="4338"/>
    <cellStyle name="20% - Accent4 7 4 2" xfId="4339"/>
    <cellStyle name="20% - Accent4 7 4 2 2" xfId="4340"/>
    <cellStyle name="20% - Accent4 7 4 2 2 2" xfId="4341"/>
    <cellStyle name="20% - Accent4 7 4 2 2 3" xfId="4342"/>
    <cellStyle name="20% - Accent4 7 4 2 3" xfId="4343"/>
    <cellStyle name="20% - Accent4 7 4 2 3 2" xfId="4344"/>
    <cellStyle name="20% - Accent4 7 4 2 4" xfId="4345"/>
    <cellStyle name="20% - Accent4 7 4 2 5" xfId="4346"/>
    <cellStyle name="20% - Accent4 7 4 2 6" xfId="4347"/>
    <cellStyle name="20% - Accent4 7 4 2 7" xfId="4348"/>
    <cellStyle name="20% - Accent4 7 4 2 8" xfId="4349"/>
    <cellStyle name="20% - Accent4 7 4 3" xfId="4350"/>
    <cellStyle name="20% - Accent4 7 4 3 2" xfId="4351"/>
    <cellStyle name="20% - Accent4 7 4 3 2 2" xfId="4352"/>
    <cellStyle name="20% - Accent4 7 4 3 3" xfId="4353"/>
    <cellStyle name="20% - Accent4 7 4 3 4" xfId="4354"/>
    <cellStyle name="20% - Accent4 7 4 4" xfId="4355"/>
    <cellStyle name="20% - Accent4 7 4 4 2" xfId="4356"/>
    <cellStyle name="20% - Accent4 7 4 5" xfId="4357"/>
    <cellStyle name="20% - Accent4 7 4 5 2" xfId="4358"/>
    <cellStyle name="20% - Accent4 7 4 6" xfId="4359"/>
    <cellStyle name="20% - Accent4 7 4 6 2" xfId="4360"/>
    <cellStyle name="20% - Accent4 7 4 7" xfId="4361"/>
    <cellStyle name="20% - Accent4 7 4 8" xfId="4362"/>
    <cellStyle name="20% - Accent4 7 4 9" xfId="4363"/>
    <cellStyle name="20% - Accent4 7 5" xfId="4364"/>
    <cellStyle name="20% - Accent4 7 5 2" xfId="4365"/>
    <cellStyle name="20% - Accent4 7 5 2 2" xfId="4366"/>
    <cellStyle name="20% - Accent4 7 5 2 3" xfId="4367"/>
    <cellStyle name="20% - Accent4 7 5 3" xfId="4368"/>
    <cellStyle name="20% - Accent4 7 5 3 2" xfId="4369"/>
    <cellStyle name="20% - Accent4 7 5 4" xfId="4370"/>
    <cellStyle name="20% - Accent4 7 5 5" xfId="4371"/>
    <cellStyle name="20% - Accent4 7 5 6" xfId="4372"/>
    <cellStyle name="20% - Accent4 7 5 7" xfId="4373"/>
    <cellStyle name="20% - Accent4 7 5 8" xfId="4374"/>
    <cellStyle name="20% - Accent4 7 6" xfId="4375"/>
    <cellStyle name="20% - Accent4 7 6 2" xfId="4376"/>
    <cellStyle name="20% - Accent4 7 6 2 2" xfId="4377"/>
    <cellStyle name="20% - Accent4 7 6 3" xfId="4378"/>
    <cellStyle name="20% - Accent4 7 6 4" xfId="4379"/>
    <cellStyle name="20% - Accent4 7 7" xfId="4380"/>
    <cellStyle name="20% - Accent4 7 7 2" xfId="4381"/>
    <cellStyle name="20% - Accent4 7 8" xfId="4382"/>
    <cellStyle name="20% - Accent4 7 8 2" xfId="4383"/>
    <cellStyle name="20% - Accent4 7 9" xfId="4384"/>
    <cellStyle name="20% - Accent4 7 9 2" xfId="4385"/>
    <cellStyle name="20% - Accent4 8" xfId="4386"/>
    <cellStyle name="20% - Accent4 9" xfId="4387"/>
    <cellStyle name="20% - Accent4 9 2" xfId="4388"/>
    <cellStyle name="20% - Accent4 9 3" xfId="4389"/>
    <cellStyle name="20% - Accent5 10" xfId="4390"/>
    <cellStyle name="20% - Accent5 11" xfId="4391"/>
    <cellStyle name="20% - Accent5 2" xfId="2999"/>
    <cellStyle name="20% - Accent5 2 2" xfId="4392"/>
    <cellStyle name="20% - Accent5 2 2 2" xfId="4393"/>
    <cellStyle name="20% - Accent5 2 3" xfId="4394"/>
    <cellStyle name="20% - Accent5 2 4" xfId="4395"/>
    <cellStyle name="20% - Accent5 2 5" xfId="4396"/>
    <cellStyle name="20% - Accent5 2 6" xfId="4397"/>
    <cellStyle name="20% - Accent5 2 7" xfId="4398"/>
    <cellStyle name="20% - Accent5 3" xfId="3000"/>
    <cellStyle name="20% - Accent5 3 2" xfId="4399"/>
    <cellStyle name="20% - Accent5 3 2 2" xfId="4400"/>
    <cellStyle name="20% - Accent5 3 3" xfId="4401"/>
    <cellStyle name="20% - Accent5 3 4" xfId="4402"/>
    <cellStyle name="20% - Accent5 4" xfId="3186"/>
    <cellStyle name="20% - Accent5 4 2" xfId="4403"/>
    <cellStyle name="20% - Accent5 4 3" xfId="4404"/>
    <cellStyle name="20% - Accent5 4 4" xfId="4405"/>
    <cellStyle name="20% - Accent5 5" xfId="4406"/>
    <cellStyle name="20% - Accent5 5 2" xfId="4407"/>
    <cellStyle name="20% - Accent5 6" xfId="4408"/>
    <cellStyle name="20% - Accent5 6 2" xfId="4409"/>
    <cellStyle name="20% - Accent5 7" xfId="4410"/>
    <cellStyle name="20% - Accent5 7 10" xfId="4411"/>
    <cellStyle name="20% - Accent5 7 11" xfId="4412"/>
    <cellStyle name="20% - Accent5 7 12" xfId="4413"/>
    <cellStyle name="20% - Accent5 7 13" xfId="4414"/>
    <cellStyle name="20% - Accent5 7 14" xfId="4415"/>
    <cellStyle name="20% - Accent5 7 2" xfId="4416"/>
    <cellStyle name="20% - Accent5 7 2 10" xfId="4417"/>
    <cellStyle name="20% - Accent5 7 2 11" xfId="4418"/>
    <cellStyle name="20% - Accent5 7 2 12" xfId="4419"/>
    <cellStyle name="20% - Accent5 7 2 13" xfId="4420"/>
    <cellStyle name="20% - Accent5 7 2 2" xfId="4421"/>
    <cellStyle name="20% - Accent5 7 2 2 10" xfId="4422"/>
    <cellStyle name="20% - Accent5 7 2 2 11" xfId="4423"/>
    <cellStyle name="20% - Accent5 7 2 2 12" xfId="4424"/>
    <cellStyle name="20% - Accent5 7 2 2 2" xfId="4425"/>
    <cellStyle name="20% - Accent5 7 2 2 2 10" xfId="4426"/>
    <cellStyle name="20% - Accent5 7 2 2 2 11" xfId="4427"/>
    <cellStyle name="20% - Accent5 7 2 2 2 2" xfId="4428"/>
    <cellStyle name="20% - Accent5 7 2 2 2 2 2" xfId="4429"/>
    <cellStyle name="20% - Accent5 7 2 2 2 2 2 2" xfId="4430"/>
    <cellStyle name="20% - Accent5 7 2 2 2 2 2 3" xfId="4431"/>
    <cellStyle name="20% - Accent5 7 2 2 2 2 3" xfId="4432"/>
    <cellStyle name="20% - Accent5 7 2 2 2 2 3 2" xfId="4433"/>
    <cellStyle name="20% - Accent5 7 2 2 2 2 4" xfId="4434"/>
    <cellStyle name="20% - Accent5 7 2 2 2 2 5" xfId="4435"/>
    <cellStyle name="20% - Accent5 7 2 2 2 2 6" xfId="4436"/>
    <cellStyle name="20% - Accent5 7 2 2 2 2 7" xfId="4437"/>
    <cellStyle name="20% - Accent5 7 2 2 2 2 8" xfId="4438"/>
    <cellStyle name="20% - Accent5 7 2 2 2 3" xfId="4439"/>
    <cellStyle name="20% - Accent5 7 2 2 2 3 2" xfId="4440"/>
    <cellStyle name="20% - Accent5 7 2 2 2 3 2 2" xfId="4441"/>
    <cellStyle name="20% - Accent5 7 2 2 2 3 3" xfId="4442"/>
    <cellStyle name="20% - Accent5 7 2 2 2 3 4" xfId="4443"/>
    <cellStyle name="20% - Accent5 7 2 2 2 4" xfId="4444"/>
    <cellStyle name="20% - Accent5 7 2 2 2 4 2" xfId="4445"/>
    <cellStyle name="20% - Accent5 7 2 2 2 5" xfId="4446"/>
    <cellStyle name="20% - Accent5 7 2 2 2 5 2" xfId="4447"/>
    <cellStyle name="20% - Accent5 7 2 2 2 6" xfId="4448"/>
    <cellStyle name="20% - Accent5 7 2 2 2 6 2" xfId="4449"/>
    <cellStyle name="20% - Accent5 7 2 2 2 7" xfId="4450"/>
    <cellStyle name="20% - Accent5 7 2 2 2 8" xfId="4451"/>
    <cellStyle name="20% - Accent5 7 2 2 2 9" xfId="4452"/>
    <cellStyle name="20% - Accent5 7 2 2 3" xfId="4453"/>
    <cellStyle name="20% - Accent5 7 2 2 3 2" xfId="4454"/>
    <cellStyle name="20% - Accent5 7 2 2 3 2 2" xfId="4455"/>
    <cellStyle name="20% - Accent5 7 2 2 3 2 3" xfId="4456"/>
    <cellStyle name="20% - Accent5 7 2 2 3 3" xfId="4457"/>
    <cellStyle name="20% - Accent5 7 2 2 3 3 2" xfId="4458"/>
    <cellStyle name="20% - Accent5 7 2 2 3 4" xfId="4459"/>
    <cellStyle name="20% - Accent5 7 2 2 3 5" xfId="4460"/>
    <cellStyle name="20% - Accent5 7 2 2 3 6" xfId="4461"/>
    <cellStyle name="20% - Accent5 7 2 2 3 7" xfId="4462"/>
    <cellStyle name="20% - Accent5 7 2 2 3 8" xfId="4463"/>
    <cellStyle name="20% - Accent5 7 2 2 4" xfId="4464"/>
    <cellStyle name="20% - Accent5 7 2 2 4 2" xfId="4465"/>
    <cellStyle name="20% - Accent5 7 2 2 4 2 2" xfId="4466"/>
    <cellStyle name="20% - Accent5 7 2 2 4 3" xfId="4467"/>
    <cellStyle name="20% - Accent5 7 2 2 4 4" xfId="4468"/>
    <cellStyle name="20% - Accent5 7 2 2 5" xfId="4469"/>
    <cellStyle name="20% - Accent5 7 2 2 5 2" xfId="4470"/>
    <cellStyle name="20% - Accent5 7 2 2 6" xfId="4471"/>
    <cellStyle name="20% - Accent5 7 2 2 6 2" xfId="4472"/>
    <cellStyle name="20% - Accent5 7 2 2 7" xfId="4473"/>
    <cellStyle name="20% - Accent5 7 2 2 7 2" xfId="4474"/>
    <cellStyle name="20% - Accent5 7 2 2 8" xfId="4475"/>
    <cellStyle name="20% - Accent5 7 2 2 9" xfId="4476"/>
    <cellStyle name="20% - Accent5 7 2 3" xfId="4477"/>
    <cellStyle name="20% - Accent5 7 2 3 10" xfId="4478"/>
    <cellStyle name="20% - Accent5 7 2 3 11" xfId="4479"/>
    <cellStyle name="20% - Accent5 7 2 3 2" xfId="4480"/>
    <cellStyle name="20% - Accent5 7 2 3 2 2" xfId="4481"/>
    <cellStyle name="20% - Accent5 7 2 3 2 2 2" xfId="4482"/>
    <cellStyle name="20% - Accent5 7 2 3 2 2 3" xfId="4483"/>
    <cellStyle name="20% - Accent5 7 2 3 2 3" xfId="4484"/>
    <cellStyle name="20% - Accent5 7 2 3 2 3 2" xfId="4485"/>
    <cellStyle name="20% - Accent5 7 2 3 2 4" xfId="4486"/>
    <cellStyle name="20% - Accent5 7 2 3 2 5" xfId="4487"/>
    <cellStyle name="20% - Accent5 7 2 3 2 6" xfId="4488"/>
    <cellStyle name="20% - Accent5 7 2 3 2 7" xfId="4489"/>
    <cellStyle name="20% - Accent5 7 2 3 2 8" xfId="4490"/>
    <cellStyle name="20% - Accent5 7 2 3 3" xfId="4491"/>
    <cellStyle name="20% - Accent5 7 2 3 3 2" xfId="4492"/>
    <cellStyle name="20% - Accent5 7 2 3 3 2 2" xfId="4493"/>
    <cellStyle name="20% - Accent5 7 2 3 3 3" xfId="4494"/>
    <cellStyle name="20% - Accent5 7 2 3 3 4" xfId="4495"/>
    <cellStyle name="20% - Accent5 7 2 3 4" xfId="4496"/>
    <cellStyle name="20% - Accent5 7 2 3 4 2" xfId="4497"/>
    <cellStyle name="20% - Accent5 7 2 3 5" xfId="4498"/>
    <cellStyle name="20% - Accent5 7 2 3 5 2" xfId="4499"/>
    <cellStyle name="20% - Accent5 7 2 3 6" xfId="4500"/>
    <cellStyle name="20% - Accent5 7 2 3 6 2" xfId="4501"/>
    <cellStyle name="20% - Accent5 7 2 3 7" xfId="4502"/>
    <cellStyle name="20% - Accent5 7 2 3 8" xfId="4503"/>
    <cellStyle name="20% - Accent5 7 2 3 9" xfId="4504"/>
    <cellStyle name="20% - Accent5 7 2 4" xfId="4505"/>
    <cellStyle name="20% - Accent5 7 2 4 2" xfId="4506"/>
    <cellStyle name="20% - Accent5 7 2 4 2 2" xfId="4507"/>
    <cellStyle name="20% - Accent5 7 2 4 2 3" xfId="4508"/>
    <cellStyle name="20% - Accent5 7 2 4 3" xfId="4509"/>
    <cellStyle name="20% - Accent5 7 2 4 3 2" xfId="4510"/>
    <cellStyle name="20% - Accent5 7 2 4 4" xfId="4511"/>
    <cellStyle name="20% - Accent5 7 2 4 5" xfId="4512"/>
    <cellStyle name="20% - Accent5 7 2 4 6" xfId="4513"/>
    <cellStyle name="20% - Accent5 7 2 4 7" xfId="4514"/>
    <cellStyle name="20% - Accent5 7 2 4 8" xfId="4515"/>
    <cellStyle name="20% - Accent5 7 2 5" xfId="4516"/>
    <cellStyle name="20% - Accent5 7 2 5 2" xfId="4517"/>
    <cellStyle name="20% - Accent5 7 2 5 2 2" xfId="4518"/>
    <cellStyle name="20% - Accent5 7 2 5 3" xfId="4519"/>
    <cellStyle name="20% - Accent5 7 2 5 4" xfId="4520"/>
    <cellStyle name="20% - Accent5 7 2 6" xfId="4521"/>
    <cellStyle name="20% - Accent5 7 2 6 2" xfId="4522"/>
    <cellStyle name="20% - Accent5 7 2 7" xfId="4523"/>
    <cellStyle name="20% - Accent5 7 2 7 2" xfId="4524"/>
    <cellStyle name="20% - Accent5 7 2 8" xfId="4525"/>
    <cellStyle name="20% - Accent5 7 2 8 2" xfId="4526"/>
    <cellStyle name="20% - Accent5 7 2 9" xfId="4527"/>
    <cellStyle name="20% - Accent5 7 3" xfId="4528"/>
    <cellStyle name="20% - Accent5 7 3 10" xfId="4529"/>
    <cellStyle name="20% - Accent5 7 3 11" xfId="4530"/>
    <cellStyle name="20% - Accent5 7 3 12" xfId="4531"/>
    <cellStyle name="20% - Accent5 7 3 2" xfId="4532"/>
    <cellStyle name="20% - Accent5 7 3 2 10" xfId="4533"/>
    <cellStyle name="20% - Accent5 7 3 2 11" xfId="4534"/>
    <cellStyle name="20% - Accent5 7 3 2 2" xfId="4535"/>
    <cellStyle name="20% - Accent5 7 3 2 2 2" xfId="4536"/>
    <cellStyle name="20% - Accent5 7 3 2 2 2 2" xfId="4537"/>
    <cellStyle name="20% - Accent5 7 3 2 2 2 3" xfId="4538"/>
    <cellStyle name="20% - Accent5 7 3 2 2 3" xfId="4539"/>
    <cellStyle name="20% - Accent5 7 3 2 2 3 2" xfId="4540"/>
    <cellStyle name="20% - Accent5 7 3 2 2 4" xfId="4541"/>
    <cellStyle name="20% - Accent5 7 3 2 2 5" xfId="4542"/>
    <cellStyle name="20% - Accent5 7 3 2 2 6" xfId="4543"/>
    <cellStyle name="20% - Accent5 7 3 2 2 7" xfId="4544"/>
    <cellStyle name="20% - Accent5 7 3 2 2 8" xfId="4545"/>
    <cellStyle name="20% - Accent5 7 3 2 3" xfId="4546"/>
    <cellStyle name="20% - Accent5 7 3 2 3 2" xfId="4547"/>
    <cellStyle name="20% - Accent5 7 3 2 3 2 2" xfId="4548"/>
    <cellStyle name="20% - Accent5 7 3 2 3 3" xfId="4549"/>
    <cellStyle name="20% - Accent5 7 3 2 3 4" xfId="4550"/>
    <cellStyle name="20% - Accent5 7 3 2 4" xfId="4551"/>
    <cellStyle name="20% - Accent5 7 3 2 4 2" xfId="4552"/>
    <cellStyle name="20% - Accent5 7 3 2 5" xfId="4553"/>
    <cellStyle name="20% - Accent5 7 3 2 5 2" xfId="4554"/>
    <cellStyle name="20% - Accent5 7 3 2 6" xfId="4555"/>
    <cellStyle name="20% - Accent5 7 3 2 6 2" xfId="4556"/>
    <cellStyle name="20% - Accent5 7 3 2 7" xfId="4557"/>
    <cellStyle name="20% - Accent5 7 3 2 8" xfId="4558"/>
    <cellStyle name="20% - Accent5 7 3 2 9" xfId="4559"/>
    <cellStyle name="20% - Accent5 7 3 3" xfId="4560"/>
    <cellStyle name="20% - Accent5 7 3 3 2" xfId="4561"/>
    <cellStyle name="20% - Accent5 7 3 3 2 2" xfId="4562"/>
    <cellStyle name="20% - Accent5 7 3 3 2 3" xfId="4563"/>
    <cellStyle name="20% - Accent5 7 3 3 3" xfId="4564"/>
    <cellStyle name="20% - Accent5 7 3 3 3 2" xfId="4565"/>
    <cellStyle name="20% - Accent5 7 3 3 4" xfId="4566"/>
    <cellStyle name="20% - Accent5 7 3 3 5" xfId="4567"/>
    <cellStyle name="20% - Accent5 7 3 3 6" xfId="4568"/>
    <cellStyle name="20% - Accent5 7 3 3 7" xfId="4569"/>
    <cellStyle name="20% - Accent5 7 3 3 8" xfId="4570"/>
    <cellStyle name="20% - Accent5 7 3 4" xfId="4571"/>
    <cellStyle name="20% - Accent5 7 3 4 2" xfId="4572"/>
    <cellStyle name="20% - Accent5 7 3 4 2 2" xfId="4573"/>
    <cellStyle name="20% - Accent5 7 3 4 3" xfId="4574"/>
    <cellStyle name="20% - Accent5 7 3 4 4" xfId="4575"/>
    <cellStyle name="20% - Accent5 7 3 5" xfId="4576"/>
    <cellStyle name="20% - Accent5 7 3 5 2" xfId="4577"/>
    <cellStyle name="20% - Accent5 7 3 6" xfId="4578"/>
    <cellStyle name="20% - Accent5 7 3 6 2" xfId="4579"/>
    <cellStyle name="20% - Accent5 7 3 7" xfId="4580"/>
    <cellStyle name="20% - Accent5 7 3 7 2" xfId="4581"/>
    <cellStyle name="20% - Accent5 7 3 8" xfId="4582"/>
    <cellStyle name="20% - Accent5 7 3 9" xfId="4583"/>
    <cellStyle name="20% - Accent5 7 4" xfId="4584"/>
    <cellStyle name="20% - Accent5 7 4 10" xfId="4585"/>
    <cellStyle name="20% - Accent5 7 4 11" xfId="4586"/>
    <cellStyle name="20% - Accent5 7 4 2" xfId="4587"/>
    <cellStyle name="20% - Accent5 7 4 2 2" xfId="4588"/>
    <cellStyle name="20% - Accent5 7 4 2 2 2" xfId="4589"/>
    <cellStyle name="20% - Accent5 7 4 2 2 3" xfId="4590"/>
    <cellStyle name="20% - Accent5 7 4 2 3" xfId="4591"/>
    <cellStyle name="20% - Accent5 7 4 2 3 2" xfId="4592"/>
    <cellStyle name="20% - Accent5 7 4 2 4" xfId="4593"/>
    <cellStyle name="20% - Accent5 7 4 2 5" xfId="4594"/>
    <cellStyle name="20% - Accent5 7 4 2 6" xfId="4595"/>
    <cellStyle name="20% - Accent5 7 4 2 7" xfId="4596"/>
    <cellStyle name="20% - Accent5 7 4 2 8" xfId="4597"/>
    <cellStyle name="20% - Accent5 7 4 3" xfId="4598"/>
    <cellStyle name="20% - Accent5 7 4 3 2" xfId="4599"/>
    <cellStyle name="20% - Accent5 7 4 3 2 2" xfId="4600"/>
    <cellStyle name="20% - Accent5 7 4 3 3" xfId="4601"/>
    <cellStyle name="20% - Accent5 7 4 3 4" xfId="4602"/>
    <cellStyle name="20% - Accent5 7 4 4" xfId="4603"/>
    <cellStyle name="20% - Accent5 7 4 4 2" xfId="4604"/>
    <cellStyle name="20% - Accent5 7 4 5" xfId="4605"/>
    <cellStyle name="20% - Accent5 7 4 5 2" xfId="4606"/>
    <cellStyle name="20% - Accent5 7 4 6" xfId="4607"/>
    <cellStyle name="20% - Accent5 7 4 6 2" xfId="4608"/>
    <cellStyle name="20% - Accent5 7 4 7" xfId="4609"/>
    <cellStyle name="20% - Accent5 7 4 8" xfId="4610"/>
    <cellStyle name="20% - Accent5 7 4 9" xfId="4611"/>
    <cellStyle name="20% - Accent5 7 5" xfId="4612"/>
    <cellStyle name="20% - Accent5 7 5 2" xfId="4613"/>
    <cellStyle name="20% - Accent5 7 5 2 2" xfId="4614"/>
    <cellStyle name="20% - Accent5 7 5 2 3" xfId="4615"/>
    <cellStyle name="20% - Accent5 7 5 3" xfId="4616"/>
    <cellStyle name="20% - Accent5 7 5 3 2" xfId="4617"/>
    <cellStyle name="20% - Accent5 7 5 4" xfId="4618"/>
    <cellStyle name="20% - Accent5 7 5 5" xfId="4619"/>
    <cellStyle name="20% - Accent5 7 5 6" xfId="4620"/>
    <cellStyle name="20% - Accent5 7 5 7" xfId="4621"/>
    <cellStyle name="20% - Accent5 7 5 8" xfId="4622"/>
    <cellStyle name="20% - Accent5 7 6" xfId="4623"/>
    <cellStyle name="20% - Accent5 7 6 2" xfId="4624"/>
    <cellStyle name="20% - Accent5 7 6 2 2" xfId="4625"/>
    <cellStyle name="20% - Accent5 7 6 3" xfId="4626"/>
    <cellStyle name="20% - Accent5 7 6 4" xfId="4627"/>
    <cellStyle name="20% - Accent5 7 7" xfId="4628"/>
    <cellStyle name="20% - Accent5 7 7 2" xfId="4629"/>
    <cellStyle name="20% - Accent5 7 8" xfId="4630"/>
    <cellStyle name="20% - Accent5 7 8 2" xfId="4631"/>
    <cellStyle name="20% - Accent5 7 9" xfId="4632"/>
    <cellStyle name="20% - Accent5 7 9 2" xfId="4633"/>
    <cellStyle name="20% - Accent5 8" xfId="4634"/>
    <cellStyle name="20% - Accent5 9" xfId="4635"/>
    <cellStyle name="20% - Accent5 9 2" xfId="4636"/>
    <cellStyle name="20% - Accent5 9 3" xfId="4637"/>
    <cellStyle name="20% - Accent6 10" xfId="4638"/>
    <cellStyle name="20% - Accent6 11" xfId="4639"/>
    <cellStyle name="20% - Accent6 2" xfId="3001"/>
    <cellStyle name="20% - Accent6 2 2" xfId="4640"/>
    <cellStyle name="20% - Accent6 2 2 2" xfId="4641"/>
    <cellStyle name="20% - Accent6 2 3" xfId="4642"/>
    <cellStyle name="20% - Accent6 2 4" xfId="4643"/>
    <cellStyle name="20% - Accent6 2 5" xfId="4644"/>
    <cellStyle name="20% - Accent6 2 6" xfId="4645"/>
    <cellStyle name="20% - Accent6 3" xfId="3002"/>
    <cellStyle name="20% - Accent6 3 2" xfId="4646"/>
    <cellStyle name="20% - Accent6 3 2 2" xfId="4647"/>
    <cellStyle name="20% - Accent6 3 3" xfId="4648"/>
    <cellStyle name="20% - Accent6 3 3 2" xfId="4649"/>
    <cellStyle name="20% - Accent6 3 4" xfId="4650"/>
    <cellStyle name="20% - Accent6 4" xfId="3187"/>
    <cellStyle name="20% - Accent6 4 2" xfId="4651"/>
    <cellStyle name="20% - Accent6 4 3" xfId="4652"/>
    <cellStyle name="20% - Accent6 4 4" xfId="4653"/>
    <cellStyle name="20% - Accent6 5" xfId="4654"/>
    <cellStyle name="20% - Accent6 5 2" xfId="4655"/>
    <cellStyle name="20% - Accent6 6" xfId="4656"/>
    <cellStyle name="20% - Accent6 6 2" xfId="4657"/>
    <cellStyle name="20% - Accent6 7" xfId="4658"/>
    <cellStyle name="20% - Accent6 7 10" xfId="4659"/>
    <cellStyle name="20% - Accent6 7 11" xfId="4660"/>
    <cellStyle name="20% - Accent6 7 12" xfId="4661"/>
    <cellStyle name="20% - Accent6 7 13" xfId="4662"/>
    <cellStyle name="20% - Accent6 7 14" xfId="4663"/>
    <cellStyle name="20% - Accent6 7 2" xfId="4664"/>
    <cellStyle name="20% - Accent6 7 2 10" xfId="4665"/>
    <cellStyle name="20% - Accent6 7 2 11" xfId="4666"/>
    <cellStyle name="20% - Accent6 7 2 12" xfId="4667"/>
    <cellStyle name="20% - Accent6 7 2 13" xfId="4668"/>
    <cellStyle name="20% - Accent6 7 2 2" xfId="4669"/>
    <cellStyle name="20% - Accent6 7 2 2 10" xfId="4670"/>
    <cellStyle name="20% - Accent6 7 2 2 11" xfId="4671"/>
    <cellStyle name="20% - Accent6 7 2 2 12" xfId="4672"/>
    <cellStyle name="20% - Accent6 7 2 2 2" xfId="4673"/>
    <cellStyle name="20% - Accent6 7 2 2 2 10" xfId="4674"/>
    <cellStyle name="20% - Accent6 7 2 2 2 11" xfId="4675"/>
    <cellStyle name="20% - Accent6 7 2 2 2 2" xfId="4676"/>
    <cellStyle name="20% - Accent6 7 2 2 2 2 2" xfId="4677"/>
    <cellStyle name="20% - Accent6 7 2 2 2 2 2 2" xfId="4678"/>
    <cellStyle name="20% - Accent6 7 2 2 2 2 2 3" xfId="4679"/>
    <cellStyle name="20% - Accent6 7 2 2 2 2 3" xfId="4680"/>
    <cellStyle name="20% - Accent6 7 2 2 2 2 3 2" xfId="4681"/>
    <cellStyle name="20% - Accent6 7 2 2 2 2 4" xfId="4682"/>
    <cellStyle name="20% - Accent6 7 2 2 2 2 5" xfId="4683"/>
    <cellStyle name="20% - Accent6 7 2 2 2 2 6" xfId="4684"/>
    <cellStyle name="20% - Accent6 7 2 2 2 2 7" xfId="4685"/>
    <cellStyle name="20% - Accent6 7 2 2 2 2 8" xfId="4686"/>
    <cellStyle name="20% - Accent6 7 2 2 2 3" xfId="4687"/>
    <cellStyle name="20% - Accent6 7 2 2 2 3 2" xfId="4688"/>
    <cellStyle name="20% - Accent6 7 2 2 2 3 2 2" xfId="4689"/>
    <cellStyle name="20% - Accent6 7 2 2 2 3 3" xfId="4690"/>
    <cellStyle name="20% - Accent6 7 2 2 2 3 4" xfId="4691"/>
    <cellStyle name="20% - Accent6 7 2 2 2 4" xfId="4692"/>
    <cellStyle name="20% - Accent6 7 2 2 2 4 2" xfId="4693"/>
    <cellStyle name="20% - Accent6 7 2 2 2 5" xfId="4694"/>
    <cellStyle name="20% - Accent6 7 2 2 2 5 2" xfId="4695"/>
    <cellStyle name="20% - Accent6 7 2 2 2 6" xfId="4696"/>
    <cellStyle name="20% - Accent6 7 2 2 2 6 2" xfId="4697"/>
    <cellStyle name="20% - Accent6 7 2 2 2 7" xfId="4698"/>
    <cellStyle name="20% - Accent6 7 2 2 2 8" xfId="4699"/>
    <cellStyle name="20% - Accent6 7 2 2 2 9" xfId="4700"/>
    <cellStyle name="20% - Accent6 7 2 2 3" xfId="4701"/>
    <cellStyle name="20% - Accent6 7 2 2 3 2" xfId="4702"/>
    <cellStyle name="20% - Accent6 7 2 2 3 2 2" xfId="4703"/>
    <cellStyle name="20% - Accent6 7 2 2 3 2 3" xfId="4704"/>
    <cellStyle name="20% - Accent6 7 2 2 3 3" xfId="4705"/>
    <cellStyle name="20% - Accent6 7 2 2 3 3 2" xfId="4706"/>
    <cellStyle name="20% - Accent6 7 2 2 3 4" xfId="4707"/>
    <cellStyle name="20% - Accent6 7 2 2 3 5" xfId="4708"/>
    <cellStyle name="20% - Accent6 7 2 2 3 6" xfId="4709"/>
    <cellStyle name="20% - Accent6 7 2 2 3 7" xfId="4710"/>
    <cellStyle name="20% - Accent6 7 2 2 3 8" xfId="4711"/>
    <cellStyle name="20% - Accent6 7 2 2 4" xfId="4712"/>
    <cellStyle name="20% - Accent6 7 2 2 4 2" xfId="4713"/>
    <cellStyle name="20% - Accent6 7 2 2 4 2 2" xfId="4714"/>
    <cellStyle name="20% - Accent6 7 2 2 4 3" xfId="4715"/>
    <cellStyle name="20% - Accent6 7 2 2 4 4" xfId="4716"/>
    <cellStyle name="20% - Accent6 7 2 2 5" xfId="4717"/>
    <cellStyle name="20% - Accent6 7 2 2 5 2" xfId="4718"/>
    <cellStyle name="20% - Accent6 7 2 2 6" xfId="4719"/>
    <cellStyle name="20% - Accent6 7 2 2 6 2" xfId="4720"/>
    <cellStyle name="20% - Accent6 7 2 2 7" xfId="4721"/>
    <cellStyle name="20% - Accent6 7 2 2 7 2" xfId="4722"/>
    <cellStyle name="20% - Accent6 7 2 2 8" xfId="4723"/>
    <cellStyle name="20% - Accent6 7 2 2 9" xfId="4724"/>
    <cellStyle name="20% - Accent6 7 2 3" xfId="4725"/>
    <cellStyle name="20% - Accent6 7 2 3 10" xfId="4726"/>
    <cellStyle name="20% - Accent6 7 2 3 11" xfId="4727"/>
    <cellStyle name="20% - Accent6 7 2 3 2" xfId="4728"/>
    <cellStyle name="20% - Accent6 7 2 3 2 2" xfId="4729"/>
    <cellStyle name="20% - Accent6 7 2 3 2 2 2" xfId="4730"/>
    <cellStyle name="20% - Accent6 7 2 3 2 2 3" xfId="4731"/>
    <cellStyle name="20% - Accent6 7 2 3 2 3" xfId="4732"/>
    <cellStyle name="20% - Accent6 7 2 3 2 3 2" xfId="4733"/>
    <cellStyle name="20% - Accent6 7 2 3 2 4" xfId="4734"/>
    <cellStyle name="20% - Accent6 7 2 3 2 5" xfId="4735"/>
    <cellStyle name="20% - Accent6 7 2 3 2 6" xfId="4736"/>
    <cellStyle name="20% - Accent6 7 2 3 2 7" xfId="4737"/>
    <cellStyle name="20% - Accent6 7 2 3 2 8" xfId="4738"/>
    <cellStyle name="20% - Accent6 7 2 3 3" xfId="4739"/>
    <cellStyle name="20% - Accent6 7 2 3 3 2" xfId="4740"/>
    <cellStyle name="20% - Accent6 7 2 3 3 2 2" xfId="4741"/>
    <cellStyle name="20% - Accent6 7 2 3 3 3" xfId="4742"/>
    <cellStyle name="20% - Accent6 7 2 3 3 4" xfId="4743"/>
    <cellStyle name="20% - Accent6 7 2 3 4" xfId="4744"/>
    <cellStyle name="20% - Accent6 7 2 3 4 2" xfId="4745"/>
    <cellStyle name="20% - Accent6 7 2 3 5" xfId="4746"/>
    <cellStyle name="20% - Accent6 7 2 3 5 2" xfId="4747"/>
    <cellStyle name="20% - Accent6 7 2 3 6" xfId="4748"/>
    <cellStyle name="20% - Accent6 7 2 3 6 2" xfId="4749"/>
    <cellStyle name="20% - Accent6 7 2 3 7" xfId="4750"/>
    <cellStyle name="20% - Accent6 7 2 3 8" xfId="4751"/>
    <cellStyle name="20% - Accent6 7 2 3 9" xfId="4752"/>
    <cellStyle name="20% - Accent6 7 2 4" xfId="4753"/>
    <cellStyle name="20% - Accent6 7 2 4 2" xfId="4754"/>
    <cellStyle name="20% - Accent6 7 2 4 2 2" xfId="4755"/>
    <cellStyle name="20% - Accent6 7 2 4 2 3" xfId="4756"/>
    <cellStyle name="20% - Accent6 7 2 4 3" xfId="4757"/>
    <cellStyle name="20% - Accent6 7 2 4 3 2" xfId="4758"/>
    <cellStyle name="20% - Accent6 7 2 4 4" xfId="4759"/>
    <cellStyle name="20% - Accent6 7 2 4 5" xfId="4760"/>
    <cellStyle name="20% - Accent6 7 2 4 6" xfId="4761"/>
    <cellStyle name="20% - Accent6 7 2 4 7" xfId="4762"/>
    <cellStyle name="20% - Accent6 7 2 4 8" xfId="4763"/>
    <cellStyle name="20% - Accent6 7 2 5" xfId="4764"/>
    <cellStyle name="20% - Accent6 7 2 5 2" xfId="4765"/>
    <cellStyle name="20% - Accent6 7 2 5 2 2" xfId="4766"/>
    <cellStyle name="20% - Accent6 7 2 5 3" xfId="4767"/>
    <cellStyle name="20% - Accent6 7 2 5 4" xfId="4768"/>
    <cellStyle name="20% - Accent6 7 2 6" xfId="4769"/>
    <cellStyle name="20% - Accent6 7 2 6 2" xfId="4770"/>
    <cellStyle name="20% - Accent6 7 2 7" xfId="4771"/>
    <cellStyle name="20% - Accent6 7 2 7 2" xfId="4772"/>
    <cellStyle name="20% - Accent6 7 2 8" xfId="4773"/>
    <cellStyle name="20% - Accent6 7 2 8 2" xfId="4774"/>
    <cellStyle name="20% - Accent6 7 2 9" xfId="4775"/>
    <cellStyle name="20% - Accent6 7 3" xfId="4776"/>
    <cellStyle name="20% - Accent6 7 3 10" xfId="4777"/>
    <cellStyle name="20% - Accent6 7 3 11" xfId="4778"/>
    <cellStyle name="20% - Accent6 7 3 12" xfId="4779"/>
    <cellStyle name="20% - Accent6 7 3 2" xfId="4780"/>
    <cellStyle name="20% - Accent6 7 3 2 10" xfId="4781"/>
    <cellStyle name="20% - Accent6 7 3 2 11" xfId="4782"/>
    <cellStyle name="20% - Accent6 7 3 2 2" xfId="4783"/>
    <cellStyle name="20% - Accent6 7 3 2 2 2" xfId="4784"/>
    <cellStyle name="20% - Accent6 7 3 2 2 2 2" xfId="4785"/>
    <cellStyle name="20% - Accent6 7 3 2 2 2 3" xfId="4786"/>
    <cellStyle name="20% - Accent6 7 3 2 2 3" xfId="4787"/>
    <cellStyle name="20% - Accent6 7 3 2 2 3 2" xfId="4788"/>
    <cellStyle name="20% - Accent6 7 3 2 2 4" xfId="4789"/>
    <cellStyle name="20% - Accent6 7 3 2 2 5" xfId="4790"/>
    <cellStyle name="20% - Accent6 7 3 2 2 6" xfId="4791"/>
    <cellStyle name="20% - Accent6 7 3 2 2 7" xfId="4792"/>
    <cellStyle name="20% - Accent6 7 3 2 2 8" xfId="4793"/>
    <cellStyle name="20% - Accent6 7 3 2 3" xfId="4794"/>
    <cellStyle name="20% - Accent6 7 3 2 3 2" xfId="4795"/>
    <cellStyle name="20% - Accent6 7 3 2 3 2 2" xfId="4796"/>
    <cellStyle name="20% - Accent6 7 3 2 3 3" xfId="4797"/>
    <cellStyle name="20% - Accent6 7 3 2 3 4" xfId="4798"/>
    <cellStyle name="20% - Accent6 7 3 2 4" xfId="4799"/>
    <cellStyle name="20% - Accent6 7 3 2 4 2" xfId="4800"/>
    <cellStyle name="20% - Accent6 7 3 2 5" xfId="4801"/>
    <cellStyle name="20% - Accent6 7 3 2 5 2" xfId="4802"/>
    <cellStyle name="20% - Accent6 7 3 2 6" xfId="4803"/>
    <cellStyle name="20% - Accent6 7 3 2 6 2" xfId="4804"/>
    <cellStyle name="20% - Accent6 7 3 2 7" xfId="4805"/>
    <cellStyle name="20% - Accent6 7 3 2 8" xfId="4806"/>
    <cellStyle name="20% - Accent6 7 3 2 9" xfId="4807"/>
    <cellStyle name="20% - Accent6 7 3 3" xfId="4808"/>
    <cellStyle name="20% - Accent6 7 3 3 2" xfId="4809"/>
    <cellStyle name="20% - Accent6 7 3 3 2 2" xfId="4810"/>
    <cellStyle name="20% - Accent6 7 3 3 2 3" xfId="4811"/>
    <cellStyle name="20% - Accent6 7 3 3 3" xfId="4812"/>
    <cellStyle name="20% - Accent6 7 3 3 3 2" xfId="4813"/>
    <cellStyle name="20% - Accent6 7 3 3 4" xfId="4814"/>
    <cellStyle name="20% - Accent6 7 3 3 5" xfId="4815"/>
    <cellStyle name="20% - Accent6 7 3 3 6" xfId="4816"/>
    <cellStyle name="20% - Accent6 7 3 3 7" xfId="4817"/>
    <cellStyle name="20% - Accent6 7 3 3 8" xfId="4818"/>
    <cellStyle name="20% - Accent6 7 3 4" xfId="4819"/>
    <cellStyle name="20% - Accent6 7 3 4 2" xfId="4820"/>
    <cellStyle name="20% - Accent6 7 3 4 2 2" xfId="4821"/>
    <cellStyle name="20% - Accent6 7 3 4 3" xfId="4822"/>
    <cellStyle name="20% - Accent6 7 3 4 4" xfId="4823"/>
    <cellStyle name="20% - Accent6 7 3 5" xfId="4824"/>
    <cellStyle name="20% - Accent6 7 3 5 2" xfId="4825"/>
    <cellStyle name="20% - Accent6 7 3 6" xfId="4826"/>
    <cellStyle name="20% - Accent6 7 3 6 2" xfId="4827"/>
    <cellStyle name="20% - Accent6 7 3 7" xfId="4828"/>
    <cellStyle name="20% - Accent6 7 3 7 2" xfId="4829"/>
    <cellStyle name="20% - Accent6 7 3 8" xfId="4830"/>
    <cellStyle name="20% - Accent6 7 3 9" xfId="4831"/>
    <cellStyle name="20% - Accent6 7 4" xfId="4832"/>
    <cellStyle name="20% - Accent6 7 4 10" xfId="4833"/>
    <cellStyle name="20% - Accent6 7 4 11" xfId="4834"/>
    <cellStyle name="20% - Accent6 7 4 2" xfId="4835"/>
    <cellStyle name="20% - Accent6 7 4 2 2" xfId="4836"/>
    <cellStyle name="20% - Accent6 7 4 2 2 2" xfId="4837"/>
    <cellStyle name="20% - Accent6 7 4 2 2 3" xfId="4838"/>
    <cellStyle name="20% - Accent6 7 4 2 3" xfId="4839"/>
    <cellStyle name="20% - Accent6 7 4 2 3 2" xfId="4840"/>
    <cellStyle name="20% - Accent6 7 4 2 4" xfId="4841"/>
    <cellStyle name="20% - Accent6 7 4 2 5" xfId="4842"/>
    <cellStyle name="20% - Accent6 7 4 2 6" xfId="4843"/>
    <cellStyle name="20% - Accent6 7 4 2 7" xfId="4844"/>
    <cellStyle name="20% - Accent6 7 4 2 8" xfId="4845"/>
    <cellStyle name="20% - Accent6 7 4 3" xfId="4846"/>
    <cellStyle name="20% - Accent6 7 4 3 2" xfId="4847"/>
    <cellStyle name="20% - Accent6 7 4 3 2 2" xfId="4848"/>
    <cellStyle name="20% - Accent6 7 4 3 3" xfId="4849"/>
    <cellStyle name="20% - Accent6 7 4 3 4" xfId="4850"/>
    <cellStyle name="20% - Accent6 7 4 4" xfId="4851"/>
    <cellStyle name="20% - Accent6 7 4 4 2" xfId="4852"/>
    <cellStyle name="20% - Accent6 7 4 5" xfId="4853"/>
    <cellStyle name="20% - Accent6 7 4 5 2" xfId="4854"/>
    <cellStyle name="20% - Accent6 7 4 6" xfId="4855"/>
    <cellStyle name="20% - Accent6 7 4 6 2" xfId="4856"/>
    <cellStyle name="20% - Accent6 7 4 7" xfId="4857"/>
    <cellStyle name="20% - Accent6 7 4 8" xfId="4858"/>
    <cellStyle name="20% - Accent6 7 4 9" xfId="4859"/>
    <cellStyle name="20% - Accent6 7 5" xfId="4860"/>
    <cellStyle name="20% - Accent6 7 5 2" xfId="4861"/>
    <cellStyle name="20% - Accent6 7 5 2 2" xfId="4862"/>
    <cellStyle name="20% - Accent6 7 5 2 3" xfId="4863"/>
    <cellStyle name="20% - Accent6 7 5 3" xfId="4864"/>
    <cellStyle name="20% - Accent6 7 5 3 2" xfId="4865"/>
    <cellStyle name="20% - Accent6 7 5 4" xfId="4866"/>
    <cellStyle name="20% - Accent6 7 5 5" xfId="4867"/>
    <cellStyle name="20% - Accent6 7 5 6" xfId="4868"/>
    <cellStyle name="20% - Accent6 7 5 7" xfId="4869"/>
    <cellStyle name="20% - Accent6 7 5 8" xfId="4870"/>
    <cellStyle name="20% - Accent6 7 6" xfId="4871"/>
    <cellStyle name="20% - Accent6 7 6 2" xfId="4872"/>
    <cellStyle name="20% - Accent6 7 6 2 2" xfId="4873"/>
    <cellStyle name="20% - Accent6 7 6 3" xfId="4874"/>
    <cellStyle name="20% - Accent6 7 6 4" xfId="4875"/>
    <cellStyle name="20% - Accent6 7 7" xfId="4876"/>
    <cellStyle name="20% - Accent6 7 7 2" xfId="4877"/>
    <cellStyle name="20% - Accent6 7 8" xfId="4878"/>
    <cellStyle name="20% - Accent6 7 8 2" xfId="4879"/>
    <cellStyle name="20% - Accent6 7 9" xfId="4880"/>
    <cellStyle name="20% - Accent6 7 9 2" xfId="4881"/>
    <cellStyle name="20% - Accent6 8" xfId="4882"/>
    <cellStyle name="20% - Accent6 9" xfId="4883"/>
    <cellStyle name="20% - Accent6 9 2" xfId="4884"/>
    <cellStyle name="20% - Accent6 9 3" xfId="4885"/>
    <cellStyle name="40% - Accent1 10" xfId="4886"/>
    <cellStyle name="40% - Accent1 11" xfId="4887"/>
    <cellStyle name="40% - Accent1 2" xfId="3003"/>
    <cellStyle name="40% - Accent1 2 2" xfId="4888"/>
    <cellStyle name="40% - Accent1 2 2 2" xfId="4889"/>
    <cellStyle name="40% - Accent1 2 3" xfId="4890"/>
    <cellStyle name="40% - Accent1 2 4" xfId="4891"/>
    <cellStyle name="40% - Accent1 2 5" xfId="4892"/>
    <cellStyle name="40% - Accent1 2 6" xfId="4893"/>
    <cellStyle name="40% - Accent1 2 7" xfId="4894"/>
    <cellStyle name="40% - Accent1 3" xfId="3004"/>
    <cellStyle name="40% - Accent1 3 2" xfId="4895"/>
    <cellStyle name="40% - Accent1 3 2 2" xfId="4896"/>
    <cellStyle name="40% - Accent1 3 3" xfId="4897"/>
    <cellStyle name="40% - Accent1 3 3 2" xfId="4898"/>
    <cellStyle name="40% - Accent1 3 4" xfId="4899"/>
    <cellStyle name="40% - Accent1 4" xfId="3188"/>
    <cellStyle name="40% - Accent1 4 2" xfId="4900"/>
    <cellStyle name="40% - Accent1 4 3" xfId="4901"/>
    <cellStyle name="40% - Accent1 4 4" xfId="4902"/>
    <cellStyle name="40% - Accent1 5" xfId="4903"/>
    <cellStyle name="40% - Accent1 5 2" xfId="4904"/>
    <cellStyle name="40% - Accent1 6" xfId="4905"/>
    <cellStyle name="40% - Accent1 6 2" xfId="4906"/>
    <cellStyle name="40% - Accent1 7" xfId="4907"/>
    <cellStyle name="40% - Accent1 7 10" xfId="4908"/>
    <cellStyle name="40% - Accent1 7 11" xfId="4909"/>
    <cellStyle name="40% - Accent1 7 12" xfId="4910"/>
    <cellStyle name="40% - Accent1 7 13" xfId="4911"/>
    <cellStyle name="40% - Accent1 7 14" xfId="4912"/>
    <cellStyle name="40% - Accent1 7 2" xfId="4913"/>
    <cellStyle name="40% - Accent1 7 2 10" xfId="4914"/>
    <cellStyle name="40% - Accent1 7 2 11" xfId="4915"/>
    <cellStyle name="40% - Accent1 7 2 12" xfId="4916"/>
    <cellStyle name="40% - Accent1 7 2 13" xfId="4917"/>
    <cellStyle name="40% - Accent1 7 2 2" xfId="4918"/>
    <cellStyle name="40% - Accent1 7 2 2 10" xfId="4919"/>
    <cellStyle name="40% - Accent1 7 2 2 11" xfId="4920"/>
    <cellStyle name="40% - Accent1 7 2 2 12" xfId="4921"/>
    <cellStyle name="40% - Accent1 7 2 2 2" xfId="4922"/>
    <cellStyle name="40% - Accent1 7 2 2 2 10" xfId="4923"/>
    <cellStyle name="40% - Accent1 7 2 2 2 11" xfId="4924"/>
    <cellStyle name="40% - Accent1 7 2 2 2 2" xfId="4925"/>
    <cellStyle name="40% - Accent1 7 2 2 2 2 2" xfId="4926"/>
    <cellStyle name="40% - Accent1 7 2 2 2 2 2 2" xfId="4927"/>
    <cellStyle name="40% - Accent1 7 2 2 2 2 2 3" xfId="4928"/>
    <cellStyle name="40% - Accent1 7 2 2 2 2 3" xfId="4929"/>
    <cellStyle name="40% - Accent1 7 2 2 2 2 3 2" xfId="4930"/>
    <cellStyle name="40% - Accent1 7 2 2 2 2 4" xfId="4931"/>
    <cellStyle name="40% - Accent1 7 2 2 2 2 5" xfId="4932"/>
    <cellStyle name="40% - Accent1 7 2 2 2 2 6" xfId="4933"/>
    <cellStyle name="40% - Accent1 7 2 2 2 2 7" xfId="4934"/>
    <cellStyle name="40% - Accent1 7 2 2 2 2 8" xfId="4935"/>
    <cellStyle name="40% - Accent1 7 2 2 2 3" xfId="4936"/>
    <cellStyle name="40% - Accent1 7 2 2 2 3 2" xfId="4937"/>
    <cellStyle name="40% - Accent1 7 2 2 2 3 2 2" xfId="4938"/>
    <cellStyle name="40% - Accent1 7 2 2 2 3 3" xfId="4939"/>
    <cellStyle name="40% - Accent1 7 2 2 2 3 4" xfId="4940"/>
    <cellStyle name="40% - Accent1 7 2 2 2 4" xfId="4941"/>
    <cellStyle name="40% - Accent1 7 2 2 2 4 2" xfId="4942"/>
    <cellStyle name="40% - Accent1 7 2 2 2 5" xfId="4943"/>
    <cellStyle name="40% - Accent1 7 2 2 2 5 2" xfId="4944"/>
    <cellStyle name="40% - Accent1 7 2 2 2 6" xfId="4945"/>
    <cellStyle name="40% - Accent1 7 2 2 2 6 2" xfId="4946"/>
    <cellStyle name="40% - Accent1 7 2 2 2 7" xfId="4947"/>
    <cellStyle name="40% - Accent1 7 2 2 2 8" xfId="4948"/>
    <cellStyle name="40% - Accent1 7 2 2 2 9" xfId="4949"/>
    <cellStyle name="40% - Accent1 7 2 2 3" xfId="4950"/>
    <cellStyle name="40% - Accent1 7 2 2 3 2" xfId="4951"/>
    <cellStyle name="40% - Accent1 7 2 2 3 2 2" xfId="4952"/>
    <cellStyle name="40% - Accent1 7 2 2 3 2 3" xfId="4953"/>
    <cellStyle name="40% - Accent1 7 2 2 3 3" xfId="4954"/>
    <cellStyle name="40% - Accent1 7 2 2 3 3 2" xfId="4955"/>
    <cellStyle name="40% - Accent1 7 2 2 3 4" xfId="4956"/>
    <cellStyle name="40% - Accent1 7 2 2 3 5" xfId="4957"/>
    <cellStyle name="40% - Accent1 7 2 2 3 6" xfId="4958"/>
    <cellStyle name="40% - Accent1 7 2 2 3 7" xfId="4959"/>
    <cellStyle name="40% - Accent1 7 2 2 3 8" xfId="4960"/>
    <cellStyle name="40% - Accent1 7 2 2 4" xfId="4961"/>
    <cellStyle name="40% - Accent1 7 2 2 4 2" xfId="4962"/>
    <cellStyle name="40% - Accent1 7 2 2 4 2 2" xfId="4963"/>
    <cellStyle name="40% - Accent1 7 2 2 4 3" xfId="4964"/>
    <cellStyle name="40% - Accent1 7 2 2 4 4" xfId="4965"/>
    <cellStyle name="40% - Accent1 7 2 2 5" xfId="4966"/>
    <cellStyle name="40% - Accent1 7 2 2 5 2" xfId="4967"/>
    <cellStyle name="40% - Accent1 7 2 2 6" xfId="4968"/>
    <cellStyle name="40% - Accent1 7 2 2 6 2" xfId="4969"/>
    <cellStyle name="40% - Accent1 7 2 2 7" xfId="4970"/>
    <cellStyle name="40% - Accent1 7 2 2 7 2" xfId="4971"/>
    <cellStyle name="40% - Accent1 7 2 2 8" xfId="4972"/>
    <cellStyle name="40% - Accent1 7 2 2 9" xfId="4973"/>
    <cellStyle name="40% - Accent1 7 2 3" xfId="4974"/>
    <cellStyle name="40% - Accent1 7 2 3 10" xfId="4975"/>
    <cellStyle name="40% - Accent1 7 2 3 11" xfId="4976"/>
    <cellStyle name="40% - Accent1 7 2 3 2" xfId="4977"/>
    <cellStyle name="40% - Accent1 7 2 3 2 2" xfId="4978"/>
    <cellStyle name="40% - Accent1 7 2 3 2 2 2" xfId="4979"/>
    <cellStyle name="40% - Accent1 7 2 3 2 2 3" xfId="4980"/>
    <cellStyle name="40% - Accent1 7 2 3 2 3" xfId="4981"/>
    <cellStyle name="40% - Accent1 7 2 3 2 3 2" xfId="4982"/>
    <cellStyle name="40% - Accent1 7 2 3 2 4" xfId="4983"/>
    <cellStyle name="40% - Accent1 7 2 3 2 5" xfId="4984"/>
    <cellStyle name="40% - Accent1 7 2 3 2 6" xfId="4985"/>
    <cellStyle name="40% - Accent1 7 2 3 2 7" xfId="4986"/>
    <cellStyle name="40% - Accent1 7 2 3 2 8" xfId="4987"/>
    <cellStyle name="40% - Accent1 7 2 3 3" xfId="4988"/>
    <cellStyle name="40% - Accent1 7 2 3 3 2" xfId="4989"/>
    <cellStyle name="40% - Accent1 7 2 3 3 2 2" xfId="4990"/>
    <cellStyle name="40% - Accent1 7 2 3 3 3" xfId="4991"/>
    <cellStyle name="40% - Accent1 7 2 3 3 4" xfId="4992"/>
    <cellStyle name="40% - Accent1 7 2 3 4" xfId="4993"/>
    <cellStyle name="40% - Accent1 7 2 3 4 2" xfId="4994"/>
    <cellStyle name="40% - Accent1 7 2 3 5" xfId="4995"/>
    <cellStyle name="40% - Accent1 7 2 3 5 2" xfId="4996"/>
    <cellStyle name="40% - Accent1 7 2 3 6" xfId="4997"/>
    <cellStyle name="40% - Accent1 7 2 3 6 2" xfId="4998"/>
    <cellStyle name="40% - Accent1 7 2 3 7" xfId="4999"/>
    <cellStyle name="40% - Accent1 7 2 3 8" xfId="5000"/>
    <cellStyle name="40% - Accent1 7 2 3 9" xfId="5001"/>
    <cellStyle name="40% - Accent1 7 2 4" xfId="5002"/>
    <cellStyle name="40% - Accent1 7 2 4 2" xfId="5003"/>
    <cellStyle name="40% - Accent1 7 2 4 2 2" xfId="5004"/>
    <cellStyle name="40% - Accent1 7 2 4 2 3" xfId="5005"/>
    <cellStyle name="40% - Accent1 7 2 4 3" xfId="5006"/>
    <cellStyle name="40% - Accent1 7 2 4 3 2" xfId="5007"/>
    <cellStyle name="40% - Accent1 7 2 4 4" xfId="5008"/>
    <cellStyle name="40% - Accent1 7 2 4 5" xfId="5009"/>
    <cellStyle name="40% - Accent1 7 2 4 6" xfId="5010"/>
    <cellStyle name="40% - Accent1 7 2 4 7" xfId="5011"/>
    <cellStyle name="40% - Accent1 7 2 4 8" xfId="5012"/>
    <cellStyle name="40% - Accent1 7 2 5" xfId="5013"/>
    <cellStyle name="40% - Accent1 7 2 5 2" xfId="5014"/>
    <cellStyle name="40% - Accent1 7 2 5 2 2" xfId="5015"/>
    <cellStyle name="40% - Accent1 7 2 5 3" xfId="5016"/>
    <cellStyle name="40% - Accent1 7 2 5 4" xfId="5017"/>
    <cellStyle name="40% - Accent1 7 2 6" xfId="5018"/>
    <cellStyle name="40% - Accent1 7 2 6 2" xfId="5019"/>
    <cellStyle name="40% - Accent1 7 2 7" xfId="5020"/>
    <cellStyle name="40% - Accent1 7 2 7 2" xfId="5021"/>
    <cellStyle name="40% - Accent1 7 2 8" xfId="5022"/>
    <cellStyle name="40% - Accent1 7 2 8 2" xfId="5023"/>
    <cellStyle name="40% - Accent1 7 2 9" xfId="5024"/>
    <cellStyle name="40% - Accent1 7 3" xfId="5025"/>
    <cellStyle name="40% - Accent1 7 3 10" xfId="5026"/>
    <cellStyle name="40% - Accent1 7 3 11" xfId="5027"/>
    <cellStyle name="40% - Accent1 7 3 12" xfId="5028"/>
    <cellStyle name="40% - Accent1 7 3 2" xfId="5029"/>
    <cellStyle name="40% - Accent1 7 3 2 10" xfId="5030"/>
    <cellStyle name="40% - Accent1 7 3 2 11" xfId="5031"/>
    <cellStyle name="40% - Accent1 7 3 2 2" xfId="5032"/>
    <cellStyle name="40% - Accent1 7 3 2 2 2" xfId="5033"/>
    <cellStyle name="40% - Accent1 7 3 2 2 2 2" xfId="5034"/>
    <cellStyle name="40% - Accent1 7 3 2 2 2 3" xfId="5035"/>
    <cellStyle name="40% - Accent1 7 3 2 2 3" xfId="5036"/>
    <cellStyle name="40% - Accent1 7 3 2 2 3 2" xfId="5037"/>
    <cellStyle name="40% - Accent1 7 3 2 2 4" xfId="5038"/>
    <cellStyle name="40% - Accent1 7 3 2 2 5" xfId="5039"/>
    <cellStyle name="40% - Accent1 7 3 2 2 6" xfId="5040"/>
    <cellStyle name="40% - Accent1 7 3 2 2 7" xfId="5041"/>
    <cellStyle name="40% - Accent1 7 3 2 2 8" xfId="5042"/>
    <cellStyle name="40% - Accent1 7 3 2 3" xfId="5043"/>
    <cellStyle name="40% - Accent1 7 3 2 3 2" xfId="5044"/>
    <cellStyle name="40% - Accent1 7 3 2 3 2 2" xfId="5045"/>
    <cellStyle name="40% - Accent1 7 3 2 3 3" xfId="5046"/>
    <cellStyle name="40% - Accent1 7 3 2 3 4" xfId="5047"/>
    <cellStyle name="40% - Accent1 7 3 2 4" xfId="5048"/>
    <cellStyle name="40% - Accent1 7 3 2 4 2" xfId="5049"/>
    <cellStyle name="40% - Accent1 7 3 2 5" xfId="5050"/>
    <cellStyle name="40% - Accent1 7 3 2 5 2" xfId="5051"/>
    <cellStyle name="40% - Accent1 7 3 2 6" xfId="5052"/>
    <cellStyle name="40% - Accent1 7 3 2 6 2" xfId="5053"/>
    <cellStyle name="40% - Accent1 7 3 2 7" xfId="5054"/>
    <cellStyle name="40% - Accent1 7 3 2 8" xfId="5055"/>
    <cellStyle name="40% - Accent1 7 3 2 9" xfId="5056"/>
    <cellStyle name="40% - Accent1 7 3 3" xfId="5057"/>
    <cellStyle name="40% - Accent1 7 3 3 2" xfId="5058"/>
    <cellStyle name="40% - Accent1 7 3 3 2 2" xfId="5059"/>
    <cellStyle name="40% - Accent1 7 3 3 2 3" xfId="5060"/>
    <cellStyle name="40% - Accent1 7 3 3 3" xfId="5061"/>
    <cellStyle name="40% - Accent1 7 3 3 3 2" xfId="5062"/>
    <cellStyle name="40% - Accent1 7 3 3 4" xfId="5063"/>
    <cellStyle name="40% - Accent1 7 3 3 5" xfId="5064"/>
    <cellStyle name="40% - Accent1 7 3 3 6" xfId="5065"/>
    <cellStyle name="40% - Accent1 7 3 3 7" xfId="5066"/>
    <cellStyle name="40% - Accent1 7 3 3 8" xfId="5067"/>
    <cellStyle name="40% - Accent1 7 3 4" xfId="5068"/>
    <cellStyle name="40% - Accent1 7 3 4 2" xfId="5069"/>
    <cellStyle name="40% - Accent1 7 3 4 2 2" xfId="5070"/>
    <cellStyle name="40% - Accent1 7 3 4 3" xfId="5071"/>
    <cellStyle name="40% - Accent1 7 3 4 4" xfId="5072"/>
    <cellStyle name="40% - Accent1 7 3 5" xfId="5073"/>
    <cellStyle name="40% - Accent1 7 3 5 2" xfId="5074"/>
    <cellStyle name="40% - Accent1 7 3 6" xfId="5075"/>
    <cellStyle name="40% - Accent1 7 3 6 2" xfId="5076"/>
    <cellStyle name="40% - Accent1 7 3 7" xfId="5077"/>
    <cellStyle name="40% - Accent1 7 3 7 2" xfId="5078"/>
    <cellStyle name="40% - Accent1 7 3 8" xfId="5079"/>
    <cellStyle name="40% - Accent1 7 3 9" xfId="5080"/>
    <cellStyle name="40% - Accent1 7 4" xfId="5081"/>
    <cellStyle name="40% - Accent1 7 4 10" xfId="5082"/>
    <cellStyle name="40% - Accent1 7 4 11" xfId="5083"/>
    <cellStyle name="40% - Accent1 7 4 2" xfId="5084"/>
    <cellStyle name="40% - Accent1 7 4 2 2" xfId="5085"/>
    <cellStyle name="40% - Accent1 7 4 2 2 2" xfId="5086"/>
    <cellStyle name="40% - Accent1 7 4 2 2 3" xfId="5087"/>
    <cellStyle name="40% - Accent1 7 4 2 3" xfId="5088"/>
    <cellStyle name="40% - Accent1 7 4 2 3 2" xfId="5089"/>
    <cellStyle name="40% - Accent1 7 4 2 4" xfId="5090"/>
    <cellStyle name="40% - Accent1 7 4 2 5" xfId="5091"/>
    <cellStyle name="40% - Accent1 7 4 2 6" xfId="5092"/>
    <cellStyle name="40% - Accent1 7 4 2 7" xfId="5093"/>
    <cellStyle name="40% - Accent1 7 4 2 8" xfId="5094"/>
    <cellStyle name="40% - Accent1 7 4 3" xfId="5095"/>
    <cellStyle name="40% - Accent1 7 4 3 2" xfId="5096"/>
    <cellStyle name="40% - Accent1 7 4 3 2 2" xfId="5097"/>
    <cellStyle name="40% - Accent1 7 4 3 3" xfId="5098"/>
    <cellStyle name="40% - Accent1 7 4 3 4" xfId="5099"/>
    <cellStyle name="40% - Accent1 7 4 4" xfId="5100"/>
    <cellStyle name="40% - Accent1 7 4 4 2" xfId="5101"/>
    <cellStyle name="40% - Accent1 7 4 5" xfId="5102"/>
    <cellStyle name="40% - Accent1 7 4 5 2" xfId="5103"/>
    <cellStyle name="40% - Accent1 7 4 6" xfId="5104"/>
    <cellStyle name="40% - Accent1 7 4 6 2" xfId="5105"/>
    <cellStyle name="40% - Accent1 7 4 7" xfId="5106"/>
    <cellStyle name="40% - Accent1 7 4 8" xfId="5107"/>
    <cellStyle name="40% - Accent1 7 4 9" xfId="5108"/>
    <cellStyle name="40% - Accent1 7 5" xfId="5109"/>
    <cellStyle name="40% - Accent1 7 5 2" xfId="5110"/>
    <cellStyle name="40% - Accent1 7 5 2 2" xfId="5111"/>
    <cellStyle name="40% - Accent1 7 5 2 3" xfId="5112"/>
    <cellStyle name="40% - Accent1 7 5 3" xfId="5113"/>
    <cellStyle name="40% - Accent1 7 5 3 2" xfId="5114"/>
    <cellStyle name="40% - Accent1 7 5 4" xfId="5115"/>
    <cellStyle name="40% - Accent1 7 5 5" xfId="5116"/>
    <cellStyle name="40% - Accent1 7 5 6" xfId="5117"/>
    <cellStyle name="40% - Accent1 7 5 7" xfId="5118"/>
    <cellStyle name="40% - Accent1 7 5 8" xfId="5119"/>
    <cellStyle name="40% - Accent1 7 6" xfId="5120"/>
    <cellStyle name="40% - Accent1 7 6 2" xfId="5121"/>
    <cellStyle name="40% - Accent1 7 6 2 2" xfId="5122"/>
    <cellStyle name="40% - Accent1 7 6 3" xfId="5123"/>
    <cellStyle name="40% - Accent1 7 6 4" xfId="5124"/>
    <cellStyle name="40% - Accent1 7 7" xfId="5125"/>
    <cellStyle name="40% - Accent1 7 7 2" xfId="5126"/>
    <cellStyle name="40% - Accent1 7 8" xfId="5127"/>
    <cellStyle name="40% - Accent1 7 8 2" xfId="5128"/>
    <cellStyle name="40% - Accent1 7 9" xfId="5129"/>
    <cellStyle name="40% - Accent1 7 9 2" xfId="5130"/>
    <cellStyle name="40% - Accent1 8" xfId="5131"/>
    <cellStyle name="40% - Accent1 9" xfId="5132"/>
    <cellStyle name="40% - Accent1 9 2" xfId="5133"/>
    <cellStyle name="40% - Accent1 9 3" xfId="5134"/>
    <cellStyle name="40% - Accent2 10" xfId="5135"/>
    <cellStyle name="40% - Accent2 11" xfId="5136"/>
    <cellStyle name="40% - Accent2 2" xfId="3005"/>
    <cellStyle name="40% - Accent2 2 2" xfId="5137"/>
    <cellStyle name="40% - Accent2 2 2 2" xfId="5138"/>
    <cellStyle name="40% - Accent2 2 3" xfId="5139"/>
    <cellStyle name="40% - Accent2 2 4" xfId="5140"/>
    <cellStyle name="40% - Accent2 2 5" xfId="5141"/>
    <cellStyle name="40% - Accent2 2 6" xfId="5142"/>
    <cellStyle name="40% - Accent2 3" xfId="3006"/>
    <cellStyle name="40% - Accent2 3 2" xfId="5143"/>
    <cellStyle name="40% - Accent2 3 2 2" xfId="5144"/>
    <cellStyle name="40% - Accent2 3 3" xfId="5145"/>
    <cellStyle name="40% - Accent2 3 4" xfId="5146"/>
    <cellStyle name="40% - Accent2 4" xfId="3189"/>
    <cellStyle name="40% - Accent2 4 2" xfId="5147"/>
    <cellStyle name="40% - Accent2 4 3" xfId="5148"/>
    <cellStyle name="40% - Accent2 4 4" xfId="5149"/>
    <cellStyle name="40% - Accent2 5" xfId="5150"/>
    <cellStyle name="40% - Accent2 5 2" xfId="5151"/>
    <cellStyle name="40% - Accent2 6" xfId="5152"/>
    <cellStyle name="40% - Accent2 6 2" xfId="5153"/>
    <cellStyle name="40% - Accent2 7" xfId="5154"/>
    <cellStyle name="40% - Accent2 7 10" xfId="5155"/>
    <cellStyle name="40% - Accent2 7 11" xfId="5156"/>
    <cellStyle name="40% - Accent2 7 12" xfId="5157"/>
    <cellStyle name="40% - Accent2 7 13" xfId="5158"/>
    <cellStyle name="40% - Accent2 7 14" xfId="5159"/>
    <cellStyle name="40% - Accent2 7 2" xfId="5160"/>
    <cellStyle name="40% - Accent2 7 2 10" xfId="5161"/>
    <cellStyle name="40% - Accent2 7 2 11" xfId="5162"/>
    <cellStyle name="40% - Accent2 7 2 12" xfId="5163"/>
    <cellStyle name="40% - Accent2 7 2 13" xfId="5164"/>
    <cellStyle name="40% - Accent2 7 2 2" xfId="5165"/>
    <cellStyle name="40% - Accent2 7 2 2 10" xfId="5166"/>
    <cellStyle name="40% - Accent2 7 2 2 11" xfId="5167"/>
    <cellStyle name="40% - Accent2 7 2 2 12" xfId="5168"/>
    <cellStyle name="40% - Accent2 7 2 2 2" xfId="5169"/>
    <cellStyle name="40% - Accent2 7 2 2 2 10" xfId="5170"/>
    <cellStyle name="40% - Accent2 7 2 2 2 11" xfId="5171"/>
    <cellStyle name="40% - Accent2 7 2 2 2 2" xfId="5172"/>
    <cellStyle name="40% - Accent2 7 2 2 2 2 2" xfId="5173"/>
    <cellStyle name="40% - Accent2 7 2 2 2 2 2 2" xfId="5174"/>
    <cellStyle name="40% - Accent2 7 2 2 2 2 2 3" xfId="5175"/>
    <cellStyle name="40% - Accent2 7 2 2 2 2 3" xfId="5176"/>
    <cellStyle name="40% - Accent2 7 2 2 2 2 3 2" xfId="5177"/>
    <cellStyle name="40% - Accent2 7 2 2 2 2 4" xfId="5178"/>
    <cellStyle name="40% - Accent2 7 2 2 2 2 5" xfId="5179"/>
    <cellStyle name="40% - Accent2 7 2 2 2 2 6" xfId="5180"/>
    <cellStyle name="40% - Accent2 7 2 2 2 2 7" xfId="5181"/>
    <cellStyle name="40% - Accent2 7 2 2 2 2 8" xfId="5182"/>
    <cellStyle name="40% - Accent2 7 2 2 2 3" xfId="5183"/>
    <cellStyle name="40% - Accent2 7 2 2 2 3 2" xfId="5184"/>
    <cellStyle name="40% - Accent2 7 2 2 2 3 2 2" xfId="5185"/>
    <cellStyle name="40% - Accent2 7 2 2 2 3 3" xfId="5186"/>
    <cellStyle name="40% - Accent2 7 2 2 2 3 4" xfId="5187"/>
    <cellStyle name="40% - Accent2 7 2 2 2 4" xfId="5188"/>
    <cellStyle name="40% - Accent2 7 2 2 2 4 2" xfId="5189"/>
    <cellStyle name="40% - Accent2 7 2 2 2 5" xfId="5190"/>
    <cellStyle name="40% - Accent2 7 2 2 2 5 2" xfId="5191"/>
    <cellStyle name="40% - Accent2 7 2 2 2 6" xfId="5192"/>
    <cellStyle name="40% - Accent2 7 2 2 2 6 2" xfId="5193"/>
    <cellStyle name="40% - Accent2 7 2 2 2 7" xfId="5194"/>
    <cellStyle name="40% - Accent2 7 2 2 2 8" xfId="5195"/>
    <cellStyle name="40% - Accent2 7 2 2 2 9" xfId="5196"/>
    <cellStyle name="40% - Accent2 7 2 2 3" xfId="5197"/>
    <cellStyle name="40% - Accent2 7 2 2 3 2" xfId="5198"/>
    <cellStyle name="40% - Accent2 7 2 2 3 2 2" xfId="5199"/>
    <cellStyle name="40% - Accent2 7 2 2 3 2 3" xfId="5200"/>
    <cellStyle name="40% - Accent2 7 2 2 3 3" xfId="5201"/>
    <cellStyle name="40% - Accent2 7 2 2 3 3 2" xfId="5202"/>
    <cellStyle name="40% - Accent2 7 2 2 3 4" xfId="5203"/>
    <cellStyle name="40% - Accent2 7 2 2 3 5" xfId="5204"/>
    <cellStyle name="40% - Accent2 7 2 2 3 6" xfId="5205"/>
    <cellStyle name="40% - Accent2 7 2 2 3 7" xfId="5206"/>
    <cellStyle name="40% - Accent2 7 2 2 3 8" xfId="5207"/>
    <cellStyle name="40% - Accent2 7 2 2 4" xfId="5208"/>
    <cellStyle name="40% - Accent2 7 2 2 4 2" xfId="5209"/>
    <cellStyle name="40% - Accent2 7 2 2 4 2 2" xfId="5210"/>
    <cellStyle name="40% - Accent2 7 2 2 4 3" xfId="5211"/>
    <cellStyle name="40% - Accent2 7 2 2 4 4" xfId="5212"/>
    <cellStyle name="40% - Accent2 7 2 2 5" xfId="5213"/>
    <cellStyle name="40% - Accent2 7 2 2 5 2" xfId="5214"/>
    <cellStyle name="40% - Accent2 7 2 2 6" xfId="5215"/>
    <cellStyle name="40% - Accent2 7 2 2 6 2" xfId="5216"/>
    <cellStyle name="40% - Accent2 7 2 2 7" xfId="5217"/>
    <cellStyle name="40% - Accent2 7 2 2 7 2" xfId="5218"/>
    <cellStyle name="40% - Accent2 7 2 2 8" xfId="5219"/>
    <cellStyle name="40% - Accent2 7 2 2 9" xfId="5220"/>
    <cellStyle name="40% - Accent2 7 2 3" xfId="5221"/>
    <cellStyle name="40% - Accent2 7 2 3 10" xfId="5222"/>
    <cellStyle name="40% - Accent2 7 2 3 11" xfId="5223"/>
    <cellStyle name="40% - Accent2 7 2 3 2" xfId="5224"/>
    <cellStyle name="40% - Accent2 7 2 3 2 2" xfId="5225"/>
    <cellStyle name="40% - Accent2 7 2 3 2 2 2" xfId="5226"/>
    <cellStyle name="40% - Accent2 7 2 3 2 2 3" xfId="5227"/>
    <cellStyle name="40% - Accent2 7 2 3 2 3" xfId="5228"/>
    <cellStyle name="40% - Accent2 7 2 3 2 3 2" xfId="5229"/>
    <cellStyle name="40% - Accent2 7 2 3 2 4" xfId="5230"/>
    <cellStyle name="40% - Accent2 7 2 3 2 5" xfId="5231"/>
    <cellStyle name="40% - Accent2 7 2 3 2 6" xfId="5232"/>
    <cellStyle name="40% - Accent2 7 2 3 2 7" xfId="5233"/>
    <cellStyle name="40% - Accent2 7 2 3 2 8" xfId="5234"/>
    <cellStyle name="40% - Accent2 7 2 3 3" xfId="5235"/>
    <cellStyle name="40% - Accent2 7 2 3 3 2" xfId="5236"/>
    <cellStyle name="40% - Accent2 7 2 3 3 2 2" xfId="5237"/>
    <cellStyle name="40% - Accent2 7 2 3 3 3" xfId="5238"/>
    <cellStyle name="40% - Accent2 7 2 3 3 4" xfId="5239"/>
    <cellStyle name="40% - Accent2 7 2 3 4" xfId="5240"/>
    <cellStyle name="40% - Accent2 7 2 3 4 2" xfId="5241"/>
    <cellStyle name="40% - Accent2 7 2 3 5" xfId="5242"/>
    <cellStyle name="40% - Accent2 7 2 3 5 2" xfId="5243"/>
    <cellStyle name="40% - Accent2 7 2 3 6" xfId="5244"/>
    <cellStyle name="40% - Accent2 7 2 3 6 2" xfId="5245"/>
    <cellStyle name="40% - Accent2 7 2 3 7" xfId="5246"/>
    <cellStyle name="40% - Accent2 7 2 3 8" xfId="5247"/>
    <cellStyle name="40% - Accent2 7 2 3 9" xfId="5248"/>
    <cellStyle name="40% - Accent2 7 2 4" xfId="5249"/>
    <cellStyle name="40% - Accent2 7 2 4 2" xfId="5250"/>
    <cellStyle name="40% - Accent2 7 2 4 2 2" xfId="5251"/>
    <cellStyle name="40% - Accent2 7 2 4 2 3" xfId="5252"/>
    <cellStyle name="40% - Accent2 7 2 4 3" xfId="5253"/>
    <cellStyle name="40% - Accent2 7 2 4 3 2" xfId="5254"/>
    <cellStyle name="40% - Accent2 7 2 4 4" xfId="5255"/>
    <cellStyle name="40% - Accent2 7 2 4 5" xfId="5256"/>
    <cellStyle name="40% - Accent2 7 2 4 6" xfId="5257"/>
    <cellStyle name="40% - Accent2 7 2 4 7" xfId="5258"/>
    <cellStyle name="40% - Accent2 7 2 4 8" xfId="5259"/>
    <cellStyle name="40% - Accent2 7 2 5" xfId="5260"/>
    <cellStyle name="40% - Accent2 7 2 5 2" xfId="5261"/>
    <cellStyle name="40% - Accent2 7 2 5 2 2" xfId="5262"/>
    <cellStyle name="40% - Accent2 7 2 5 3" xfId="5263"/>
    <cellStyle name="40% - Accent2 7 2 5 4" xfId="5264"/>
    <cellStyle name="40% - Accent2 7 2 6" xfId="5265"/>
    <cellStyle name="40% - Accent2 7 2 6 2" xfId="5266"/>
    <cellStyle name="40% - Accent2 7 2 7" xfId="5267"/>
    <cellStyle name="40% - Accent2 7 2 7 2" xfId="5268"/>
    <cellStyle name="40% - Accent2 7 2 8" xfId="5269"/>
    <cellStyle name="40% - Accent2 7 2 8 2" xfId="5270"/>
    <cellStyle name="40% - Accent2 7 2 9" xfId="5271"/>
    <cellStyle name="40% - Accent2 7 3" xfId="5272"/>
    <cellStyle name="40% - Accent2 7 3 10" xfId="5273"/>
    <cellStyle name="40% - Accent2 7 3 11" xfId="5274"/>
    <cellStyle name="40% - Accent2 7 3 12" xfId="5275"/>
    <cellStyle name="40% - Accent2 7 3 2" xfId="5276"/>
    <cellStyle name="40% - Accent2 7 3 2 10" xfId="5277"/>
    <cellStyle name="40% - Accent2 7 3 2 11" xfId="5278"/>
    <cellStyle name="40% - Accent2 7 3 2 2" xfId="5279"/>
    <cellStyle name="40% - Accent2 7 3 2 2 2" xfId="5280"/>
    <cellStyle name="40% - Accent2 7 3 2 2 2 2" xfId="5281"/>
    <cellStyle name="40% - Accent2 7 3 2 2 2 3" xfId="5282"/>
    <cellStyle name="40% - Accent2 7 3 2 2 3" xfId="5283"/>
    <cellStyle name="40% - Accent2 7 3 2 2 3 2" xfId="5284"/>
    <cellStyle name="40% - Accent2 7 3 2 2 4" xfId="5285"/>
    <cellStyle name="40% - Accent2 7 3 2 2 5" xfId="5286"/>
    <cellStyle name="40% - Accent2 7 3 2 2 6" xfId="5287"/>
    <cellStyle name="40% - Accent2 7 3 2 2 7" xfId="5288"/>
    <cellStyle name="40% - Accent2 7 3 2 2 8" xfId="5289"/>
    <cellStyle name="40% - Accent2 7 3 2 3" xfId="5290"/>
    <cellStyle name="40% - Accent2 7 3 2 3 2" xfId="5291"/>
    <cellStyle name="40% - Accent2 7 3 2 3 2 2" xfId="5292"/>
    <cellStyle name="40% - Accent2 7 3 2 3 3" xfId="5293"/>
    <cellStyle name="40% - Accent2 7 3 2 3 4" xfId="5294"/>
    <cellStyle name="40% - Accent2 7 3 2 4" xfId="5295"/>
    <cellStyle name="40% - Accent2 7 3 2 4 2" xfId="5296"/>
    <cellStyle name="40% - Accent2 7 3 2 5" xfId="5297"/>
    <cellStyle name="40% - Accent2 7 3 2 5 2" xfId="5298"/>
    <cellStyle name="40% - Accent2 7 3 2 6" xfId="5299"/>
    <cellStyle name="40% - Accent2 7 3 2 6 2" xfId="5300"/>
    <cellStyle name="40% - Accent2 7 3 2 7" xfId="5301"/>
    <cellStyle name="40% - Accent2 7 3 2 8" xfId="5302"/>
    <cellStyle name="40% - Accent2 7 3 2 9" xfId="5303"/>
    <cellStyle name="40% - Accent2 7 3 3" xfId="5304"/>
    <cellStyle name="40% - Accent2 7 3 3 2" xfId="5305"/>
    <cellStyle name="40% - Accent2 7 3 3 2 2" xfId="5306"/>
    <cellStyle name="40% - Accent2 7 3 3 2 3" xfId="5307"/>
    <cellStyle name="40% - Accent2 7 3 3 3" xfId="5308"/>
    <cellStyle name="40% - Accent2 7 3 3 3 2" xfId="5309"/>
    <cellStyle name="40% - Accent2 7 3 3 4" xfId="5310"/>
    <cellStyle name="40% - Accent2 7 3 3 5" xfId="5311"/>
    <cellStyle name="40% - Accent2 7 3 3 6" xfId="5312"/>
    <cellStyle name="40% - Accent2 7 3 3 7" xfId="5313"/>
    <cellStyle name="40% - Accent2 7 3 3 8" xfId="5314"/>
    <cellStyle name="40% - Accent2 7 3 4" xfId="5315"/>
    <cellStyle name="40% - Accent2 7 3 4 2" xfId="5316"/>
    <cellStyle name="40% - Accent2 7 3 4 2 2" xfId="5317"/>
    <cellStyle name="40% - Accent2 7 3 4 3" xfId="5318"/>
    <cellStyle name="40% - Accent2 7 3 4 4" xfId="5319"/>
    <cellStyle name="40% - Accent2 7 3 5" xfId="5320"/>
    <cellStyle name="40% - Accent2 7 3 5 2" xfId="5321"/>
    <cellStyle name="40% - Accent2 7 3 6" xfId="5322"/>
    <cellStyle name="40% - Accent2 7 3 6 2" xfId="5323"/>
    <cellStyle name="40% - Accent2 7 3 7" xfId="5324"/>
    <cellStyle name="40% - Accent2 7 3 7 2" xfId="5325"/>
    <cellStyle name="40% - Accent2 7 3 8" xfId="5326"/>
    <cellStyle name="40% - Accent2 7 3 9" xfId="5327"/>
    <cellStyle name="40% - Accent2 7 4" xfId="5328"/>
    <cellStyle name="40% - Accent2 7 4 10" xfId="5329"/>
    <cellStyle name="40% - Accent2 7 4 11" xfId="5330"/>
    <cellStyle name="40% - Accent2 7 4 2" xfId="5331"/>
    <cellStyle name="40% - Accent2 7 4 2 2" xfId="5332"/>
    <cellStyle name="40% - Accent2 7 4 2 2 2" xfId="5333"/>
    <cellStyle name="40% - Accent2 7 4 2 2 3" xfId="5334"/>
    <cellStyle name="40% - Accent2 7 4 2 3" xfId="5335"/>
    <cellStyle name="40% - Accent2 7 4 2 3 2" xfId="5336"/>
    <cellStyle name="40% - Accent2 7 4 2 4" xfId="5337"/>
    <cellStyle name="40% - Accent2 7 4 2 5" xfId="5338"/>
    <cellStyle name="40% - Accent2 7 4 2 6" xfId="5339"/>
    <cellStyle name="40% - Accent2 7 4 2 7" xfId="5340"/>
    <cellStyle name="40% - Accent2 7 4 2 8" xfId="5341"/>
    <cellStyle name="40% - Accent2 7 4 3" xfId="5342"/>
    <cellStyle name="40% - Accent2 7 4 3 2" xfId="5343"/>
    <cellStyle name="40% - Accent2 7 4 3 2 2" xfId="5344"/>
    <cellStyle name="40% - Accent2 7 4 3 3" xfId="5345"/>
    <cellStyle name="40% - Accent2 7 4 3 4" xfId="5346"/>
    <cellStyle name="40% - Accent2 7 4 4" xfId="5347"/>
    <cellStyle name="40% - Accent2 7 4 4 2" xfId="5348"/>
    <cellStyle name="40% - Accent2 7 4 5" xfId="5349"/>
    <cellStyle name="40% - Accent2 7 4 5 2" xfId="5350"/>
    <cellStyle name="40% - Accent2 7 4 6" xfId="5351"/>
    <cellStyle name="40% - Accent2 7 4 6 2" xfId="5352"/>
    <cellStyle name="40% - Accent2 7 4 7" xfId="5353"/>
    <cellStyle name="40% - Accent2 7 4 8" xfId="5354"/>
    <cellStyle name="40% - Accent2 7 4 9" xfId="5355"/>
    <cellStyle name="40% - Accent2 7 5" xfId="5356"/>
    <cellStyle name="40% - Accent2 7 5 2" xfId="5357"/>
    <cellStyle name="40% - Accent2 7 5 2 2" xfId="5358"/>
    <cellStyle name="40% - Accent2 7 5 2 3" xfId="5359"/>
    <cellStyle name="40% - Accent2 7 5 3" xfId="5360"/>
    <cellStyle name="40% - Accent2 7 5 3 2" xfId="5361"/>
    <cellStyle name="40% - Accent2 7 5 4" xfId="5362"/>
    <cellStyle name="40% - Accent2 7 5 5" xfId="5363"/>
    <cellStyle name="40% - Accent2 7 5 6" xfId="5364"/>
    <cellStyle name="40% - Accent2 7 5 7" xfId="5365"/>
    <cellStyle name="40% - Accent2 7 5 8" xfId="5366"/>
    <cellStyle name="40% - Accent2 7 6" xfId="5367"/>
    <cellStyle name="40% - Accent2 7 6 2" xfId="5368"/>
    <cellStyle name="40% - Accent2 7 6 2 2" xfId="5369"/>
    <cellStyle name="40% - Accent2 7 6 3" xfId="5370"/>
    <cellStyle name="40% - Accent2 7 6 4" xfId="5371"/>
    <cellStyle name="40% - Accent2 7 7" xfId="5372"/>
    <cellStyle name="40% - Accent2 7 7 2" xfId="5373"/>
    <cellStyle name="40% - Accent2 7 8" xfId="5374"/>
    <cellStyle name="40% - Accent2 7 8 2" xfId="5375"/>
    <cellStyle name="40% - Accent2 7 9" xfId="5376"/>
    <cellStyle name="40% - Accent2 7 9 2" xfId="5377"/>
    <cellStyle name="40% - Accent2 8" xfId="5378"/>
    <cellStyle name="40% - Accent2 9" xfId="5379"/>
    <cellStyle name="40% - Accent2 9 2" xfId="5380"/>
    <cellStyle name="40% - Accent2 9 3" xfId="5381"/>
    <cellStyle name="40% - Accent3 10" xfId="5382"/>
    <cellStyle name="40% - Accent3 11" xfId="5383"/>
    <cellStyle name="40% - Accent3 2" xfId="3007"/>
    <cellStyle name="40% - Accent3 2 2" xfId="5384"/>
    <cellStyle name="40% - Accent3 2 2 2" xfId="5385"/>
    <cellStyle name="40% - Accent3 2 3" xfId="5386"/>
    <cellStyle name="40% - Accent3 2 4" xfId="5387"/>
    <cellStyle name="40% - Accent3 2 5" xfId="5388"/>
    <cellStyle name="40% - Accent3 2 6" xfId="5389"/>
    <cellStyle name="40% - Accent3 2 7" xfId="5390"/>
    <cellStyle name="40% - Accent3 3" xfId="3008"/>
    <cellStyle name="40% - Accent3 3 2" xfId="5391"/>
    <cellStyle name="40% - Accent3 3 2 2" xfId="5392"/>
    <cellStyle name="40% - Accent3 3 3" xfId="5393"/>
    <cellStyle name="40% - Accent3 3 3 2" xfId="5394"/>
    <cellStyle name="40% - Accent3 3 4" xfId="5395"/>
    <cellStyle name="40% - Accent3 4" xfId="3190"/>
    <cellStyle name="40% - Accent3 4 2" xfId="5396"/>
    <cellStyle name="40% - Accent3 4 3" xfId="5397"/>
    <cellStyle name="40% - Accent3 4 4" xfId="5398"/>
    <cellStyle name="40% - Accent3 5" xfId="5399"/>
    <cellStyle name="40% - Accent3 5 2" xfId="5400"/>
    <cellStyle name="40% - Accent3 6" xfId="5401"/>
    <cellStyle name="40% - Accent3 6 2" xfId="5402"/>
    <cellStyle name="40% - Accent3 7" xfId="5403"/>
    <cellStyle name="40% - Accent3 7 10" xfId="5404"/>
    <cellStyle name="40% - Accent3 7 11" xfId="5405"/>
    <cellStyle name="40% - Accent3 7 12" xfId="5406"/>
    <cellStyle name="40% - Accent3 7 13" xfId="5407"/>
    <cellStyle name="40% - Accent3 7 14" xfId="5408"/>
    <cellStyle name="40% - Accent3 7 2" xfId="5409"/>
    <cellStyle name="40% - Accent3 7 2 10" xfId="5410"/>
    <cellStyle name="40% - Accent3 7 2 11" xfId="5411"/>
    <cellStyle name="40% - Accent3 7 2 12" xfId="5412"/>
    <cellStyle name="40% - Accent3 7 2 13" xfId="5413"/>
    <cellStyle name="40% - Accent3 7 2 2" xfId="5414"/>
    <cellStyle name="40% - Accent3 7 2 2 10" xfId="5415"/>
    <cellStyle name="40% - Accent3 7 2 2 11" xfId="5416"/>
    <cellStyle name="40% - Accent3 7 2 2 12" xfId="5417"/>
    <cellStyle name="40% - Accent3 7 2 2 2" xfId="5418"/>
    <cellStyle name="40% - Accent3 7 2 2 2 10" xfId="5419"/>
    <cellStyle name="40% - Accent3 7 2 2 2 11" xfId="5420"/>
    <cellStyle name="40% - Accent3 7 2 2 2 2" xfId="5421"/>
    <cellStyle name="40% - Accent3 7 2 2 2 2 2" xfId="5422"/>
    <cellStyle name="40% - Accent3 7 2 2 2 2 2 2" xfId="5423"/>
    <cellStyle name="40% - Accent3 7 2 2 2 2 2 3" xfId="5424"/>
    <cellStyle name="40% - Accent3 7 2 2 2 2 3" xfId="5425"/>
    <cellStyle name="40% - Accent3 7 2 2 2 2 3 2" xfId="5426"/>
    <cellStyle name="40% - Accent3 7 2 2 2 2 4" xfId="5427"/>
    <cellStyle name="40% - Accent3 7 2 2 2 2 5" xfId="5428"/>
    <cellStyle name="40% - Accent3 7 2 2 2 2 6" xfId="5429"/>
    <cellStyle name="40% - Accent3 7 2 2 2 2 7" xfId="5430"/>
    <cellStyle name="40% - Accent3 7 2 2 2 2 8" xfId="5431"/>
    <cellStyle name="40% - Accent3 7 2 2 2 3" xfId="5432"/>
    <cellStyle name="40% - Accent3 7 2 2 2 3 2" xfId="5433"/>
    <cellStyle name="40% - Accent3 7 2 2 2 3 2 2" xfId="5434"/>
    <cellStyle name="40% - Accent3 7 2 2 2 3 3" xfId="5435"/>
    <cellStyle name="40% - Accent3 7 2 2 2 3 4" xfId="5436"/>
    <cellStyle name="40% - Accent3 7 2 2 2 4" xfId="5437"/>
    <cellStyle name="40% - Accent3 7 2 2 2 4 2" xfId="5438"/>
    <cellStyle name="40% - Accent3 7 2 2 2 5" xfId="5439"/>
    <cellStyle name="40% - Accent3 7 2 2 2 5 2" xfId="5440"/>
    <cellStyle name="40% - Accent3 7 2 2 2 6" xfId="5441"/>
    <cellStyle name="40% - Accent3 7 2 2 2 6 2" xfId="5442"/>
    <cellStyle name="40% - Accent3 7 2 2 2 7" xfId="5443"/>
    <cellStyle name="40% - Accent3 7 2 2 2 8" xfId="5444"/>
    <cellStyle name="40% - Accent3 7 2 2 2 9" xfId="5445"/>
    <cellStyle name="40% - Accent3 7 2 2 3" xfId="5446"/>
    <cellStyle name="40% - Accent3 7 2 2 3 2" xfId="5447"/>
    <cellStyle name="40% - Accent3 7 2 2 3 2 2" xfId="5448"/>
    <cellStyle name="40% - Accent3 7 2 2 3 2 3" xfId="5449"/>
    <cellStyle name="40% - Accent3 7 2 2 3 3" xfId="5450"/>
    <cellStyle name="40% - Accent3 7 2 2 3 3 2" xfId="5451"/>
    <cellStyle name="40% - Accent3 7 2 2 3 4" xfId="5452"/>
    <cellStyle name="40% - Accent3 7 2 2 3 5" xfId="5453"/>
    <cellStyle name="40% - Accent3 7 2 2 3 6" xfId="5454"/>
    <cellStyle name="40% - Accent3 7 2 2 3 7" xfId="5455"/>
    <cellStyle name="40% - Accent3 7 2 2 3 8" xfId="5456"/>
    <cellStyle name="40% - Accent3 7 2 2 4" xfId="5457"/>
    <cellStyle name="40% - Accent3 7 2 2 4 2" xfId="5458"/>
    <cellStyle name="40% - Accent3 7 2 2 4 2 2" xfId="5459"/>
    <cellStyle name="40% - Accent3 7 2 2 4 3" xfId="5460"/>
    <cellStyle name="40% - Accent3 7 2 2 4 4" xfId="5461"/>
    <cellStyle name="40% - Accent3 7 2 2 5" xfId="5462"/>
    <cellStyle name="40% - Accent3 7 2 2 5 2" xfId="5463"/>
    <cellStyle name="40% - Accent3 7 2 2 6" xfId="5464"/>
    <cellStyle name="40% - Accent3 7 2 2 6 2" xfId="5465"/>
    <cellStyle name="40% - Accent3 7 2 2 7" xfId="5466"/>
    <cellStyle name="40% - Accent3 7 2 2 7 2" xfId="5467"/>
    <cellStyle name="40% - Accent3 7 2 2 8" xfId="5468"/>
    <cellStyle name="40% - Accent3 7 2 2 9" xfId="5469"/>
    <cellStyle name="40% - Accent3 7 2 3" xfId="5470"/>
    <cellStyle name="40% - Accent3 7 2 3 10" xfId="5471"/>
    <cellStyle name="40% - Accent3 7 2 3 11" xfId="5472"/>
    <cellStyle name="40% - Accent3 7 2 3 2" xfId="5473"/>
    <cellStyle name="40% - Accent3 7 2 3 2 2" xfId="5474"/>
    <cellStyle name="40% - Accent3 7 2 3 2 2 2" xfId="5475"/>
    <cellStyle name="40% - Accent3 7 2 3 2 2 3" xfId="5476"/>
    <cellStyle name="40% - Accent3 7 2 3 2 3" xfId="5477"/>
    <cellStyle name="40% - Accent3 7 2 3 2 3 2" xfId="5478"/>
    <cellStyle name="40% - Accent3 7 2 3 2 4" xfId="5479"/>
    <cellStyle name="40% - Accent3 7 2 3 2 5" xfId="5480"/>
    <cellStyle name="40% - Accent3 7 2 3 2 6" xfId="5481"/>
    <cellStyle name="40% - Accent3 7 2 3 2 7" xfId="5482"/>
    <cellStyle name="40% - Accent3 7 2 3 2 8" xfId="5483"/>
    <cellStyle name="40% - Accent3 7 2 3 3" xfId="5484"/>
    <cellStyle name="40% - Accent3 7 2 3 3 2" xfId="5485"/>
    <cellStyle name="40% - Accent3 7 2 3 3 2 2" xfId="5486"/>
    <cellStyle name="40% - Accent3 7 2 3 3 3" xfId="5487"/>
    <cellStyle name="40% - Accent3 7 2 3 3 4" xfId="5488"/>
    <cellStyle name="40% - Accent3 7 2 3 4" xfId="5489"/>
    <cellStyle name="40% - Accent3 7 2 3 4 2" xfId="5490"/>
    <cellStyle name="40% - Accent3 7 2 3 5" xfId="5491"/>
    <cellStyle name="40% - Accent3 7 2 3 5 2" xfId="5492"/>
    <cellStyle name="40% - Accent3 7 2 3 6" xfId="5493"/>
    <cellStyle name="40% - Accent3 7 2 3 6 2" xfId="5494"/>
    <cellStyle name="40% - Accent3 7 2 3 7" xfId="5495"/>
    <cellStyle name="40% - Accent3 7 2 3 8" xfId="5496"/>
    <cellStyle name="40% - Accent3 7 2 3 9" xfId="5497"/>
    <cellStyle name="40% - Accent3 7 2 4" xfId="5498"/>
    <cellStyle name="40% - Accent3 7 2 4 2" xfId="5499"/>
    <cellStyle name="40% - Accent3 7 2 4 2 2" xfId="5500"/>
    <cellStyle name="40% - Accent3 7 2 4 2 3" xfId="5501"/>
    <cellStyle name="40% - Accent3 7 2 4 3" xfId="5502"/>
    <cellStyle name="40% - Accent3 7 2 4 3 2" xfId="5503"/>
    <cellStyle name="40% - Accent3 7 2 4 4" xfId="5504"/>
    <cellStyle name="40% - Accent3 7 2 4 5" xfId="5505"/>
    <cellStyle name="40% - Accent3 7 2 4 6" xfId="5506"/>
    <cellStyle name="40% - Accent3 7 2 4 7" xfId="5507"/>
    <cellStyle name="40% - Accent3 7 2 4 8" xfId="5508"/>
    <cellStyle name="40% - Accent3 7 2 5" xfId="5509"/>
    <cellStyle name="40% - Accent3 7 2 5 2" xfId="5510"/>
    <cellStyle name="40% - Accent3 7 2 5 2 2" xfId="5511"/>
    <cellStyle name="40% - Accent3 7 2 5 3" xfId="5512"/>
    <cellStyle name="40% - Accent3 7 2 5 4" xfId="5513"/>
    <cellStyle name="40% - Accent3 7 2 6" xfId="5514"/>
    <cellStyle name="40% - Accent3 7 2 6 2" xfId="5515"/>
    <cellStyle name="40% - Accent3 7 2 7" xfId="5516"/>
    <cellStyle name="40% - Accent3 7 2 7 2" xfId="5517"/>
    <cellStyle name="40% - Accent3 7 2 8" xfId="5518"/>
    <cellStyle name="40% - Accent3 7 2 8 2" xfId="5519"/>
    <cellStyle name="40% - Accent3 7 2 9" xfId="5520"/>
    <cellStyle name="40% - Accent3 7 3" xfId="5521"/>
    <cellStyle name="40% - Accent3 7 3 10" xfId="5522"/>
    <cellStyle name="40% - Accent3 7 3 11" xfId="5523"/>
    <cellStyle name="40% - Accent3 7 3 12" xfId="5524"/>
    <cellStyle name="40% - Accent3 7 3 2" xfId="5525"/>
    <cellStyle name="40% - Accent3 7 3 2 10" xfId="5526"/>
    <cellStyle name="40% - Accent3 7 3 2 11" xfId="5527"/>
    <cellStyle name="40% - Accent3 7 3 2 2" xfId="5528"/>
    <cellStyle name="40% - Accent3 7 3 2 2 2" xfId="5529"/>
    <cellStyle name="40% - Accent3 7 3 2 2 2 2" xfId="5530"/>
    <cellStyle name="40% - Accent3 7 3 2 2 2 3" xfId="5531"/>
    <cellStyle name="40% - Accent3 7 3 2 2 3" xfId="5532"/>
    <cellStyle name="40% - Accent3 7 3 2 2 3 2" xfId="5533"/>
    <cellStyle name="40% - Accent3 7 3 2 2 4" xfId="5534"/>
    <cellStyle name="40% - Accent3 7 3 2 2 5" xfId="5535"/>
    <cellStyle name="40% - Accent3 7 3 2 2 6" xfId="5536"/>
    <cellStyle name="40% - Accent3 7 3 2 2 7" xfId="5537"/>
    <cellStyle name="40% - Accent3 7 3 2 2 8" xfId="5538"/>
    <cellStyle name="40% - Accent3 7 3 2 3" xfId="5539"/>
    <cellStyle name="40% - Accent3 7 3 2 3 2" xfId="5540"/>
    <cellStyle name="40% - Accent3 7 3 2 3 2 2" xfId="5541"/>
    <cellStyle name="40% - Accent3 7 3 2 3 3" xfId="5542"/>
    <cellStyle name="40% - Accent3 7 3 2 3 4" xfId="5543"/>
    <cellStyle name="40% - Accent3 7 3 2 4" xfId="5544"/>
    <cellStyle name="40% - Accent3 7 3 2 4 2" xfId="5545"/>
    <cellStyle name="40% - Accent3 7 3 2 5" xfId="5546"/>
    <cellStyle name="40% - Accent3 7 3 2 5 2" xfId="5547"/>
    <cellStyle name="40% - Accent3 7 3 2 6" xfId="5548"/>
    <cellStyle name="40% - Accent3 7 3 2 6 2" xfId="5549"/>
    <cellStyle name="40% - Accent3 7 3 2 7" xfId="5550"/>
    <cellStyle name="40% - Accent3 7 3 2 8" xfId="5551"/>
    <cellStyle name="40% - Accent3 7 3 2 9" xfId="5552"/>
    <cellStyle name="40% - Accent3 7 3 3" xfId="5553"/>
    <cellStyle name="40% - Accent3 7 3 3 2" xfId="5554"/>
    <cellStyle name="40% - Accent3 7 3 3 2 2" xfId="5555"/>
    <cellStyle name="40% - Accent3 7 3 3 2 3" xfId="5556"/>
    <cellStyle name="40% - Accent3 7 3 3 3" xfId="5557"/>
    <cellStyle name="40% - Accent3 7 3 3 3 2" xfId="5558"/>
    <cellStyle name="40% - Accent3 7 3 3 4" xfId="5559"/>
    <cellStyle name="40% - Accent3 7 3 3 5" xfId="5560"/>
    <cellStyle name="40% - Accent3 7 3 3 6" xfId="5561"/>
    <cellStyle name="40% - Accent3 7 3 3 7" xfId="5562"/>
    <cellStyle name="40% - Accent3 7 3 3 8" xfId="5563"/>
    <cellStyle name="40% - Accent3 7 3 4" xfId="5564"/>
    <cellStyle name="40% - Accent3 7 3 4 2" xfId="5565"/>
    <cellStyle name="40% - Accent3 7 3 4 2 2" xfId="5566"/>
    <cellStyle name="40% - Accent3 7 3 4 3" xfId="5567"/>
    <cellStyle name="40% - Accent3 7 3 4 4" xfId="5568"/>
    <cellStyle name="40% - Accent3 7 3 5" xfId="5569"/>
    <cellStyle name="40% - Accent3 7 3 5 2" xfId="5570"/>
    <cellStyle name="40% - Accent3 7 3 6" xfId="5571"/>
    <cellStyle name="40% - Accent3 7 3 6 2" xfId="5572"/>
    <cellStyle name="40% - Accent3 7 3 7" xfId="5573"/>
    <cellStyle name="40% - Accent3 7 3 7 2" xfId="5574"/>
    <cellStyle name="40% - Accent3 7 3 8" xfId="5575"/>
    <cellStyle name="40% - Accent3 7 3 9" xfId="5576"/>
    <cellStyle name="40% - Accent3 7 4" xfId="5577"/>
    <cellStyle name="40% - Accent3 7 4 10" xfId="5578"/>
    <cellStyle name="40% - Accent3 7 4 11" xfId="5579"/>
    <cellStyle name="40% - Accent3 7 4 2" xfId="5580"/>
    <cellStyle name="40% - Accent3 7 4 2 2" xfId="5581"/>
    <cellStyle name="40% - Accent3 7 4 2 2 2" xfId="5582"/>
    <cellStyle name="40% - Accent3 7 4 2 2 3" xfId="5583"/>
    <cellStyle name="40% - Accent3 7 4 2 3" xfId="5584"/>
    <cellStyle name="40% - Accent3 7 4 2 3 2" xfId="5585"/>
    <cellStyle name="40% - Accent3 7 4 2 4" xfId="5586"/>
    <cellStyle name="40% - Accent3 7 4 2 5" xfId="5587"/>
    <cellStyle name="40% - Accent3 7 4 2 6" xfId="5588"/>
    <cellStyle name="40% - Accent3 7 4 2 7" xfId="5589"/>
    <cellStyle name="40% - Accent3 7 4 2 8" xfId="5590"/>
    <cellStyle name="40% - Accent3 7 4 3" xfId="5591"/>
    <cellStyle name="40% - Accent3 7 4 3 2" xfId="5592"/>
    <cellStyle name="40% - Accent3 7 4 3 2 2" xfId="5593"/>
    <cellStyle name="40% - Accent3 7 4 3 3" xfId="5594"/>
    <cellStyle name="40% - Accent3 7 4 3 4" xfId="5595"/>
    <cellStyle name="40% - Accent3 7 4 4" xfId="5596"/>
    <cellStyle name="40% - Accent3 7 4 4 2" xfId="5597"/>
    <cellStyle name="40% - Accent3 7 4 5" xfId="5598"/>
    <cellStyle name="40% - Accent3 7 4 5 2" xfId="5599"/>
    <cellStyle name="40% - Accent3 7 4 6" xfId="5600"/>
    <cellStyle name="40% - Accent3 7 4 6 2" xfId="5601"/>
    <cellStyle name="40% - Accent3 7 4 7" xfId="5602"/>
    <cellStyle name="40% - Accent3 7 4 8" xfId="5603"/>
    <cellStyle name="40% - Accent3 7 4 9" xfId="5604"/>
    <cellStyle name="40% - Accent3 7 5" xfId="5605"/>
    <cellStyle name="40% - Accent3 7 5 2" xfId="5606"/>
    <cellStyle name="40% - Accent3 7 5 2 2" xfId="5607"/>
    <cellStyle name="40% - Accent3 7 5 2 3" xfId="5608"/>
    <cellStyle name="40% - Accent3 7 5 3" xfId="5609"/>
    <cellStyle name="40% - Accent3 7 5 3 2" xfId="5610"/>
    <cellStyle name="40% - Accent3 7 5 4" xfId="5611"/>
    <cellStyle name="40% - Accent3 7 5 5" xfId="5612"/>
    <cellStyle name="40% - Accent3 7 5 6" xfId="5613"/>
    <cellStyle name="40% - Accent3 7 5 7" xfId="5614"/>
    <cellStyle name="40% - Accent3 7 5 8" xfId="5615"/>
    <cellStyle name="40% - Accent3 7 6" xfId="5616"/>
    <cellStyle name="40% - Accent3 7 6 2" xfId="5617"/>
    <cellStyle name="40% - Accent3 7 6 2 2" xfId="5618"/>
    <cellStyle name="40% - Accent3 7 6 3" xfId="5619"/>
    <cellStyle name="40% - Accent3 7 6 4" xfId="5620"/>
    <cellStyle name="40% - Accent3 7 7" xfId="5621"/>
    <cellStyle name="40% - Accent3 7 7 2" xfId="5622"/>
    <cellStyle name="40% - Accent3 7 8" xfId="5623"/>
    <cellStyle name="40% - Accent3 7 8 2" xfId="5624"/>
    <cellStyle name="40% - Accent3 7 9" xfId="5625"/>
    <cellStyle name="40% - Accent3 7 9 2" xfId="5626"/>
    <cellStyle name="40% - Accent3 8" xfId="5627"/>
    <cellStyle name="40% - Accent3 9" xfId="5628"/>
    <cellStyle name="40% - Accent3 9 2" xfId="5629"/>
    <cellStyle name="40% - Accent3 9 3" xfId="5630"/>
    <cellStyle name="40% - Accent4 10" xfId="5631"/>
    <cellStyle name="40% - Accent4 11" xfId="5632"/>
    <cellStyle name="40% - Accent4 2" xfId="3009"/>
    <cellStyle name="40% - Accent4 2 2" xfId="5633"/>
    <cellStyle name="40% - Accent4 2 2 2" xfId="5634"/>
    <cellStyle name="40% - Accent4 2 3" xfId="5635"/>
    <cellStyle name="40% - Accent4 2 4" xfId="5636"/>
    <cellStyle name="40% - Accent4 2 5" xfId="5637"/>
    <cellStyle name="40% - Accent4 2 6" xfId="5638"/>
    <cellStyle name="40% - Accent4 2 7" xfId="5639"/>
    <cellStyle name="40% - Accent4 3" xfId="3010"/>
    <cellStyle name="40% - Accent4 3 2" xfId="5640"/>
    <cellStyle name="40% - Accent4 3 2 2" xfId="5641"/>
    <cellStyle name="40% - Accent4 3 3" xfId="5642"/>
    <cellStyle name="40% - Accent4 3 3 2" xfId="5643"/>
    <cellStyle name="40% - Accent4 3 4" xfId="5644"/>
    <cellStyle name="40% - Accent4 4" xfId="3191"/>
    <cellStyle name="40% - Accent4 4 2" xfId="5645"/>
    <cellStyle name="40% - Accent4 4 3" xfId="5646"/>
    <cellStyle name="40% - Accent4 4 4" xfId="5647"/>
    <cellStyle name="40% - Accent4 5" xfId="5648"/>
    <cellStyle name="40% - Accent4 5 2" xfId="5649"/>
    <cellStyle name="40% - Accent4 6" xfId="5650"/>
    <cellStyle name="40% - Accent4 6 2" xfId="5651"/>
    <cellStyle name="40% - Accent4 7" xfId="5652"/>
    <cellStyle name="40% - Accent4 7 10" xfId="5653"/>
    <cellStyle name="40% - Accent4 7 11" xfId="5654"/>
    <cellStyle name="40% - Accent4 7 12" xfId="5655"/>
    <cellStyle name="40% - Accent4 7 13" xfId="5656"/>
    <cellStyle name="40% - Accent4 7 14" xfId="5657"/>
    <cellStyle name="40% - Accent4 7 2" xfId="5658"/>
    <cellStyle name="40% - Accent4 7 2 10" xfId="5659"/>
    <cellStyle name="40% - Accent4 7 2 11" xfId="5660"/>
    <cellStyle name="40% - Accent4 7 2 12" xfId="5661"/>
    <cellStyle name="40% - Accent4 7 2 13" xfId="5662"/>
    <cellStyle name="40% - Accent4 7 2 2" xfId="5663"/>
    <cellStyle name="40% - Accent4 7 2 2 10" xfId="5664"/>
    <cellStyle name="40% - Accent4 7 2 2 11" xfId="5665"/>
    <cellStyle name="40% - Accent4 7 2 2 12" xfId="5666"/>
    <cellStyle name="40% - Accent4 7 2 2 2" xfId="5667"/>
    <cellStyle name="40% - Accent4 7 2 2 2 10" xfId="5668"/>
    <cellStyle name="40% - Accent4 7 2 2 2 11" xfId="5669"/>
    <cellStyle name="40% - Accent4 7 2 2 2 2" xfId="5670"/>
    <cellStyle name="40% - Accent4 7 2 2 2 2 2" xfId="5671"/>
    <cellStyle name="40% - Accent4 7 2 2 2 2 2 2" xfId="5672"/>
    <cellStyle name="40% - Accent4 7 2 2 2 2 2 3" xfId="5673"/>
    <cellStyle name="40% - Accent4 7 2 2 2 2 3" xfId="5674"/>
    <cellStyle name="40% - Accent4 7 2 2 2 2 3 2" xfId="5675"/>
    <cellStyle name="40% - Accent4 7 2 2 2 2 4" xfId="5676"/>
    <cellStyle name="40% - Accent4 7 2 2 2 2 5" xfId="5677"/>
    <cellStyle name="40% - Accent4 7 2 2 2 2 6" xfId="5678"/>
    <cellStyle name="40% - Accent4 7 2 2 2 2 7" xfId="5679"/>
    <cellStyle name="40% - Accent4 7 2 2 2 2 8" xfId="5680"/>
    <cellStyle name="40% - Accent4 7 2 2 2 3" xfId="5681"/>
    <cellStyle name="40% - Accent4 7 2 2 2 3 2" xfId="5682"/>
    <cellStyle name="40% - Accent4 7 2 2 2 3 2 2" xfId="5683"/>
    <cellStyle name="40% - Accent4 7 2 2 2 3 3" xfId="5684"/>
    <cellStyle name="40% - Accent4 7 2 2 2 3 4" xfId="5685"/>
    <cellStyle name="40% - Accent4 7 2 2 2 4" xfId="5686"/>
    <cellStyle name="40% - Accent4 7 2 2 2 4 2" xfId="5687"/>
    <cellStyle name="40% - Accent4 7 2 2 2 5" xfId="5688"/>
    <cellStyle name="40% - Accent4 7 2 2 2 5 2" xfId="5689"/>
    <cellStyle name="40% - Accent4 7 2 2 2 6" xfId="5690"/>
    <cellStyle name="40% - Accent4 7 2 2 2 6 2" xfId="5691"/>
    <cellStyle name="40% - Accent4 7 2 2 2 7" xfId="5692"/>
    <cellStyle name="40% - Accent4 7 2 2 2 8" xfId="5693"/>
    <cellStyle name="40% - Accent4 7 2 2 2 9" xfId="5694"/>
    <cellStyle name="40% - Accent4 7 2 2 3" xfId="5695"/>
    <cellStyle name="40% - Accent4 7 2 2 3 2" xfId="5696"/>
    <cellStyle name="40% - Accent4 7 2 2 3 2 2" xfId="5697"/>
    <cellStyle name="40% - Accent4 7 2 2 3 2 3" xfId="5698"/>
    <cellStyle name="40% - Accent4 7 2 2 3 3" xfId="5699"/>
    <cellStyle name="40% - Accent4 7 2 2 3 3 2" xfId="5700"/>
    <cellStyle name="40% - Accent4 7 2 2 3 4" xfId="5701"/>
    <cellStyle name="40% - Accent4 7 2 2 3 5" xfId="5702"/>
    <cellStyle name="40% - Accent4 7 2 2 3 6" xfId="5703"/>
    <cellStyle name="40% - Accent4 7 2 2 3 7" xfId="5704"/>
    <cellStyle name="40% - Accent4 7 2 2 3 8" xfId="5705"/>
    <cellStyle name="40% - Accent4 7 2 2 4" xfId="5706"/>
    <cellStyle name="40% - Accent4 7 2 2 4 2" xfId="5707"/>
    <cellStyle name="40% - Accent4 7 2 2 4 2 2" xfId="5708"/>
    <cellStyle name="40% - Accent4 7 2 2 4 3" xfId="5709"/>
    <cellStyle name="40% - Accent4 7 2 2 4 4" xfId="5710"/>
    <cellStyle name="40% - Accent4 7 2 2 5" xfId="5711"/>
    <cellStyle name="40% - Accent4 7 2 2 5 2" xfId="5712"/>
    <cellStyle name="40% - Accent4 7 2 2 6" xfId="5713"/>
    <cellStyle name="40% - Accent4 7 2 2 6 2" xfId="5714"/>
    <cellStyle name="40% - Accent4 7 2 2 7" xfId="5715"/>
    <cellStyle name="40% - Accent4 7 2 2 7 2" xfId="5716"/>
    <cellStyle name="40% - Accent4 7 2 2 8" xfId="5717"/>
    <cellStyle name="40% - Accent4 7 2 2 9" xfId="5718"/>
    <cellStyle name="40% - Accent4 7 2 3" xfId="5719"/>
    <cellStyle name="40% - Accent4 7 2 3 10" xfId="5720"/>
    <cellStyle name="40% - Accent4 7 2 3 11" xfId="5721"/>
    <cellStyle name="40% - Accent4 7 2 3 2" xfId="5722"/>
    <cellStyle name="40% - Accent4 7 2 3 2 2" xfId="5723"/>
    <cellStyle name="40% - Accent4 7 2 3 2 2 2" xfId="5724"/>
    <cellStyle name="40% - Accent4 7 2 3 2 2 3" xfId="5725"/>
    <cellStyle name="40% - Accent4 7 2 3 2 3" xfId="5726"/>
    <cellStyle name="40% - Accent4 7 2 3 2 3 2" xfId="5727"/>
    <cellStyle name="40% - Accent4 7 2 3 2 4" xfId="5728"/>
    <cellStyle name="40% - Accent4 7 2 3 2 5" xfId="5729"/>
    <cellStyle name="40% - Accent4 7 2 3 2 6" xfId="5730"/>
    <cellStyle name="40% - Accent4 7 2 3 2 7" xfId="5731"/>
    <cellStyle name="40% - Accent4 7 2 3 2 8" xfId="5732"/>
    <cellStyle name="40% - Accent4 7 2 3 3" xfId="5733"/>
    <cellStyle name="40% - Accent4 7 2 3 3 2" xfId="5734"/>
    <cellStyle name="40% - Accent4 7 2 3 3 2 2" xfId="5735"/>
    <cellStyle name="40% - Accent4 7 2 3 3 3" xfId="5736"/>
    <cellStyle name="40% - Accent4 7 2 3 3 4" xfId="5737"/>
    <cellStyle name="40% - Accent4 7 2 3 4" xfId="5738"/>
    <cellStyle name="40% - Accent4 7 2 3 4 2" xfId="5739"/>
    <cellStyle name="40% - Accent4 7 2 3 5" xfId="5740"/>
    <cellStyle name="40% - Accent4 7 2 3 5 2" xfId="5741"/>
    <cellStyle name="40% - Accent4 7 2 3 6" xfId="5742"/>
    <cellStyle name="40% - Accent4 7 2 3 6 2" xfId="5743"/>
    <cellStyle name="40% - Accent4 7 2 3 7" xfId="5744"/>
    <cellStyle name="40% - Accent4 7 2 3 8" xfId="5745"/>
    <cellStyle name="40% - Accent4 7 2 3 9" xfId="5746"/>
    <cellStyle name="40% - Accent4 7 2 4" xfId="5747"/>
    <cellStyle name="40% - Accent4 7 2 4 2" xfId="5748"/>
    <cellStyle name="40% - Accent4 7 2 4 2 2" xfId="5749"/>
    <cellStyle name="40% - Accent4 7 2 4 2 3" xfId="5750"/>
    <cellStyle name="40% - Accent4 7 2 4 3" xfId="5751"/>
    <cellStyle name="40% - Accent4 7 2 4 3 2" xfId="5752"/>
    <cellStyle name="40% - Accent4 7 2 4 4" xfId="5753"/>
    <cellStyle name="40% - Accent4 7 2 4 5" xfId="5754"/>
    <cellStyle name="40% - Accent4 7 2 4 6" xfId="5755"/>
    <cellStyle name="40% - Accent4 7 2 4 7" xfId="5756"/>
    <cellStyle name="40% - Accent4 7 2 4 8" xfId="5757"/>
    <cellStyle name="40% - Accent4 7 2 5" xfId="5758"/>
    <cellStyle name="40% - Accent4 7 2 5 2" xfId="5759"/>
    <cellStyle name="40% - Accent4 7 2 5 2 2" xfId="5760"/>
    <cellStyle name="40% - Accent4 7 2 5 3" xfId="5761"/>
    <cellStyle name="40% - Accent4 7 2 5 4" xfId="5762"/>
    <cellStyle name="40% - Accent4 7 2 6" xfId="5763"/>
    <cellStyle name="40% - Accent4 7 2 6 2" xfId="5764"/>
    <cellStyle name="40% - Accent4 7 2 7" xfId="5765"/>
    <cellStyle name="40% - Accent4 7 2 7 2" xfId="5766"/>
    <cellStyle name="40% - Accent4 7 2 8" xfId="5767"/>
    <cellStyle name="40% - Accent4 7 2 8 2" xfId="5768"/>
    <cellStyle name="40% - Accent4 7 2 9" xfId="5769"/>
    <cellStyle name="40% - Accent4 7 3" xfId="5770"/>
    <cellStyle name="40% - Accent4 7 3 10" xfId="5771"/>
    <cellStyle name="40% - Accent4 7 3 11" xfId="5772"/>
    <cellStyle name="40% - Accent4 7 3 12" xfId="5773"/>
    <cellStyle name="40% - Accent4 7 3 2" xfId="5774"/>
    <cellStyle name="40% - Accent4 7 3 2 10" xfId="5775"/>
    <cellStyle name="40% - Accent4 7 3 2 11" xfId="5776"/>
    <cellStyle name="40% - Accent4 7 3 2 2" xfId="5777"/>
    <cellStyle name="40% - Accent4 7 3 2 2 2" xfId="5778"/>
    <cellStyle name="40% - Accent4 7 3 2 2 2 2" xfId="5779"/>
    <cellStyle name="40% - Accent4 7 3 2 2 2 3" xfId="5780"/>
    <cellStyle name="40% - Accent4 7 3 2 2 3" xfId="5781"/>
    <cellStyle name="40% - Accent4 7 3 2 2 3 2" xfId="5782"/>
    <cellStyle name="40% - Accent4 7 3 2 2 4" xfId="5783"/>
    <cellStyle name="40% - Accent4 7 3 2 2 5" xfId="5784"/>
    <cellStyle name="40% - Accent4 7 3 2 2 6" xfId="5785"/>
    <cellStyle name="40% - Accent4 7 3 2 2 7" xfId="5786"/>
    <cellStyle name="40% - Accent4 7 3 2 2 8" xfId="5787"/>
    <cellStyle name="40% - Accent4 7 3 2 3" xfId="5788"/>
    <cellStyle name="40% - Accent4 7 3 2 3 2" xfId="5789"/>
    <cellStyle name="40% - Accent4 7 3 2 3 2 2" xfId="5790"/>
    <cellStyle name="40% - Accent4 7 3 2 3 3" xfId="5791"/>
    <cellStyle name="40% - Accent4 7 3 2 3 4" xfId="5792"/>
    <cellStyle name="40% - Accent4 7 3 2 4" xfId="5793"/>
    <cellStyle name="40% - Accent4 7 3 2 4 2" xfId="5794"/>
    <cellStyle name="40% - Accent4 7 3 2 5" xfId="5795"/>
    <cellStyle name="40% - Accent4 7 3 2 5 2" xfId="5796"/>
    <cellStyle name="40% - Accent4 7 3 2 6" xfId="5797"/>
    <cellStyle name="40% - Accent4 7 3 2 6 2" xfId="5798"/>
    <cellStyle name="40% - Accent4 7 3 2 7" xfId="5799"/>
    <cellStyle name="40% - Accent4 7 3 2 8" xfId="5800"/>
    <cellStyle name="40% - Accent4 7 3 2 9" xfId="5801"/>
    <cellStyle name="40% - Accent4 7 3 3" xfId="5802"/>
    <cellStyle name="40% - Accent4 7 3 3 2" xfId="5803"/>
    <cellStyle name="40% - Accent4 7 3 3 2 2" xfId="5804"/>
    <cellStyle name="40% - Accent4 7 3 3 2 3" xfId="5805"/>
    <cellStyle name="40% - Accent4 7 3 3 3" xfId="5806"/>
    <cellStyle name="40% - Accent4 7 3 3 3 2" xfId="5807"/>
    <cellStyle name="40% - Accent4 7 3 3 4" xfId="5808"/>
    <cellStyle name="40% - Accent4 7 3 3 5" xfId="5809"/>
    <cellStyle name="40% - Accent4 7 3 3 6" xfId="5810"/>
    <cellStyle name="40% - Accent4 7 3 3 7" xfId="5811"/>
    <cellStyle name="40% - Accent4 7 3 3 8" xfId="5812"/>
    <cellStyle name="40% - Accent4 7 3 4" xfId="5813"/>
    <cellStyle name="40% - Accent4 7 3 4 2" xfId="5814"/>
    <cellStyle name="40% - Accent4 7 3 4 2 2" xfId="5815"/>
    <cellStyle name="40% - Accent4 7 3 4 3" xfId="5816"/>
    <cellStyle name="40% - Accent4 7 3 4 4" xfId="5817"/>
    <cellStyle name="40% - Accent4 7 3 5" xfId="5818"/>
    <cellStyle name="40% - Accent4 7 3 5 2" xfId="5819"/>
    <cellStyle name="40% - Accent4 7 3 6" xfId="5820"/>
    <cellStyle name="40% - Accent4 7 3 6 2" xfId="5821"/>
    <cellStyle name="40% - Accent4 7 3 7" xfId="5822"/>
    <cellStyle name="40% - Accent4 7 3 7 2" xfId="5823"/>
    <cellStyle name="40% - Accent4 7 3 8" xfId="5824"/>
    <cellStyle name="40% - Accent4 7 3 9" xfId="5825"/>
    <cellStyle name="40% - Accent4 7 4" xfId="5826"/>
    <cellStyle name="40% - Accent4 7 4 10" xfId="5827"/>
    <cellStyle name="40% - Accent4 7 4 11" xfId="5828"/>
    <cellStyle name="40% - Accent4 7 4 2" xfId="5829"/>
    <cellStyle name="40% - Accent4 7 4 2 2" xfId="5830"/>
    <cellStyle name="40% - Accent4 7 4 2 2 2" xfId="5831"/>
    <cellStyle name="40% - Accent4 7 4 2 2 3" xfId="5832"/>
    <cellStyle name="40% - Accent4 7 4 2 3" xfId="5833"/>
    <cellStyle name="40% - Accent4 7 4 2 3 2" xfId="5834"/>
    <cellStyle name="40% - Accent4 7 4 2 4" xfId="5835"/>
    <cellStyle name="40% - Accent4 7 4 2 5" xfId="5836"/>
    <cellStyle name="40% - Accent4 7 4 2 6" xfId="5837"/>
    <cellStyle name="40% - Accent4 7 4 2 7" xfId="5838"/>
    <cellStyle name="40% - Accent4 7 4 2 8" xfId="5839"/>
    <cellStyle name="40% - Accent4 7 4 3" xfId="5840"/>
    <cellStyle name="40% - Accent4 7 4 3 2" xfId="5841"/>
    <cellStyle name="40% - Accent4 7 4 3 2 2" xfId="5842"/>
    <cellStyle name="40% - Accent4 7 4 3 3" xfId="5843"/>
    <cellStyle name="40% - Accent4 7 4 3 4" xfId="5844"/>
    <cellStyle name="40% - Accent4 7 4 4" xfId="5845"/>
    <cellStyle name="40% - Accent4 7 4 4 2" xfId="5846"/>
    <cellStyle name="40% - Accent4 7 4 5" xfId="5847"/>
    <cellStyle name="40% - Accent4 7 4 5 2" xfId="5848"/>
    <cellStyle name="40% - Accent4 7 4 6" xfId="5849"/>
    <cellStyle name="40% - Accent4 7 4 6 2" xfId="5850"/>
    <cellStyle name="40% - Accent4 7 4 7" xfId="5851"/>
    <cellStyle name="40% - Accent4 7 4 8" xfId="5852"/>
    <cellStyle name="40% - Accent4 7 4 9" xfId="5853"/>
    <cellStyle name="40% - Accent4 7 5" xfId="5854"/>
    <cellStyle name="40% - Accent4 7 5 2" xfId="5855"/>
    <cellStyle name="40% - Accent4 7 5 2 2" xfId="5856"/>
    <cellStyle name="40% - Accent4 7 5 2 3" xfId="5857"/>
    <cellStyle name="40% - Accent4 7 5 3" xfId="5858"/>
    <cellStyle name="40% - Accent4 7 5 3 2" xfId="5859"/>
    <cellStyle name="40% - Accent4 7 5 4" xfId="5860"/>
    <cellStyle name="40% - Accent4 7 5 5" xfId="5861"/>
    <cellStyle name="40% - Accent4 7 5 6" xfId="5862"/>
    <cellStyle name="40% - Accent4 7 5 7" xfId="5863"/>
    <cellStyle name="40% - Accent4 7 5 8" xfId="5864"/>
    <cellStyle name="40% - Accent4 7 6" xfId="5865"/>
    <cellStyle name="40% - Accent4 7 6 2" xfId="5866"/>
    <cellStyle name="40% - Accent4 7 6 2 2" xfId="5867"/>
    <cellStyle name="40% - Accent4 7 6 3" xfId="5868"/>
    <cellStyle name="40% - Accent4 7 6 4" xfId="5869"/>
    <cellStyle name="40% - Accent4 7 7" xfId="5870"/>
    <cellStyle name="40% - Accent4 7 7 2" xfId="5871"/>
    <cellStyle name="40% - Accent4 7 8" xfId="5872"/>
    <cellStyle name="40% - Accent4 7 8 2" xfId="5873"/>
    <cellStyle name="40% - Accent4 7 9" xfId="5874"/>
    <cellStyle name="40% - Accent4 7 9 2" xfId="5875"/>
    <cellStyle name="40% - Accent4 8" xfId="5876"/>
    <cellStyle name="40% - Accent4 9" xfId="5877"/>
    <cellStyle name="40% - Accent4 9 2" xfId="5878"/>
    <cellStyle name="40% - Accent4 9 3" xfId="5879"/>
    <cellStyle name="40% - Accent5 10" xfId="5880"/>
    <cellStyle name="40% - Accent5 11" xfId="5881"/>
    <cellStyle name="40% - Accent5 2" xfId="3011"/>
    <cellStyle name="40% - Accent5 2 2" xfId="5882"/>
    <cellStyle name="40% - Accent5 2 2 2" xfId="5883"/>
    <cellStyle name="40% - Accent5 2 3" xfId="5884"/>
    <cellStyle name="40% - Accent5 2 4" xfId="5885"/>
    <cellStyle name="40% - Accent5 2 5" xfId="5886"/>
    <cellStyle name="40% - Accent5 2 6" xfId="5887"/>
    <cellStyle name="40% - Accent5 3" xfId="3012"/>
    <cellStyle name="40% - Accent5 3 2" xfId="5888"/>
    <cellStyle name="40% - Accent5 3 2 2" xfId="5889"/>
    <cellStyle name="40% - Accent5 3 3" xfId="5890"/>
    <cellStyle name="40% - Accent5 3 3 2" xfId="5891"/>
    <cellStyle name="40% - Accent5 3 4" xfId="5892"/>
    <cellStyle name="40% - Accent5 4" xfId="3192"/>
    <cellStyle name="40% - Accent5 4 2" xfId="5893"/>
    <cellStyle name="40% - Accent5 4 3" xfId="5894"/>
    <cellStyle name="40% - Accent5 4 4" xfId="5895"/>
    <cellStyle name="40% - Accent5 5" xfId="5896"/>
    <cellStyle name="40% - Accent5 5 2" xfId="5897"/>
    <cellStyle name="40% - Accent5 6" xfId="5898"/>
    <cellStyle name="40% - Accent5 6 2" xfId="5899"/>
    <cellStyle name="40% - Accent5 7" xfId="5900"/>
    <cellStyle name="40% - Accent5 7 10" xfId="5901"/>
    <cellStyle name="40% - Accent5 7 11" xfId="5902"/>
    <cellStyle name="40% - Accent5 7 12" xfId="5903"/>
    <cellStyle name="40% - Accent5 7 13" xfId="5904"/>
    <cellStyle name="40% - Accent5 7 14" xfId="5905"/>
    <cellStyle name="40% - Accent5 7 2" xfId="5906"/>
    <cellStyle name="40% - Accent5 7 2 10" xfId="5907"/>
    <cellStyle name="40% - Accent5 7 2 11" xfId="5908"/>
    <cellStyle name="40% - Accent5 7 2 12" xfId="5909"/>
    <cellStyle name="40% - Accent5 7 2 13" xfId="5910"/>
    <cellStyle name="40% - Accent5 7 2 2" xfId="5911"/>
    <cellStyle name="40% - Accent5 7 2 2 10" xfId="5912"/>
    <cellStyle name="40% - Accent5 7 2 2 11" xfId="5913"/>
    <cellStyle name="40% - Accent5 7 2 2 12" xfId="5914"/>
    <cellStyle name="40% - Accent5 7 2 2 2" xfId="5915"/>
    <cellStyle name="40% - Accent5 7 2 2 2 10" xfId="5916"/>
    <cellStyle name="40% - Accent5 7 2 2 2 11" xfId="5917"/>
    <cellStyle name="40% - Accent5 7 2 2 2 2" xfId="5918"/>
    <cellStyle name="40% - Accent5 7 2 2 2 2 2" xfId="5919"/>
    <cellStyle name="40% - Accent5 7 2 2 2 2 2 2" xfId="5920"/>
    <cellStyle name="40% - Accent5 7 2 2 2 2 2 3" xfId="5921"/>
    <cellStyle name="40% - Accent5 7 2 2 2 2 3" xfId="5922"/>
    <cellStyle name="40% - Accent5 7 2 2 2 2 3 2" xfId="5923"/>
    <cellStyle name="40% - Accent5 7 2 2 2 2 4" xfId="5924"/>
    <cellStyle name="40% - Accent5 7 2 2 2 2 5" xfId="5925"/>
    <cellStyle name="40% - Accent5 7 2 2 2 2 6" xfId="5926"/>
    <cellStyle name="40% - Accent5 7 2 2 2 2 7" xfId="5927"/>
    <cellStyle name="40% - Accent5 7 2 2 2 2 8" xfId="5928"/>
    <cellStyle name="40% - Accent5 7 2 2 2 3" xfId="5929"/>
    <cellStyle name="40% - Accent5 7 2 2 2 3 2" xfId="5930"/>
    <cellStyle name="40% - Accent5 7 2 2 2 3 2 2" xfId="5931"/>
    <cellStyle name="40% - Accent5 7 2 2 2 3 3" xfId="5932"/>
    <cellStyle name="40% - Accent5 7 2 2 2 3 4" xfId="5933"/>
    <cellStyle name="40% - Accent5 7 2 2 2 4" xfId="5934"/>
    <cellStyle name="40% - Accent5 7 2 2 2 4 2" xfId="5935"/>
    <cellStyle name="40% - Accent5 7 2 2 2 5" xfId="5936"/>
    <cellStyle name="40% - Accent5 7 2 2 2 5 2" xfId="5937"/>
    <cellStyle name="40% - Accent5 7 2 2 2 6" xfId="5938"/>
    <cellStyle name="40% - Accent5 7 2 2 2 6 2" xfId="5939"/>
    <cellStyle name="40% - Accent5 7 2 2 2 7" xfId="5940"/>
    <cellStyle name="40% - Accent5 7 2 2 2 8" xfId="5941"/>
    <cellStyle name="40% - Accent5 7 2 2 2 9" xfId="5942"/>
    <cellStyle name="40% - Accent5 7 2 2 3" xfId="5943"/>
    <cellStyle name="40% - Accent5 7 2 2 3 2" xfId="5944"/>
    <cellStyle name="40% - Accent5 7 2 2 3 2 2" xfId="5945"/>
    <cellStyle name="40% - Accent5 7 2 2 3 2 3" xfId="5946"/>
    <cellStyle name="40% - Accent5 7 2 2 3 3" xfId="5947"/>
    <cellStyle name="40% - Accent5 7 2 2 3 3 2" xfId="5948"/>
    <cellStyle name="40% - Accent5 7 2 2 3 4" xfId="5949"/>
    <cellStyle name="40% - Accent5 7 2 2 3 5" xfId="5950"/>
    <cellStyle name="40% - Accent5 7 2 2 3 6" xfId="5951"/>
    <cellStyle name="40% - Accent5 7 2 2 3 7" xfId="5952"/>
    <cellStyle name="40% - Accent5 7 2 2 3 8" xfId="5953"/>
    <cellStyle name="40% - Accent5 7 2 2 4" xfId="5954"/>
    <cellStyle name="40% - Accent5 7 2 2 4 2" xfId="5955"/>
    <cellStyle name="40% - Accent5 7 2 2 4 2 2" xfId="5956"/>
    <cellStyle name="40% - Accent5 7 2 2 4 3" xfId="5957"/>
    <cellStyle name="40% - Accent5 7 2 2 4 4" xfId="5958"/>
    <cellStyle name="40% - Accent5 7 2 2 5" xfId="5959"/>
    <cellStyle name="40% - Accent5 7 2 2 5 2" xfId="5960"/>
    <cellStyle name="40% - Accent5 7 2 2 6" xfId="5961"/>
    <cellStyle name="40% - Accent5 7 2 2 6 2" xfId="5962"/>
    <cellStyle name="40% - Accent5 7 2 2 7" xfId="5963"/>
    <cellStyle name="40% - Accent5 7 2 2 7 2" xfId="5964"/>
    <cellStyle name="40% - Accent5 7 2 2 8" xfId="5965"/>
    <cellStyle name="40% - Accent5 7 2 2 9" xfId="5966"/>
    <cellStyle name="40% - Accent5 7 2 3" xfId="5967"/>
    <cellStyle name="40% - Accent5 7 2 3 10" xfId="5968"/>
    <cellStyle name="40% - Accent5 7 2 3 11" xfId="5969"/>
    <cellStyle name="40% - Accent5 7 2 3 2" xfId="5970"/>
    <cellStyle name="40% - Accent5 7 2 3 2 2" xfId="5971"/>
    <cellStyle name="40% - Accent5 7 2 3 2 2 2" xfId="5972"/>
    <cellStyle name="40% - Accent5 7 2 3 2 2 3" xfId="5973"/>
    <cellStyle name="40% - Accent5 7 2 3 2 3" xfId="5974"/>
    <cellStyle name="40% - Accent5 7 2 3 2 3 2" xfId="5975"/>
    <cellStyle name="40% - Accent5 7 2 3 2 4" xfId="5976"/>
    <cellStyle name="40% - Accent5 7 2 3 2 5" xfId="5977"/>
    <cellStyle name="40% - Accent5 7 2 3 2 6" xfId="5978"/>
    <cellStyle name="40% - Accent5 7 2 3 2 7" xfId="5979"/>
    <cellStyle name="40% - Accent5 7 2 3 2 8" xfId="5980"/>
    <cellStyle name="40% - Accent5 7 2 3 3" xfId="5981"/>
    <cellStyle name="40% - Accent5 7 2 3 3 2" xfId="5982"/>
    <cellStyle name="40% - Accent5 7 2 3 3 2 2" xfId="5983"/>
    <cellStyle name="40% - Accent5 7 2 3 3 3" xfId="5984"/>
    <cellStyle name="40% - Accent5 7 2 3 3 4" xfId="5985"/>
    <cellStyle name="40% - Accent5 7 2 3 4" xfId="5986"/>
    <cellStyle name="40% - Accent5 7 2 3 4 2" xfId="5987"/>
    <cellStyle name="40% - Accent5 7 2 3 5" xfId="5988"/>
    <cellStyle name="40% - Accent5 7 2 3 5 2" xfId="5989"/>
    <cellStyle name="40% - Accent5 7 2 3 6" xfId="5990"/>
    <cellStyle name="40% - Accent5 7 2 3 6 2" xfId="5991"/>
    <cellStyle name="40% - Accent5 7 2 3 7" xfId="5992"/>
    <cellStyle name="40% - Accent5 7 2 3 8" xfId="5993"/>
    <cellStyle name="40% - Accent5 7 2 3 9" xfId="5994"/>
    <cellStyle name="40% - Accent5 7 2 4" xfId="5995"/>
    <cellStyle name="40% - Accent5 7 2 4 2" xfId="5996"/>
    <cellStyle name="40% - Accent5 7 2 4 2 2" xfId="5997"/>
    <cellStyle name="40% - Accent5 7 2 4 2 3" xfId="5998"/>
    <cellStyle name="40% - Accent5 7 2 4 3" xfId="5999"/>
    <cellStyle name="40% - Accent5 7 2 4 3 2" xfId="6000"/>
    <cellStyle name="40% - Accent5 7 2 4 4" xfId="6001"/>
    <cellStyle name="40% - Accent5 7 2 4 5" xfId="6002"/>
    <cellStyle name="40% - Accent5 7 2 4 6" xfId="6003"/>
    <cellStyle name="40% - Accent5 7 2 4 7" xfId="6004"/>
    <cellStyle name="40% - Accent5 7 2 4 8" xfId="6005"/>
    <cellStyle name="40% - Accent5 7 2 5" xfId="6006"/>
    <cellStyle name="40% - Accent5 7 2 5 2" xfId="6007"/>
    <cellStyle name="40% - Accent5 7 2 5 2 2" xfId="6008"/>
    <cellStyle name="40% - Accent5 7 2 5 3" xfId="6009"/>
    <cellStyle name="40% - Accent5 7 2 5 4" xfId="6010"/>
    <cellStyle name="40% - Accent5 7 2 6" xfId="6011"/>
    <cellStyle name="40% - Accent5 7 2 6 2" xfId="6012"/>
    <cellStyle name="40% - Accent5 7 2 7" xfId="6013"/>
    <cellStyle name="40% - Accent5 7 2 7 2" xfId="6014"/>
    <cellStyle name="40% - Accent5 7 2 8" xfId="6015"/>
    <cellStyle name="40% - Accent5 7 2 8 2" xfId="6016"/>
    <cellStyle name="40% - Accent5 7 2 9" xfId="6017"/>
    <cellStyle name="40% - Accent5 7 3" xfId="6018"/>
    <cellStyle name="40% - Accent5 7 3 10" xfId="6019"/>
    <cellStyle name="40% - Accent5 7 3 11" xfId="6020"/>
    <cellStyle name="40% - Accent5 7 3 12" xfId="6021"/>
    <cellStyle name="40% - Accent5 7 3 2" xfId="6022"/>
    <cellStyle name="40% - Accent5 7 3 2 10" xfId="6023"/>
    <cellStyle name="40% - Accent5 7 3 2 11" xfId="6024"/>
    <cellStyle name="40% - Accent5 7 3 2 2" xfId="6025"/>
    <cellStyle name="40% - Accent5 7 3 2 2 2" xfId="6026"/>
    <cellStyle name="40% - Accent5 7 3 2 2 2 2" xfId="6027"/>
    <cellStyle name="40% - Accent5 7 3 2 2 2 3" xfId="6028"/>
    <cellStyle name="40% - Accent5 7 3 2 2 3" xfId="6029"/>
    <cellStyle name="40% - Accent5 7 3 2 2 3 2" xfId="6030"/>
    <cellStyle name="40% - Accent5 7 3 2 2 4" xfId="6031"/>
    <cellStyle name="40% - Accent5 7 3 2 2 5" xfId="6032"/>
    <cellStyle name="40% - Accent5 7 3 2 2 6" xfId="6033"/>
    <cellStyle name="40% - Accent5 7 3 2 2 7" xfId="6034"/>
    <cellStyle name="40% - Accent5 7 3 2 2 8" xfId="6035"/>
    <cellStyle name="40% - Accent5 7 3 2 3" xfId="6036"/>
    <cellStyle name="40% - Accent5 7 3 2 3 2" xfId="6037"/>
    <cellStyle name="40% - Accent5 7 3 2 3 2 2" xfId="6038"/>
    <cellStyle name="40% - Accent5 7 3 2 3 3" xfId="6039"/>
    <cellStyle name="40% - Accent5 7 3 2 3 4" xfId="6040"/>
    <cellStyle name="40% - Accent5 7 3 2 4" xfId="6041"/>
    <cellStyle name="40% - Accent5 7 3 2 4 2" xfId="6042"/>
    <cellStyle name="40% - Accent5 7 3 2 5" xfId="6043"/>
    <cellStyle name="40% - Accent5 7 3 2 5 2" xfId="6044"/>
    <cellStyle name="40% - Accent5 7 3 2 6" xfId="6045"/>
    <cellStyle name="40% - Accent5 7 3 2 6 2" xfId="6046"/>
    <cellStyle name="40% - Accent5 7 3 2 7" xfId="6047"/>
    <cellStyle name="40% - Accent5 7 3 2 8" xfId="6048"/>
    <cellStyle name="40% - Accent5 7 3 2 9" xfId="6049"/>
    <cellStyle name="40% - Accent5 7 3 3" xfId="6050"/>
    <cellStyle name="40% - Accent5 7 3 3 2" xfId="6051"/>
    <cellStyle name="40% - Accent5 7 3 3 2 2" xfId="6052"/>
    <cellStyle name="40% - Accent5 7 3 3 2 3" xfId="6053"/>
    <cellStyle name="40% - Accent5 7 3 3 3" xfId="6054"/>
    <cellStyle name="40% - Accent5 7 3 3 3 2" xfId="6055"/>
    <cellStyle name="40% - Accent5 7 3 3 4" xfId="6056"/>
    <cellStyle name="40% - Accent5 7 3 3 5" xfId="6057"/>
    <cellStyle name="40% - Accent5 7 3 3 6" xfId="6058"/>
    <cellStyle name="40% - Accent5 7 3 3 7" xfId="6059"/>
    <cellStyle name="40% - Accent5 7 3 3 8" xfId="6060"/>
    <cellStyle name="40% - Accent5 7 3 4" xfId="6061"/>
    <cellStyle name="40% - Accent5 7 3 4 2" xfId="6062"/>
    <cellStyle name="40% - Accent5 7 3 4 2 2" xfId="6063"/>
    <cellStyle name="40% - Accent5 7 3 4 3" xfId="6064"/>
    <cellStyle name="40% - Accent5 7 3 4 4" xfId="6065"/>
    <cellStyle name="40% - Accent5 7 3 5" xfId="6066"/>
    <cellStyle name="40% - Accent5 7 3 5 2" xfId="6067"/>
    <cellStyle name="40% - Accent5 7 3 6" xfId="6068"/>
    <cellStyle name="40% - Accent5 7 3 6 2" xfId="6069"/>
    <cellStyle name="40% - Accent5 7 3 7" xfId="6070"/>
    <cellStyle name="40% - Accent5 7 3 7 2" xfId="6071"/>
    <cellStyle name="40% - Accent5 7 3 8" xfId="6072"/>
    <cellStyle name="40% - Accent5 7 3 9" xfId="6073"/>
    <cellStyle name="40% - Accent5 7 4" xfId="6074"/>
    <cellStyle name="40% - Accent5 7 4 10" xfId="6075"/>
    <cellStyle name="40% - Accent5 7 4 11" xfId="6076"/>
    <cellStyle name="40% - Accent5 7 4 2" xfId="6077"/>
    <cellStyle name="40% - Accent5 7 4 2 2" xfId="6078"/>
    <cellStyle name="40% - Accent5 7 4 2 2 2" xfId="6079"/>
    <cellStyle name="40% - Accent5 7 4 2 2 3" xfId="6080"/>
    <cellStyle name="40% - Accent5 7 4 2 3" xfId="6081"/>
    <cellStyle name="40% - Accent5 7 4 2 3 2" xfId="6082"/>
    <cellStyle name="40% - Accent5 7 4 2 4" xfId="6083"/>
    <cellStyle name="40% - Accent5 7 4 2 5" xfId="6084"/>
    <cellStyle name="40% - Accent5 7 4 2 6" xfId="6085"/>
    <cellStyle name="40% - Accent5 7 4 2 7" xfId="6086"/>
    <cellStyle name="40% - Accent5 7 4 2 8" xfId="6087"/>
    <cellStyle name="40% - Accent5 7 4 3" xfId="6088"/>
    <cellStyle name="40% - Accent5 7 4 3 2" xfId="6089"/>
    <cellStyle name="40% - Accent5 7 4 3 2 2" xfId="6090"/>
    <cellStyle name="40% - Accent5 7 4 3 3" xfId="6091"/>
    <cellStyle name="40% - Accent5 7 4 3 4" xfId="6092"/>
    <cellStyle name="40% - Accent5 7 4 4" xfId="6093"/>
    <cellStyle name="40% - Accent5 7 4 4 2" xfId="6094"/>
    <cellStyle name="40% - Accent5 7 4 5" xfId="6095"/>
    <cellStyle name="40% - Accent5 7 4 5 2" xfId="6096"/>
    <cellStyle name="40% - Accent5 7 4 6" xfId="6097"/>
    <cellStyle name="40% - Accent5 7 4 6 2" xfId="6098"/>
    <cellStyle name="40% - Accent5 7 4 7" xfId="6099"/>
    <cellStyle name="40% - Accent5 7 4 8" xfId="6100"/>
    <cellStyle name="40% - Accent5 7 4 9" xfId="6101"/>
    <cellStyle name="40% - Accent5 7 5" xfId="6102"/>
    <cellStyle name="40% - Accent5 7 5 2" xfId="6103"/>
    <cellStyle name="40% - Accent5 7 5 2 2" xfId="6104"/>
    <cellStyle name="40% - Accent5 7 5 2 3" xfId="6105"/>
    <cellStyle name="40% - Accent5 7 5 3" xfId="6106"/>
    <cellStyle name="40% - Accent5 7 5 3 2" xfId="6107"/>
    <cellStyle name="40% - Accent5 7 5 4" xfId="6108"/>
    <cellStyle name="40% - Accent5 7 5 5" xfId="6109"/>
    <cellStyle name="40% - Accent5 7 5 6" xfId="6110"/>
    <cellStyle name="40% - Accent5 7 5 7" xfId="6111"/>
    <cellStyle name="40% - Accent5 7 5 8" xfId="6112"/>
    <cellStyle name="40% - Accent5 7 6" xfId="6113"/>
    <cellStyle name="40% - Accent5 7 6 2" xfId="6114"/>
    <cellStyle name="40% - Accent5 7 6 2 2" xfId="6115"/>
    <cellStyle name="40% - Accent5 7 6 3" xfId="6116"/>
    <cellStyle name="40% - Accent5 7 6 4" xfId="6117"/>
    <cellStyle name="40% - Accent5 7 7" xfId="6118"/>
    <cellStyle name="40% - Accent5 7 7 2" xfId="6119"/>
    <cellStyle name="40% - Accent5 7 8" xfId="6120"/>
    <cellStyle name="40% - Accent5 7 8 2" xfId="6121"/>
    <cellStyle name="40% - Accent5 7 9" xfId="6122"/>
    <cellStyle name="40% - Accent5 7 9 2" xfId="6123"/>
    <cellStyle name="40% - Accent5 8" xfId="6124"/>
    <cellStyle name="40% - Accent5 9" xfId="6125"/>
    <cellStyle name="40% - Accent5 9 2" xfId="6126"/>
    <cellStyle name="40% - Accent5 9 3" xfId="6127"/>
    <cellStyle name="40% - Accent6 10" xfId="6128"/>
    <cellStyle name="40% - Accent6 11" xfId="6129"/>
    <cellStyle name="40% - Accent6 2" xfId="3013"/>
    <cellStyle name="40% - Accent6 2 2" xfId="6130"/>
    <cellStyle name="40% - Accent6 2 2 2" xfId="6131"/>
    <cellStyle name="40% - Accent6 2 3" xfId="6132"/>
    <cellStyle name="40% - Accent6 2 4" xfId="6133"/>
    <cellStyle name="40% - Accent6 2 5" xfId="6134"/>
    <cellStyle name="40% - Accent6 2 6" xfId="6135"/>
    <cellStyle name="40% - Accent6 2 7" xfId="6136"/>
    <cellStyle name="40% - Accent6 3" xfId="3014"/>
    <cellStyle name="40% - Accent6 3 2" xfId="6137"/>
    <cellStyle name="40% - Accent6 3 2 2" xfId="6138"/>
    <cellStyle name="40% - Accent6 3 3" xfId="6139"/>
    <cellStyle name="40% - Accent6 3 3 2" xfId="6140"/>
    <cellStyle name="40% - Accent6 3 4" xfId="6141"/>
    <cellStyle name="40% - Accent6 4" xfId="3193"/>
    <cellStyle name="40% - Accent6 4 2" xfId="6142"/>
    <cellStyle name="40% - Accent6 4 3" xfId="6143"/>
    <cellStyle name="40% - Accent6 4 4" xfId="6144"/>
    <cellStyle name="40% - Accent6 5" xfId="6145"/>
    <cellStyle name="40% - Accent6 5 2" xfId="6146"/>
    <cellStyle name="40% - Accent6 6" xfId="6147"/>
    <cellStyle name="40% - Accent6 6 2" xfId="6148"/>
    <cellStyle name="40% - Accent6 7" xfId="6149"/>
    <cellStyle name="40% - Accent6 7 10" xfId="6150"/>
    <cellStyle name="40% - Accent6 7 11" xfId="6151"/>
    <cellStyle name="40% - Accent6 7 12" xfId="6152"/>
    <cellStyle name="40% - Accent6 7 13" xfId="6153"/>
    <cellStyle name="40% - Accent6 7 14" xfId="6154"/>
    <cellStyle name="40% - Accent6 7 2" xfId="6155"/>
    <cellStyle name="40% - Accent6 7 2 10" xfId="6156"/>
    <cellStyle name="40% - Accent6 7 2 11" xfId="6157"/>
    <cellStyle name="40% - Accent6 7 2 12" xfId="6158"/>
    <cellStyle name="40% - Accent6 7 2 13" xfId="6159"/>
    <cellStyle name="40% - Accent6 7 2 2" xfId="6160"/>
    <cellStyle name="40% - Accent6 7 2 2 10" xfId="6161"/>
    <cellStyle name="40% - Accent6 7 2 2 11" xfId="6162"/>
    <cellStyle name="40% - Accent6 7 2 2 12" xfId="6163"/>
    <cellStyle name="40% - Accent6 7 2 2 2" xfId="6164"/>
    <cellStyle name="40% - Accent6 7 2 2 2 10" xfId="6165"/>
    <cellStyle name="40% - Accent6 7 2 2 2 11" xfId="6166"/>
    <cellStyle name="40% - Accent6 7 2 2 2 2" xfId="6167"/>
    <cellStyle name="40% - Accent6 7 2 2 2 2 2" xfId="6168"/>
    <cellStyle name="40% - Accent6 7 2 2 2 2 2 2" xfId="6169"/>
    <cellStyle name="40% - Accent6 7 2 2 2 2 2 3" xfId="6170"/>
    <cellStyle name="40% - Accent6 7 2 2 2 2 3" xfId="6171"/>
    <cellStyle name="40% - Accent6 7 2 2 2 2 3 2" xfId="6172"/>
    <cellStyle name="40% - Accent6 7 2 2 2 2 4" xfId="6173"/>
    <cellStyle name="40% - Accent6 7 2 2 2 2 5" xfId="6174"/>
    <cellStyle name="40% - Accent6 7 2 2 2 2 6" xfId="6175"/>
    <cellStyle name="40% - Accent6 7 2 2 2 2 7" xfId="6176"/>
    <cellStyle name="40% - Accent6 7 2 2 2 2 8" xfId="6177"/>
    <cellStyle name="40% - Accent6 7 2 2 2 3" xfId="6178"/>
    <cellStyle name="40% - Accent6 7 2 2 2 3 2" xfId="6179"/>
    <cellStyle name="40% - Accent6 7 2 2 2 3 2 2" xfId="6180"/>
    <cellStyle name="40% - Accent6 7 2 2 2 3 3" xfId="6181"/>
    <cellStyle name="40% - Accent6 7 2 2 2 3 4" xfId="6182"/>
    <cellStyle name="40% - Accent6 7 2 2 2 4" xfId="6183"/>
    <cellStyle name="40% - Accent6 7 2 2 2 4 2" xfId="6184"/>
    <cellStyle name="40% - Accent6 7 2 2 2 5" xfId="6185"/>
    <cellStyle name="40% - Accent6 7 2 2 2 5 2" xfId="6186"/>
    <cellStyle name="40% - Accent6 7 2 2 2 6" xfId="6187"/>
    <cellStyle name="40% - Accent6 7 2 2 2 6 2" xfId="6188"/>
    <cellStyle name="40% - Accent6 7 2 2 2 7" xfId="6189"/>
    <cellStyle name="40% - Accent6 7 2 2 2 8" xfId="6190"/>
    <cellStyle name="40% - Accent6 7 2 2 2 9" xfId="6191"/>
    <cellStyle name="40% - Accent6 7 2 2 3" xfId="6192"/>
    <cellStyle name="40% - Accent6 7 2 2 3 2" xfId="6193"/>
    <cellStyle name="40% - Accent6 7 2 2 3 2 2" xfId="6194"/>
    <cellStyle name="40% - Accent6 7 2 2 3 2 3" xfId="6195"/>
    <cellStyle name="40% - Accent6 7 2 2 3 3" xfId="6196"/>
    <cellStyle name="40% - Accent6 7 2 2 3 3 2" xfId="6197"/>
    <cellStyle name="40% - Accent6 7 2 2 3 4" xfId="6198"/>
    <cellStyle name="40% - Accent6 7 2 2 3 5" xfId="6199"/>
    <cellStyle name="40% - Accent6 7 2 2 3 6" xfId="6200"/>
    <cellStyle name="40% - Accent6 7 2 2 3 7" xfId="6201"/>
    <cellStyle name="40% - Accent6 7 2 2 3 8" xfId="6202"/>
    <cellStyle name="40% - Accent6 7 2 2 4" xfId="6203"/>
    <cellStyle name="40% - Accent6 7 2 2 4 2" xfId="6204"/>
    <cellStyle name="40% - Accent6 7 2 2 4 2 2" xfId="6205"/>
    <cellStyle name="40% - Accent6 7 2 2 4 3" xfId="6206"/>
    <cellStyle name="40% - Accent6 7 2 2 4 4" xfId="6207"/>
    <cellStyle name="40% - Accent6 7 2 2 5" xfId="6208"/>
    <cellStyle name="40% - Accent6 7 2 2 5 2" xfId="6209"/>
    <cellStyle name="40% - Accent6 7 2 2 6" xfId="6210"/>
    <cellStyle name="40% - Accent6 7 2 2 6 2" xfId="6211"/>
    <cellStyle name="40% - Accent6 7 2 2 7" xfId="6212"/>
    <cellStyle name="40% - Accent6 7 2 2 7 2" xfId="6213"/>
    <cellStyle name="40% - Accent6 7 2 2 8" xfId="6214"/>
    <cellStyle name="40% - Accent6 7 2 2 9" xfId="6215"/>
    <cellStyle name="40% - Accent6 7 2 3" xfId="6216"/>
    <cellStyle name="40% - Accent6 7 2 3 10" xfId="6217"/>
    <cellStyle name="40% - Accent6 7 2 3 11" xfId="6218"/>
    <cellStyle name="40% - Accent6 7 2 3 2" xfId="6219"/>
    <cellStyle name="40% - Accent6 7 2 3 2 2" xfId="6220"/>
    <cellStyle name="40% - Accent6 7 2 3 2 2 2" xfId="6221"/>
    <cellStyle name="40% - Accent6 7 2 3 2 2 3" xfId="6222"/>
    <cellStyle name="40% - Accent6 7 2 3 2 3" xfId="6223"/>
    <cellStyle name="40% - Accent6 7 2 3 2 3 2" xfId="6224"/>
    <cellStyle name="40% - Accent6 7 2 3 2 4" xfId="6225"/>
    <cellStyle name="40% - Accent6 7 2 3 2 5" xfId="6226"/>
    <cellStyle name="40% - Accent6 7 2 3 2 6" xfId="6227"/>
    <cellStyle name="40% - Accent6 7 2 3 2 7" xfId="6228"/>
    <cellStyle name="40% - Accent6 7 2 3 2 8" xfId="6229"/>
    <cellStyle name="40% - Accent6 7 2 3 3" xfId="6230"/>
    <cellStyle name="40% - Accent6 7 2 3 3 2" xfId="6231"/>
    <cellStyle name="40% - Accent6 7 2 3 3 2 2" xfId="6232"/>
    <cellStyle name="40% - Accent6 7 2 3 3 3" xfId="6233"/>
    <cellStyle name="40% - Accent6 7 2 3 3 4" xfId="6234"/>
    <cellStyle name="40% - Accent6 7 2 3 4" xfId="6235"/>
    <cellStyle name="40% - Accent6 7 2 3 4 2" xfId="6236"/>
    <cellStyle name="40% - Accent6 7 2 3 5" xfId="6237"/>
    <cellStyle name="40% - Accent6 7 2 3 5 2" xfId="6238"/>
    <cellStyle name="40% - Accent6 7 2 3 6" xfId="6239"/>
    <cellStyle name="40% - Accent6 7 2 3 6 2" xfId="6240"/>
    <cellStyle name="40% - Accent6 7 2 3 7" xfId="6241"/>
    <cellStyle name="40% - Accent6 7 2 3 8" xfId="6242"/>
    <cellStyle name="40% - Accent6 7 2 3 9" xfId="6243"/>
    <cellStyle name="40% - Accent6 7 2 4" xfId="6244"/>
    <cellStyle name="40% - Accent6 7 2 4 2" xfId="6245"/>
    <cellStyle name="40% - Accent6 7 2 4 2 2" xfId="6246"/>
    <cellStyle name="40% - Accent6 7 2 4 2 3" xfId="6247"/>
    <cellStyle name="40% - Accent6 7 2 4 3" xfId="6248"/>
    <cellStyle name="40% - Accent6 7 2 4 3 2" xfId="6249"/>
    <cellStyle name="40% - Accent6 7 2 4 4" xfId="6250"/>
    <cellStyle name="40% - Accent6 7 2 4 5" xfId="6251"/>
    <cellStyle name="40% - Accent6 7 2 4 6" xfId="6252"/>
    <cellStyle name="40% - Accent6 7 2 4 7" xfId="6253"/>
    <cellStyle name="40% - Accent6 7 2 4 8" xfId="6254"/>
    <cellStyle name="40% - Accent6 7 2 5" xfId="6255"/>
    <cellStyle name="40% - Accent6 7 2 5 2" xfId="6256"/>
    <cellStyle name="40% - Accent6 7 2 5 2 2" xfId="6257"/>
    <cellStyle name="40% - Accent6 7 2 5 3" xfId="6258"/>
    <cellStyle name="40% - Accent6 7 2 5 4" xfId="6259"/>
    <cellStyle name="40% - Accent6 7 2 6" xfId="6260"/>
    <cellStyle name="40% - Accent6 7 2 6 2" xfId="6261"/>
    <cellStyle name="40% - Accent6 7 2 7" xfId="6262"/>
    <cellStyle name="40% - Accent6 7 2 7 2" xfId="6263"/>
    <cellStyle name="40% - Accent6 7 2 8" xfId="6264"/>
    <cellStyle name="40% - Accent6 7 2 8 2" xfId="6265"/>
    <cellStyle name="40% - Accent6 7 2 9" xfId="6266"/>
    <cellStyle name="40% - Accent6 7 3" xfId="6267"/>
    <cellStyle name="40% - Accent6 7 3 10" xfId="6268"/>
    <cellStyle name="40% - Accent6 7 3 11" xfId="6269"/>
    <cellStyle name="40% - Accent6 7 3 12" xfId="6270"/>
    <cellStyle name="40% - Accent6 7 3 2" xfId="6271"/>
    <cellStyle name="40% - Accent6 7 3 2 10" xfId="6272"/>
    <cellStyle name="40% - Accent6 7 3 2 11" xfId="6273"/>
    <cellStyle name="40% - Accent6 7 3 2 2" xfId="6274"/>
    <cellStyle name="40% - Accent6 7 3 2 2 2" xfId="6275"/>
    <cellStyle name="40% - Accent6 7 3 2 2 2 2" xfId="6276"/>
    <cellStyle name="40% - Accent6 7 3 2 2 2 3" xfId="6277"/>
    <cellStyle name="40% - Accent6 7 3 2 2 3" xfId="6278"/>
    <cellStyle name="40% - Accent6 7 3 2 2 3 2" xfId="6279"/>
    <cellStyle name="40% - Accent6 7 3 2 2 4" xfId="6280"/>
    <cellStyle name="40% - Accent6 7 3 2 2 5" xfId="6281"/>
    <cellStyle name="40% - Accent6 7 3 2 2 6" xfId="6282"/>
    <cellStyle name="40% - Accent6 7 3 2 2 7" xfId="6283"/>
    <cellStyle name="40% - Accent6 7 3 2 2 8" xfId="6284"/>
    <cellStyle name="40% - Accent6 7 3 2 3" xfId="6285"/>
    <cellStyle name="40% - Accent6 7 3 2 3 2" xfId="6286"/>
    <cellStyle name="40% - Accent6 7 3 2 3 2 2" xfId="6287"/>
    <cellStyle name="40% - Accent6 7 3 2 3 3" xfId="6288"/>
    <cellStyle name="40% - Accent6 7 3 2 3 4" xfId="6289"/>
    <cellStyle name="40% - Accent6 7 3 2 4" xfId="6290"/>
    <cellStyle name="40% - Accent6 7 3 2 4 2" xfId="6291"/>
    <cellStyle name="40% - Accent6 7 3 2 5" xfId="6292"/>
    <cellStyle name="40% - Accent6 7 3 2 5 2" xfId="6293"/>
    <cellStyle name="40% - Accent6 7 3 2 6" xfId="6294"/>
    <cellStyle name="40% - Accent6 7 3 2 6 2" xfId="6295"/>
    <cellStyle name="40% - Accent6 7 3 2 7" xfId="6296"/>
    <cellStyle name="40% - Accent6 7 3 2 8" xfId="6297"/>
    <cellStyle name="40% - Accent6 7 3 2 9" xfId="6298"/>
    <cellStyle name="40% - Accent6 7 3 3" xfId="6299"/>
    <cellStyle name="40% - Accent6 7 3 3 2" xfId="6300"/>
    <cellStyle name="40% - Accent6 7 3 3 2 2" xfId="6301"/>
    <cellStyle name="40% - Accent6 7 3 3 2 3" xfId="6302"/>
    <cellStyle name="40% - Accent6 7 3 3 3" xfId="6303"/>
    <cellStyle name="40% - Accent6 7 3 3 3 2" xfId="6304"/>
    <cellStyle name="40% - Accent6 7 3 3 4" xfId="6305"/>
    <cellStyle name="40% - Accent6 7 3 3 5" xfId="6306"/>
    <cellStyle name="40% - Accent6 7 3 3 6" xfId="6307"/>
    <cellStyle name="40% - Accent6 7 3 3 7" xfId="6308"/>
    <cellStyle name="40% - Accent6 7 3 3 8" xfId="6309"/>
    <cellStyle name="40% - Accent6 7 3 4" xfId="6310"/>
    <cellStyle name="40% - Accent6 7 3 4 2" xfId="6311"/>
    <cellStyle name="40% - Accent6 7 3 4 2 2" xfId="6312"/>
    <cellStyle name="40% - Accent6 7 3 4 3" xfId="6313"/>
    <cellStyle name="40% - Accent6 7 3 4 4" xfId="6314"/>
    <cellStyle name="40% - Accent6 7 3 5" xfId="6315"/>
    <cellStyle name="40% - Accent6 7 3 5 2" xfId="6316"/>
    <cellStyle name="40% - Accent6 7 3 6" xfId="6317"/>
    <cellStyle name="40% - Accent6 7 3 6 2" xfId="6318"/>
    <cellStyle name="40% - Accent6 7 3 7" xfId="6319"/>
    <cellStyle name="40% - Accent6 7 3 7 2" xfId="6320"/>
    <cellStyle name="40% - Accent6 7 3 8" xfId="6321"/>
    <cellStyle name="40% - Accent6 7 3 9" xfId="6322"/>
    <cellStyle name="40% - Accent6 7 4" xfId="6323"/>
    <cellStyle name="40% - Accent6 7 4 10" xfId="6324"/>
    <cellStyle name="40% - Accent6 7 4 11" xfId="6325"/>
    <cellStyle name="40% - Accent6 7 4 2" xfId="6326"/>
    <cellStyle name="40% - Accent6 7 4 2 2" xfId="6327"/>
    <cellStyle name="40% - Accent6 7 4 2 2 2" xfId="6328"/>
    <cellStyle name="40% - Accent6 7 4 2 2 3" xfId="6329"/>
    <cellStyle name="40% - Accent6 7 4 2 3" xfId="6330"/>
    <cellStyle name="40% - Accent6 7 4 2 3 2" xfId="6331"/>
    <cellStyle name="40% - Accent6 7 4 2 4" xfId="6332"/>
    <cellStyle name="40% - Accent6 7 4 2 5" xfId="6333"/>
    <cellStyle name="40% - Accent6 7 4 2 6" xfId="6334"/>
    <cellStyle name="40% - Accent6 7 4 2 7" xfId="6335"/>
    <cellStyle name="40% - Accent6 7 4 2 8" xfId="6336"/>
    <cellStyle name="40% - Accent6 7 4 3" xfId="6337"/>
    <cellStyle name="40% - Accent6 7 4 3 2" xfId="6338"/>
    <cellStyle name="40% - Accent6 7 4 3 2 2" xfId="6339"/>
    <cellStyle name="40% - Accent6 7 4 3 3" xfId="6340"/>
    <cellStyle name="40% - Accent6 7 4 3 4" xfId="6341"/>
    <cellStyle name="40% - Accent6 7 4 4" xfId="6342"/>
    <cellStyle name="40% - Accent6 7 4 4 2" xfId="6343"/>
    <cellStyle name="40% - Accent6 7 4 5" xfId="6344"/>
    <cellStyle name="40% - Accent6 7 4 5 2" xfId="6345"/>
    <cellStyle name="40% - Accent6 7 4 6" xfId="6346"/>
    <cellStyle name="40% - Accent6 7 4 6 2" xfId="6347"/>
    <cellStyle name="40% - Accent6 7 4 7" xfId="6348"/>
    <cellStyle name="40% - Accent6 7 4 8" xfId="6349"/>
    <cellStyle name="40% - Accent6 7 4 9" xfId="6350"/>
    <cellStyle name="40% - Accent6 7 5" xfId="6351"/>
    <cellStyle name="40% - Accent6 7 5 2" xfId="6352"/>
    <cellStyle name="40% - Accent6 7 5 2 2" xfId="6353"/>
    <cellStyle name="40% - Accent6 7 5 2 3" xfId="6354"/>
    <cellStyle name="40% - Accent6 7 5 3" xfId="6355"/>
    <cellStyle name="40% - Accent6 7 5 3 2" xfId="6356"/>
    <cellStyle name="40% - Accent6 7 5 4" xfId="6357"/>
    <cellStyle name="40% - Accent6 7 5 5" xfId="6358"/>
    <cellStyle name="40% - Accent6 7 5 6" xfId="6359"/>
    <cellStyle name="40% - Accent6 7 5 7" xfId="6360"/>
    <cellStyle name="40% - Accent6 7 5 8" xfId="6361"/>
    <cellStyle name="40% - Accent6 7 6" xfId="6362"/>
    <cellStyle name="40% - Accent6 7 6 2" xfId="6363"/>
    <cellStyle name="40% - Accent6 7 6 2 2" xfId="6364"/>
    <cellStyle name="40% - Accent6 7 6 3" xfId="6365"/>
    <cellStyle name="40% - Accent6 7 6 4" xfId="6366"/>
    <cellStyle name="40% - Accent6 7 7" xfId="6367"/>
    <cellStyle name="40% - Accent6 7 7 2" xfId="6368"/>
    <cellStyle name="40% - Accent6 7 8" xfId="6369"/>
    <cellStyle name="40% - Accent6 7 8 2" xfId="6370"/>
    <cellStyle name="40% - Accent6 7 9" xfId="6371"/>
    <cellStyle name="40% - Accent6 7 9 2" xfId="6372"/>
    <cellStyle name="40% - Accent6 8" xfId="6373"/>
    <cellStyle name="40% - Accent6 9" xfId="6374"/>
    <cellStyle name="40% - Accent6 9 2" xfId="6375"/>
    <cellStyle name="40% - Accent6 9 3" xfId="6376"/>
    <cellStyle name="60% - Accent1 10" xfId="6377"/>
    <cellStyle name="60% - Accent1 11" xfId="6378"/>
    <cellStyle name="60% - Accent1 2" xfId="3015"/>
    <cellStyle name="60% - Accent1 2 2" xfId="6379"/>
    <cellStyle name="60% - Accent1 2 2 2" xfId="6380"/>
    <cellStyle name="60% - Accent1 2 3" xfId="6381"/>
    <cellStyle name="60% - Accent1 2 4" xfId="6382"/>
    <cellStyle name="60% - Accent1 2 5" xfId="6383"/>
    <cellStyle name="60% - Accent1 2 6" xfId="6384"/>
    <cellStyle name="60% - Accent1 2 7" xfId="6385"/>
    <cellStyle name="60% - Accent1 3" xfId="3016"/>
    <cellStyle name="60% - Accent1 3 2" xfId="6386"/>
    <cellStyle name="60% - Accent1 3 2 2" xfId="6387"/>
    <cellStyle name="60% - Accent1 3 3" xfId="6388"/>
    <cellStyle name="60% - Accent1 3 4" xfId="6389"/>
    <cellStyle name="60% - Accent1 4" xfId="3194"/>
    <cellStyle name="60% - Accent1 4 2" xfId="6390"/>
    <cellStyle name="60% - Accent1 5" xfId="6391"/>
    <cellStyle name="60% - Accent1 5 2" xfId="6392"/>
    <cellStyle name="60% - Accent1 6" xfId="6393"/>
    <cellStyle name="60% - Accent1 6 2" xfId="6394"/>
    <cellStyle name="60% - Accent1 7" xfId="6395"/>
    <cellStyle name="60% - Accent1 8" xfId="6396"/>
    <cellStyle name="60% - Accent1 9" xfId="6397"/>
    <cellStyle name="60% - Accent1 9 2" xfId="6398"/>
    <cellStyle name="60% - Accent1 9 3" xfId="6399"/>
    <cellStyle name="60% - Accent2 10" xfId="6400"/>
    <cellStyle name="60% - Accent2 11" xfId="6401"/>
    <cellStyle name="60% - Accent2 2" xfId="3017"/>
    <cellStyle name="60% - Accent2 2 2" xfId="6402"/>
    <cellStyle name="60% - Accent2 2 2 2" xfId="6403"/>
    <cellStyle name="60% - Accent2 2 3" xfId="6404"/>
    <cellStyle name="60% - Accent2 2 4" xfId="6405"/>
    <cellStyle name="60% - Accent2 2 5" xfId="6406"/>
    <cellStyle name="60% - Accent2 2 6" xfId="6407"/>
    <cellStyle name="60% - Accent2 3" xfId="3018"/>
    <cellStyle name="60% - Accent2 3 2" xfId="6408"/>
    <cellStyle name="60% - Accent2 3 2 2" xfId="6409"/>
    <cellStyle name="60% - Accent2 3 3" xfId="6410"/>
    <cellStyle name="60% - Accent2 3 4" xfId="6411"/>
    <cellStyle name="60% - Accent2 4" xfId="3195"/>
    <cellStyle name="60% - Accent2 4 2" xfId="6412"/>
    <cellStyle name="60% - Accent2 5" xfId="6413"/>
    <cellStyle name="60% - Accent2 5 2" xfId="6414"/>
    <cellStyle name="60% - Accent2 6" xfId="6415"/>
    <cellStyle name="60% - Accent2 6 2" xfId="6416"/>
    <cellStyle name="60% - Accent2 7" xfId="6417"/>
    <cellStyle name="60% - Accent2 8" xfId="6418"/>
    <cellStyle name="60% - Accent2 9" xfId="6419"/>
    <cellStyle name="60% - Accent2 9 2" xfId="6420"/>
    <cellStyle name="60% - Accent2 9 3" xfId="6421"/>
    <cellStyle name="60% - Accent3 10" xfId="6422"/>
    <cellStyle name="60% - Accent3 11" xfId="6423"/>
    <cellStyle name="60% - Accent3 2" xfId="3019"/>
    <cellStyle name="60% - Accent3 2 2" xfId="6424"/>
    <cellStyle name="60% - Accent3 2 2 2" xfId="6425"/>
    <cellStyle name="60% - Accent3 2 3" xfId="6426"/>
    <cellStyle name="60% - Accent3 2 4" xfId="6427"/>
    <cellStyle name="60% - Accent3 2 5" xfId="6428"/>
    <cellStyle name="60% - Accent3 2 6" xfId="6429"/>
    <cellStyle name="60% - Accent3 2 7" xfId="6430"/>
    <cellStyle name="60% - Accent3 3" xfId="3020"/>
    <cellStyle name="60% - Accent3 3 2" xfId="6431"/>
    <cellStyle name="60% - Accent3 3 2 2" xfId="6432"/>
    <cellStyle name="60% - Accent3 3 3" xfId="6433"/>
    <cellStyle name="60% - Accent3 3 4" xfId="6434"/>
    <cellStyle name="60% - Accent3 4" xfId="3196"/>
    <cellStyle name="60% - Accent3 4 2" xfId="6435"/>
    <cellStyle name="60% - Accent3 5" xfId="6436"/>
    <cellStyle name="60% - Accent3 5 2" xfId="6437"/>
    <cellStyle name="60% - Accent3 6" xfId="6438"/>
    <cellStyle name="60% - Accent3 6 2" xfId="6439"/>
    <cellStyle name="60% - Accent3 7" xfId="6440"/>
    <cellStyle name="60% - Accent3 8" xfId="6441"/>
    <cellStyle name="60% - Accent3 9" xfId="6442"/>
    <cellStyle name="60% - Accent3 9 2" xfId="6443"/>
    <cellStyle name="60% - Accent3 9 3" xfId="6444"/>
    <cellStyle name="60% - Accent4 10" xfId="6445"/>
    <cellStyle name="60% - Accent4 11" xfId="6446"/>
    <cellStyle name="60% - Accent4 2" xfId="3021"/>
    <cellStyle name="60% - Accent4 2 2" xfId="6447"/>
    <cellStyle name="60% - Accent4 2 2 2" xfId="6448"/>
    <cellStyle name="60% - Accent4 2 3" xfId="6449"/>
    <cellStyle name="60% - Accent4 2 4" xfId="6450"/>
    <cellStyle name="60% - Accent4 2 5" xfId="6451"/>
    <cellStyle name="60% - Accent4 2 6" xfId="6452"/>
    <cellStyle name="60% - Accent4 2 7" xfId="6453"/>
    <cellStyle name="60% - Accent4 3" xfId="3022"/>
    <cellStyle name="60% - Accent4 3 2" xfId="6454"/>
    <cellStyle name="60% - Accent4 3 2 2" xfId="6455"/>
    <cellStyle name="60% - Accent4 3 3" xfId="6456"/>
    <cellStyle name="60% - Accent4 3 4" xfId="6457"/>
    <cellStyle name="60% - Accent4 4" xfId="3197"/>
    <cellStyle name="60% - Accent4 4 2" xfId="6458"/>
    <cellStyle name="60% - Accent4 5" xfId="6459"/>
    <cellStyle name="60% - Accent4 5 2" xfId="6460"/>
    <cellStyle name="60% - Accent4 6" xfId="6461"/>
    <cellStyle name="60% - Accent4 6 2" xfId="6462"/>
    <cellStyle name="60% - Accent4 7" xfId="6463"/>
    <cellStyle name="60% - Accent4 8" xfId="6464"/>
    <cellStyle name="60% - Accent4 9" xfId="6465"/>
    <cellStyle name="60% - Accent4 9 2" xfId="6466"/>
    <cellStyle name="60% - Accent4 9 3" xfId="6467"/>
    <cellStyle name="60% - Accent5 10" xfId="6468"/>
    <cellStyle name="60% - Accent5 11" xfId="6469"/>
    <cellStyle name="60% - Accent5 2" xfId="3023"/>
    <cellStyle name="60% - Accent5 2 2" xfId="6470"/>
    <cellStyle name="60% - Accent5 2 2 2" xfId="6471"/>
    <cellStyle name="60% - Accent5 2 3" xfId="6472"/>
    <cellStyle name="60% - Accent5 2 4" xfId="6473"/>
    <cellStyle name="60% - Accent5 2 5" xfId="6474"/>
    <cellStyle name="60% - Accent5 2 6" xfId="6475"/>
    <cellStyle name="60% - Accent5 3" xfId="3024"/>
    <cellStyle name="60% - Accent5 3 2" xfId="6476"/>
    <cellStyle name="60% - Accent5 3 2 2" xfId="6477"/>
    <cellStyle name="60% - Accent5 3 3" xfId="6478"/>
    <cellStyle name="60% - Accent5 3 4" xfId="6479"/>
    <cellStyle name="60% - Accent5 4" xfId="3198"/>
    <cellStyle name="60% - Accent5 4 2" xfId="6480"/>
    <cellStyle name="60% - Accent5 5" xfId="6481"/>
    <cellStyle name="60% - Accent5 5 2" xfId="6482"/>
    <cellStyle name="60% - Accent5 6" xfId="6483"/>
    <cellStyle name="60% - Accent5 6 2" xfId="6484"/>
    <cellStyle name="60% - Accent5 7" xfId="6485"/>
    <cellStyle name="60% - Accent5 8" xfId="6486"/>
    <cellStyle name="60% - Accent5 9" xfId="6487"/>
    <cellStyle name="60% - Accent5 9 2" xfId="6488"/>
    <cellStyle name="60% - Accent5 9 3" xfId="6489"/>
    <cellStyle name="60% - Accent6 10" xfId="6490"/>
    <cellStyle name="60% - Accent6 11" xfId="6491"/>
    <cellStyle name="60% - Accent6 2" xfId="3025"/>
    <cellStyle name="60% - Accent6 2 2" xfId="6492"/>
    <cellStyle name="60% - Accent6 2 2 2" xfId="6493"/>
    <cellStyle name="60% - Accent6 2 3" xfId="6494"/>
    <cellStyle name="60% - Accent6 2 4" xfId="6495"/>
    <cellStyle name="60% - Accent6 2 5" xfId="6496"/>
    <cellStyle name="60% - Accent6 2 6" xfId="6497"/>
    <cellStyle name="60% - Accent6 2 7" xfId="6498"/>
    <cellStyle name="60% - Accent6 3" xfId="3026"/>
    <cellStyle name="60% - Accent6 3 2" xfId="6499"/>
    <cellStyle name="60% - Accent6 3 2 2" xfId="6500"/>
    <cellStyle name="60% - Accent6 3 3" xfId="6501"/>
    <cellStyle name="60% - Accent6 3 4" xfId="6502"/>
    <cellStyle name="60% - Accent6 4" xfId="3199"/>
    <cellStyle name="60% - Accent6 4 2" xfId="6503"/>
    <cellStyle name="60% - Accent6 5" xfId="6504"/>
    <cellStyle name="60% - Accent6 5 2" xfId="6505"/>
    <cellStyle name="60% - Accent6 6" xfId="6506"/>
    <cellStyle name="60% - Accent6 6 2" xfId="6507"/>
    <cellStyle name="60% - Accent6 7" xfId="6508"/>
    <cellStyle name="60% - Accent6 8" xfId="6509"/>
    <cellStyle name="60% - Accent6 9" xfId="6510"/>
    <cellStyle name="60% - Accent6 9 2" xfId="6511"/>
    <cellStyle name="60% - Accent6 9 3" xfId="6512"/>
    <cellStyle name="Accent1 - 20%" xfId="6513"/>
    <cellStyle name="Accent1 - 40%" xfId="6514"/>
    <cellStyle name="Accent1 - 60%" xfId="6515"/>
    <cellStyle name="Accent1 10" xfId="6516"/>
    <cellStyle name="Accent1 11" xfId="6517"/>
    <cellStyle name="Accent1 2" xfId="3027"/>
    <cellStyle name="Accent1 2 2" xfId="6518"/>
    <cellStyle name="Accent1 2 2 2" xfId="6519"/>
    <cellStyle name="Accent1 2 3" xfId="6520"/>
    <cellStyle name="Accent1 2 4" xfId="6521"/>
    <cellStyle name="Accent1 2 5" xfId="6522"/>
    <cellStyle name="Accent1 2 6" xfId="6523"/>
    <cellStyle name="Accent1 2 7" xfId="6524"/>
    <cellStyle name="Accent1 3" xfId="3028"/>
    <cellStyle name="Accent1 3 2" xfId="6525"/>
    <cellStyle name="Accent1 3 2 2" xfId="6526"/>
    <cellStyle name="Accent1 3 3" xfId="6527"/>
    <cellStyle name="Accent1 3 4" xfId="6528"/>
    <cellStyle name="Accent1 4" xfId="3200"/>
    <cellStyle name="Accent1 4 2" xfId="6529"/>
    <cellStyle name="Accent1 5" xfId="6530"/>
    <cellStyle name="Accent1 5 2" xfId="6531"/>
    <cellStyle name="Accent1 6" xfId="6532"/>
    <cellStyle name="Accent1 6 2" xfId="6533"/>
    <cellStyle name="Accent1 7" xfId="6534"/>
    <cellStyle name="Accent1 8" xfId="6535"/>
    <cellStyle name="Accent1 9" xfId="6536"/>
    <cellStyle name="Accent1 9 2" xfId="6537"/>
    <cellStyle name="Accent1 9 3" xfId="6538"/>
    <cellStyle name="Accent2 - 20%" xfId="6539"/>
    <cellStyle name="Accent2 - 40%" xfId="6540"/>
    <cellStyle name="Accent2 - 60%" xfId="6541"/>
    <cellStyle name="Accent2 10" xfId="6542"/>
    <cellStyle name="Accent2 11" xfId="6543"/>
    <cellStyle name="Accent2 2" xfId="3029"/>
    <cellStyle name="Accent2 2 2" xfId="6544"/>
    <cellStyle name="Accent2 2 2 2" xfId="6545"/>
    <cellStyle name="Accent2 2 3" xfId="6546"/>
    <cellStyle name="Accent2 2 4" xfId="6547"/>
    <cellStyle name="Accent2 2 5" xfId="6548"/>
    <cellStyle name="Accent2 2 6" xfId="6549"/>
    <cellStyle name="Accent2 3" xfId="3030"/>
    <cellStyle name="Accent2 3 2" xfId="6550"/>
    <cellStyle name="Accent2 3 2 2" xfId="6551"/>
    <cellStyle name="Accent2 3 3" xfId="6552"/>
    <cellStyle name="Accent2 3 4" xfId="6553"/>
    <cellStyle name="Accent2 4" xfId="3201"/>
    <cellStyle name="Accent2 4 2" xfId="6554"/>
    <cellStyle name="Accent2 5" xfId="6555"/>
    <cellStyle name="Accent2 5 2" xfId="6556"/>
    <cellStyle name="Accent2 6" xfId="6557"/>
    <cellStyle name="Accent2 6 2" xfId="6558"/>
    <cellStyle name="Accent2 7" xfId="6559"/>
    <cellStyle name="Accent2 8" xfId="6560"/>
    <cellStyle name="Accent2 9" xfId="6561"/>
    <cellStyle name="Accent2 9 2" xfId="6562"/>
    <cellStyle name="Accent2 9 3" xfId="6563"/>
    <cellStyle name="Accent3 - 20%" xfId="6564"/>
    <cellStyle name="Accent3 - 40%" xfId="6565"/>
    <cellStyle name="Accent3 - 60%" xfId="6566"/>
    <cellStyle name="Accent3 10" xfId="6567"/>
    <cellStyle name="Accent3 11" xfId="6568"/>
    <cellStyle name="Accent3 2" xfId="3031"/>
    <cellStyle name="Accent3 2 2" xfId="6569"/>
    <cellStyle name="Accent3 2 2 2" xfId="6570"/>
    <cellStyle name="Accent3 2 3" xfId="6571"/>
    <cellStyle name="Accent3 2 4" xfId="6572"/>
    <cellStyle name="Accent3 2 5" xfId="6573"/>
    <cellStyle name="Accent3 2 6" xfId="6574"/>
    <cellStyle name="Accent3 3" xfId="3032"/>
    <cellStyle name="Accent3 3 2" xfId="6575"/>
    <cellStyle name="Accent3 3 2 2" xfId="6576"/>
    <cellStyle name="Accent3 3 3" xfId="6577"/>
    <cellStyle name="Accent3 3 4" xfId="6578"/>
    <cellStyle name="Accent3 4" xfId="3202"/>
    <cellStyle name="Accent3 4 2" xfId="6579"/>
    <cellStyle name="Accent3 5" xfId="6580"/>
    <cellStyle name="Accent3 5 2" xfId="6581"/>
    <cellStyle name="Accent3 6" xfId="6582"/>
    <cellStyle name="Accent3 6 2" xfId="6583"/>
    <cellStyle name="Accent3 7" xfId="6584"/>
    <cellStyle name="Accent3 8" xfId="6585"/>
    <cellStyle name="Accent3 9" xfId="6586"/>
    <cellStyle name="Accent3 9 2" xfId="6587"/>
    <cellStyle name="Accent3 9 3" xfId="6588"/>
    <cellStyle name="Accent4 - 20%" xfId="6589"/>
    <cellStyle name="Accent4 - 40%" xfId="6590"/>
    <cellStyle name="Accent4 - 60%" xfId="6591"/>
    <cellStyle name="Accent4 10" xfId="6592"/>
    <cellStyle name="Accent4 11" xfId="6593"/>
    <cellStyle name="Accent4 2" xfId="3033"/>
    <cellStyle name="Accent4 2 2" xfId="6594"/>
    <cellStyle name="Accent4 2 2 2" xfId="6595"/>
    <cellStyle name="Accent4 2 3" xfId="6596"/>
    <cellStyle name="Accent4 2 4" xfId="6597"/>
    <cellStyle name="Accent4 2 5" xfId="6598"/>
    <cellStyle name="Accent4 2 6" xfId="6599"/>
    <cellStyle name="Accent4 2 7" xfId="6600"/>
    <cellStyle name="Accent4 3" xfId="3034"/>
    <cellStyle name="Accent4 3 2" xfId="6601"/>
    <cellStyle name="Accent4 3 2 2" xfId="6602"/>
    <cellStyle name="Accent4 3 3" xfId="6603"/>
    <cellStyle name="Accent4 3 4" xfId="6604"/>
    <cellStyle name="Accent4 4" xfId="3203"/>
    <cellStyle name="Accent4 4 2" xfId="6605"/>
    <cellStyle name="Accent4 5" xfId="6606"/>
    <cellStyle name="Accent4 5 2" xfId="6607"/>
    <cellStyle name="Accent4 6" xfId="6608"/>
    <cellStyle name="Accent4 6 2" xfId="6609"/>
    <cellStyle name="Accent4 7" xfId="6610"/>
    <cellStyle name="Accent4 8" xfId="6611"/>
    <cellStyle name="Accent4 9" xfId="6612"/>
    <cellStyle name="Accent4 9 2" xfId="6613"/>
    <cellStyle name="Accent4 9 3" xfId="6614"/>
    <cellStyle name="Accent5 - 20%" xfId="6615"/>
    <cellStyle name="Accent5 - 40%" xfId="6616"/>
    <cellStyle name="Accent5 - 60%" xfId="6617"/>
    <cellStyle name="Accent5 10" xfId="6618"/>
    <cellStyle name="Accent5 11" xfId="6619"/>
    <cellStyle name="Accent5 2" xfId="3035"/>
    <cellStyle name="Accent5 2 2" xfId="6620"/>
    <cellStyle name="Accent5 2 2 2" xfId="6621"/>
    <cellStyle name="Accent5 2 3" xfId="6622"/>
    <cellStyle name="Accent5 2 4" xfId="6623"/>
    <cellStyle name="Accent5 2 5" xfId="6624"/>
    <cellStyle name="Accent5 2 6" xfId="6625"/>
    <cellStyle name="Accent5 3" xfId="3036"/>
    <cellStyle name="Accent5 3 2" xfId="6626"/>
    <cellStyle name="Accent5 3 2 2" xfId="6627"/>
    <cellStyle name="Accent5 3 3" xfId="6628"/>
    <cellStyle name="Accent5 4" xfId="3204"/>
    <cellStyle name="Accent5 4 2" xfId="6629"/>
    <cellStyle name="Accent5 5" xfId="6630"/>
    <cellStyle name="Accent5 5 2" xfId="6631"/>
    <cellStyle name="Accent5 6" xfId="6632"/>
    <cellStyle name="Accent5 6 2" xfId="6633"/>
    <cellStyle name="Accent5 7" xfId="6634"/>
    <cellStyle name="Accent5 8" xfId="6635"/>
    <cellStyle name="Accent5 9" xfId="6636"/>
    <cellStyle name="Accent5 9 2" xfId="6637"/>
    <cellStyle name="Accent5 9 3" xfId="6638"/>
    <cellStyle name="Accent6 - 20%" xfId="6639"/>
    <cellStyle name="Accent6 - 40%" xfId="6640"/>
    <cellStyle name="Accent6 - 60%" xfId="6641"/>
    <cellStyle name="Accent6 10" xfId="6642"/>
    <cellStyle name="Accent6 11" xfId="6643"/>
    <cellStyle name="Accent6 2" xfId="3037"/>
    <cellStyle name="Accent6 2 2" xfId="6644"/>
    <cellStyle name="Accent6 2 2 2" xfId="6645"/>
    <cellStyle name="Accent6 2 3" xfId="6646"/>
    <cellStyle name="Accent6 2 4" xfId="6647"/>
    <cellStyle name="Accent6 2 5" xfId="6648"/>
    <cellStyle name="Accent6 2 6" xfId="6649"/>
    <cellStyle name="Accent6 3" xfId="3038"/>
    <cellStyle name="Accent6 3 2" xfId="6650"/>
    <cellStyle name="Accent6 3 2 2" xfId="6651"/>
    <cellStyle name="Accent6 3 3" xfId="6652"/>
    <cellStyle name="Accent6 3 4" xfId="6653"/>
    <cellStyle name="Accent6 4" xfId="3205"/>
    <cellStyle name="Accent6 4 2" xfId="6654"/>
    <cellStyle name="Accent6 5" xfId="6655"/>
    <cellStyle name="Accent6 5 2" xfId="6656"/>
    <cellStyle name="Accent6 6" xfId="6657"/>
    <cellStyle name="Accent6 6 2" xfId="6658"/>
    <cellStyle name="Accent6 7" xfId="6659"/>
    <cellStyle name="Accent6 8" xfId="6660"/>
    <cellStyle name="Accent6 9" xfId="6661"/>
    <cellStyle name="Accent6 9 2" xfId="6662"/>
    <cellStyle name="Accent6 9 3" xfId="6663"/>
    <cellStyle name="Actual Date" xfId="3039"/>
    <cellStyle name="Actual Date 10" xfId="6664"/>
    <cellStyle name="Actual Date 11" xfId="6665"/>
    <cellStyle name="Actual Date 12" xfId="6666"/>
    <cellStyle name="Actual Date 13" xfId="6667"/>
    <cellStyle name="Actual Date 14" xfId="6668"/>
    <cellStyle name="Actual Date 15" xfId="6669"/>
    <cellStyle name="Actual Date 16" xfId="6670"/>
    <cellStyle name="Actual Date 17" xfId="6671"/>
    <cellStyle name="Actual Date 18" xfId="6672"/>
    <cellStyle name="Actual Date 19" xfId="6673"/>
    <cellStyle name="Actual Date 2" xfId="6674"/>
    <cellStyle name="Actual Date 2 2" xfId="6675"/>
    <cellStyle name="Actual Date 2 3" xfId="6676"/>
    <cellStyle name="Actual Date 2_Actual" xfId="6677"/>
    <cellStyle name="Actual Date 20" xfId="6678"/>
    <cellStyle name="Actual Date 21" xfId="6679"/>
    <cellStyle name="Actual Date 22" xfId="6680"/>
    <cellStyle name="Actual Date 23" xfId="6681"/>
    <cellStyle name="Actual Date 24" xfId="6682"/>
    <cellStyle name="Actual Date 25" xfId="6683"/>
    <cellStyle name="Actual Date 26" xfId="6684"/>
    <cellStyle name="Actual Date 27" xfId="6685"/>
    <cellStyle name="Actual Date 28" xfId="6686"/>
    <cellStyle name="Actual Date 29" xfId="6687"/>
    <cellStyle name="Actual Date 3" xfId="6688"/>
    <cellStyle name="Actual Date 3 2" xfId="6689"/>
    <cellStyle name="Actual Date 30" xfId="6690"/>
    <cellStyle name="Actual Date 4" xfId="6691"/>
    <cellStyle name="Actual Date 4 2" xfId="6692"/>
    <cellStyle name="Actual Date 4 3" xfId="6693"/>
    <cellStyle name="Actual Date 4_Actual" xfId="6694"/>
    <cellStyle name="Actual Date 5" xfId="6695"/>
    <cellStyle name="Actual Date 5 2" xfId="6696"/>
    <cellStyle name="Actual Date 6" xfId="6697"/>
    <cellStyle name="Actual Date 6 2" xfId="6698"/>
    <cellStyle name="Actual Date 7" xfId="6699"/>
    <cellStyle name="Actual Date 7 2" xfId="6700"/>
    <cellStyle name="Actual Date 8" xfId="6701"/>
    <cellStyle name="Actual Date 8 2" xfId="6702"/>
    <cellStyle name="Actual Date 9" xfId="6703"/>
    <cellStyle name="Actual Date 9 2" xfId="6704"/>
    <cellStyle name="Actual Date_120110 NFC Risk Flash" xfId="6705"/>
    <cellStyle name="Adjustable" xfId="6706"/>
    <cellStyle name="adjusted" xfId="6707"/>
    <cellStyle name="AFE" xfId="6708"/>
    <cellStyle name="AFE 10" xfId="6709"/>
    <cellStyle name="AFE 11" xfId="6710"/>
    <cellStyle name="AFE 12" xfId="6711"/>
    <cellStyle name="AFE 13" xfId="6712"/>
    <cellStyle name="AFE 14" xfId="6713"/>
    <cellStyle name="AFE 15" xfId="6714"/>
    <cellStyle name="AFE 16" xfId="6715"/>
    <cellStyle name="AFE 17" xfId="6716"/>
    <cellStyle name="AFE 18" xfId="6717"/>
    <cellStyle name="AFE 19" xfId="6718"/>
    <cellStyle name="AFE 2" xfId="6719"/>
    <cellStyle name="AFE 20" xfId="6720"/>
    <cellStyle name="AFE 21" xfId="6721"/>
    <cellStyle name="AFE 22" xfId="6722"/>
    <cellStyle name="AFE 3" xfId="6723"/>
    <cellStyle name="AFE 4" xfId="6724"/>
    <cellStyle name="AFE 5" xfId="6725"/>
    <cellStyle name="AFE 6" xfId="6726"/>
    <cellStyle name="AFE 7" xfId="6727"/>
    <cellStyle name="AFE 8" xfId="6728"/>
    <cellStyle name="AFE 9" xfId="6729"/>
    <cellStyle name="Assumption" xfId="6730"/>
    <cellStyle name="Assumption 10" xfId="6731"/>
    <cellStyle name="Assumption 11" xfId="6732"/>
    <cellStyle name="Assumption 12" xfId="6733"/>
    <cellStyle name="Assumption 13" xfId="6734"/>
    <cellStyle name="Assumption 14" xfId="6735"/>
    <cellStyle name="Assumption 15" xfId="6736"/>
    <cellStyle name="Assumption 16" xfId="6737"/>
    <cellStyle name="Assumption 17" xfId="6738"/>
    <cellStyle name="Assumption 18" xfId="6739"/>
    <cellStyle name="Assumption 19" xfId="6740"/>
    <cellStyle name="Assumption 2" xfId="6741"/>
    <cellStyle name="Assumption 20" xfId="6742"/>
    <cellStyle name="Assumption 21" xfId="6743"/>
    <cellStyle name="Assumption 22" xfId="6744"/>
    <cellStyle name="Assumption 23" xfId="6745"/>
    <cellStyle name="Assumption 24" xfId="6746"/>
    <cellStyle name="Assumption 25" xfId="6747"/>
    <cellStyle name="Assumption 26" xfId="6748"/>
    <cellStyle name="Assumption 27" xfId="6749"/>
    <cellStyle name="Assumption 28" xfId="6750"/>
    <cellStyle name="Assumption 29" xfId="6751"/>
    <cellStyle name="Assumption 3" xfId="6752"/>
    <cellStyle name="Assumption 30" xfId="6753"/>
    <cellStyle name="Assumption 4" xfId="6754"/>
    <cellStyle name="Assumption 5" xfId="6755"/>
    <cellStyle name="Assumption 6" xfId="6756"/>
    <cellStyle name="Assumption 7" xfId="6757"/>
    <cellStyle name="Assumption 8" xfId="6758"/>
    <cellStyle name="Assumption 9" xfId="6759"/>
    <cellStyle name="Bad 10" xfId="6760"/>
    <cellStyle name="Bad 11" xfId="6761"/>
    <cellStyle name="Bad 2" xfId="3040"/>
    <cellStyle name="Bad 2 2" xfId="6762"/>
    <cellStyle name="Bad 2 2 2" xfId="6763"/>
    <cellStyle name="Bad 2 3" xfId="6764"/>
    <cellStyle name="Bad 2 4" xfId="6765"/>
    <cellStyle name="Bad 2 5" xfId="6766"/>
    <cellStyle name="Bad 2 6" xfId="6767"/>
    <cellStyle name="Bad 3" xfId="3041"/>
    <cellStyle name="Bad 3 2" xfId="6768"/>
    <cellStyle name="Bad 3 2 2" xfId="6769"/>
    <cellStyle name="Bad 3 3" xfId="6770"/>
    <cellStyle name="Bad 3 4" xfId="6771"/>
    <cellStyle name="Bad 4" xfId="3206"/>
    <cellStyle name="Bad 4 2" xfId="6772"/>
    <cellStyle name="Bad 5" xfId="6773"/>
    <cellStyle name="Bad 5 2" xfId="6774"/>
    <cellStyle name="Bad 6" xfId="6775"/>
    <cellStyle name="Bad 6 2" xfId="6776"/>
    <cellStyle name="Bad 7" xfId="6777"/>
    <cellStyle name="Bad 8" xfId="6778"/>
    <cellStyle name="Bad 9" xfId="6779"/>
    <cellStyle name="Bad 9 2" xfId="6780"/>
    <cellStyle name="Bad 9 3" xfId="6781"/>
    <cellStyle name="Blank" xfId="6782"/>
    <cellStyle name="Bold/Border" xfId="6783"/>
    <cellStyle name="Bold/Border 2" xfId="16881"/>
    <cellStyle name="Border" xfId="6784"/>
    <cellStyle name="Border Heavy" xfId="6785"/>
    <cellStyle name="Border Heavy 10" xfId="6786"/>
    <cellStyle name="Border Heavy 11" xfId="6787"/>
    <cellStyle name="Border Heavy 12" xfId="6788"/>
    <cellStyle name="Border Heavy 13" xfId="6789"/>
    <cellStyle name="Border Heavy 14" xfId="6790"/>
    <cellStyle name="Border Heavy 15" xfId="6791"/>
    <cellStyle name="Border Heavy 16" xfId="6792"/>
    <cellStyle name="Border Heavy 17" xfId="6793"/>
    <cellStyle name="Border Heavy 18" xfId="6794"/>
    <cellStyle name="Border Heavy 19" xfId="6795"/>
    <cellStyle name="Border Heavy 2" xfId="6796"/>
    <cellStyle name="Border Heavy 20" xfId="6797"/>
    <cellStyle name="Border Heavy 21" xfId="6798"/>
    <cellStyle name="Border Heavy 22" xfId="6799"/>
    <cellStyle name="Border Heavy 23" xfId="6800"/>
    <cellStyle name="Border Heavy 24" xfId="6801"/>
    <cellStyle name="Border Heavy 25" xfId="6802"/>
    <cellStyle name="Border Heavy 26" xfId="6803"/>
    <cellStyle name="Border Heavy 27" xfId="6804"/>
    <cellStyle name="Border Heavy 28" xfId="6805"/>
    <cellStyle name="Border Heavy 29" xfId="6806"/>
    <cellStyle name="Border Heavy 3" xfId="6807"/>
    <cellStyle name="Border Heavy 30" xfId="6808"/>
    <cellStyle name="Border Heavy 4" xfId="6809"/>
    <cellStyle name="Border Heavy 5" xfId="6810"/>
    <cellStyle name="Border Heavy 6" xfId="6811"/>
    <cellStyle name="Border Heavy 7" xfId="6812"/>
    <cellStyle name="Border Heavy 8" xfId="6813"/>
    <cellStyle name="Border Heavy 9" xfId="6814"/>
    <cellStyle name="Border Thin" xfId="6815"/>
    <cellStyle name="Border Thin 10" xfId="6816"/>
    <cellStyle name="Border Thin 11" xfId="6817"/>
    <cellStyle name="Border Thin 12" xfId="6818"/>
    <cellStyle name="Border Thin 13" xfId="6819"/>
    <cellStyle name="Border Thin 14" xfId="6820"/>
    <cellStyle name="Border Thin 15" xfId="6821"/>
    <cellStyle name="Border Thin 16" xfId="6822"/>
    <cellStyle name="Border Thin 17" xfId="6823"/>
    <cellStyle name="Border Thin 18" xfId="6824"/>
    <cellStyle name="Border Thin 19" xfId="6825"/>
    <cellStyle name="Border Thin 2" xfId="6826"/>
    <cellStyle name="Border Thin 20" xfId="6827"/>
    <cellStyle name="Border Thin 21" xfId="6828"/>
    <cellStyle name="Border Thin 22" xfId="6829"/>
    <cellStyle name="Border Thin 23" xfId="6830"/>
    <cellStyle name="Border Thin 24" xfId="6831"/>
    <cellStyle name="Border Thin 25" xfId="6832"/>
    <cellStyle name="Border Thin 26" xfId="6833"/>
    <cellStyle name="Border Thin 27" xfId="6834"/>
    <cellStyle name="Border Thin 28" xfId="6835"/>
    <cellStyle name="Border Thin 29" xfId="6836"/>
    <cellStyle name="Border Thin 3" xfId="6837"/>
    <cellStyle name="Border Thin 30" xfId="6838"/>
    <cellStyle name="Border Thin 4" xfId="6839"/>
    <cellStyle name="Border Thin 5" xfId="6840"/>
    <cellStyle name="Border Thin 6" xfId="6841"/>
    <cellStyle name="Border Thin 7" xfId="6842"/>
    <cellStyle name="Border Thin 8" xfId="6843"/>
    <cellStyle name="Border Thin 9" xfId="6844"/>
    <cellStyle name="Bullet" xfId="6845"/>
    <cellStyle name="Calculation 10" xfId="6846"/>
    <cellStyle name="Calculation 11" xfId="6847"/>
    <cellStyle name="Calculation 2" xfId="3042"/>
    <cellStyle name="Calculation 2 2" xfId="6848"/>
    <cellStyle name="Calculation 2 2 2" xfId="6849"/>
    <cellStyle name="Calculation 2 3" xfId="6850"/>
    <cellStyle name="Calculation 2 3 2" xfId="6851"/>
    <cellStyle name="Calculation 2 4" xfId="6852"/>
    <cellStyle name="Calculation 2 5" xfId="6853"/>
    <cellStyle name="Calculation 2 6" xfId="6854"/>
    <cellStyle name="Calculation 2 7" xfId="6855"/>
    <cellStyle name="Calculation 3" xfId="3043"/>
    <cellStyle name="Calculation 3 2" xfId="6856"/>
    <cellStyle name="Calculation 3 2 2" xfId="6857"/>
    <cellStyle name="Calculation 3 3" xfId="6858"/>
    <cellStyle name="Calculation 3 4" xfId="6859"/>
    <cellStyle name="Calculation 4" xfId="3207"/>
    <cellStyle name="Calculation 4 2" xfId="6860"/>
    <cellStyle name="Calculation 5" xfId="6861"/>
    <cellStyle name="Calculation 5 2" xfId="6862"/>
    <cellStyle name="Calculation 6" xfId="6863"/>
    <cellStyle name="Calculation 6 2" xfId="6864"/>
    <cellStyle name="Calculation 7" xfId="6865"/>
    <cellStyle name="Calculation 8" xfId="6866"/>
    <cellStyle name="Calculation 9" xfId="6867"/>
    <cellStyle name="Calculation 9 2" xfId="6868"/>
    <cellStyle name="Calculation 9 3" xfId="6869"/>
    <cellStyle name="Check Cell 10" xfId="6870"/>
    <cellStyle name="Check Cell 11" xfId="6871"/>
    <cellStyle name="Check Cell 2" xfId="3044"/>
    <cellStyle name="Check Cell 2 2" xfId="6872"/>
    <cellStyle name="Check Cell 2 2 2" xfId="6873"/>
    <cellStyle name="Check Cell 2 3" xfId="6874"/>
    <cellStyle name="Check Cell 2 4" xfId="6875"/>
    <cellStyle name="Check Cell 2 5" xfId="6876"/>
    <cellStyle name="Check Cell 2 6" xfId="6877"/>
    <cellStyle name="Check Cell 3" xfId="3045"/>
    <cellStyle name="Check Cell 3 2" xfId="6878"/>
    <cellStyle name="Check Cell 3 2 2" xfId="6879"/>
    <cellStyle name="Check Cell 3 3" xfId="6880"/>
    <cellStyle name="Check Cell 4" xfId="3208"/>
    <cellStyle name="Check Cell 4 2" xfId="6881"/>
    <cellStyle name="Check Cell 5" xfId="6882"/>
    <cellStyle name="Check Cell 5 2" xfId="6883"/>
    <cellStyle name="Check Cell 6" xfId="6884"/>
    <cellStyle name="Check Cell 6 2" xfId="6885"/>
    <cellStyle name="Check Cell 7" xfId="6886"/>
    <cellStyle name="Check Cell 8" xfId="6887"/>
    <cellStyle name="Check Cell 9" xfId="6888"/>
    <cellStyle name="Check Cell 9 2" xfId="6889"/>
    <cellStyle name="Check Cell 9 3" xfId="6890"/>
    <cellStyle name="Comma" xfId="1" builtinId="3"/>
    <cellStyle name="Comma (0)" xfId="6891"/>
    <cellStyle name="Comma [0] 2" xfId="3046"/>
    <cellStyle name="Comma [2]" xfId="6892"/>
    <cellStyle name="Comma [2] 2" xfId="6893"/>
    <cellStyle name="Comma [2] 3" xfId="6894"/>
    <cellStyle name="Comma [2] 4" xfId="6895"/>
    <cellStyle name="Comma 0" xfId="6896"/>
    <cellStyle name="Comma 0 [0]" xfId="6897"/>
    <cellStyle name="Comma 0 10" xfId="6898"/>
    <cellStyle name="Comma 0 11" xfId="6899"/>
    <cellStyle name="Comma 0 12" xfId="6900"/>
    <cellStyle name="Comma 0 13" xfId="6901"/>
    <cellStyle name="Comma 0 14" xfId="6902"/>
    <cellStyle name="Comma 0 15" xfId="6903"/>
    <cellStyle name="Comma 0 16" xfId="6904"/>
    <cellStyle name="Comma 0 17" xfId="6905"/>
    <cellStyle name="Comma 0 18" xfId="6906"/>
    <cellStyle name="Comma 0 19" xfId="6907"/>
    <cellStyle name="Comma 0 2" xfId="6908"/>
    <cellStyle name="Comma 0 20" xfId="6909"/>
    <cellStyle name="Comma 0 21" xfId="6910"/>
    <cellStyle name="Comma 0 22" xfId="6911"/>
    <cellStyle name="Comma 0 23" xfId="6912"/>
    <cellStyle name="Comma 0 24" xfId="6913"/>
    <cellStyle name="Comma 0 25" xfId="6914"/>
    <cellStyle name="Comma 0 26" xfId="6915"/>
    <cellStyle name="Comma 0 27" xfId="6916"/>
    <cellStyle name="Comma 0 28" xfId="6917"/>
    <cellStyle name="Comma 0 29" xfId="6918"/>
    <cellStyle name="Comma 0 3" xfId="6919"/>
    <cellStyle name="Comma 0 30" xfId="6920"/>
    <cellStyle name="Comma 0 4" xfId="6921"/>
    <cellStyle name="Comma 0 5" xfId="6922"/>
    <cellStyle name="Comma 0 6" xfId="6923"/>
    <cellStyle name="Comma 0 7" xfId="6924"/>
    <cellStyle name="Comma 0 8" xfId="6925"/>
    <cellStyle name="Comma 0 9" xfId="6926"/>
    <cellStyle name="Comma 0_2006 08 11 RX3 Valuation v1" xfId="6927"/>
    <cellStyle name="Comma 10" xfId="3047"/>
    <cellStyle name="Comma 10 2" xfId="6928"/>
    <cellStyle name="Comma 10 2 2" xfId="6929"/>
    <cellStyle name="Comma 10 3" xfId="6930"/>
    <cellStyle name="Comma 10 3 2" xfId="6931"/>
    <cellStyle name="Comma 10 4" xfId="6932"/>
    <cellStyle name="Comma 11" xfId="3181"/>
    <cellStyle name="Comma 11 2" xfId="6933"/>
    <cellStyle name="Comma 11 2 2" xfId="6934"/>
    <cellStyle name="Comma 11 2 2 2" xfId="6935"/>
    <cellStyle name="Comma 11 2 2 2 2" xfId="6936"/>
    <cellStyle name="Comma 11 2 2 3" xfId="6937"/>
    <cellStyle name="Comma 11 2 3" xfId="6938"/>
    <cellStyle name="Comma 11 2 3 2" xfId="6939"/>
    <cellStyle name="Comma 11 2 4" xfId="6940"/>
    <cellStyle name="Comma 11 3" xfId="6941"/>
    <cellStyle name="Comma 11 3 2" xfId="6942"/>
    <cellStyle name="Comma 11 3 2 2" xfId="6943"/>
    <cellStyle name="Comma 11 3 3" xfId="6944"/>
    <cellStyle name="Comma 11 4" xfId="6945"/>
    <cellStyle name="Comma 11 4 2" xfId="6946"/>
    <cellStyle name="Comma 11 5" xfId="6947"/>
    <cellStyle name="Comma 11 6" xfId="6948"/>
    <cellStyle name="Comma 12" xfId="6949"/>
    <cellStyle name="Comma 12 2" xfId="6950"/>
    <cellStyle name="Comma 12 2 2" xfId="6951"/>
    <cellStyle name="Comma 12 3" xfId="6952"/>
    <cellStyle name="Comma 13" xfId="6953"/>
    <cellStyle name="Comma 13 2" xfId="6954"/>
    <cellStyle name="Comma 14" xfId="6955"/>
    <cellStyle name="Comma 14 2" xfId="6956"/>
    <cellStyle name="Comma 15" xfId="6957"/>
    <cellStyle name="Comma 15 2" xfId="6958"/>
    <cellStyle name="Comma 16" xfId="6959"/>
    <cellStyle name="Comma 16 2" xfId="6960"/>
    <cellStyle name="Comma 17" xfId="6961"/>
    <cellStyle name="Comma 17 2" xfId="6962"/>
    <cellStyle name="Comma 18" xfId="6963"/>
    <cellStyle name="Comma 19" xfId="6964"/>
    <cellStyle name="Comma 2" xfId="7"/>
    <cellStyle name="Comma 2 10" xfId="6965"/>
    <cellStyle name="Comma 2 11" xfId="6966"/>
    <cellStyle name="Comma 2 12" xfId="6967"/>
    <cellStyle name="Comma 2 13" xfId="6968"/>
    <cellStyle name="Comma 2 14" xfId="6969"/>
    <cellStyle name="Comma 2 15" xfId="6970"/>
    <cellStyle name="Comma 2 16" xfId="6971"/>
    <cellStyle name="Comma 2 17" xfId="6972"/>
    <cellStyle name="Comma 2 18" xfId="6973"/>
    <cellStyle name="Comma 2 19" xfId="6974"/>
    <cellStyle name="Comma 2 2" xfId="18"/>
    <cellStyle name="Comma 2 2 10" xfId="6975"/>
    <cellStyle name="Comma 2 2 11" xfId="6976"/>
    <cellStyle name="Comma 2 2 11 2" xfId="6977"/>
    <cellStyle name="Comma 2 2 12" xfId="6978"/>
    <cellStyle name="Comma 2 2 13" xfId="6979"/>
    <cellStyle name="Comma 2 2 14" xfId="51"/>
    <cellStyle name="Comma 2 2 2" xfId="3048"/>
    <cellStyle name="Comma 2 2 2 10" xfId="6980"/>
    <cellStyle name="Comma 2 2 2 11" xfId="6981"/>
    <cellStyle name="Comma 2 2 2 2" xfId="6982"/>
    <cellStyle name="Comma 2 2 2 2 2" xfId="6983"/>
    <cellStyle name="Comma 2 2 2 2 2 2" xfId="6984"/>
    <cellStyle name="Comma 2 2 2 2 3" xfId="6985"/>
    <cellStyle name="Comma 2 2 2 2 4" xfId="6986"/>
    <cellStyle name="Comma 2 2 2 2 5" xfId="6987"/>
    <cellStyle name="Comma 2 2 2 2 6" xfId="6988"/>
    <cellStyle name="Comma 2 2 2 3" xfId="6989"/>
    <cellStyle name="Comma 2 2 2 3 2" xfId="6990"/>
    <cellStyle name="Comma 2 2 2 3 2 2" xfId="6991"/>
    <cellStyle name="Comma 2 2 2 3 2 3" xfId="6992"/>
    <cellStyle name="Comma 2 2 2 3 3" xfId="6993"/>
    <cellStyle name="Comma 2 2 2 3 4" xfId="6994"/>
    <cellStyle name="Comma 2 2 2 3 5" xfId="6995"/>
    <cellStyle name="Comma 2 2 2 3 6" xfId="6996"/>
    <cellStyle name="Comma 2 2 2 3 7" xfId="6997"/>
    <cellStyle name="Comma 2 2 2 4" xfId="6998"/>
    <cellStyle name="Comma 2 2 2 4 2" xfId="6999"/>
    <cellStyle name="Comma 2 2 2 4 3" xfId="7000"/>
    <cellStyle name="Comma 2 2 2 5" xfId="7001"/>
    <cellStyle name="Comma 2 2 2 5 2" xfId="7002"/>
    <cellStyle name="Comma 2 2 2 6" xfId="7003"/>
    <cellStyle name="Comma 2 2 2 7" xfId="7004"/>
    <cellStyle name="Comma 2 2 2 8" xfId="7005"/>
    <cellStyle name="Comma 2 2 2 9" xfId="7006"/>
    <cellStyle name="Comma 2 2 3" xfId="7007"/>
    <cellStyle name="Comma 2 2 3 2" xfId="7008"/>
    <cellStyle name="Comma 2 2 3 3" xfId="7009"/>
    <cellStyle name="Comma 2 2 3 3 2" xfId="7010"/>
    <cellStyle name="Comma 2 2 3 3 3" xfId="7011"/>
    <cellStyle name="Comma 2 2 3 4" xfId="7012"/>
    <cellStyle name="Comma 2 2 3 5" xfId="7013"/>
    <cellStyle name="Comma 2 2 3 6" xfId="7014"/>
    <cellStyle name="Comma 2 2 3 7" xfId="7015"/>
    <cellStyle name="Comma 2 2 3 8" xfId="7016"/>
    <cellStyle name="Comma 2 2 4" xfId="7017"/>
    <cellStyle name="Comma 2 2 5" xfId="7018"/>
    <cellStyle name="Comma 2 2 6" xfId="7019"/>
    <cellStyle name="Comma 2 2 7" xfId="7020"/>
    <cellStyle name="Comma 2 2 8" xfId="7021"/>
    <cellStyle name="Comma 2 2 9" xfId="7022"/>
    <cellStyle name="Comma 2 20" xfId="7023"/>
    <cellStyle name="Comma 2 21" xfId="7024"/>
    <cellStyle name="Comma 2 22" xfId="7025"/>
    <cellStyle name="Comma 2 23" xfId="7026"/>
    <cellStyle name="Comma 2 24" xfId="7027"/>
    <cellStyle name="Comma 2 25" xfId="7028"/>
    <cellStyle name="Comma 2 3" xfId="20"/>
    <cellStyle name="Comma 2 3 10" xfId="7029"/>
    <cellStyle name="Comma 2 3 11" xfId="7030"/>
    <cellStyle name="Comma 2 3 11 2" xfId="7031"/>
    <cellStyle name="Comma 2 3 12" xfId="7032"/>
    <cellStyle name="Comma 2 3 13" xfId="7033"/>
    <cellStyle name="Comma 2 3 14" xfId="7034"/>
    <cellStyle name="Comma 2 3 15" xfId="3049"/>
    <cellStyle name="Comma 2 3 2" xfId="3050"/>
    <cellStyle name="Comma 2 3 2 2" xfId="7035"/>
    <cellStyle name="Comma 2 3 3" xfId="7036"/>
    <cellStyle name="Comma 2 3 4" xfId="7037"/>
    <cellStyle name="Comma 2 3 5" xfId="7038"/>
    <cellStyle name="Comma 2 3 6" xfId="7039"/>
    <cellStyle name="Comma 2 3 7" xfId="7040"/>
    <cellStyle name="Comma 2 3 8" xfId="7041"/>
    <cellStyle name="Comma 2 3 9" xfId="7042"/>
    <cellStyle name="Comma 2 4" xfId="22"/>
    <cellStyle name="Comma 2 4 10" xfId="7043"/>
    <cellStyle name="Comma 2 4 11" xfId="7044"/>
    <cellStyle name="Comma 2 4 11 2" xfId="7045"/>
    <cellStyle name="Comma 2 4 12" xfId="7046"/>
    <cellStyle name="Comma 2 4 13" xfId="7047"/>
    <cellStyle name="Comma 2 4 2" xfId="29"/>
    <cellStyle name="Comma 2 4 2 2" xfId="7048"/>
    <cellStyle name="Comma 2 4 2 3" xfId="7049"/>
    <cellStyle name="Comma 2 4 3" xfId="7050"/>
    <cellStyle name="Comma 2 4 4" xfId="7051"/>
    <cellStyle name="Comma 2 4 5" xfId="7052"/>
    <cellStyle name="Comma 2 4 6" xfId="7053"/>
    <cellStyle name="Comma 2 4 7" xfId="7054"/>
    <cellStyle name="Comma 2 4 8" xfId="7055"/>
    <cellStyle name="Comma 2 4 9" xfId="7056"/>
    <cellStyle name="Comma 2 5" xfId="7057"/>
    <cellStyle name="Comma 2 5 2" xfId="7058"/>
    <cellStyle name="Comma 2 6" xfId="7059"/>
    <cellStyle name="Comma 2 6 2" xfId="7060"/>
    <cellStyle name="Comma 2 6 3" xfId="7061"/>
    <cellStyle name="Comma 2 6 4" xfId="7062"/>
    <cellStyle name="Comma 2 7" xfId="7063"/>
    <cellStyle name="Comma 2 8" xfId="7064"/>
    <cellStyle name="Comma 2 9" xfId="7065"/>
    <cellStyle name="Comma 20" xfId="7066"/>
    <cellStyle name="Comma 21" xfId="7067"/>
    <cellStyle name="Comma 22" xfId="7068"/>
    <cellStyle name="Comma 23" xfId="7069"/>
    <cellStyle name="Comma 24" xfId="7070"/>
    <cellStyle name="Comma 25" xfId="7071"/>
    <cellStyle name="Comma 26" xfId="7072"/>
    <cellStyle name="Comma 27" xfId="7073"/>
    <cellStyle name="Comma 28" xfId="7074"/>
    <cellStyle name="Comma 29" xfId="7075"/>
    <cellStyle name="Comma 3" xfId="3"/>
    <cellStyle name="Comma 3 10" xfId="37"/>
    <cellStyle name="Comma 3 2" xfId="3051"/>
    <cellStyle name="Comma 3 2 2" xfId="3052"/>
    <cellStyle name="Comma 3 2 2 2" xfId="7076"/>
    <cellStyle name="Comma 3 2 2 3" xfId="7077"/>
    <cellStyle name="Comma 3 2 3" xfId="3053"/>
    <cellStyle name="Comma 3 2 3 2" xfId="7078"/>
    <cellStyle name="Comma 3 2 4" xfId="7079"/>
    <cellStyle name="Comma 3 3" xfId="3054"/>
    <cellStyle name="Comma 3 3 2" xfId="3055"/>
    <cellStyle name="Comma 3 3 2 2" xfId="7080"/>
    <cellStyle name="Comma 3 3 2 3" xfId="7081"/>
    <cellStyle name="Comma 3 3 3" xfId="7082"/>
    <cellStyle name="Comma 3 3 4" xfId="7083"/>
    <cellStyle name="Comma 3 4" xfId="3056"/>
    <cellStyle name="Comma 3 4 2" xfId="3057"/>
    <cellStyle name="Comma 3 4 3" xfId="7084"/>
    <cellStyle name="Comma 3 5" xfId="3058"/>
    <cellStyle name="Comma 3 5 2" xfId="3059"/>
    <cellStyle name="Comma 3 6" xfId="3060"/>
    <cellStyle name="Comma 3 6 2" xfId="7085"/>
    <cellStyle name="Comma 3 7" xfId="7086"/>
    <cellStyle name="Comma 3 8" xfId="7087"/>
    <cellStyle name="Comma 3 9" xfId="7088"/>
    <cellStyle name="Comma 30" xfId="7089"/>
    <cellStyle name="Comma 31" xfId="16883"/>
    <cellStyle name="Comma 4" xfId="9"/>
    <cellStyle name="Comma 4 2" xfId="16"/>
    <cellStyle name="Comma 4 2 2" xfId="7090"/>
    <cellStyle name="Comma 4 2 2 2" xfId="7091"/>
    <cellStyle name="Comma 4 3" xfId="33"/>
    <cellStyle name="Comma 4 3 2" xfId="7093"/>
    <cellStyle name="Comma 4 3 3" xfId="7092"/>
    <cellStyle name="Comma 4 4" xfId="7094"/>
    <cellStyle name="Comma 4 4 2" xfId="7095"/>
    <cellStyle name="Comma 4 5" xfId="7096"/>
    <cellStyle name="Comma 4 6" xfId="7097"/>
    <cellStyle name="Comma 4 6 2" xfId="7098"/>
    <cellStyle name="Comma 4 7" xfId="7099"/>
    <cellStyle name="Comma 4 8" xfId="3061"/>
    <cellStyle name="Comma 5" xfId="11"/>
    <cellStyle name="Comma 5 2" xfId="24"/>
    <cellStyle name="Comma 5 2 2" xfId="7100"/>
    <cellStyle name="Comma 5 2 2 2" xfId="7101"/>
    <cellStyle name="Comma 5 2 2 2 2" xfId="7102"/>
    <cellStyle name="Comma 5 2 2 2 2 2" xfId="7103"/>
    <cellStyle name="Comma 5 2 2 2 3" xfId="7104"/>
    <cellStyle name="Comma 5 2 2 3" xfId="7105"/>
    <cellStyle name="Comma 5 2 2 3 2" xfId="7106"/>
    <cellStyle name="Comma 5 2 2 4" xfId="7107"/>
    <cellStyle name="Comma 5 2 2 5" xfId="7108"/>
    <cellStyle name="Comma 5 2 3" xfId="7109"/>
    <cellStyle name="Comma 5 2 3 2" xfId="7110"/>
    <cellStyle name="Comma 5 2 3 2 2" xfId="7111"/>
    <cellStyle name="Comma 5 2 3 3" xfId="7112"/>
    <cellStyle name="Comma 5 2 4" xfId="7113"/>
    <cellStyle name="Comma 5 2 4 2" xfId="7114"/>
    <cellStyle name="Comma 5 2 5" xfId="7115"/>
    <cellStyle name="Comma 5 2 6" xfId="7116"/>
    <cellStyle name="Comma 5 2 7" xfId="3063"/>
    <cellStyle name="Comma 5 3" xfId="7117"/>
    <cellStyle name="Comma 5 3 2" xfId="7118"/>
    <cellStyle name="Comma 5 3 2 2" xfId="7119"/>
    <cellStyle name="Comma 5 3 2 2 2" xfId="7120"/>
    <cellStyle name="Comma 5 3 2 2 2 2" xfId="7121"/>
    <cellStyle name="Comma 5 3 2 2 3" xfId="7122"/>
    <cellStyle name="Comma 5 3 2 3" xfId="7123"/>
    <cellStyle name="Comma 5 3 2 3 2" xfId="7124"/>
    <cellStyle name="Comma 5 3 2 4" xfId="7125"/>
    <cellStyle name="Comma 5 3 3" xfId="7126"/>
    <cellStyle name="Comma 5 3 3 2" xfId="7127"/>
    <cellStyle name="Comma 5 3 3 2 2" xfId="7128"/>
    <cellStyle name="Comma 5 3 3 3" xfId="7129"/>
    <cellStyle name="Comma 5 3 4" xfId="7130"/>
    <cellStyle name="Comma 5 3 4 2" xfId="7131"/>
    <cellStyle name="Comma 5 3 5" xfId="7132"/>
    <cellStyle name="Comma 5 3 6" xfId="7133"/>
    <cellStyle name="Comma 5 4" xfId="7134"/>
    <cellStyle name="Comma 5 4 2" xfId="7135"/>
    <cellStyle name="Comma 5 4 3" xfId="7136"/>
    <cellStyle name="Comma 5 5" xfId="7137"/>
    <cellStyle name="Comma 5 5 2" xfId="7138"/>
    <cellStyle name="Comma 5 6" xfId="7139"/>
    <cellStyle name="Comma 5 7" xfId="3062"/>
    <cellStyle name="Comma 6" xfId="3064"/>
    <cellStyle name="Comma 6 2" xfId="7140"/>
    <cellStyle name="Comma 6 2 2" xfId="7141"/>
    <cellStyle name="Comma 6 2 2 2" xfId="7142"/>
    <cellStyle name="Comma 6 2 2 2 2" xfId="7143"/>
    <cellStyle name="Comma 6 2 2 2 2 2" xfId="7144"/>
    <cellStyle name="Comma 6 2 2 2 3" xfId="7145"/>
    <cellStyle name="Comma 6 2 2 3" xfId="7146"/>
    <cellStyle name="Comma 6 2 2 3 2" xfId="7147"/>
    <cellStyle name="Comma 6 2 2 4" xfId="7148"/>
    <cellStyle name="Comma 6 2 2 5" xfId="7149"/>
    <cellStyle name="Comma 6 2 3" xfId="7150"/>
    <cellStyle name="Comma 6 2 3 2" xfId="7151"/>
    <cellStyle name="Comma 6 2 3 2 2" xfId="7152"/>
    <cellStyle name="Comma 6 2 3 3" xfId="7153"/>
    <cellStyle name="Comma 6 2 4" xfId="7154"/>
    <cellStyle name="Comma 6 2 4 2" xfId="7155"/>
    <cellStyle name="Comma 6 2 5" xfId="7156"/>
    <cellStyle name="Comma 6 2 6" xfId="7157"/>
    <cellStyle name="Comma 6 3" xfId="7158"/>
    <cellStyle name="Comma 6 3 2" xfId="7159"/>
    <cellStyle name="Comma 6 3 2 2" xfId="7160"/>
    <cellStyle name="Comma 6 3 2 2 2" xfId="7161"/>
    <cellStyle name="Comma 6 3 2 3" xfId="7162"/>
    <cellStyle name="Comma 6 3 2 4" xfId="7163"/>
    <cellStyle name="Comma 6 3 3" xfId="7164"/>
    <cellStyle name="Comma 6 3 3 2" xfId="7165"/>
    <cellStyle name="Comma 6 3 4" xfId="7166"/>
    <cellStyle name="Comma 6 3 5" xfId="7167"/>
    <cellStyle name="Comma 6 4" xfId="7168"/>
    <cellStyle name="Comma 6 4 2" xfId="7169"/>
    <cellStyle name="Comma 6 4 2 2" xfId="7170"/>
    <cellStyle name="Comma 6 4 3" xfId="7171"/>
    <cellStyle name="Comma 6 4 4" xfId="7172"/>
    <cellStyle name="Comma 6 5" xfId="7173"/>
    <cellStyle name="Comma 6 5 2" xfId="7174"/>
    <cellStyle name="Comma 6 6" xfId="7175"/>
    <cellStyle name="Comma 7" xfId="3065"/>
    <cellStyle name="Comma 7 2" xfId="7176"/>
    <cellStyle name="Comma 7 2 2" xfId="7177"/>
    <cellStyle name="Comma 7 2 2 2" xfId="7178"/>
    <cellStyle name="Comma 7 2 2 2 2" xfId="7179"/>
    <cellStyle name="Comma 7 2 2 3" xfId="7180"/>
    <cellStyle name="Comma 7 2 2 4" xfId="7181"/>
    <cellStyle name="Comma 7 2 3" xfId="7182"/>
    <cellStyle name="Comma 7 2 3 2" xfId="7183"/>
    <cellStyle name="Comma 7 2 4" xfId="7184"/>
    <cellStyle name="Comma 7 2 4 2" xfId="7185"/>
    <cellStyle name="Comma 7 2 5" xfId="7186"/>
    <cellStyle name="Comma 7 2 5 2" xfId="7187"/>
    <cellStyle name="Comma 7 2 6" xfId="7188"/>
    <cellStyle name="Comma 7 2 7" xfId="7189"/>
    <cellStyle name="Comma 7 2 8" xfId="7190"/>
    <cellStyle name="Comma 7 2 9" xfId="7191"/>
    <cellStyle name="Comma 7 3" xfId="7192"/>
    <cellStyle name="Comma 7 3 2" xfId="7193"/>
    <cellStyle name="Comma 7 3 2 2" xfId="7194"/>
    <cellStyle name="Comma 7 3 2 3" xfId="7195"/>
    <cellStyle name="Comma 7 3 3" xfId="7196"/>
    <cellStyle name="Comma 7 3 4" xfId="7197"/>
    <cellStyle name="Comma 7 3 5" xfId="7198"/>
    <cellStyle name="Comma 7 3 6" xfId="7199"/>
    <cellStyle name="Comma 7 4" xfId="7200"/>
    <cellStyle name="Comma 7 4 2" xfId="7201"/>
    <cellStyle name="Comma 7 4 3" xfId="7202"/>
    <cellStyle name="Comma 7 4 4" xfId="7203"/>
    <cellStyle name="Comma 7 5" xfId="7204"/>
    <cellStyle name="Comma 7 6" xfId="7205"/>
    <cellStyle name="Comma 7 7" xfId="7206"/>
    <cellStyle name="Comma 8" xfId="3066"/>
    <cellStyle name="Comma 8 2" xfId="7207"/>
    <cellStyle name="Comma 8 2 2" xfId="7208"/>
    <cellStyle name="Comma 8 2 2 2" xfId="7209"/>
    <cellStyle name="Comma 8 2 2 2 2" xfId="7210"/>
    <cellStyle name="Comma 8 2 2 2 2 2" xfId="7211"/>
    <cellStyle name="Comma 8 2 2 2 3" xfId="7212"/>
    <cellStyle name="Comma 8 2 2 3" xfId="7213"/>
    <cellStyle name="Comma 8 2 2 3 2" xfId="7214"/>
    <cellStyle name="Comma 8 2 2 4" xfId="7215"/>
    <cellStyle name="Comma 8 2 3" xfId="7216"/>
    <cellStyle name="Comma 8 2 3 2" xfId="7217"/>
    <cellStyle name="Comma 8 2 3 2 2" xfId="7218"/>
    <cellStyle name="Comma 8 2 3 3" xfId="7219"/>
    <cellStyle name="Comma 8 2 3 4" xfId="7220"/>
    <cellStyle name="Comma 8 2 4" xfId="7221"/>
    <cellStyle name="Comma 8 2 4 2" xfId="7222"/>
    <cellStyle name="Comma 8 2 5" xfId="7223"/>
    <cellStyle name="Comma 8 3" xfId="7224"/>
    <cellStyle name="Comma 8 3 2" xfId="7225"/>
    <cellStyle name="Comma 8 3 2 2" xfId="7226"/>
    <cellStyle name="Comma 8 3 2 3" xfId="7227"/>
    <cellStyle name="Comma 8 3 3" xfId="7228"/>
    <cellStyle name="Comma 8 3 3 2" xfId="7229"/>
    <cellStyle name="Comma 8 3 4" xfId="7230"/>
    <cellStyle name="Comma 8 4" xfId="7231"/>
    <cellStyle name="Comma 8 4 2" xfId="7232"/>
    <cellStyle name="Comma 8 4 2 2" xfId="7233"/>
    <cellStyle name="Comma 8 4 3" xfId="7234"/>
    <cellStyle name="Comma 8 5" xfId="7235"/>
    <cellStyle name="Comma 8 5 2" xfId="7236"/>
    <cellStyle name="Comma 8 6" xfId="7237"/>
    <cellStyle name="Comma 8 6 2" xfId="7238"/>
    <cellStyle name="Comma 8 7" xfId="7239"/>
    <cellStyle name="Comma 8 8" xfId="7240"/>
    <cellStyle name="Comma 8 9" xfId="7241"/>
    <cellStyle name="Comma 9" xfId="3067"/>
    <cellStyle name="Comma 9 2" xfId="7242"/>
    <cellStyle name="Comma 9 2 2" xfId="7243"/>
    <cellStyle name="Comma 9 2 3" xfId="7244"/>
    <cellStyle name="Comma 9 3" xfId="7245"/>
    <cellStyle name="Comma 9 3 2" xfId="7246"/>
    <cellStyle name="Comma 9 4" xfId="7247"/>
    <cellStyle name="Comma0" xfId="7248"/>
    <cellStyle name="Comma0 - Modelo1" xfId="7249"/>
    <cellStyle name="Comma0 - Style1" xfId="7250"/>
    <cellStyle name="Comma0 10" xfId="7251"/>
    <cellStyle name="Comma0 11" xfId="7252"/>
    <cellStyle name="Comma0 12" xfId="7253"/>
    <cellStyle name="Comma0 13" xfId="7254"/>
    <cellStyle name="Comma0 14" xfId="7255"/>
    <cellStyle name="Comma0 15" xfId="7256"/>
    <cellStyle name="Comma0 16" xfId="7257"/>
    <cellStyle name="Comma0 17" xfId="7258"/>
    <cellStyle name="Comma0 18" xfId="7259"/>
    <cellStyle name="Comma0 19" xfId="7260"/>
    <cellStyle name="Comma0 2" xfId="7261"/>
    <cellStyle name="Comma0 20" xfId="7262"/>
    <cellStyle name="Comma0 21" xfId="7263"/>
    <cellStyle name="Comma0 22" xfId="7264"/>
    <cellStyle name="Comma0 23" xfId="7265"/>
    <cellStyle name="Comma0 24" xfId="7266"/>
    <cellStyle name="Comma0 25" xfId="7267"/>
    <cellStyle name="Comma0 26" xfId="7268"/>
    <cellStyle name="Comma0 27" xfId="7269"/>
    <cellStyle name="Comma0 28" xfId="7270"/>
    <cellStyle name="Comma0 29" xfId="7271"/>
    <cellStyle name="Comma0 3" xfId="7272"/>
    <cellStyle name="Comma0 30" xfId="7273"/>
    <cellStyle name="Comma0 4" xfId="7274"/>
    <cellStyle name="Comma0 5" xfId="7275"/>
    <cellStyle name="Comma0 6" xfId="7276"/>
    <cellStyle name="Comma0 7" xfId="7277"/>
    <cellStyle name="Comma0 8" xfId="7278"/>
    <cellStyle name="Comma0 9" xfId="7279"/>
    <cellStyle name="Comma1 - Modelo2" xfId="7280"/>
    <cellStyle name="Comma1 - Style2" xfId="7281"/>
    <cellStyle name="commap2" xfId="7282"/>
    <cellStyle name="CommaRounded" xfId="7283"/>
    <cellStyle name="Currency" xfId="4" builtinId="4"/>
    <cellStyle name="Currency (3)" xfId="7284"/>
    <cellStyle name="Currency 0" xfId="7285"/>
    <cellStyle name="Currency 10" xfId="7286"/>
    <cellStyle name="Currency 11" xfId="7287"/>
    <cellStyle name="Currency 12" xfId="7288"/>
    <cellStyle name="Currency 13" xfId="7289"/>
    <cellStyle name="Currency 14" xfId="7290"/>
    <cellStyle name="Currency 15" xfId="7291"/>
    <cellStyle name="Currency 16" xfId="7292"/>
    <cellStyle name="Currency 17" xfId="7293"/>
    <cellStyle name="Currency 18" xfId="7294"/>
    <cellStyle name="Currency 19" xfId="16884"/>
    <cellStyle name="Currency 2" xfId="10"/>
    <cellStyle name="Currency 2 10" xfId="7295"/>
    <cellStyle name="Currency 2 11" xfId="7296"/>
    <cellStyle name="Currency 2 12" xfId="7297"/>
    <cellStyle name="Currency 2 13" xfId="7298"/>
    <cellStyle name="Currency 2 14" xfId="7299"/>
    <cellStyle name="Currency 2 15" xfId="7300"/>
    <cellStyle name="Currency 2 16" xfId="7301"/>
    <cellStyle name="Currency 2 17" xfId="7302"/>
    <cellStyle name="Currency 2 18" xfId="7303"/>
    <cellStyle name="Currency 2 19" xfId="7304"/>
    <cellStyle name="Currency 2 2" xfId="17"/>
    <cellStyle name="Currency 2 2 10" xfId="7305"/>
    <cellStyle name="Currency 2 2 2" xfId="3068"/>
    <cellStyle name="Currency 2 2 2 2" xfId="7306"/>
    <cellStyle name="Currency 2 2 2 2 2" xfId="7307"/>
    <cellStyle name="Currency 2 2 2 2 3" xfId="7308"/>
    <cellStyle name="Currency 2 2 2 2 4" xfId="7309"/>
    <cellStyle name="Currency 2 2 2 3" xfId="7310"/>
    <cellStyle name="Currency 2 2 2 3 2" xfId="7311"/>
    <cellStyle name="Currency 2 2 2 4" xfId="7312"/>
    <cellStyle name="Currency 2 2 2 5" xfId="7313"/>
    <cellStyle name="Currency 2 2 2 6" xfId="7314"/>
    <cellStyle name="Currency 2 2 2 7" xfId="7315"/>
    <cellStyle name="Currency 2 2 2 8" xfId="7316"/>
    <cellStyle name="Currency 2 2 2 9" xfId="7317"/>
    <cellStyle name="Currency 2 2 3" xfId="7318"/>
    <cellStyle name="Currency 2 2 3 2" xfId="7319"/>
    <cellStyle name="Currency 2 2 3 3" xfId="7320"/>
    <cellStyle name="Currency 2 2 3 4" xfId="7321"/>
    <cellStyle name="Currency 2 2 4" xfId="7322"/>
    <cellStyle name="Currency 2 2 4 2" xfId="7323"/>
    <cellStyle name="Currency 2 2 4 2 2" xfId="7324"/>
    <cellStyle name="Currency 2 2 4 2 3" xfId="7325"/>
    <cellStyle name="Currency 2 2 4 3" xfId="7326"/>
    <cellStyle name="Currency 2 2 4 4" xfId="7327"/>
    <cellStyle name="Currency 2 2 4 5" xfId="7328"/>
    <cellStyle name="Currency 2 2 4 6" xfId="7329"/>
    <cellStyle name="Currency 2 2 4 7" xfId="7330"/>
    <cellStyle name="Currency 2 2 4 8" xfId="7331"/>
    <cellStyle name="Currency 2 2 5" xfId="7332"/>
    <cellStyle name="Currency 2 2 5 2" xfId="7333"/>
    <cellStyle name="Currency 2 2 5 3" xfId="7334"/>
    <cellStyle name="Currency 2 2 6" xfId="7335"/>
    <cellStyle name="Currency 2 2 6 2" xfId="7336"/>
    <cellStyle name="Currency 2 2 7" xfId="7337"/>
    <cellStyle name="Currency 2 2 8" xfId="7338"/>
    <cellStyle name="Currency 2 2 9" xfId="7339"/>
    <cellStyle name="Currency 2 20" xfId="7340"/>
    <cellStyle name="Currency 2 21" xfId="7341"/>
    <cellStyle name="Currency 2 22" xfId="7342"/>
    <cellStyle name="Currency 2 23" xfId="7343"/>
    <cellStyle name="Currency 2 24" xfId="7344"/>
    <cellStyle name="Currency 2 25" xfId="7345"/>
    <cellStyle name="Currency 2 26" xfId="7346"/>
    <cellStyle name="Currency 2 3" xfId="3069"/>
    <cellStyle name="Currency 2 3 2" xfId="3070"/>
    <cellStyle name="Currency 2 3 3" xfId="7347"/>
    <cellStyle name="Currency 2 3 4" xfId="7348"/>
    <cellStyle name="Currency 2 4" xfId="3071"/>
    <cellStyle name="Currency 2 4 2" xfId="3072"/>
    <cellStyle name="Currency 2 4 2 2" xfId="7349"/>
    <cellStyle name="Currency 2 4 3" xfId="7350"/>
    <cellStyle name="Currency 2 4 4" xfId="7351"/>
    <cellStyle name="Currency 2 5" xfId="3073"/>
    <cellStyle name="Currency 2 5 2" xfId="3074"/>
    <cellStyle name="Currency 2 6" xfId="3075"/>
    <cellStyle name="Currency 2 7" xfId="7352"/>
    <cellStyle name="Currency 2 8" xfId="7353"/>
    <cellStyle name="Currency 2 9" xfId="7354"/>
    <cellStyle name="Currency 3" xfId="12"/>
    <cellStyle name="Currency 3 2" xfId="25"/>
    <cellStyle name="Currency 3 2 2" xfId="7355"/>
    <cellStyle name="Currency 3 3" xfId="7356"/>
    <cellStyle name="Currency 3 3 2" xfId="7357"/>
    <cellStyle name="Currency 3 4" xfId="7358"/>
    <cellStyle name="Currency 3 5" xfId="7359"/>
    <cellStyle name="Currency 3 6" xfId="7360"/>
    <cellStyle name="Currency 3 7" xfId="3076"/>
    <cellStyle name="Currency 4" xfId="3077"/>
    <cellStyle name="Currency 4 2" xfId="7361"/>
    <cellStyle name="Currency 4 2 2" xfId="7362"/>
    <cellStyle name="Currency 4 3" xfId="7363"/>
    <cellStyle name="Currency 4 4" xfId="7364"/>
    <cellStyle name="Currency 4 5" xfId="7365"/>
    <cellStyle name="Currency 4 6" xfId="7366"/>
    <cellStyle name="Currency 5" xfId="7367"/>
    <cellStyle name="Currency 5 10" xfId="7368"/>
    <cellStyle name="Currency 5 11" xfId="7369"/>
    <cellStyle name="Currency 5 2" xfId="7370"/>
    <cellStyle name="Currency 5 2 2" xfId="7371"/>
    <cellStyle name="Currency 5 2 2 2" xfId="7372"/>
    <cellStyle name="Currency 5 2 2 3" xfId="7373"/>
    <cellStyle name="Currency 5 2 2 4" xfId="7374"/>
    <cellStyle name="Currency 5 2 3" xfId="7375"/>
    <cellStyle name="Currency 5 2 3 2" xfId="7376"/>
    <cellStyle name="Currency 5 2 4" xfId="7377"/>
    <cellStyle name="Currency 5 2 5" xfId="7378"/>
    <cellStyle name="Currency 5 2 6" xfId="7379"/>
    <cellStyle name="Currency 5 2 7" xfId="7380"/>
    <cellStyle name="Currency 5 2 8" xfId="7381"/>
    <cellStyle name="Currency 5 2 9" xfId="7382"/>
    <cellStyle name="Currency 5 3" xfId="7383"/>
    <cellStyle name="Currency 5 3 2" xfId="7384"/>
    <cellStyle name="Currency 5 3 3" xfId="7385"/>
    <cellStyle name="Currency 5 3 4" xfId="7386"/>
    <cellStyle name="Currency 5 4" xfId="7387"/>
    <cellStyle name="Currency 5 4 2" xfId="7388"/>
    <cellStyle name="Currency 5 4 3" xfId="7389"/>
    <cellStyle name="Currency 5 5" xfId="7390"/>
    <cellStyle name="Currency 5 5 2" xfId="7391"/>
    <cellStyle name="Currency 5 5 3" xfId="7392"/>
    <cellStyle name="Currency 5 6" xfId="7393"/>
    <cellStyle name="Currency 5 6 2" xfId="7394"/>
    <cellStyle name="Currency 5 7" xfId="7395"/>
    <cellStyle name="Currency 5 8" xfId="7396"/>
    <cellStyle name="Currency 5 9" xfId="7397"/>
    <cellStyle name="Currency 6" xfId="7398"/>
    <cellStyle name="Currency 6 2" xfId="7399"/>
    <cellStyle name="Currency 6 2 2" xfId="7400"/>
    <cellStyle name="Currency 6 2 3" xfId="7401"/>
    <cellStyle name="Currency 6 3" xfId="7402"/>
    <cellStyle name="Currency 6 4" xfId="7403"/>
    <cellStyle name="Currency 6 5" xfId="7404"/>
    <cellStyle name="Currency 6 5 2" xfId="7405"/>
    <cellStyle name="Currency 6 6" xfId="7406"/>
    <cellStyle name="Currency 6 6 2" xfId="7407"/>
    <cellStyle name="Currency 7" xfId="7408"/>
    <cellStyle name="Currency 7 2" xfId="7409"/>
    <cellStyle name="Currency 7 3" xfId="7410"/>
    <cellStyle name="Currency 7 4" xfId="7411"/>
    <cellStyle name="Currency 7 5" xfId="7412"/>
    <cellStyle name="Currency 7 6" xfId="7413"/>
    <cellStyle name="Currency 8" xfId="7414"/>
    <cellStyle name="Currency 9" xfId="7415"/>
    <cellStyle name="Currency0" xfId="7416"/>
    <cellStyle name="Currency0 10" xfId="7417"/>
    <cellStyle name="Currency0 11" xfId="7418"/>
    <cellStyle name="Currency0 12" xfId="7419"/>
    <cellStyle name="Currency0 13" xfId="7420"/>
    <cellStyle name="Currency0 14" xfId="7421"/>
    <cellStyle name="Currency0 15" xfId="7422"/>
    <cellStyle name="Currency0 16" xfId="7423"/>
    <cellStyle name="Currency0 17" xfId="7424"/>
    <cellStyle name="Currency0 18" xfId="7425"/>
    <cellStyle name="Currency0 19" xfId="7426"/>
    <cellStyle name="Currency0 2" xfId="7427"/>
    <cellStyle name="Currency0 20" xfId="7428"/>
    <cellStyle name="Currency0 21" xfId="7429"/>
    <cellStyle name="Currency0 22" xfId="7430"/>
    <cellStyle name="Currency0 23" xfId="7431"/>
    <cellStyle name="Currency0 24" xfId="7432"/>
    <cellStyle name="Currency0 25" xfId="7433"/>
    <cellStyle name="Currency0 26" xfId="7434"/>
    <cellStyle name="Currency0 27" xfId="7435"/>
    <cellStyle name="Currency0 28" xfId="7436"/>
    <cellStyle name="Currency0 29" xfId="7437"/>
    <cellStyle name="Currency0 3" xfId="7438"/>
    <cellStyle name="Currency0 30" xfId="7439"/>
    <cellStyle name="Currency0 4" xfId="7440"/>
    <cellStyle name="Currency0 5" xfId="7441"/>
    <cellStyle name="Currency0 6" xfId="7442"/>
    <cellStyle name="Currency0 7" xfId="7443"/>
    <cellStyle name="Currency0 8" xfId="7444"/>
    <cellStyle name="Currency0 9" xfId="7445"/>
    <cellStyle name="Dash" xfId="7446"/>
    <cellStyle name="Date" xfId="3078"/>
    <cellStyle name="Date 2" xfId="7447"/>
    <cellStyle name="Date 3" xfId="7448"/>
    <cellStyle name="Date 4" xfId="7449"/>
    <cellStyle name="Date Aligned" xfId="7450"/>
    <cellStyle name="Date_2006 08 11 RX3 Valuation v1" xfId="7451"/>
    <cellStyle name="Dia" xfId="7452"/>
    <cellStyle name="Dotted Line" xfId="7453"/>
    <cellStyle name="Emphasis 1" xfId="7454"/>
    <cellStyle name="Emphasis 2" xfId="7455"/>
    <cellStyle name="Emphasis 3" xfId="7456"/>
    <cellStyle name="Encabez1" xfId="7457"/>
    <cellStyle name="Encabez2" xfId="7458"/>
    <cellStyle name="Euro" xfId="7459"/>
    <cellStyle name="Euro 10" xfId="7460"/>
    <cellStyle name="Euro 11" xfId="7461"/>
    <cellStyle name="Euro 12" xfId="7462"/>
    <cellStyle name="Euro 13" xfId="7463"/>
    <cellStyle name="Euro 14" xfId="7464"/>
    <cellStyle name="Euro 15" xfId="7465"/>
    <cellStyle name="Euro 16" xfId="7466"/>
    <cellStyle name="Euro 17" xfId="7467"/>
    <cellStyle name="Euro 18" xfId="7468"/>
    <cellStyle name="Euro 2" xfId="7469"/>
    <cellStyle name="Euro 2 2" xfId="7470"/>
    <cellStyle name="Euro 2 2 2" xfId="7471"/>
    <cellStyle name="Euro 2 3" xfId="7472"/>
    <cellStyle name="Euro 2 4" xfId="7473"/>
    <cellStyle name="Euro 2 5" xfId="7474"/>
    <cellStyle name="Euro 2 6" xfId="7475"/>
    <cellStyle name="Euro 2 7" xfId="7476"/>
    <cellStyle name="Euro 2 8" xfId="7477"/>
    <cellStyle name="Euro 3" xfId="7478"/>
    <cellStyle name="Euro 3 2" xfId="7479"/>
    <cellStyle name="Euro 3 3" xfId="7480"/>
    <cellStyle name="Euro 3 4" xfId="7481"/>
    <cellStyle name="Euro 3 5" xfId="7482"/>
    <cellStyle name="Euro 3 6" xfId="7483"/>
    <cellStyle name="Euro 3 7" xfId="7484"/>
    <cellStyle name="Euro 3 8" xfId="7485"/>
    <cellStyle name="Euro 4" xfId="7486"/>
    <cellStyle name="Euro 4 2" xfId="7487"/>
    <cellStyle name="Euro 4 3" xfId="7488"/>
    <cellStyle name="Euro 5" xfId="7489"/>
    <cellStyle name="Euro 5 2" xfId="7490"/>
    <cellStyle name="Euro 6" xfId="7491"/>
    <cellStyle name="Euro 7" xfId="7492"/>
    <cellStyle name="Euro 8" xfId="7493"/>
    <cellStyle name="Euro 9" xfId="7494"/>
    <cellStyle name="Excel Built-in Accent1" xfId="7495"/>
    <cellStyle name="Excel Built-in Currency" xfId="7496"/>
    <cellStyle name="Excel Built-in Hyperlink" xfId="7497"/>
    <cellStyle name="Excel Built-in Normal" xfId="7498"/>
    <cellStyle name="Explanatory Text 10" xfId="7499"/>
    <cellStyle name="Explanatory Text 11" xfId="7500"/>
    <cellStyle name="Explanatory Text 2" xfId="3079"/>
    <cellStyle name="Explanatory Text 2 2" xfId="7501"/>
    <cellStyle name="Explanatory Text 2 2 2" xfId="7502"/>
    <cellStyle name="Explanatory Text 2 3" xfId="7503"/>
    <cellStyle name="Explanatory Text 2 4" xfId="7504"/>
    <cellStyle name="Explanatory Text 2 5" xfId="7505"/>
    <cellStyle name="Explanatory Text 2 6" xfId="7506"/>
    <cellStyle name="Explanatory Text 3" xfId="3080"/>
    <cellStyle name="Explanatory Text 3 2" xfId="7507"/>
    <cellStyle name="Explanatory Text 3 2 2" xfId="7508"/>
    <cellStyle name="Explanatory Text 3 3" xfId="7509"/>
    <cellStyle name="Explanatory Text 4" xfId="3209"/>
    <cellStyle name="Explanatory Text 4 2" xfId="7510"/>
    <cellStyle name="Explanatory Text 5" xfId="7511"/>
    <cellStyle name="Explanatory Text 5 2" xfId="7512"/>
    <cellStyle name="Explanatory Text 6" xfId="7513"/>
    <cellStyle name="Explanatory Text 6 2" xfId="7514"/>
    <cellStyle name="Explanatory Text 7" xfId="7515"/>
    <cellStyle name="Explanatory Text 8" xfId="7516"/>
    <cellStyle name="Explanatory Text 9" xfId="7517"/>
    <cellStyle name="Explanatory Text 9 2" xfId="7518"/>
    <cellStyle name="Explanatory Text 9 3" xfId="7519"/>
    <cellStyle name="EZ Pay formats" xfId="7520"/>
    <cellStyle name="F2" xfId="7521"/>
    <cellStyle name="F3" xfId="7522"/>
    <cellStyle name="F4" xfId="7523"/>
    <cellStyle name="F5" xfId="7524"/>
    <cellStyle name="F6" xfId="7525"/>
    <cellStyle name="F7" xfId="7526"/>
    <cellStyle name="F8" xfId="7527"/>
    <cellStyle name="Fijo" xfId="7528"/>
    <cellStyle name="financial" xfId="7529"/>
    <cellStyle name="Financiero" xfId="7530"/>
    <cellStyle name="Fixed" xfId="3081"/>
    <cellStyle name="Fixed 10" xfId="7531"/>
    <cellStyle name="Fixed 10 2" xfId="7532"/>
    <cellStyle name="Fixed 11" xfId="7533"/>
    <cellStyle name="Fixed 12" xfId="7534"/>
    <cellStyle name="Fixed 13" xfId="7535"/>
    <cellStyle name="Fixed 14" xfId="7536"/>
    <cellStyle name="Fixed 15" xfId="7537"/>
    <cellStyle name="Fixed 16" xfId="7538"/>
    <cellStyle name="Fixed 17" xfId="7539"/>
    <cellStyle name="Fixed 18" xfId="7540"/>
    <cellStyle name="Fixed 19" xfId="7541"/>
    <cellStyle name="Fixed 2" xfId="7542"/>
    <cellStyle name="Fixed 2 2" xfId="7543"/>
    <cellStyle name="Fixed 2 2 2" xfId="7544"/>
    <cellStyle name="Fixed 2 2 2 2" xfId="7545"/>
    <cellStyle name="Fixed 2 2 3" xfId="7546"/>
    <cellStyle name="Fixed 2 2_Actual" xfId="7547"/>
    <cellStyle name="Fixed 2 3" xfId="7548"/>
    <cellStyle name="Fixed 2 3 2" xfId="7549"/>
    <cellStyle name="Fixed 2 4" xfId="7550"/>
    <cellStyle name="Fixed 2 4 2" xfId="7551"/>
    <cellStyle name="Fixed 2 4 2 2" xfId="7552"/>
    <cellStyle name="Fixed 2 4 3" xfId="7553"/>
    <cellStyle name="Fixed 2 4_Actual" xfId="7554"/>
    <cellStyle name="Fixed 2 5" xfId="7555"/>
    <cellStyle name="Fixed 2 6" xfId="7556"/>
    <cellStyle name="Fixed 2 6 2" xfId="7557"/>
    <cellStyle name="Fixed 2 7" xfId="7558"/>
    <cellStyle name="Fixed 2 7 2" xfId="7559"/>
    <cellStyle name="Fixed 2 8" xfId="7560"/>
    <cellStyle name="Fixed 2_120110 NFC Risk Flash" xfId="7561"/>
    <cellStyle name="Fixed 20" xfId="7562"/>
    <cellStyle name="Fixed 21" xfId="7563"/>
    <cellStyle name="Fixed 22" xfId="7564"/>
    <cellStyle name="Fixed 23" xfId="7565"/>
    <cellStyle name="Fixed 24" xfId="7566"/>
    <cellStyle name="Fixed 25" xfId="7567"/>
    <cellStyle name="Fixed 26" xfId="7568"/>
    <cellStyle name="Fixed 27" xfId="7569"/>
    <cellStyle name="Fixed 28" xfId="7570"/>
    <cellStyle name="Fixed 29" xfId="7571"/>
    <cellStyle name="Fixed 3" xfId="7572"/>
    <cellStyle name="Fixed 3 2" xfId="7573"/>
    <cellStyle name="Fixed 3 2 2" xfId="7574"/>
    <cellStyle name="Fixed 3 3" xfId="7575"/>
    <cellStyle name="Fixed 3 4" xfId="7576"/>
    <cellStyle name="Fixed 3 4 2" xfId="7577"/>
    <cellStyle name="Fixed 3 5" xfId="7578"/>
    <cellStyle name="Fixed 3 6" xfId="7579"/>
    <cellStyle name="Fixed 3 7" xfId="7580"/>
    <cellStyle name="Fixed 3_120110 NFC Risk Flash" xfId="7581"/>
    <cellStyle name="Fixed 30" xfId="7582"/>
    <cellStyle name="Fixed 4" xfId="7583"/>
    <cellStyle name="Fixed 4 2" xfId="7584"/>
    <cellStyle name="Fixed 4 3" xfId="7585"/>
    <cellStyle name="Fixed 5" xfId="7586"/>
    <cellStyle name="Fixed 5 2" xfId="7587"/>
    <cellStyle name="Fixed 5 2 2" xfId="7588"/>
    <cellStyle name="Fixed 5 3" xfId="7589"/>
    <cellStyle name="Fixed 5 4" xfId="7590"/>
    <cellStyle name="Fixed 5_Actual" xfId="7591"/>
    <cellStyle name="Fixed 6" xfId="7592"/>
    <cellStyle name="Fixed 6 2" xfId="7593"/>
    <cellStyle name="Fixed 7" xfId="7594"/>
    <cellStyle name="Fixed 7 2" xfId="7595"/>
    <cellStyle name="Fixed 8" xfId="7596"/>
    <cellStyle name="Fixed 8 2" xfId="7597"/>
    <cellStyle name="Fixed 9" xfId="7598"/>
    <cellStyle name="Fixed 9 2" xfId="7599"/>
    <cellStyle name="Fixed_Actual" xfId="7600"/>
    <cellStyle name="Footnote" xfId="7601"/>
    <cellStyle name="gas daily" xfId="7602"/>
    <cellStyle name="Good 10" xfId="7603"/>
    <cellStyle name="Good 11" xfId="7604"/>
    <cellStyle name="Good 2" xfId="3082"/>
    <cellStyle name="Good 2 2" xfId="7605"/>
    <cellStyle name="Good 2 2 2" xfId="7606"/>
    <cellStyle name="Good 2 3" xfId="7607"/>
    <cellStyle name="Good 2 4" xfId="7608"/>
    <cellStyle name="Good 2 5" xfId="7609"/>
    <cellStyle name="Good 2 6" xfId="7610"/>
    <cellStyle name="Good 3" xfId="3083"/>
    <cellStyle name="Good 3 2" xfId="7611"/>
    <cellStyle name="Good 3 2 2" xfId="7612"/>
    <cellStyle name="Good 3 3" xfId="7613"/>
    <cellStyle name="Good 3 4" xfId="7614"/>
    <cellStyle name="Good 4" xfId="3210"/>
    <cellStyle name="Good 4 2" xfId="7615"/>
    <cellStyle name="Good 5" xfId="7616"/>
    <cellStyle name="Good 5 2" xfId="7617"/>
    <cellStyle name="Good 6" xfId="7618"/>
    <cellStyle name="Good 6 2" xfId="7619"/>
    <cellStyle name="Good 7" xfId="7620"/>
    <cellStyle name="Good 8" xfId="7621"/>
    <cellStyle name="Good 9" xfId="7622"/>
    <cellStyle name="Good 9 2" xfId="7623"/>
    <cellStyle name="Good 9 3" xfId="7624"/>
    <cellStyle name="Grey" xfId="3084"/>
    <cellStyle name="Grey 10" xfId="7625"/>
    <cellStyle name="Grey 11" xfId="7626"/>
    <cellStyle name="Grey 12" xfId="7627"/>
    <cellStyle name="Grey 13" xfId="7628"/>
    <cellStyle name="Grey 14" xfId="7629"/>
    <cellStyle name="Grey 15" xfId="7630"/>
    <cellStyle name="Grey 16" xfId="7631"/>
    <cellStyle name="Grey 17" xfId="7632"/>
    <cellStyle name="Grey 18" xfId="7633"/>
    <cellStyle name="Grey 19" xfId="7634"/>
    <cellStyle name="Grey 2" xfId="7635"/>
    <cellStyle name="Grey 20" xfId="7636"/>
    <cellStyle name="Grey 21" xfId="7637"/>
    <cellStyle name="Grey 22" xfId="7638"/>
    <cellStyle name="Grey 23" xfId="7639"/>
    <cellStyle name="Grey 24" xfId="7640"/>
    <cellStyle name="Grey 25" xfId="7641"/>
    <cellStyle name="Grey 26" xfId="7642"/>
    <cellStyle name="Grey 27" xfId="7643"/>
    <cellStyle name="Grey 28" xfId="7644"/>
    <cellStyle name="Grey 29" xfId="7645"/>
    <cellStyle name="Grey 3" xfId="7646"/>
    <cellStyle name="Grey 30" xfId="7647"/>
    <cellStyle name="Grey 4" xfId="7648"/>
    <cellStyle name="Grey 5" xfId="7649"/>
    <cellStyle name="Grey 6" xfId="7650"/>
    <cellStyle name="Grey 7" xfId="7651"/>
    <cellStyle name="Grey 8" xfId="7652"/>
    <cellStyle name="Grey 9" xfId="7653"/>
    <cellStyle name="Hard Percent" xfId="7654"/>
    <cellStyle name="HEADER" xfId="3085"/>
    <cellStyle name="HEADER 2" xfId="7655"/>
    <cellStyle name="HEADER 2 2" xfId="7656"/>
    <cellStyle name="HEADER 3" xfId="7657"/>
    <cellStyle name="HEADER 4" xfId="7658"/>
    <cellStyle name="HEADER 5" xfId="7659"/>
    <cellStyle name="Header1" xfId="7660"/>
    <cellStyle name="Header2" xfId="7661"/>
    <cellStyle name="Heading 1 10" xfId="7662"/>
    <cellStyle name="Heading 1 11" xfId="7663"/>
    <cellStyle name="Heading 1 2" xfId="3086"/>
    <cellStyle name="Heading 1 2 2" xfId="7664"/>
    <cellStyle name="Heading 1 2 2 2" xfId="7665"/>
    <cellStyle name="Heading 1 2 3" xfId="7666"/>
    <cellStyle name="Heading 1 2 4" xfId="7667"/>
    <cellStyle name="Heading 1 2 5" xfId="7668"/>
    <cellStyle name="Heading 1 2 6" xfId="7669"/>
    <cellStyle name="Heading 1 2 7" xfId="7670"/>
    <cellStyle name="Heading 1 3" xfId="3087"/>
    <cellStyle name="Heading 1 3 2" xfId="7671"/>
    <cellStyle name="Heading 1 3 2 2" xfId="7672"/>
    <cellStyle name="Heading 1 3 3" xfId="7673"/>
    <cellStyle name="Heading 1 3 4" xfId="7674"/>
    <cellStyle name="Heading 1 4" xfId="3211"/>
    <cellStyle name="Heading 1 4 2" xfId="7675"/>
    <cellStyle name="Heading 1 5" xfId="7676"/>
    <cellStyle name="Heading 1 5 2" xfId="7677"/>
    <cellStyle name="Heading 1 6" xfId="7678"/>
    <cellStyle name="Heading 1 6 2" xfId="7679"/>
    <cellStyle name="Heading 1 7" xfId="7680"/>
    <cellStyle name="Heading 1 8" xfId="7681"/>
    <cellStyle name="Heading 1 9" xfId="7682"/>
    <cellStyle name="Heading 1 9 2" xfId="7683"/>
    <cellStyle name="Heading 1 9 3" xfId="7684"/>
    <cellStyle name="Heading 2 10" xfId="7685"/>
    <cellStyle name="Heading 2 11" xfId="7686"/>
    <cellStyle name="Heading 2 2" xfId="3088"/>
    <cellStyle name="Heading 2 2 2" xfId="7687"/>
    <cellStyle name="Heading 2 2 2 2" xfId="7688"/>
    <cellStyle name="Heading 2 2 3" xfId="7689"/>
    <cellStyle name="Heading 2 2 4" xfId="7690"/>
    <cellStyle name="Heading 2 2 5" xfId="7691"/>
    <cellStyle name="Heading 2 2 6" xfId="7692"/>
    <cellStyle name="Heading 2 2 7" xfId="7693"/>
    <cellStyle name="Heading 2 3" xfId="3089"/>
    <cellStyle name="Heading 2 3 2" xfId="7694"/>
    <cellStyle name="Heading 2 3 2 2" xfId="7695"/>
    <cellStyle name="Heading 2 3 3" xfId="7696"/>
    <cellStyle name="Heading 2 3 4" xfId="7697"/>
    <cellStyle name="Heading 2 4" xfId="3212"/>
    <cellStyle name="Heading 2 4 2" xfId="7698"/>
    <cellStyle name="Heading 2 5" xfId="7699"/>
    <cellStyle name="Heading 2 5 2" xfId="7700"/>
    <cellStyle name="Heading 2 6" xfId="7701"/>
    <cellStyle name="Heading 2 6 2" xfId="7702"/>
    <cellStyle name="Heading 2 7" xfId="7703"/>
    <cellStyle name="Heading 2 8" xfId="7704"/>
    <cellStyle name="Heading 2 9" xfId="7705"/>
    <cellStyle name="Heading 2 9 2" xfId="7706"/>
    <cellStyle name="Heading 2 9 3" xfId="7707"/>
    <cellStyle name="Heading 3 10" xfId="7708"/>
    <cellStyle name="Heading 3 11" xfId="7709"/>
    <cellStyle name="Heading 3 2" xfId="3090"/>
    <cellStyle name="Heading 3 2 2" xfId="7710"/>
    <cellStyle name="Heading 3 2 2 2" xfId="7711"/>
    <cellStyle name="Heading 3 2 3" xfId="7712"/>
    <cellStyle name="Heading 3 2 4" xfId="7713"/>
    <cellStyle name="Heading 3 2 5" xfId="7714"/>
    <cellStyle name="Heading 3 2 6" xfId="7715"/>
    <cellStyle name="Heading 3 2 7" xfId="7716"/>
    <cellStyle name="Heading 3 3" xfId="3091"/>
    <cellStyle name="Heading 3 3 2" xfId="7717"/>
    <cellStyle name="Heading 3 3 2 2" xfId="7718"/>
    <cellStyle name="Heading 3 3 3" xfId="7719"/>
    <cellStyle name="Heading 3 3 4" xfId="7720"/>
    <cellStyle name="Heading 3 4" xfId="3213"/>
    <cellStyle name="Heading 3 4 2" xfId="7721"/>
    <cellStyle name="Heading 3 5" xfId="7722"/>
    <cellStyle name="Heading 3 5 2" xfId="7723"/>
    <cellStyle name="Heading 3 6" xfId="7724"/>
    <cellStyle name="Heading 3 6 2" xfId="7725"/>
    <cellStyle name="Heading 3 7" xfId="7726"/>
    <cellStyle name="Heading 3 8" xfId="7727"/>
    <cellStyle name="Heading 3 9" xfId="7728"/>
    <cellStyle name="Heading 3 9 2" xfId="7729"/>
    <cellStyle name="Heading 3 9 3" xfId="7730"/>
    <cellStyle name="Heading 4 10" xfId="7731"/>
    <cellStyle name="Heading 4 11" xfId="7732"/>
    <cellStyle name="Heading 4 2" xfId="3092"/>
    <cellStyle name="Heading 4 2 2" xfId="7733"/>
    <cellStyle name="Heading 4 2 2 2" xfId="7734"/>
    <cellStyle name="Heading 4 2 3" xfId="7735"/>
    <cellStyle name="Heading 4 2 4" xfId="7736"/>
    <cellStyle name="Heading 4 2 5" xfId="7737"/>
    <cellStyle name="Heading 4 2 6" xfId="7738"/>
    <cellStyle name="Heading 4 2 7" xfId="7739"/>
    <cellStyle name="Heading 4 3" xfId="3093"/>
    <cellStyle name="Heading 4 3 2" xfId="7740"/>
    <cellStyle name="Heading 4 3 2 2" xfId="7741"/>
    <cellStyle name="Heading 4 3 3" xfId="7742"/>
    <cellStyle name="Heading 4 3 4" xfId="7743"/>
    <cellStyle name="Heading 4 4" xfId="3214"/>
    <cellStyle name="Heading 4 4 2" xfId="7744"/>
    <cellStyle name="Heading 4 5" xfId="7745"/>
    <cellStyle name="Heading 4 5 2" xfId="7746"/>
    <cellStyle name="Heading 4 6" xfId="7747"/>
    <cellStyle name="Heading 4 6 2" xfId="7748"/>
    <cellStyle name="Heading 4 7" xfId="7749"/>
    <cellStyle name="Heading 4 8" xfId="7750"/>
    <cellStyle name="Heading 4 9" xfId="7751"/>
    <cellStyle name="Heading 4 9 2" xfId="7752"/>
    <cellStyle name="Heading 4 9 3" xfId="7753"/>
    <cellStyle name="Heading1" xfId="3094"/>
    <cellStyle name="Heading1 10" xfId="7754"/>
    <cellStyle name="Heading1 11" xfId="7755"/>
    <cellStyle name="Heading1 12" xfId="7756"/>
    <cellStyle name="Heading1 13" xfId="7757"/>
    <cellStyle name="Heading1 14" xfId="7758"/>
    <cellStyle name="Heading1 15" xfId="7759"/>
    <cellStyle name="Heading1 16" xfId="7760"/>
    <cellStyle name="Heading1 17" xfId="7761"/>
    <cellStyle name="Heading1 18" xfId="7762"/>
    <cellStyle name="Heading1 19" xfId="7763"/>
    <cellStyle name="Heading1 2" xfId="7764"/>
    <cellStyle name="Heading1 2 2" xfId="7765"/>
    <cellStyle name="Heading1 2 2 2" xfId="7766"/>
    <cellStyle name="Heading1 2 2 2 2" xfId="7767"/>
    <cellStyle name="Heading1 2 2 3" xfId="7768"/>
    <cellStyle name="Heading1 2 2_Actual" xfId="7769"/>
    <cellStyle name="Heading1 2 3" xfId="7770"/>
    <cellStyle name="Heading1 2 3 2" xfId="7771"/>
    <cellStyle name="Heading1 2 4" xfId="7772"/>
    <cellStyle name="Heading1 2 4 2" xfId="7773"/>
    <cellStyle name="Heading1 2 4 2 2" xfId="7774"/>
    <cellStyle name="Heading1 2 4 3" xfId="7775"/>
    <cellStyle name="Heading1 2 4_Actual" xfId="7776"/>
    <cellStyle name="Heading1 2 5" xfId="7777"/>
    <cellStyle name="Heading1 2 6" xfId="7778"/>
    <cellStyle name="Heading1 2 7" xfId="7779"/>
    <cellStyle name="Heading1 2_120110 NFC Risk Flash" xfId="7780"/>
    <cellStyle name="Heading1 20" xfId="7781"/>
    <cellStyle name="Heading1 21" xfId="7782"/>
    <cellStyle name="Heading1 22" xfId="7783"/>
    <cellStyle name="Heading1 23" xfId="7784"/>
    <cellStyle name="Heading1 24" xfId="7785"/>
    <cellStyle name="Heading1 25" xfId="7786"/>
    <cellStyle name="Heading1 26" xfId="7787"/>
    <cellStyle name="Heading1 27" xfId="7788"/>
    <cellStyle name="Heading1 28" xfId="7789"/>
    <cellStyle name="Heading1 29" xfId="7790"/>
    <cellStyle name="Heading1 3" xfId="7791"/>
    <cellStyle name="Heading1 3 2" xfId="7792"/>
    <cellStyle name="Heading1 3 2 2" xfId="7793"/>
    <cellStyle name="Heading1 3 3" xfId="7794"/>
    <cellStyle name="Heading1 3 4" xfId="7795"/>
    <cellStyle name="Heading1 3 5" xfId="7796"/>
    <cellStyle name="Heading1 3 6" xfId="7797"/>
    <cellStyle name="Heading1 3 7" xfId="7798"/>
    <cellStyle name="Heading1 3_120110 NFC Risk Flash" xfId="7799"/>
    <cellStyle name="Heading1 30" xfId="7800"/>
    <cellStyle name="Heading1 4" xfId="7801"/>
    <cellStyle name="Heading1 4 2" xfId="7802"/>
    <cellStyle name="Heading1 5" xfId="7803"/>
    <cellStyle name="Heading1 5 2" xfId="7804"/>
    <cellStyle name="Heading1 5 2 2" xfId="7805"/>
    <cellStyle name="Heading1 5 3" xfId="7806"/>
    <cellStyle name="Heading1 5_Actual" xfId="7807"/>
    <cellStyle name="Heading1 6" xfId="7808"/>
    <cellStyle name="Heading1 7" xfId="7809"/>
    <cellStyle name="Heading1 8" xfId="7810"/>
    <cellStyle name="Heading1 9" xfId="7811"/>
    <cellStyle name="Heading1_Actual" xfId="7812"/>
    <cellStyle name="Heading2" xfId="3095"/>
    <cellStyle name="Heading2 10" xfId="7813"/>
    <cellStyle name="Heading2 11" xfId="7814"/>
    <cellStyle name="Heading2 12" xfId="7815"/>
    <cellStyle name="Heading2 13" xfId="7816"/>
    <cellStyle name="Heading2 14" xfId="7817"/>
    <cellStyle name="Heading2 15" xfId="7818"/>
    <cellStyle name="Heading2 16" xfId="7819"/>
    <cellStyle name="Heading2 17" xfId="7820"/>
    <cellStyle name="Heading2 18" xfId="7821"/>
    <cellStyle name="Heading2 19" xfId="7822"/>
    <cellStyle name="Heading2 2" xfId="7823"/>
    <cellStyle name="Heading2 2 2" xfId="7824"/>
    <cellStyle name="Heading2 2 2 2" xfId="7825"/>
    <cellStyle name="Heading2 2 2 2 2" xfId="7826"/>
    <cellStyle name="Heading2 2 2 3" xfId="7827"/>
    <cellStyle name="Heading2 2 2_Actual" xfId="7828"/>
    <cellStyle name="Heading2 2 3" xfId="7829"/>
    <cellStyle name="Heading2 2 3 2" xfId="7830"/>
    <cellStyle name="Heading2 2 4" xfId="7831"/>
    <cellStyle name="Heading2 2 4 2" xfId="7832"/>
    <cellStyle name="Heading2 2 4 2 2" xfId="7833"/>
    <cellStyle name="Heading2 2 4 3" xfId="7834"/>
    <cellStyle name="Heading2 2 4_Actual" xfId="7835"/>
    <cellStyle name="Heading2 2 5" xfId="7836"/>
    <cellStyle name="Heading2 2 6" xfId="7837"/>
    <cellStyle name="Heading2 2 7" xfId="7838"/>
    <cellStyle name="Heading2 2_120110 NFC Risk Flash" xfId="7839"/>
    <cellStyle name="Heading2 20" xfId="7840"/>
    <cellStyle name="Heading2 21" xfId="7841"/>
    <cellStyle name="Heading2 22" xfId="7842"/>
    <cellStyle name="Heading2 23" xfId="7843"/>
    <cellStyle name="Heading2 24" xfId="7844"/>
    <cellStyle name="Heading2 25" xfId="7845"/>
    <cellStyle name="Heading2 26" xfId="7846"/>
    <cellStyle name="Heading2 27" xfId="7847"/>
    <cellStyle name="Heading2 28" xfId="7848"/>
    <cellStyle name="Heading2 29" xfId="7849"/>
    <cellStyle name="Heading2 3" xfId="7850"/>
    <cellStyle name="Heading2 3 2" xfId="7851"/>
    <cellStyle name="Heading2 3 2 2" xfId="7852"/>
    <cellStyle name="Heading2 3 3" xfId="7853"/>
    <cellStyle name="Heading2 3 4" xfId="7854"/>
    <cellStyle name="Heading2 3 5" xfId="7855"/>
    <cellStyle name="Heading2 3 6" xfId="7856"/>
    <cellStyle name="Heading2 3 7" xfId="7857"/>
    <cellStyle name="Heading2 3_120110 NFC Risk Flash" xfId="7858"/>
    <cellStyle name="Heading2 30" xfId="7859"/>
    <cellStyle name="Heading2 4" xfId="7860"/>
    <cellStyle name="Heading2 4 2" xfId="7861"/>
    <cellStyle name="Heading2 5" xfId="7862"/>
    <cellStyle name="Heading2 5 2" xfId="7863"/>
    <cellStyle name="Heading2 5 2 2" xfId="7864"/>
    <cellStyle name="Heading2 5 3" xfId="7865"/>
    <cellStyle name="Heading2 5_Actual" xfId="7866"/>
    <cellStyle name="Heading2 6" xfId="7867"/>
    <cellStyle name="Heading2 7" xfId="7868"/>
    <cellStyle name="Heading2 8" xfId="7869"/>
    <cellStyle name="Heading2 9" xfId="7870"/>
    <cellStyle name="Heading2_Actual" xfId="7871"/>
    <cellStyle name="HEADINGS" xfId="7872"/>
    <cellStyle name="HeadlineStyle" xfId="7873"/>
    <cellStyle name="HeadlineStyle 10" xfId="7874"/>
    <cellStyle name="HeadlineStyle 11" xfId="7875"/>
    <cellStyle name="HeadlineStyle 12" xfId="7876"/>
    <cellStyle name="HeadlineStyle 13" xfId="7877"/>
    <cellStyle name="HeadlineStyle 14" xfId="7878"/>
    <cellStyle name="HeadlineStyle 15" xfId="7879"/>
    <cellStyle name="HeadlineStyle 16" xfId="7880"/>
    <cellStyle name="HeadlineStyle 17" xfId="7881"/>
    <cellStyle name="HeadlineStyle 18" xfId="7882"/>
    <cellStyle name="HeadlineStyle 19" xfId="7883"/>
    <cellStyle name="HeadlineStyle 2" xfId="7884"/>
    <cellStyle name="HeadlineStyle 20" xfId="7885"/>
    <cellStyle name="HeadlineStyle 21" xfId="7886"/>
    <cellStyle name="HeadlineStyle 22" xfId="7887"/>
    <cellStyle name="HeadlineStyle 23" xfId="7888"/>
    <cellStyle name="HeadlineStyle 24" xfId="7889"/>
    <cellStyle name="HeadlineStyle 25" xfId="7890"/>
    <cellStyle name="HeadlineStyle 26" xfId="7891"/>
    <cellStyle name="HeadlineStyle 27" xfId="7892"/>
    <cellStyle name="HeadlineStyle 28" xfId="7893"/>
    <cellStyle name="HeadlineStyle 29" xfId="7894"/>
    <cellStyle name="HeadlineStyle 3" xfId="7895"/>
    <cellStyle name="HeadlineStyle 30" xfId="7896"/>
    <cellStyle name="HeadlineStyle 4" xfId="7897"/>
    <cellStyle name="HeadlineStyle 5" xfId="7898"/>
    <cellStyle name="HeadlineStyle 6" xfId="7899"/>
    <cellStyle name="HeadlineStyle 7" xfId="7900"/>
    <cellStyle name="HeadlineStyle 8" xfId="7901"/>
    <cellStyle name="HeadlineStyle 9" xfId="7902"/>
    <cellStyle name="HeadlineStyleJustified" xfId="7903"/>
    <cellStyle name="HeadlineStyleJustified 10" xfId="7904"/>
    <cellStyle name="HeadlineStyleJustified 11" xfId="7905"/>
    <cellStyle name="HeadlineStyleJustified 12" xfId="7906"/>
    <cellStyle name="HeadlineStyleJustified 13" xfId="7907"/>
    <cellStyle name="HeadlineStyleJustified 14" xfId="7908"/>
    <cellStyle name="HeadlineStyleJustified 15" xfId="7909"/>
    <cellStyle name="HeadlineStyleJustified 16" xfId="7910"/>
    <cellStyle name="HeadlineStyleJustified 17" xfId="7911"/>
    <cellStyle name="HeadlineStyleJustified 18" xfId="7912"/>
    <cellStyle name="HeadlineStyleJustified 19" xfId="7913"/>
    <cellStyle name="HeadlineStyleJustified 2" xfId="7914"/>
    <cellStyle name="HeadlineStyleJustified 20" xfId="7915"/>
    <cellStyle name="HeadlineStyleJustified 21" xfId="7916"/>
    <cellStyle name="HeadlineStyleJustified 22" xfId="7917"/>
    <cellStyle name="HeadlineStyleJustified 23" xfId="7918"/>
    <cellStyle name="HeadlineStyleJustified 24" xfId="7919"/>
    <cellStyle name="HeadlineStyleJustified 25" xfId="7920"/>
    <cellStyle name="HeadlineStyleJustified 26" xfId="7921"/>
    <cellStyle name="HeadlineStyleJustified 27" xfId="7922"/>
    <cellStyle name="HeadlineStyleJustified 28" xfId="7923"/>
    <cellStyle name="HeadlineStyleJustified 29" xfId="7924"/>
    <cellStyle name="HeadlineStyleJustified 3" xfId="7925"/>
    <cellStyle name="HeadlineStyleJustified 30" xfId="7926"/>
    <cellStyle name="HeadlineStyleJustified 4" xfId="7927"/>
    <cellStyle name="HeadlineStyleJustified 5" xfId="7928"/>
    <cellStyle name="HeadlineStyleJustified 6" xfId="7929"/>
    <cellStyle name="HeadlineStyleJustified 7" xfId="7930"/>
    <cellStyle name="HeadlineStyleJustified 8" xfId="7931"/>
    <cellStyle name="HeadlineStyleJustified 9" xfId="7932"/>
    <cellStyle name="Hidden" xfId="7933"/>
    <cellStyle name="Hidden 10" xfId="7934"/>
    <cellStyle name="Hidden 11" xfId="7935"/>
    <cellStyle name="Hidden 12" xfId="7936"/>
    <cellStyle name="Hidden 13" xfId="7937"/>
    <cellStyle name="Hidden 14" xfId="7938"/>
    <cellStyle name="Hidden 15" xfId="7939"/>
    <cellStyle name="Hidden 16" xfId="7940"/>
    <cellStyle name="Hidden 17" xfId="7941"/>
    <cellStyle name="Hidden 18" xfId="7942"/>
    <cellStyle name="Hidden 19" xfId="7943"/>
    <cellStyle name="Hidden 2" xfId="7944"/>
    <cellStyle name="Hidden 20" xfId="7945"/>
    <cellStyle name="Hidden 21" xfId="7946"/>
    <cellStyle name="Hidden 22" xfId="7947"/>
    <cellStyle name="Hidden 23" xfId="7948"/>
    <cellStyle name="Hidden 24" xfId="7949"/>
    <cellStyle name="Hidden 25" xfId="7950"/>
    <cellStyle name="Hidden 26" xfId="7951"/>
    <cellStyle name="Hidden 27" xfId="7952"/>
    <cellStyle name="Hidden 28" xfId="7953"/>
    <cellStyle name="Hidden 29" xfId="7954"/>
    <cellStyle name="Hidden 3" xfId="7955"/>
    <cellStyle name="Hidden 30" xfId="7956"/>
    <cellStyle name="Hidden 4" xfId="7957"/>
    <cellStyle name="Hidden 5" xfId="7958"/>
    <cellStyle name="Hidden 6" xfId="7959"/>
    <cellStyle name="Hidden 7" xfId="7960"/>
    <cellStyle name="Hidden 8" xfId="7961"/>
    <cellStyle name="Hidden 9" xfId="7962"/>
    <cellStyle name="HIGHLIGHT" xfId="3096"/>
    <cellStyle name="HIGHLIGHT 2" xfId="7963"/>
    <cellStyle name="HIGHLIGHT 3" xfId="7964"/>
    <cellStyle name="Hyperlink 2" xfId="3097"/>
    <cellStyle name="Hyperlink 2 2" xfId="7965"/>
    <cellStyle name="Input [yellow]" xfId="3098"/>
    <cellStyle name="Input [yellow] 10" xfId="7966"/>
    <cellStyle name="Input [yellow] 11" xfId="7967"/>
    <cellStyle name="Input [yellow] 12" xfId="7968"/>
    <cellStyle name="Input [yellow] 13" xfId="7969"/>
    <cellStyle name="Input [yellow] 14" xfId="7970"/>
    <cellStyle name="Input [yellow] 15" xfId="7971"/>
    <cellStyle name="Input [yellow] 16" xfId="7972"/>
    <cellStyle name="Input [yellow] 17" xfId="7973"/>
    <cellStyle name="Input [yellow] 18" xfId="7974"/>
    <cellStyle name="Input [yellow] 19" xfId="7975"/>
    <cellStyle name="Input [yellow] 2" xfId="7976"/>
    <cellStyle name="Input [yellow] 20" xfId="7977"/>
    <cellStyle name="Input [yellow] 21" xfId="7978"/>
    <cellStyle name="Input [yellow] 22" xfId="7979"/>
    <cellStyle name="Input [yellow] 23" xfId="7980"/>
    <cellStyle name="Input [yellow] 24" xfId="7981"/>
    <cellStyle name="Input [yellow] 25" xfId="7982"/>
    <cellStyle name="Input [yellow] 26" xfId="7983"/>
    <cellStyle name="Input [yellow] 27" xfId="7984"/>
    <cellStyle name="Input [yellow] 28" xfId="7985"/>
    <cellStyle name="Input [yellow] 29" xfId="7986"/>
    <cellStyle name="Input [yellow] 3" xfId="7987"/>
    <cellStyle name="Input [yellow] 30" xfId="7988"/>
    <cellStyle name="Input [yellow] 4" xfId="7989"/>
    <cellStyle name="Input [yellow] 5" xfId="7990"/>
    <cellStyle name="Input [yellow] 6" xfId="7991"/>
    <cellStyle name="Input [yellow] 7" xfId="7992"/>
    <cellStyle name="Input [yellow] 8" xfId="7993"/>
    <cellStyle name="Input [yellow] 9" xfId="7994"/>
    <cellStyle name="Input 10" xfId="7995"/>
    <cellStyle name="Input 10 2" xfId="7996"/>
    <cellStyle name="Input 10 3" xfId="7997"/>
    <cellStyle name="Input 100" xfId="7998"/>
    <cellStyle name="Input 101" xfId="7999"/>
    <cellStyle name="Input 102" xfId="8000"/>
    <cellStyle name="Input 103" xfId="8001"/>
    <cellStyle name="Input 104" xfId="8002"/>
    <cellStyle name="Input 105" xfId="8003"/>
    <cellStyle name="Input 106" xfId="8004"/>
    <cellStyle name="Input 107" xfId="8005"/>
    <cellStyle name="Input 108" xfId="8006"/>
    <cellStyle name="Input 109" xfId="8007"/>
    <cellStyle name="Input 11" xfId="8008"/>
    <cellStyle name="Input 11 2" xfId="8009"/>
    <cellStyle name="Input 11 3" xfId="8010"/>
    <cellStyle name="Input 110" xfId="8011"/>
    <cellStyle name="Input 111" xfId="8012"/>
    <cellStyle name="Input 112" xfId="8013"/>
    <cellStyle name="Input 113" xfId="8014"/>
    <cellStyle name="Input 114" xfId="8015"/>
    <cellStyle name="Input 115" xfId="8016"/>
    <cellStyle name="Input 116" xfId="8017"/>
    <cellStyle name="Input 117" xfId="8018"/>
    <cellStyle name="Input 118" xfId="8019"/>
    <cellStyle name="Input 119" xfId="8020"/>
    <cellStyle name="Input 12" xfId="8021"/>
    <cellStyle name="Input 12 2" xfId="8022"/>
    <cellStyle name="Input 12 2 2" xfId="8023"/>
    <cellStyle name="Input 12 3" xfId="8024"/>
    <cellStyle name="Input 12 4" xfId="8025"/>
    <cellStyle name="Input 120" xfId="8026"/>
    <cellStyle name="Input 121" xfId="8027"/>
    <cellStyle name="Input 122" xfId="8028"/>
    <cellStyle name="Input 123" xfId="8029"/>
    <cellStyle name="Input 124" xfId="8030"/>
    <cellStyle name="Input 125" xfId="8031"/>
    <cellStyle name="Input 126" xfId="8032"/>
    <cellStyle name="Input 127" xfId="8033"/>
    <cellStyle name="Input 128" xfId="8034"/>
    <cellStyle name="Input 129" xfId="8035"/>
    <cellStyle name="Input 13" xfId="8036"/>
    <cellStyle name="Input 13 2" xfId="8037"/>
    <cellStyle name="Input 130" xfId="8038"/>
    <cellStyle name="Input 131" xfId="8039"/>
    <cellStyle name="Input 132" xfId="8040"/>
    <cellStyle name="Input 133" xfId="8041"/>
    <cellStyle name="Input 134" xfId="8042"/>
    <cellStyle name="Input 135" xfId="8043"/>
    <cellStyle name="Input 136" xfId="8044"/>
    <cellStyle name="Input 137" xfId="8045"/>
    <cellStyle name="Input 138" xfId="8046"/>
    <cellStyle name="Input 139" xfId="8047"/>
    <cellStyle name="Input 14" xfId="8048"/>
    <cellStyle name="Input 14 2" xfId="8049"/>
    <cellStyle name="Input 140" xfId="8050"/>
    <cellStyle name="Input 141" xfId="8051"/>
    <cellStyle name="Input 142" xfId="8052"/>
    <cellStyle name="Input 143" xfId="8053"/>
    <cellStyle name="Input 144" xfId="8054"/>
    <cellStyle name="Input 145" xfId="8055"/>
    <cellStyle name="Input 146" xfId="8056"/>
    <cellStyle name="Input 147" xfId="8057"/>
    <cellStyle name="Input 148" xfId="8058"/>
    <cellStyle name="Input 149" xfId="8059"/>
    <cellStyle name="Input 15" xfId="8060"/>
    <cellStyle name="Input 15 2" xfId="8061"/>
    <cellStyle name="Input 150" xfId="8062"/>
    <cellStyle name="Input 151" xfId="8063"/>
    <cellStyle name="Input 152" xfId="8064"/>
    <cellStyle name="Input 153" xfId="8065"/>
    <cellStyle name="Input 154" xfId="8066"/>
    <cellStyle name="Input 155" xfId="8067"/>
    <cellStyle name="Input 156" xfId="8068"/>
    <cellStyle name="Input 157" xfId="8069"/>
    <cellStyle name="Input 158" xfId="8070"/>
    <cellStyle name="Input 159" xfId="8071"/>
    <cellStyle name="Input 16" xfId="8072"/>
    <cellStyle name="Input 160" xfId="8073"/>
    <cellStyle name="Input 161" xfId="8074"/>
    <cellStyle name="Input 162" xfId="8075"/>
    <cellStyle name="Input 163" xfId="8076"/>
    <cellStyle name="Input 164" xfId="8077"/>
    <cellStyle name="Input 165" xfId="8078"/>
    <cellStyle name="Input 166" xfId="8079"/>
    <cellStyle name="Input 167" xfId="8080"/>
    <cellStyle name="Input 168" xfId="8081"/>
    <cellStyle name="Input 169" xfId="8082"/>
    <cellStyle name="Input 17" xfId="8083"/>
    <cellStyle name="Input 170" xfId="8084"/>
    <cellStyle name="Input 171" xfId="8085"/>
    <cellStyle name="Input 172" xfId="8086"/>
    <cellStyle name="Input 173" xfId="8087"/>
    <cellStyle name="Input 174" xfId="8088"/>
    <cellStyle name="Input 175" xfId="8089"/>
    <cellStyle name="Input 176" xfId="8090"/>
    <cellStyle name="Input 177" xfId="8091"/>
    <cellStyle name="Input 178" xfId="8092"/>
    <cellStyle name="Input 179" xfId="8093"/>
    <cellStyle name="Input 18" xfId="8094"/>
    <cellStyle name="Input 180" xfId="8095"/>
    <cellStyle name="Input 181" xfId="8096"/>
    <cellStyle name="Input 182" xfId="8097"/>
    <cellStyle name="Input 183" xfId="8098"/>
    <cellStyle name="Input 184" xfId="8099"/>
    <cellStyle name="Input 185" xfId="8100"/>
    <cellStyle name="Input 186" xfId="8101"/>
    <cellStyle name="Input 187" xfId="8102"/>
    <cellStyle name="Input 188" xfId="8103"/>
    <cellStyle name="Input 189" xfId="8104"/>
    <cellStyle name="Input 19" xfId="8105"/>
    <cellStyle name="Input 190" xfId="8106"/>
    <cellStyle name="Input 191" xfId="8107"/>
    <cellStyle name="Input 192" xfId="8108"/>
    <cellStyle name="Input 193" xfId="8109"/>
    <cellStyle name="Input 2" xfId="3099"/>
    <cellStyle name="Input 2 2" xfId="8110"/>
    <cellStyle name="Input 2 2 2" xfId="8111"/>
    <cellStyle name="Input 2 3" xfId="8112"/>
    <cellStyle name="Input 2 3 2" xfId="8113"/>
    <cellStyle name="Input 2 4" xfId="8114"/>
    <cellStyle name="Input 2 5" xfId="8115"/>
    <cellStyle name="Input 2 6" xfId="8116"/>
    <cellStyle name="Input 20" xfId="8117"/>
    <cellStyle name="Input 21" xfId="8118"/>
    <cellStyle name="Input 22" xfId="8119"/>
    <cellStyle name="Input 23" xfId="8120"/>
    <cellStyle name="Input 24" xfId="8121"/>
    <cellStyle name="Input 25" xfId="8122"/>
    <cellStyle name="Input 26" xfId="8123"/>
    <cellStyle name="Input 27" xfId="8124"/>
    <cellStyle name="Input 28" xfId="8125"/>
    <cellStyle name="Input 29" xfId="8126"/>
    <cellStyle name="Input 3" xfId="3100"/>
    <cellStyle name="Input 3 2" xfId="8127"/>
    <cellStyle name="Input 3 2 2" xfId="8128"/>
    <cellStyle name="Input 3 3" xfId="8129"/>
    <cellStyle name="Input 3 4" xfId="8130"/>
    <cellStyle name="Input 30" xfId="8131"/>
    <cellStyle name="Input 31" xfId="8132"/>
    <cellStyle name="Input 32" xfId="8133"/>
    <cellStyle name="Input 33" xfId="8134"/>
    <cellStyle name="Input 34" xfId="8135"/>
    <cellStyle name="Input 35" xfId="8136"/>
    <cellStyle name="Input 36" xfId="8137"/>
    <cellStyle name="Input 37" xfId="8138"/>
    <cellStyle name="Input 38" xfId="8139"/>
    <cellStyle name="Input 39" xfId="8140"/>
    <cellStyle name="Input 4" xfId="3101"/>
    <cellStyle name="Input 4 2" xfId="8141"/>
    <cellStyle name="Input 4 2 2" xfId="8142"/>
    <cellStyle name="Input 4 3" xfId="8143"/>
    <cellStyle name="Input 40" xfId="8144"/>
    <cellStyle name="Input 41" xfId="8145"/>
    <cellStyle name="Input 42" xfId="8146"/>
    <cellStyle name="Input 43" xfId="8147"/>
    <cellStyle name="Input 44" xfId="8148"/>
    <cellStyle name="Input 45" xfId="8149"/>
    <cellStyle name="Input 46" xfId="8150"/>
    <cellStyle name="Input 47" xfId="8151"/>
    <cellStyle name="Input 48" xfId="8152"/>
    <cellStyle name="Input 49" xfId="8153"/>
    <cellStyle name="Input 5" xfId="3102"/>
    <cellStyle name="Input 5 2" xfId="8154"/>
    <cellStyle name="Input 5 2 2" xfId="8155"/>
    <cellStyle name="Input 5 3" xfId="8156"/>
    <cellStyle name="Input 50" xfId="8157"/>
    <cellStyle name="Input 51" xfId="8158"/>
    <cellStyle name="Input 52" xfId="8159"/>
    <cellStyle name="Input 53" xfId="8160"/>
    <cellStyle name="Input 54" xfId="8161"/>
    <cellStyle name="Input 55" xfId="8162"/>
    <cellStyle name="Input 56" xfId="8163"/>
    <cellStyle name="Input 57" xfId="8164"/>
    <cellStyle name="Input 58" xfId="8165"/>
    <cellStyle name="Input 59" xfId="8166"/>
    <cellStyle name="Input 6" xfId="3215"/>
    <cellStyle name="Input 6 2" xfId="8167"/>
    <cellStyle name="Input 6 2 2" xfId="8168"/>
    <cellStyle name="Input 6 3" xfId="8169"/>
    <cellStyle name="Input 60" xfId="8170"/>
    <cellStyle name="Input 61" xfId="8171"/>
    <cellStyle name="Input 62" xfId="8172"/>
    <cellStyle name="Input 63" xfId="8173"/>
    <cellStyle name="Input 64" xfId="8174"/>
    <cellStyle name="Input 65" xfId="8175"/>
    <cellStyle name="Input 66" xfId="8176"/>
    <cellStyle name="Input 67" xfId="8177"/>
    <cellStyle name="Input 68" xfId="8178"/>
    <cellStyle name="Input 69" xfId="8179"/>
    <cellStyle name="Input 7" xfId="8180"/>
    <cellStyle name="Input 7 2" xfId="8181"/>
    <cellStyle name="Input 7 3" xfId="8182"/>
    <cellStyle name="Input 70" xfId="8183"/>
    <cellStyle name="Input 71" xfId="8184"/>
    <cellStyle name="Input 72" xfId="8185"/>
    <cellStyle name="Input 73" xfId="8186"/>
    <cellStyle name="Input 74" xfId="8187"/>
    <cellStyle name="Input 75" xfId="8188"/>
    <cellStyle name="Input 76" xfId="8189"/>
    <cellStyle name="Input 77" xfId="8190"/>
    <cellStyle name="Input 78" xfId="8191"/>
    <cellStyle name="Input 79" xfId="8192"/>
    <cellStyle name="Input 8" xfId="8193"/>
    <cellStyle name="Input 8 2" xfId="8194"/>
    <cellStyle name="Input 8 3" xfId="8195"/>
    <cellStyle name="Input 80" xfId="8196"/>
    <cellStyle name="Input 81" xfId="8197"/>
    <cellStyle name="Input 82" xfId="8198"/>
    <cellStyle name="Input 83" xfId="8199"/>
    <cellStyle name="Input 84" xfId="8200"/>
    <cellStyle name="Input 85" xfId="8201"/>
    <cellStyle name="Input 86" xfId="8202"/>
    <cellStyle name="Input 87" xfId="8203"/>
    <cellStyle name="Input 88" xfId="8204"/>
    <cellStyle name="Input 89" xfId="8205"/>
    <cellStyle name="Input 9" xfId="8206"/>
    <cellStyle name="Input 9 2" xfId="8207"/>
    <cellStyle name="Input 9 3" xfId="8208"/>
    <cellStyle name="Input 90" xfId="8209"/>
    <cellStyle name="Input 91" xfId="8210"/>
    <cellStyle name="Input 92" xfId="8211"/>
    <cellStyle name="Input 93" xfId="8212"/>
    <cellStyle name="Input 94" xfId="8213"/>
    <cellStyle name="Input 95" xfId="8214"/>
    <cellStyle name="Input 96" xfId="8215"/>
    <cellStyle name="Input 97" xfId="8216"/>
    <cellStyle name="Input 98" xfId="8217"/>
    <cellStyle name="Input 99" xfId="8218"/>
    <cellStyle name="Input Cells" xfId="8219"/>
    <cellStyle name="INPUTS" xfId="8220"/>
    <cellStyle name="Inputs2" xfId="8221"/>
    <cellStyle name="Lines" xfId="8222"/>
    <cellStyle name="Linked Cell 10" xfId="8223"/>
    <cellStyle name="Linked Cell 11" xfId="8224"/>
    <cellStyle name="Linked Cell 2" xfId="3103"/>
    <cellStyle name="Linked Cell 2 2" xfId="8225"/>
    <cellStyle name="Linked Cell 2 2 2" xfId="8226"/>
    <cellStyle name="Linked Cell 2 3" xfId="8227"/>
    <cellStyle name="Linked Cell 2 4" xfId="8228"/>
    <cellStyle name="Linked Cell 2 5" xfId="8229"/>
    <cellStyle name="Linked Cell 2 6" xfId="8230"/>
    <cellStyle name="Linked Cell 3" xfId="3104"/>
    <cellStyle name="Linked Cell 3 2" xfId="8231"/>
    <cellStyle name="Linked Cell 3 2 2" xfId="8232"/>
    <cellStyle name="Linked Cell 3 3" xfId="8233"/>
    <cellStyle name="Linked Cell 3 4" xfId="8234"/>
    <cellStyle name="Linked Cell 4" xfId="3216"/>
    <cellStyle name="Linked Cell 4 2" xfId="8235"/>
    <cellStyle name="Linked Cell 5" xfId="8236"/>
    <cellStyle name="Linked Cell 5 2" xfId="8237"/>
    <cellStyle name="Linked Cell 6" xfId="8238"/>
    <cellStyle name="Linked Cell 6 2" xfId="8239"/>
    <cellStyle name="Linked Cell 7" xfId="8240"/>
    <cellStyle name="Linked Cell 8" xfId="8241"/>
    <cellStyle name="Linked Cell 9" xfId="8242"/>
    <cellStyle name="Linked Cell 9 2" xfId="8243"/>
    <cellStyle name="Linked Cell 9 3" xfId="8244"/>
    <cellStyle name="m/d/yy" xfId="8245"/>
    <cellStyle name="macroname" xfId="8246"/>
    <cellStyle name="Millares [0]_10 AVERIAS MASIVAS + ANT" xfId="8247"/>
    <cellStyle name="Millares_10 AVERIAS MASIVAS + ANT" xfId="8248"/>
    <cellStyle name="Milliers [0]_Global Purchase" xfId="8249"/>
    <cellStyle name="Milliers_Global Purchase" xfId="8250"/>
    <cellStyle name="Mine" xfId="8251"/>
    <cellStyle name="mmm-yy" xfId="8252"/>
    <cellStyle name="mmm-yy 10" xfId="8253"/>
    <cellStyle name="mmm-yy 11" xfId="8254"/>
    <cellStyle name="mmm-yy 12" xfId="8255"/>
    <cellStyle name="mmm-yy 13" xfId="8256"/>
    <cellStyle name="mmm-yy 14" xfId="8257"/>
    <cellStyle name="mmm-yy 15" xfId="8258"/>
    <cellStyle name="mmm-yy 16" xfId="8259"/>
    <cellStyle name="mmm-yy 17" xfId="8260"/>
    <cellStyle name="mmm-yy 18" xfId="8261"/>
    <cellStyle name="mmm-yy 19" xfId="8262"/>
    <cellStyle name="mmm-yy 2" xfId="8263"/>
    <cellStyle name="mmm-yy 20" xfId="8264"/>
    <cellStyle name="mmm-yy 21" xfId="8265"/>
    <cellStyle name="mmm-yy 22" xfId="8266"/>
    <cellStyle name="mmm-yy 23" xfId="8267"/>
    <cellStyle name="mmm-yy 24" xfId="8268"/>
    <cellStyle name="mmm-yy 25" xfId="8269"/>
    <cellStyle name="mmm-yy 26" xfId="8270"/>
    <cellStyle name="mmm-yy 27" xfId="8271"/>
    <cellStyle name="mmm-yy 28" xfId="8272"/>
    <cellStyle name="mmm-yy 29" xfId="8273"/>
    <cellStyle name="mmm-yy 3" xfId="8274"/>
    <cellStyle name="mmm-yy 30" xfId="8275"/>
    <cellStyle name="mmm-yy 4" xfId="8276"/>
    <cellStyle name="mmm-yy 5" xfId="8277"/>
    <cellStyle name="mmm-yy 6" xfId="8278"/>
    <cellStyle name="mmm-yy 7" xfId="8279"/>
    <cellStyle name="mmm-yy 8" xfId="8280"/>
    <cellStyle name="mmm-yy 9" xfId="8281"/>
    <cellStyle name="Model" xfId="8282"/>
    <cellStyle name="Moneda [0]_10 AVERIAS MASIVAS + ANT" xfId="8283"/>
    <cellStyle name="Moneda_10 AVERIAS MASIVAS + ANT" xfId="8284"/>
    <cellStyle name="Monétaire [0]_Global Purchase" xfId="8285"/>
    <cellStyle name="Monétaire_Global Purchase" xfId="8286"/>
    <cellStyle name="Multiple" xfId="8287"/>
    <cellStyle name="Neg in [RED]" xfId="3105"/>
    <cellStyle name="Neutral 10" xfId="8288"/>
    <cellStyle name="Neutral 11" xfId="8289"/>
    <cellStyle name="Neutral 2" xfId="3106"/>
    <cellStyle name="Neutral 2 2" xfId="8290"/>
    <cellStyle name="Neutral 2 2 2" xfId="8291"/>
    <cellStyle name="Neutral 2 3" xfId="8292"/>
    <cellStyle name="Neutral 2 4" xfId="8293"/>
    <cellStyle name="Neutral 2 5" xfId="8294"/>
    <cellStyle name="Neutral 2 6" xfId="8295"/>
    <cellStyle name="Neutral 3" xfId="3107"/>
    <cellStyle name="Neutral 3 2" xfId="8296"/>
    <cellStyle name="Neutral 3 2 2" xfId="8297"/>
    <cellStyle name="Neutral 3 3" xfId="8298"/>
    <cellStyle name="Neutral 3 4" xfId="8299"/>
    <cellStyle name="Neutral 4" xfId="3217"/>
    <cellStyle name="Neutral 4 2" xfId="8300"/>
    <cellStyle name="Neutral 5" xfId="8301"/>
    <cellStyle name="Neutral 5 2" xfId="8302"/>
    <cellStyle name="Neutral 6" xfId="8303"/>
    <cellStyle name="Neutral 6 2" xfId="8304"/>
    <cellStyle name="Neutral 7" xfId="8305"/>
    <cellStyle name="Neutral 8" xfId="8306"/>
    <cellStyle name="Neutral 9" xfId="8307"/>
    <cellStyle name="Neutral 9 2" xfId="8308"/>
    <cellStyle name="Neutral 9 3" xfId="8309"/>
    <cellStyle name="no dec" xfId="3108"/>
    <cellStyle name="no dec 10" xfId="8310"/>
    <cellStyle name="no dec 11" xfId="8311"/>
    <cellStyle name="no dec 12" xfId="8312"/>
    <cellStyle name="no dec 13" xfId="8313"/>
    <cellStyle name="no dec 14" xfId="8314"/>
    <cellStyle name="no dec 15" xfId="8315"/>
    <cellStyle name="no dec 16" xfId="8316"/>
    <cellStyle name="no dec 17" xfId="8317"/>
    <cellStyle name="no dec 18" xfId="8318"/>
    <cellStyle name="no dec 19" xfId="8319"/>
    <cellStyle name="no dec 2" xfId="8320"/>
    <cellStyle name="no dec 2 2" xfId="8321"/>
    <cellStyle name="no dec 2_Actual" xfId="8322"/>
    <cellStyle name="no dec 20" xfId="8323"/>
    <cellStyle name="no dec 21" xfId="8324"/>
    <cellStyle name="no dec 3" xfId="8325"/>
    <cellStyle name="no dec 4" xfId="8326"/>
    <cellStyle name="no dec 4 2" xfId="8327"/>
    <cellStyle name="no dec 4_Actual" xfId="8328"/>
    <cellStyle name="no dec 5" xfId="8329"/>
    <cellStyle name="no dec 6" xfId="8330"/>
    <cellStyle name="no dec 7" xfId="8331"/>
    <cellStyle name="no dec 8" xfId="8332"/>
    <cellStyle name="no dec 9" xfId="8333"/>
    <cellStyle name="no dec_Actual" xfId="8334"/>
    <cellStyle name="Normal" xfId="0" builtinId="0"/>
    <cellStyle name="Normal - Style1" xfId="3109"/>
    <cellStyle name="Normal - Style2" xfId="8335"/>
    <cellStyle name="Normal - Style3" xfId="8336"/>
    <cellStyle name="Normal 10" xfId="39"/>
    <cellStyle name="Normal 10 10" xfId="8337"/>
    <cellStyle name="Normal 10 10 2" xfId="8338"/>
    <cellStyle name="Normal 10 10 3" xfId="8339"/>
    <cellStyle name="Normal 10 10 4" xfId="8340"/>
    <cellStyle name="Normal 10 11" xfId="8341"/>
    <cellStyle name="Normal 10 11 2" xfId="8342"/>
    <cellStyle name="Normal 10 11 3" xfId="8343"/>
    <cellStyle name="Normal 10 11 4" xfId="8344"/>
    <cellStyle name="Normal 10 12" xfId="8345"/>
    <cellStyle name="Normal 10 13" xfId="8346"/>
    <cellStyle name="Normal 10 14" xfId="8347"/>
    <cellStyle name="Normal 10 15" xfId="8348"/>
    <cellStyle name="Normal 10 16" xfId="8349"/>
    <cellStyle name="Normal 10 2" xfId="56"/>
    <cellStyle name="Normal 10 2 10" xfId="8350"/>
    <cellStyle name="Normal 10 2 11" xfId="8351"/>
    <cellStyle name="Normal 10 2 12" xfId="8352"/>
    <cellStyle name="Normal 10 2 13" xfId="8353"/>
    <cellStyle name="Normal 10 2 2" xfId="61"/>
    <cellStyle name="Normal 10 2 2 2" xfId="60"/>
    <cellStyle name="Normal 10 2 2 2 2" xfId="53"/>
    <cellStyle name="Normal 10 2 2 2 2 2" xfId="66"/>
    <cellStyle name="Normal 10 2 2 2 2 2 2" xfId="40"/>
    <cellStyle name="Normal 10 2 2 2 2 2 2 2" xfId="59"/>
    <cellStyle name="Normal 10 2 2 2 2 2 2 2 2" xfId="38"/>
    <cellStyle name="Normal 10 2 2 2 2 2 2 3" xfId="62"/>
    <cellStyle name="Normal 10 2 2 2 2 2 3" xfId="50"/>
    <cellStyle name="Normal 10 2 2 2 2 2 3 2" xfId="48"/>
    <cellStyle name="Normal 10 2 2 2 2 2 4" xfId="43"/>
    <cellStyle name="Normal 10 2 2 2 2 3" xfId="52"/>
    <cellStyle name="Normal 10 2 2 2 2 3 2" xfId="47"/>
    <cellStyle name="Normal 10 2 2 2 2 3 2 2" xfId="42"/>
    <cellStyle name="Normal 10 2 2 2 2 3 3" xfId="63"/>
    <cellStyle name="Normal 10 2 2 2 2 4" xfId="46"/>
    <cellStyle name="Normal 10 2 2 2 2 4 2" xfId="65"/>
    <cellStyle name="Normal 10 2 2 2 2 5" xfId="54"/>
    <cellStyle name="Normal 10 2 2 2 3" xfId="57"/>
    <cellStyle name="Normal 10 2 2 2 3 2" xfId="64"/>
    <cellStyle name="Normal 10 2 2 2 3 2 2" xfId="45"/>
    <cellStyle name="Normal 10 2 2 2 3 2 2 2" xfId="55"/>
    <cellStyle name="Normal 10 2 2 2 3 2 3" xfId="67"/>
    <cellStyle name="Normal 10 2 2 2 3 3" xfId="68"/>
    <cellStyle name="Normal 10 2 2 2 3 3 2" xfId="69"/>
    <cellStyle name="Normal 10 2 2 2 3 4" xfId="70"/>
    <cellStyle name="Normal 10 2 2 2 4" xfId="71"/>
    <cellStyle name="Normal 10 2 2 2 4 2" xfId="72"/>
    <cellStyle name="Normal 10 2 2 2 4 2 2" xfId="73"/>
    <cellStyle name="Normal 10 2 2 2 4 3" xfId="74"/>
    <cellStyle name="Normal 10 2 2 2 5" xfId="75"/>
    <cellStyle name="Normal 10 2 2 2 5 2" xfId="76"/>
    <cellStyle name="Normal 10 2 2 2 6" xfId="77"/>
    <cellStyle name="Normal 10 2 2 3" xfId="78"/>
    <cellStyle name="Normal 10 2 2 3 2" xfId="79"/>
    <cellStyle name="Normal 10 2 2 3 2 2" xfId="80"/>
    <cellStyle name="Normal 10 2 2 3 2 2 2" xfId="81"/>
    <cellStyle name="Normal 10 2 2 3 2 2 2 2" xfId="82"/>
    <cellStyle name="Normal 10 2 2 3 2 2 3" xfId="83"/>
    <cellStyle name="Normal 10 2 2 3 2 3" xfId="84"/>
    <cellStyle name="Normal 10 2 2 3 2 3 2" xfId="85"/>
    <cellStyle name="Normal 10 2 2 3 2 4" xfId="86"/>
    <cellStyle name="Normal 10 2 2 3 3" xfId="87"/>
    <cellStyle name="Normal 10 2 2 3 3 2" xfId="88"/>
    <cellStyle name="Normal 10 2 2 3 3 2 2" xfId="89"/>
    <cellStyle name="Normal 10 2 2 3 3 3" xfId="90"/>
    <cellStyle name="Normal 10 2 2 3 4" xfId="91"/>
    <cellStyle name="Normal 10 2 2 3 4 2" xfId="92"/>
    <cellStyle name="Normal 10 2 2 3 5" xfId="93"/>
    <cellStyle name="Normal 10 2 2 4" xfId="94"/>
    <cellStyle name="Normal 10 2 2 4 2" xfId="95"/>
    <cellStyle name="Normal 10 2 2 4 2 2" xfId="96"/>
    <cellStyle name="Normal 10 2 2 4 2 2 2" xfId="97"/>
    <cellStyle name="Normal 10 2 2 4 2 3" xfId="98"/>
    <cellStyle name="Normal 10 2 2 4 3" xfId="99"/>
    <cellStyle name="Normal 10 2 2 4 3 2" xfId="100"/>
    <cellStyle name="Normal 10 2 2 4 4" xfId="101"/>
    <cellStyle name="Normal 10 2 2 5" xfId="102"/>
    <cellStyle name="Normal 10 2 2 5 2" xfId="103"/>
    <cellStyle name="Normal 10 2 2 5 2 2" xfId="104"/>
    <cellStyle name="Normal 10 2 2 5 3" xfId="105"/>
    <cellStyle name="Normal 10 2 2 5 4" xfId="8354"/>
    <cellStyle name="Normal 10 2 2 6" xfId="106"/>
    <cellStyle name="Normal 10 2 2 6 2" xfId="107"/>
    <cellStyle name="Normal 10 2 2 7" xfId="108"/>
    <cellStyle name="Normal 10 2 2 8" xfId="8355"/>
    <cellStyle name="Normal 10 2 2 9" xfId="8356"/>
    <cellStyle name="Normal 10 2 2_Actual" xfId="8357"/>
    <cellStyle name="Normal 10 2 3" xfId="109"/>
    <cellStyle name="Normal 10 2 3 2" xfId="110"/>
    <cellStyle name="Normal 10 2 3 2 2" xfId="111"/>
    <cellStyle name="Normal 10 2 3 2 2 2" xfId="112"/>
    <cellStyle name="Normal 10 2 3 2 2 2 2" xfId="113"/>
    <cellStyle name="Normal 10 2 3 2 2 2 2 2" xfId="114"/>
    <cellStyle name="Normal 10 2 3 2 2 2 3" xfId="115"/>
    <cellStyle name="Normal 10 2 3 2 2 3" xfId="116"/>
    <cellStyle name="Normal 10 2 3 2 2 3 2" xfId="117"/>
    <cellStyle name="Normal 10 2 3 2 2 4" xfId="118"/>
    <cellStyle name="Normal 10 2 3 2 3" xfId="119"/>
    <cellStyle name="Normal 10 2 3 2 3 2" xfId="120"/>
    <cellStyle name="Normal 10 2 3 2 3 2 2" xfId="121"/>
    <cellStyle name="Normal 10 2 3 2 3 3" xfId="122"/>
    <cellStyle name="Normal 10 2 3 2 4" xfId="123"/>
    <cellStyle name="Normal 10 2 3 2 4 2" xfId="124"/>
    <cellStyle name="Normal 10 2 3 2 5" xfId="125"/>
    <cellStyle name="Normal 10 2 3 3" xfId="126"/>
    <cellStyle name="Normal 10 2 3 3 2" xfId="127"/>
    <cellStyle name="Normal 10 2 3 3 2 2" xfId="128"/>
    <cellStyle name="Normal 10 2 3 3 2 2 2" xfId="129"/>
    <cellStyle name="Normal 10 2 3 3 2 3" xfId="130"/>
    <cellStyle name="Normal 10 2 3 3 3" xfId="131"/>
    <cellStyle name="Normal 10 2 3 3 3 2" xfId="132"/>
    <cellStyle name="Normal 10 2 3 3 4" xfId="133"/>
    <cellStyle name="Normal 10 2 3 4" xfId="134"/>
    <cellStyle name="Normal 10 2 3 4 2" xfId="135"/>
    <cellStyle name="Normal 10 2 3 4 2 2" xfId="136"/>
    <cellStyle name="Normal 10 2 3 4 3" xfId="137"/>
    <cellStyle name="Normal 10 2 3 4 4" xfId="8358"/>
    <cellStyle name="Normal 10 2 3 5" xfId="138"/>
    <cellStyle name="Normal 10 2 3 5 2" xfId="139"/>
    <cellStyle name="Normal 10 2 3 5 3" xfId="8359"/>
    <cellStyle name="Normal 10 2 3 5 4" xfId="8360"/>
    <cellStyle name="Normal 10 2 3 6" xfId="140"/>
    <cellStyle name="Normal 10 2 3 7" xfId="8361"/>
    <cellStyle name="Normal 10 2 3 8" xfId="8362"/>
    <cellStyle name="Normal 10 2 3 9" xfId="8363"/>
    <cellStyle name="Normal 10 2 3_Actual" xfId="8364"/>
    <cellStyle name="Normal 10 2 4" xfId="141"/>
    <cellStyle name="Normal 10 2 4 2" xfId="142"/>
    <cellStyle name="Normal 10 2 4 2 2" xfId="143"/>
    <cellStyle name="Normal 10 2 4 2 2 2" xfId="144"/>
    <cellStyle name="Normal 10 2 4 2 2 2 2" xfId="145"/>
    <cellStyle name="Normal 10 2 4 2 2 3" xfId="146"/>
    <cellStyle name="Normal 10 2 4 2 3" xfId="147"/>
    <cellStyle name="Normal 10 2 4 2 3 2" xfId="148"/>
    <cellStyle name="Normal 10 2 4 2 4" xfId="149"/>
    <cellStyle name="Normal 10 2 4 3" xfId="150"/>
    <cellStyle name="Normal 10 2 4 3 2" xfId="151"/>
    <cellStyle name="Normal 10 2 4 3 2 2" xfId="152"/>
    <cellStyle name="Normal 10 2 4 3 3" xfId="153"/>
    <cellStyle name="Normal 10 2 4 3 3 2" xfId="8365"/>
    <cellStyle name="Normal 10 2 4 3 4" xfId="8366"/>
    <cellStyle name="Normal 10 2 4 4" xfId="154"/>
    <cellStyle name="Normal 10 2 4 4 2" xfId="155"/>
    <cellStyle name="Normal 10 2 4 4 3" xfId="8367"/>
    <cellStyle name="Normal 10 2 4 4 4" xfId="8368"/>
    <cellStyle name="Normal 10 2 4 5" xfId="156"/>
    <cellStyle name="Normal 10 2 4 5 2" xfId="8369"/>
    <cellStyle name="Normal 10 2 4 5 3" xfId="8370"/>
    <cellStyle name="Normal 10 2 4 5 4" xfId="8371"/>
    <cellStyle name="Normal 10 2 4 6" xfId="8372"/>
    <cellStyle name="Normal 10 2 4 7" xfId="8373"/>
    <cellStyle name="Normal 10 2 4 8" xfId="8374"/>
    <cellStyle name="Normal 10 2 4 9" xfId="8375"/>
    <cellStyle name="Normal 10 2 4_Actual" xfId="8376"/>
    <cellStyle name="Normal 10 2 5" xfId="157"/>
    <cellStyle name="Normal 10 2 5 2" xfId="158"/>
    <cellStyle name="Normal 10 2 5 2 2" xfId="159"/>
    <cellStyle name="Normal 10 2 5 2 2 2" xfId="160"/>
    <cellStyle name="Normal 10 2 5 2 3" xfId="161"/>
    <cellStyle name="Normal 10 2 5 3" xfId="162"/>
    <cellStyle name="Normal 10 2 5 3 2" xfId="163"/>
    <cellStyle name="Normal 10 2 5 4" xfId="164"/>
    <cellStyle name="Normal 10 2 6" xfId="165"/>
    <cellStyle name="Normal 10 2 6 2" xfId="166"/>
    <cellStyle name="Normal 10 2 6 2 2" xfId="167"/>
    <cellStyle name="Normal 10 2 6 3" xfId="168"/>
    <cellStyle name="Normal 10 2 6 3 2" xfId="8377"/>
    <cellStyle name="Normal 10 2 6 4" xfId="8378"/>
    <cellStyle name="Normal 10 2 7" xfId="169"/>
    <cellStyle name="Normal 10 2 7 2" xfId="170"/>
    <cellStyle name="Normal 10 2 7 3" xfId="8379"/>
    <cellStyle name="Normal 10 2 7 4" xfId="8380"/>
    <cellStyle name="Normal 10 2 8" xfId="171"/>
    <cellStyle name="Normal 10 2 8 2" xfId="8381"/>
    <cellStyle name="Normal 10 2 8 3" xfId="8382"/>
    <cellStyle name="Normal 10 2 8 4" xfId="8383"/>
    <cellStyle name="Normal 10 2 9" xfId="8384"/>
    <cellStyle name="Normal 10 2_Actual" xfId="8385"/>
    <cellStyle name="Normal 10 3" xfId="172"/>
    <cellStyle name="Normal 10 3 10" xfId="8386"/>
    <cellStyle name="Normal 10 3 11" xfId="8387"/>
    <cellStyle name="Normal 10 3 12" xfId="8388"/>
    <cellStyle name="Normal 10 3 2" xfId="173"/>
    <cellStyle name="Normal 10 3 2 2" xfId="174"/>
    <cellStyle name="Normal 10 3 2 2 2" xfId="175"/>
    <cellStyle name="Normal 10 3 2 2 2 2" xfId="176"/>
    <cellStyle name="Normal 10 3 2 2 2 2 2" xfId="177"/>
    <cellStyle name="Normal 10 3 2 2 2 2 2 2" xfId="178"/>
    <cellStyle name="Normal 10 3 2 2 2 2 3" xfId="179"/>
    <cellStyle name="Normal 10 3 2 2 2 3" xfId="180"/>
    <cellStyle name="Normal 10 3 2 2 2 3 2" xfId="181"/>
    <cellStyle name="Normal 10 3 2 2 2 4" xfId="182"/>
    <cellStyle name="Normal 10 3 2 2 3" xfId="183"/>
    <cellStyle name="Normal 10 3 2 2 3 2" xfId="184"/>
    <cellStyle name="Normal 10 3 2 2 3 2 2" xfId="185"/>
    <cellStyle name="Normal 10 3 2 2 3 3" xfId="186"/>
    <cellStyle name="Normal 10 3 2 2 4" xfId="187"/>
    <cellStyle name="Normal 10 3 2 2 4 2" xfId="188"/>
    <cellStyle name="Normal 10 3 2 2 5" xfId="189"/>
    <cellStyle name="Normal 10 3 2 3" xfId="190"/>
    <cellStyle name="Normal 10 3 2 3 2" xfId="191"/>
    <cellStyle name="Normal 10 3 2 3 2 2" xfId="192"/>
    <cellStyle name="Normal 10 3 2 3 2 2 2" xfId="193"/>
    <cellStyle name="Normal 10 3 2 3 2 3" xfId="194"/>
    <cellStyle name="Normal 10 3 2 3 3" xfId="195"/>
    <cellStyle name="Normal 10 3 2 3 3 2" xfId="196"/>
    <cellStyle name="Normal 10 3 2 3 4" xfId="197"/>
    <cellStyle name="Normal 10 3 2 4" xfId="198"/>
    <cellStyle name="Normal 10 3 2 4 2" xfId="199"/>
    <cellStyle name="Normal 10 3 2 4 2 2" xfId="200"/>
    <cellStyle name="Normal 10 3 2 4 3" xfId="201"/>
    <cellStyle name="Normal 10 3 2 4 4" xfId="8389"/>
    <cellStyle name="Normal 10 3 2 5" xfId="202"/>
    <cellStyle name="Normal 10 3 2 5 2" xfId="203"/>
    <cellStyle name="Normal 10 3 2 5 3" xfId="8390"/>
    <cellStyle name="Normal 10 3 2 5 4" xfId="8391"/>
    <cellStyle name="Normal 10 3 2 6" xfId="204"/>
    <cellStyle name="Normal 10 3 2 7" xfId="8392"/>
    <cellStyle name="Normal 10 3 2 8" xfId="8393"/>
    <cellStyle name="Normal 10 3 2 9" xfId="8394"/>
    <cellStyle name="Normal 10 3 2_Actual" xfId="8395"/>
    <cellStyle name="Normal 10 3 3" xfId="205"/>
    <cellStyle name="Normal 10 3 3 2" xfId="206"/>
    <cellStyle name="Normal 10 3 3 2 2" xfId="207"/>
    <cellStyle name="Normal 10 3 3 2 2 2" xfId="208"/>
    <cellStyle name="Normal 10 3 3 2 2 2 2" xfId="209"/>
    <cellStyle name="Normal 10 3 3 2 2 3" xfId="210"/>
    <cellStyle name="Normal 10 3 3 2 3" xfId="211"/>
    <cellStyle name="Normal 10 3 3 2 3 2" xfId="212"/>
    <cellStyle name="Normal 10 3 3 2 4" xfId="213"/>
    <cellStyle name="Normal 10 3 3 3" xfId="214"/>
    <cellStyle name="Normal 10 3 3 3 2" xfId="215"/>
    <cellStyle name="Normal 10 3 3 3 2 2" xfId="216"/>
    <cellStyle name="Normal 10 3 3 3 3" xfId="217"/>
    <cellStyle name="Normal 10 3 3 3 3 2" xfId="8396"/>
    <cellStyle name="Normal 10 3 3 3 4" xfId="8397"/>
    <cellStyle name="Normal 10 3 3 4" xfId="218"/>
    <cellStyle name="Normal 10 3 3 4 2" xfId="219"/>
    <cellStyle name="Normal 10 3 3 4 3" xfId="8398"/>
    <cellStyle name="Normal 10 3 3 4 4" xfId="8399"/>
    <cellStyle name="Normal 10 3 3 5" xfId="220"/>
    <cellStyle name="Normal 10 3 3 5 2" xfId="8400"/>
    <cellStyle name="Normal 10 3 3 5 3" xfId="8401"/>
    <cellStyle name="Normal 10 3 3 5 4" xfId="8402"/>
    <cellStyle name="Normal 10 3 3 6" xfId="8403"/>
    <cellStyle name="Normal 10 3 3 7" xfId="8404"/>
    <cellStyle name="Normal 10 3 3 8" xfId="8405"/>
    <cellStyle name="Normal 10 3 3 9" xfId="8406"/>
    <cellStyle name="Normal 10 3 3_Actual" xfId="8407"/>
    <cellStyle name="Normal 10 3 4" xfId="221"/>
    <cellStyle name="Normal 10 3 4 2" xfId="222"/>
    <cellStyle name="Normal 10 3 4 2 2" xfId="223"/>
    <cellStyle name="Normal 10 3 4 2 2 2" xfId="224"/>
    <cellStyle name="Normal 10 3 4 2 3" xfId="225"/>
    <cellStyle name="Normal 10 3 4 2 3 2" xfId="8408"/>
    <cellStyle name="Normal 10 3 4 2 4" xfId="8409"/>
    <cellStyle name="Normal 10 3 4 3" xfId="226"/>
    <cellStyle name="Normal 10 3 4 3 2" xfId="227"/>
    <cellStyle name="Normal 10 3 4 3 2 2" xfId="8410"/>
    <cellStyle name="Normal 10 3 4 3 3" xfId="8411"/>
    <cellStyle name="Normal 10 3 4 3 3 2" xfId="8412"/>
    <cellStyle name="Normal 10 3 4 3 4" xfId="8413"/>
    <cellStyle name="Normal 10 3 4 4" xfId="228"/>
    <cellStyle name="Normal 10 3 4 4 2" xfId="8414"/>
    <cellStyle name="Normal 10 3 4 4 3" xfId="8415"/>
    <cellStyle name="Normal 10 3 4 4 4" xfId="8416"/>
    <cellStyle name="Normal 10 3 4 5" xfId="8417"/>
    <cellStyle name="Normal 10 3 4 5 2" xfId="8418"/>
    <cellStyle name="Normal 10 3 4 5 3" xfId="8419"/>
    <cellStyle name="Normal 10 3 4 5 4" xfId="8420"/>
    <cellStyle name="Normal 10 3 4 6" xfId="8421"/>
    <cellStyle name="Normal 10 3 4 7" xfId="8422"/>
    <cellStyle name="Normal 10 3 4 8" xfId="8423"/>
    <cellStyle name="Normal 10 3 4 9" xfId="8424"/>
    <cellStyle name="Normal 10 3 4_Actual" xfId="8425"/>
    <cellStyle name="Normal 10 3 5" xfId="229"/>
    <cellStyle name="Normal 10 3 5 2" xfId="230"/>
    <cellStyle name="Normal 10 3 5 2 2" xfId="231"/>
    <cellStyle name="Normal 10 3 5 3" xfId="232"/>
    <cellStyle name="Normal 10 3 5 3 2" xfId="8426"/>
    <cellStyle name="Normal 10 3 5 4" xfId="8427"/>
    <cellStyle name="Normal 10 3 6" xfId="233"/>
    <cellStyle name="Normal 10 3 6 2" xfId="234"/>
    <cellStyle name="Normal 10 3 6 2 2" xfId="8428"/>
    <cellStyle name="Normal 10 3 6 3" xfId="8429"/>
    <cellStyle name="Normal 10 3 6 3 2" xfId="8430"/>
    <cellStyle name="Normal 10 3 6 4" xfId="8431"/>
    <cellStyle name="Normal 10 3 7" xfId="235"/>
    <cellStyle name="Normal 10 3 7 2" xfId="8432"/>
    <cellStyle name="Normal 10 3 7 3" xfId="8433"/>
    <cellStyle name="Normal 10 3 7 4" xfId="8434"/>
    <cellStyle name="Normal 10 3 8" xfId="8435"/>
    <cellStyle name="Normal 10 3 8 2" xfId="8436"/>
    <cellStyle name="Normal 10 3 8 3" xfId="8437"/>
    <cellStyle name="Normal 10 3 8 4" xfId="8438"/>
    <cellStyle name="Normal 10 3 9" xfId="8439"/>
    <cellStyle name="Normal 10 3_Actual" xfId="8440"/>
    <cellStyle name="Normal 10 4" xfId="236"/>
    <cellStyle name="Normal 10 4 10" xfId="8441"/>
    <cellStyle name="Normal 10 4 11" xfId="8442"/>
    <cellStyle name="Normal 10 4 12" xfId="8443"/>
    <cellStyle name="Normal 10 4 2" xfId="237"/>
    <cellStyle name="Normal 10 4 2 2" xfId="238"/>
    <cellStyle name="Normal 10 4 2 2 2" xfId="239"/>
    <cellStyle name="Normal 10 4 2 2 2 2" xfId="240"/>
    <cellStyle name="Normal 10 4 2 2 2 2 2" xfId="241"/>
    <cellStyle name="Normal 10 4 2 2 2 3" xfId="242"/>
    <cellStyle name="Normal 10 4 2 2 3" xfId="243"/>
    <cellStyle name="Normal 10 4 2 2 3 2" xfId="244"/>
    <cellStyle name="Normal 10 4 2 2 4" xfId="245"/>
    <cellStyle name="Normal 10 4 2 3" xfId="246"/>
    <cellStyle name="Normal 10 4 2 3 2" xfId="247"/>
    <cellStyle name="Normal 10 4 2 3 2 2" xfId="248"/>
    <cellStyle name="Normal 10 4 2 3 3" xfId="249"/>
    <cellStyle name="Normal 10 4 2 3 3 2" xfId="8444"/>
    <cellStyle name="Normal 10 4 2 3 4" xfId="8445"/>
    <cellStyle name="Normal 10 4 2 4" xfId="250"/>
    <cellStyle name="Normal 10 4 2 4 2" xfId="251"/>
    <cellStyle name="Normal 10 4 2 4 3" xfId="8446"/>
    <cellStyle name="Normal 10 4 2 4 4" xfId="8447"/>
    <cellStyle name="Normal 10 4 2 5" xfId="252"/>
    <cellStyle name="Normal 10 4 2 5 2" xfId="8448"/>
    <cellStyle name="Normal 10 4 2 5 3" xfId="8449"/>
    <cellStyle name="Normal 10 4 2 5 4" xfId="8450"/>
    <cellStyle name="Normal 10 4 2 6" xfId="8451"/>
    <cellStyle name="Normal 10 4 2 7" xfId="8452"/>
    <cellStyle name="Normal 10 4 2 8" xfId="8453"/>
    <cellStyle name="Normal 10 4 2 9" xfId="8454"/>
    <cellStyle name="Normal 10 4 2_Actual" xfId="8455"/>
    <cellStyle name="Normal 10 4 3" xfId="253"/>
    <cellStyle name="Normal 10 4 3 2" xfId="254"/>
    <cellStyle name="Normal 10 4 3 2 2" xfId="255"/>
    <cellStyle name="Normal 10 4 3 2 2 2" xfId="256"/>
    <cellStyle name="Normal 10 4 3 2 3" xfId="257"/>
    <cellStyle name="Normal 10 4 3 2 3 2" xfId="8456"/>
    <cellStyle name="Normal 10 4 3 2 4" xfId="8457"/>
    <cellStyle name="Normal 10 4 3 3" xfId="258"/>
    <cellStyle name="Normal 10 4 3 3 2" xfId="259"/>
    <cellStyle name="Normal 10 4 3 3 2 2" xfId="8458"/>
    <cellStyle name="Normal 10 4 3 3 3" xfId="8459"/>
    <cellStyle name="Normal 10 4 3 3 3 2" xfId="8460"/>
    <cellStyle name="Normal 10 4 3 3 4" xfId="8461"/>
    <cellStyle name="Normal 10 4 3 4" xfId="260"/>
    <cellStyle name="Normal 10 4 3 4 2" xfId="8462"/>
    <cellStyle name="Normal 10 4 3 4 3" xfId="8463"/>
    <cellStyle name="Normal 10 4 3 4 4" xfId="8464"/>
    <cellStyle name="Normal 10 4 3 5" xfId="8465"/>
    <cellStyle name="Normal 10 4 3 5 2" xfId="8466"/>
    <cellStyle name="Normal 10 4 3 5 3" xfId="8467"/>
    <cellStyle name="Normal 10 4 3 5 4" xfId="8468"/>
    <cellStyle name="Normal 10 4 3 6" xfId="8469"/>
    <cellStyle name="Normal 10 4 3 7" xfId="8470"/>
    <cellStyle name="Normal 10 4 3 8" xfId="8471"/>
    <cellStyle name="Normal 10 4 3 9" xfId="8472"/>
    <cellStyle name="Normal 10 4 3_Actual" xfId="8473"/>
    <cellStyle name="Normal 10 4 4" xfId="261"/>
    <cellStyle name="Normal 10 4 4 2" xfId="262"/>
    <cellStyle name="Normal 10 4 4 2 2" xfId="263"/>
    <cellStyle name="Normal 10 4 4 2 2 2" xfId="8474"/>
    <cellStyle name="Normal 10 4 4 2 3" xfId="8475"/>
    <cellStyle name="Normal 10 4 4 2 3 2" xfId="8476"/>
    <cellStyle name="Normal 10 4 4 2 4" xfId="8477"/>
    <cellStyle name="Normal 10 4 4 3" xfId="264"/>
    <cellStyle name="Normal 10 4 4 3 2" xfId="8478"/>
    <cellStyle name="Normal 10 4 4 3 2 2" xfId="8479"/>
    <cellStyle name="Normal 10 4 4 3 3" xfId="8480"/>
    <cellStyle name="Normal 10 4 4 3 3 2" xfId="8481"/>
    <cellStyle name="Normal 10 4 4 3 4" xfId="8482"/>
    <cellStyle name="Normal 10 4 4 4" xfId="8483"/>
    <cellStyle name="Normal 10 4 4 4 2" xfId="8484"/>
    <cellStyle name="Normal 10 4 4 4 3" xfId="8485"/>
    <cellStyle name="Normal 10 4 4 4 4" xfId="8486"/>
    <cellStyle name="Normal 10 4 4 5" xfId="8487"/>
    <cellStyle name="Normal 10 4 4 5 2" xfId="8488"/>
    <cellStyle name="Normal 10 4 4 5 3" xfId="8489"/>
    <cellStyle name="Normal 10 4 4 5 4" xfId="8490"/>
    <cellStyle name="Normal 10 4 4 6" xfId="8491"/>
    <cellStyle name="Normal 10 4 4 7" xfId="8492"/>
    <cellStyle name="Normal 10 4 4 8" xfId="8493"/>
    <cellStyle name="Normal 10 4 4 9" xfId="8494"/>
    <cellStyle name="Normal 10 4 4_Actual" xfId="8495"/>
    <cellStyle name="Normal 10 4 5" xfId="265"/>
    <cellStyle name="Normal 10 4 5 2" xfId="266"/>
    <cellStyle name="Normal 10 4 5 2 2" xfId="8496"/>
    <cellStyle name="Normal 10 4 5 3" xfId="8497"/>
    <cellStyle name="Normal 10 4 5 3 2" xfId="8498"/>
    <cellStyle name="Normal 10 4 5 4" xfId="8499"/>
    <cellStyle name="Normal 10 4 6" xfId="267"/>
    <cellStyle name="Normal 10 4 6 2" xfId="8500"/>
    <cellStyle name="Normal 10 4 6 2 2" xfId="8501"/>
    <cellStyle name="Normal 10 4 6 3" xfId="8502"/>
    <cellStyle name="Normal 10 4 6 3 2" xfId="8503"/>
    <cellStyle name="Normal 10 4 6 4" xfId="8504"/>
    <cellStyle name="Normal 10 4 7" xfId="8505"/>
    <cellStyle name="Normal 10 4 7 2" xfId="8506"/>
    <cellStyle name="Normal 10 4 7 3" xfId="8507"/>
    <cellStyle name="Normal 10 4 7 4" xfId="8508"/>
    <cellStyle name="Normal 10 4 8" xfId="8509"/>
    <cellStyle name="Normal 10 4 8 2" xfId="8510"/>
    <cellStyle name="Normal 10 4 8 3" xfId="8511"/>
    <cellStyle name="Normal 10 4 8 4" xfId="8512"/>
    <cellStyle name="Normal 10 4 9" xfId="8513"/>
    <cellStyle name="Normal 10 4_Actual" xfId="8514"/>
    <cellStyle name="Normal 10 5" xfId="268"/>
    <cellStyle name="Normal 10 5 2" xfId="269"/>
    <cellStyle name="Normal 10 5 2 2" xfId="270"/>
    <cellStyle name="Normal 10 5 2 2 2" xfId="271"/>
    <cellStyle name="Normal 10 5 2 2 2 2" xfId="272"/>
    <cellStyle name="Normal 10 5 2 2 3" xfId="273"/>
    <cellStyle name="Normal 10 5 2 3" xfId="274"/>
    <cellStyle name="Normal 10 5 2 3 2" xfId="275"/>
    <cellStyle name="Normal 10 5 2 4" xfId="276"/>
    <cellStyle name="Normal 10 5 3" xfId="277"/>
    <cellStyle name="Normal 10 5 3 2" xfId="278"/>
    <cellStyle name="Normal 10 5 3 2 2" xfId="279"/>
    <cellStyle name="Normal 10 5 3 3" xfId="280"/>
    <cellStyle name="Normal 10 5 3 3 2" xfId="8515"/>
    <cellStyle name="Normal 10 5 3 4" xfId="8516"/>
    <cellStyle name="Normal 10 5 4" xfId="281"/>
    <cellStyle name="Normal 10 5 4 2" xfId="282"/>
    <cellStyle name="Normal 10 5 4 3" xfId="8517"/>
    <cellStyle name="Normal 10 5 4 4" xfId="8518"/>
    <cellStyle name="Normal 10 5 5" xfId="283"/>
    <cellStyle name="Normal 10 5 5 2" xfId="8519"/>
    <cellStyle name="Normal 10 5 5 3" xfId="8520"/>
    <cellStyle name="Normal 10 5 5 4" xfId="8521"/>
    <cellStyle name="Normal 10 5 6" xfId="8522"/>
    <cellStyle name="Normal 10 5 7" xfId="8523"/>
    <cellStyle name="Normal 10 5 8" xfId="8524"/>
    <cellStyle name="Normal 10 5 9" xfId="8525"/>
    <cellStyle name="Normal 10 5_Actual" xfId="8526"/>
    <cellStyle name="Normal 10 6" xfId="284"/>
    <cellStyle name="Normal 10 6 2" xfId="285"/>
    <cellStyle name="Normal 10 6 2 2" xfId="286"/>
    <cellStyle name="Normal 10 6 2 2 2" xfId="287"/>
    <cellStyle name="Normal 10 6 2 3" xfId="288"/>
    <cellStyle name="Normal 10 6 2 3 2" xfId="8527"/>
    <cellStyle name="Normal 10 6 2 4" xfId="8528"/>
    <cellStyle name="Normal 10 6 3" xfId="289"/>
    <cellStyle name="Normal 10 6 3 2" xfId="290"/>
    <cellStyle name="Normal 10 6 3 2 2" xfId="8529"/>
    <cellStyle name="Normal 10 6 3 3" xfId="8530"/>
    <cellStyle name="Normal 10 6 3 3 2" xfId="8531"/>
    <cellStyle name="Normal 10 6 3 4" xfId="8532"/>
    <cellStyle name="Normal 10 6 4" xfId="291"/>
    <cellStyle name="Normal 10 6 4 2" xfId="8533"/>
    <cellStyle name="Normal 10 6 4 3" xfId="8534"/>
    <cellStyle name="Normal 10 6 4 4" xfId="8535"/>
    <cellStyle name="Normal 10 6 5" xfId="8536"/>
    <cellStyle name="Normal 10 6 5 2" xfId="8537"/>
    <cellStyle name="Normal 10 6 5 3" xfId="8538"/>
    <cellStyle name="Normal 10 6 5 4" xfId="8539"/>
    <cellStyle name="Normal 10 6 6" xfId="8540"/>
    <cellStyle name="Normal 10 6 7" xfId="8541"/>
    <cellStyle name="Normal 10 6 8" xfId="8542"/>
    <cellStyle name="Normal 10 6 9" xfId="8543"/>
    <cellStyle name="Normal 10 6_Actual" xfId="8544"/>
    <cellStyle name="Normal 10 7" xfId="292"/>
    <cellStyle name="Normal 10 7 2" xfId="293"/>
    <cellStyle name="Normal 10 7 2 2" xfId="294"/>
    <cellStyle name="Normal 10 7 2 2 2" xfId="8545"/>
    <cellStyle name="Normal 10 7 2 3" xfId="8546"/>
    <cellStyle name="Normal 10 7 2 3 2" xfId="8547"/>
    <cellStyle name="Normal 10 7 2 4" xfId="8548"/>
    <cellStyle name="Normal 10 7 3" xfId="295"/>
    <cellStyle name="Normal 10 7 3 2" xfId="8549"/>
    <cellStyle name="Normal 10 7 3 2 2" xfId="8550"/>
    <cellStyle name="Normal 10 7 3 3" xfId="8551"/>
    <cellStyle name="Normal 10 7 3 3 2" xfId="8552"/>
    <cellStyle name="Normal 10 7 3 4" xfId="8553"/>
    <cellStyle name="Normal 10 7 4" xfId="8554"/>
    <cellStyle name="Normal 10 7 4 2" xfId="8555"/>
    <cellStyle name="Normal 10 7 4 3" xfId="8556"/>
    <cellStyle name="Normal 10 7 4 4" xfId="8557"/>
    <cellStyle name="Normal 10 7 5" xfId="8558"/>
    <cellStyle name="Normal 10 7 5 2" xfId="8559"/>
    <cellStyle name="Normal 10 7 5 3" xfId="8560"/>
    <cellStyle name="Normal 10 7 5 4" xfId="8561"/>
    <cellStyle name="Normal 10 7 6" xfId="8562"/>
    <cellStyle name="Normal 10 7 7" xfId="8563"/>
    <cellStyle name="Normal 10 7 8" xfId="8564"/>
    <cellStyle name="Normal 10 7 9" xfId="8565"/>
    <cellStyle name="Normal 10 7_Actual" xfId="8566"/>
    <cellStyle name="Normal 10 8" xfId="296"/>
    <cellStyle name="Normal 10 8 2" xfId="297"/>
    <cellStyle name="Normal 10 8 2 2" xfId="8567"/>
    <cellStyle name="Normal 10 8 3" xfId="8568"/>
    <cellStyle name="Normal 10 8 3 2" xfId="8569"/>
    <cellStyle name="Normal 10 8 4" xfId="8570"/>
    <cellStyle name="Normal 10 9" xfId="298"/>
    <cellStyle name="Normal 10 9 2" xfId="8571"/>
    <cellStyle name="Normal 10 9 2 2" xfId="8572"/>
    <cellStyle name="Normal 10 9 3" xfId="8573"/>
    <cellStyle name="Normal 10 9 3 2" xfId="8574"/>
    <cellStyle name="Normal 10 9 4" xfId="8575"/>
    <cellStyle name="Normal 10_Actual" xfId="8576"/>
    <cellStyle name="Normal 100" xfId="8577"/>
    <cellStyle name="Normal 101" xfId="8578"/>
    <cellStyle name="Normal 102" xfId="8579"/>
    <cellStyle name="Normal 103" xfId="8580"/>
    <cellStyle name="Normal 104" xfId="8581"/>
    <cellStyle name="Normal 105" xfId="8582"/>
    <cellStyle name="Normal 106" xfId="8583"/>
    <cellStyle name="Normal 107" xfId="8584"/>
    <cellStyle name="Normal 108" xfId="8585"/>
    <cellStyle name="Normal 109" xfId="8586"/>
    <cellStyle name="Normal 11" xfId="49"/>
    <cellStyle name="Normal 11 2" xfId="299"/>
    <cellStyle name="Normal 11 2 2" xfId="300"/>
    <cellStyle name="Normal 11 2 2 2" xfId="301"/>
    <cellStyle name="Normal 11 2 2 2 2" xfId="302"/>
    <cellStyle name="Normal 11 2 2 2 2 2" xfId="303"/>
    <cellStyle name="Normal 11 2 2 2 2 2 2" xfId="304"/>
    <cellStyle name="Normal 11 2 2 2 2 2 2 2" xfId="305"/>
    <cellStyle name="Normal 11 2 2 2 2 2 2 2 2" xfId="306"/>
    <cellStyle name="Normal 11 2 2 2 2 2 2 3" xfId="307"/>
    <cellStyle name="Normal 11 2 2 2 2 2 3" xfId="308"/>
    <cellStyle name="Normal 11 2 2 2 2 2 3 2" xfId="309"/>
    <cellStyle name="Normal 11 2 2 2 2 2 4" xfId="310"/>
    <cellStyle name="Normal 11 2 2 2 2 3" xfId="311"/>
    <cellStyle name="Normal 11 2 2 2 2 3 2" xfId="312"/>
    <cellStyle name="Normal 11 2 2 2 2 3 2 2" xfId="313"/>
    <cellStyle name="Normal 11 2 2 2 2 3 3" xfId="314"/>
    <cellStyle name="Normal 11 2 2 2 2 4" xfId="315"/>
    <cellStyle name="Normal 11 2 2 2 2 4 2" xfId="316"/>
    <cellStyle name="Normal 11 2 2 2 2 5" xfId="317"/>
    <cellStyle name="Normal 11 2 2 2 3" xfId="318"/>
    <cellStyle name="Normal 11 2 2 2 3 2" xfId="319"/>
    <cellStyle name="Normal 11 2 2 2 3 2 2" xfId="320"/>
    <cellStyle name="Normal 11 2 2 2 3 2 2 2" xfId="321"/>
    <cellStyle name="Normal 11 2 2 2 3 2 3" xfId="322"/>
    <cellStyle name="Normal 11 2 2 2 3 3" xfId="323"/>
    <cellStyle name="Normal 11 2 2 2 3 3 2" xfId="324"/>
    <cellStyle name="Normal 11 2 2 2 3 4" xfId="325"/>
    <cellStyle name="Normal 11 2 2 2 4" xfId="326"/>
    <cellStyle name="Normal 11 2 2 2 4 2" xfId="327"/>
    <cellStyle name="Normal 11 2 2 2 4 2 2" xfId="328"/>
    <cellStyle name="Normal 11 2 2 2 4 3" xfId="329"/>
    <cellStyle name="Normal 11 2 2 2 5" xfId="330"/>
    <cellStyle name="Normal 11 2 2 2 5 2" xfId="331"/>
    <cellStyle name="Normal 11 2 2 2 6" xfId="332"/>
    <cellStyle name="Normal 11 2 2 3" xfId="333"/>
    <cellStyle name="Normal 11 2 2 3 2" xfId="334"/>
    <cellStyle name="Normal 11 2 2 3 2 2" xfId="335"/>
    <cellStyle name="Normal 11 2 2 3 2 2 2" xfId="336"/>
    <cellStyle name="Normal 11 2 2 3 2 2 2 2" xfId="337"/>
    <cellStyle name="Normal 11 2 2 3 2 2 3" xfId="338"/>
    <cellStyle name="Normal 11 2 2 3 2 3" xfId="339"/>
    <cellStyle name="Normal 11 2 2 3 2 3 2" xfId="340"/>
    <cellStyle name="Normal 11 2 2 3 2 4" xfId="341"/>
    <cellStyle name="Normal 11 2 2 3 3" xfId="342"/>
    <cellStyle name="Normal 11 2 2 3 3 2" xfId="343"/>
    <cellStyle name="Normal 11 2 2 3 3 2 2" xfId="344"/>
    <cellStyle name="Normal 11 2 2 3 3 3" xfId="345"/>
    <cellStyle name="Normal 11 2 2 3 4" xfId="346"/>
    <cellStyle name="Normal 11 2 2 3 4 2" xfId="347"/>
    <cellStyle name="Normal 11 2 2 3 5" xfId="348"/>
    <cellStyle name="Normal 11 2 2 4" xfId="349"/>
    <cellStyle name="Normal 11 2 2 4 2" xfId="350"/>
    <cellStyle name="Normal 11 2 2 4 2 2" xfId="351"/>
    <cellStyle name="Normal 11 2 2 4 2 2 2" xfId="352"/>
    <cellStyle name="Normal 11 2 2 4 2 3" xfId="353"/>
    <cellStyle name="Normal 11 2 2 4 3" xfId="354"/>
    <cellStyle name="Normal 11 2 2 4 3 2" xfId="355"/>
    <cellStyle name="Normal 11 2 2 4 4" xfId="356"/>
    <cellStyle name="Normal 11 2 2 5" xfId="357"/>
    <cellStyle name="Normal 11 2 2 5 2" xfId="358"/>
    <cellStyle name="Normal 11 2 2 5 2 2" xfId="359"/>
    <cellStyle name="Normal 11 2 2 5 3" xfId="360"/>
    <cellStyle name="Normal 11 2 2 6" xfId="361"/>
    <cellStyle name="Normal 11 2 2 6 2" xfId="362"/>
    <cellStyle name="Normal 11 2 2 7" xfId="363"/>
    <cellStyle name="Normal 11 2 3" xfId="364"/>
    <cellStyle name="Normal 11 2 3 2" xfId="365"/>
    <cellStyle name="Normal 11 2 3 2 2" xfId="366"/>
    <cellStyle name="Normal 11 2 3 2 2 2" xfId="367"/>
    <cellStyle name="Normal 11 2 3 2 2 2 2" xfId="368"/>
    <cellStyle name="Normal 11 2 3 2 2 2 2 2" xfId="369"/>
    <cellStyle name="Normal 11 2 3 2 2 2 3" xfId="370"/>
    <cellStyle name="Normal 11 2 3 2 2 3" xfId="371"/>
    <cellStyle name="Normal 11 2 3 2 2 3 2" xfId="372"/>
    <cellStyle name="Normal 11 2 3 2 2 4" xfId="373"/>
    <cellStyle name="Normal 11 2 3 2 3" xfId="374"/>
    <cellStyle name="Normal 11 2 3 2 3 2" xfId="375"/>
    <cellStyle name="Normal 11 2 3 2 3 2 2" xfId="376"/>
    <cellStyle name="Normal 11 2 3 2 3 3" xfId="377"/>
    <cellStyle name="Normal 11 2 3 2 4" xfId="378"/>
    <cellStyle name="Normal 11 2 3 2 4 2" xfId="379"/>
    <cellStyle name="Normal 11 2 3 2 5" xfId="380"/>
    <cellStyle name="Normal 11 2 3 3" xfId="381"/>
    <cellStyle name="Normal 11 2 3 3 2" xfId="382"/>
    <cellStyle name="Normal 11 2 3 3 2 2" xfId="383"/>
    <cellStyle name="Normal 11 2 3 3 2 2 2" xfId="384"/>
    <cellStyle name="Normal 11 2 3 3 2 3" xfId="385"/>
    <cellStyle name="Normal 11 2 3 3 3" xfId="386"/>
    <cellStyle name="Normal 11 2 3 3 3 2" xfId="387"/>
    <cellStyle name="Normal 11 2 3 3 4" xfId="388"/>
    <cellStyle name="Normal 11 2 3 4" xfId="389"/>
    <cellStyle name="Normal 11 2 3 4 2" xfId="390"/>
    <cellStyle name="Normal 11 2 3 4 2 2" xfId="391"/>
    <cellStyle name="Normal 11 2 3 4 3" xfId="392"/>
    <cellStyle name="Normal 11 2 3 5" xfId="393"/>
    <cellStyle name="Normal 11 2 3 5 2" xfId="394"/>
    <cellStyle name="Normal 11 2 3 6" xfId="395"/>
    <cellStyle name="Normal 11 2 4" xfId="396"/>
    <cellStyle name="Normal 11 2 4 2" xfId="397"/>
    <cellStyle name="Normal 11 2 4 2 2" xfId="398"/>
    <cellStyle name="Normal 11 2 4 2 2 2" xfId="399"/>
    <cellStyle name="Normal 11 2 4 2 2 2 2" xfId="400"/>
    <cellStyle name="Normal 11 2 4 2 2 3" xfId="401"/>
    <cellStyle name="Normal 11 2 4 2 3" xfId="402"/>
    <cellStyle name="Normal 11 2 4 2 3 2" xfId="403"/>
    <cellStyle name="Normal 11 2 4 2 4" xfId="404"/>
    <cellStyle name="Normal 11 2 4 3" xfId="405"/>
    <cellStyle name="Normal 11 2 4 3 2" xfId="406"/>
    <cellStyle name="Normal 11 2 4 3 2 2" xfId="407"/>
    <cellStyle name="Normal 11 2 4 3 3" xfId="408"/>
    <cellStyle name="Normal 11 2 4 4" xfId="409"/>
    <cellStyle name="Normal 11 2 4 4 2" xfId="410"/>
    <cellStyle name="Normal 11 2 4 5" xfId="411"/>
    <cellStyle name="Normal 11 2 5" xfId="412"/>
    <cellStyle name="Normal 11 2 5 2" xfId="413"/>
    <cellStyle name="Normal 11 2 5 2 2" xfId="414"/>
    <cellStyle name="Normal 11 2 5 2 2 2" xfId="415"/>
    <cellStyle name="Normal 11 2 5 2 3" xfId="416"/>
    <cellStyle name="Normal 11 2 5 3" xfId="417"/>
    <cellStyle name="Normal 11 2 5 3 2" xfId="418"/>
    <cellStyle name="Normal 11 2 5 4" xfId="419"/>
    <cellStyle name="Normal 11 2 6" xfId="420"/>
    <cellStyle name="Normal 11 2 6 2" xfId="421"/>
    <cellStyle name="Normal 11 2 6 2 2" xfId="422"/>
    <cellStyle name="Normal 11 2 6 3" xfId="423"/>
    <cellStyle name="Normal 11 2 7" xfId="424"/>
    <cellStyle name="Normal 11 2 7 2" xfId="425"/>
    <cellStyle name="Normal 11 2 8" xfId="426"/>
    <cellStyle name="Normal 11 3" xfId="427"/>
    <cellStyle name="Normal 11 3 2" xfId="428"/>
    <cellStyle name="Normal 11 3 2 2" xfId="429"/>
    <cellStyle name="Normal 11 3 2 2 2" xfId="430"/>
    <cellStyle name="Normal 11 3 2 2 2 2" xfId="431"/>
    <cellStyle name="Normal 11 3 2 2 2 2 2" xfId="432"/>
    <cellStyle name="Normal 11 3 2 2 2 2 2 2" xfId="433"/>
    <cellStyle name="Normal 11 3 2 2 2 2 3" xfId="434"/>
    <cellStyle name="Normal 11 3 2 2 2 3" xfId="435"/>
    <cellStyle name="Normal 11 3 2 2 2 3 2" xfId="436"/>
    <cellStyle name="Normal 11 3 2 2 2 4" xfId="437"/>
    <cellStyle name="Normal 11 3 2 2 3" xfId="438"/>
    <cellStyle name="Normal 11 3 2 2 3 2" xfId="439"/>
    <cellStyle name="Normal 11 3 2 2 3 2 2" xfId="440"/>
    <cellStyle name="Normal 11 3 2 2 3 3" xfId="441"/>
    <cellStyle name="Normal 11 3 2 2 4" xfId="442"/>
    <cellStyle name="Normal 11 3 2 2 4 2" xfId="443"/>
    <cellStyle name="Normal 11 3 2 2 5" xfId="444"/>
    <cellStyle name="Normal 11 3 2 3" xfId="445"/>
    <cellStyle name="Normal 11 3 2 3 2" xfId="446"/>
    <cellStyle name="Normal 11 3 2 3 2 2" xfId="447"/>
    <cellStyle name="Normal 11 3 2 3 2 2 2" xfId="448"/>
    <cellStyle name="Normal 11 3 2 3 2 3" xfId="449"/>
    <cellStyle name="Normal 11 3 2 3 3" xfId="450"/>
    <cellStyle name="Normal 11 3 2 3 3 2" xfId="451"/>
    <cellStyle name="Normal 11 3 2 3 4" xfId="452"/>
    <cellStyle name="Normal 11 3 2 4" xfId="453"/>
    <cellStyle name="Normal 11 3 2 4 2" xfId="454"/>
    <cellStyle name="Normal 11 3 2 4 2 2" xfId="455"/>
    <cellStyle name="Normal 11 3 2 4 3" xfId="456"/>
    <cellStyle name="Normal 11 3 2 5" xfId="457"/>
    <cellStyle name="Normal 11 3 2 5 2" xfId="458"/>
    <cellStyle name="Normal 11 3 2 6" xfId="459"/>
    <cellStyle name="Normal 11 3 3" xfId="460"/>
    <cellStyle name="Normal 11 3 3 2" xfId="461"/>
    <cellStyle name="Normal 11 3 3 2 2" xfId="462"/>
    <cellStyle name="Normal 11 3 3 2 2 2" xfId="463"/>
    <cellStyle name="Normal 11 3 3 2 2 2 2" xfId="464"/>
    <cellStyle name="Normal 11 3 3 2 2 3" xfId="465"/>
    <cellStyle name="Normal 11 3 3 2 3" xfId="466"/>
    <cellStyle name="Normal 11 3 3 2 3 2" xfId="467"/>
    <cellStyle name="Normal 11 3 3 2 4" xfId="468"/>
    <cellStyle name="Normal 11 3 3 3" xfId="469"/>
    <cellStyle name="Normal 11 3 3 3 2" xfId="470"/>
    <cellStyle name="Normal 11 3 3 3 2 2" xfId="471"/>
    <cellStyle name="Normal 11 3 3 3 3" xfId="472"/>
    <cellStyle name="Normal 11 3 3 4" xfId="473"/>
    <cellStyle name="Normal 11 3 3 4 2" xfId="474"/>
    <cellStyle name="Normal 11 3 3 5" xfId="475"/>
    <cellStyle name="Normal 11 3 4" xfId="476"/>
    <cellStyle name="Normal 11 3 4 2" xfId="477"/>
    <cellStyle name="Normal 11 3 4 2 2" xfId="478"/>
    <cellStyle name="Normal 11 3 4 2 2 2" xfId="479"/>
    <cellStyle name="Normal 11 3 4 2 3" xfId="480"/>
    <cellStyle name="Normal 11 3 4 3" xfId="481"/>
    <cellStyle name="Normal 11 3 4 3 2" xfId="482"/>
    <cellStyle name="Normal 11 3 4 4" xfId="483"/>
    <cellStyle name="Normal 11 3 5" xfId="484"/>
    <cellStyle name="Normal 11 3 5 2" xfId="485"/>
    <cellStyle name="Normal 11 3 5 2 2" xfId="486"/>
    <cellStyle name="Normal 11 3 5 3" xfId="487"/>
    <cellStyle name="Normal 11 3 6" xfId="488"/>
    <cellStyle name="Normal 11 3 6 2" xfId="489"/>
    <cellStyle name="Normal 11 3 7" xfId="490"/>
    <cellStyle name="Normal 11 4" xfId="491"/>
    <cellStyle name="Normal 11 4 2" xfId="492"/>
    <cellStyle name="Normal 11 4 2 2" xfId="493"/>
    <cellStyle name="Normal 11 4 2 2 2" xfId="494"/>
    <cellStyle name="Normal 11 4 2 2 2 2" xfId="495"/>
    <cellStyle name="Normal 11 4 2 2 2 2 2" xfId="496"/>
    <cellStyle name="Normal 11 4 2 2 2 3" xfId="497"/>
    <cellStyle name="Normal 11 4 2 2 3" xfId="498"/>
    <cellStyle name="Normal 11 4 2 2 3 2" xfId="499"/>
    <cellStyle name="Normal 11 4 2 2 4" xfId="500"/>
    <cellStyle name="Normal 11 4 2 3" xfId="501"/>
    <cellStyle name="Normal 11 4 2 3 2" xfId="502"/>
    <cellStyle name="Normal 11 4 2 3 2 2" xfId="503"/>
    <cellStyle name="Normal 11 4 2 3 3" xfId="504"/>
    <cellStyle name="Normal 11 4 2 4" xfId="505"/>
    <cellStyle name="Normal 11 4 2 4 2" xfId="506"/>
    <cellStyle name="Normal 11 4 2 5" xfId="507"/>
    <cellStyle name="Normal 11 4 3" xfId="508"/>
    <cellStyle name="Normal 11 4 3 2" xfId="509"/>
    <cellStyle name="Normal 11 4 3 2 2" xfId="510"/>
    <cellStyle name="Normal 11 4 3 2 2 2" xfId="511"/>
    <cellStyle name="Normal 11 4 3 2 3" xfId="512"/>
    <cellStyle name="Normal 11 4 3 3" xfId="513"/>
    <cellStyle name="Normal 11 4 3 3 2" xfId="514"/>
    <cellStyle name="Normal 11 4 3 4" xfId="515"/>
    <cellStyle name="Normal 11 4 4" xfId="516"/>
    <cellStyle name="Normal 11 4 4 2" xfId="517"/>
    <cellStyle name="Normal 11 4 4 2 2" xfId="518"/>
    <cellStyle name="Normal 11 4 4 3" xfId="519"/>
    <cellStyle name="Normal 11 4 5" xfId="520"/>
    <cellStyle name="Normal 11 4 5 2" xfId="521"/>
    <cellStyle name="Normal 11 4 6" xfId="522"/>
    <cellStyle name="Normal 11 5" xfId="523"/>
    <cellStyle name="Normal 11 5 2" xfId="524"/>
    <cellStyle name="Normal 11 5 2 2" xfId="525"/>
    <cellStyle name="Normal 11 5 2 2 2" xfId="526"/>
    <cellStyle name="Normal 11 5 2 2 2 2" xfId="527"/>
    <cellStyle name="Normal 11 5 2 2 3" xfId="528"/>
    <cellStyle name="Normal 11 5 2 3" xfId="529"/>
    <cellStyle name="Normal 11 5 2 3 2" xfId="530"/>
    <cellStyle name="Normal 11 5 2 4" xfId="531"/>
    <cellStyle name="Normal 11 5 3" xfId="532"/>
    <cellStyle name="Normal 11 5 3 2" xfId="533"/>
    <cellStyle name="Normal 11 5 3 2 2" xfId="534"/>
    <cellStyle name="Normal 11 5 3 3" xfId="535"/>
    <cellStyle name="Normal 11 5 4" xfId="536"/>
    <cellStyle name="Normal 11 5 4 2" xfId="537"/>
    <cellStyle name="Normal 11 5 5" xfId="538"/>
    <cellStyle name="Normal 11 6" xfId="539"/>
    <cellStyle name="Normal 11 6 2" xfId="540"/>
    <cellStyle name="Normal 11 6 2 2" xfId="541"/>
    <cellStyle name="Normal 11 6 2 2 2" xfId="542"/>
    <cellStyle name="Normal 11 6 2 3" xfId="543"/>
    <cellStyle name="Normal 11 6 3" xfId="544"/>
    <cellStyle name="Normal 11 6 3 2" xfId="545"/>
    <cellStyle name="Normal 11 6 4" xfId="546"/>
    <cellStyle name="Normal 11 7" xfId="547"/>
    <cellStyle name="Normal 11 7 2" xfId="548"/>
    <cellStyle name="Normal 11 7 2 2" xfId="549"/>
    <cellStyle name="Normal 11 7 3" xfId="550"/>
    <cellStyle name="Normal 11 8" xfId="551"/>
    <cellStyle name="Normal 11 8 2" xfId="552"/>
    <cellStyle name="Normal 11 9" xfId="553"/>
    <cellStyle name="Normal 11_II-I-1 TRAN" xfId="8587"/>
    <cellStyle name="Normal 110" xfId="8588"/>
    <cellStyle name="Normal 111" xfId="8589"/>
    <cellStyle name="Normal 112" xfId="8590"/>
    <cellStyle name="Normal 113" xfId="8591"/>
    <cellStyle name="Normal 114" xfId="8592"/>
    <cellStyle name="Normal 115" xfId="8593"/>
    <cellStyle name="Normal 116" xfId="8594"/>
    <cellStyle name="Normal 117" xfId="8595"/>
    <cellStyle name="Normal 118" xfId="8596"/>
    <cellStyle name="Normal 119" xfId="8597"/>
    <cellStyle name="Normal 12" xfId="554"/>
    <cellStyle name="Normal 12 2" xfId="555"/>
    <cellStyle name="Normal 12 2 2" xfId="556"/>
    <cellStyle name="Normal 12 2 2 2" xfId="557"/>
    <cellStyle name="Normal 12 2 2 2 2" xfId="558"/>
    <cellStyle name="Normal 12 2 2 2 2 2" xfId="559"/>
    <cellStyle name="Normal 12 2 2 2 2 2 2" xfId="560"/>
    <cellStyle name="Normal 12 2 2 2 2 2 2 2" xfId="561"/>
    <cellStyle name="Normal 12 2 2 2 2 2 3" xfId="562"/>
    <cellStyle name="Normal 12 2 2 2 2 3" xfId="563"/>
    <cellStyle name="Normal 12 2 2 2 2 3 2" xfId="564"/>
    <cellStyle name="Normal 12 2 2 2 2 4" xfId="565"/>
    <cellStyle name="Normal 12 2 2 2 3" xfId="566"/>
    <cellStyle name="Normal 12 2 2 2 3 2" xfId="567"/>
    <cellStyle name="Normal 12 2 2 2 3 2 2" xfId="568"/>
    <cellStyle name="Normal 12 2 2 2 3 3" xfId="569"/>
    <cellStyle name="Normal 12 2 2 2 4" xfId="570"/>
    <cellStyle name="Normal 12 2 2 2 4 2" xfId="571"/>
    <cellStyle name="Normal 12 2 2 2 5" xfId="572"/>
    <cellStyle name="Normal 12 2 2 3" xfId="573"/>
    <cellStyle name="Normal 12 2 2 3 2" xfId="574"/>
    <cellStyle name="Normal 12 2 2 3 2 2" xfId="575"/>
    <cellStyle name="Normal 12 2 2 3 2 2 2" xfId="576"/>
    <cellStyle name="Normal 12 2 2 3 2 3" xfId="577"/>
    <cellStyle name="Normal 12 2 2 3 3" xfId="578"/>
    <cellStyle name="Normal 12 2 2 3 3 2" xfId="579"/>
    <cellStyle name="Normal 12 2 2 3 4" xfId="580"/>
    <cellStyle name="Normal 12 2 2 4" xfId="581"/>
    <cellStyle name="Normal 12 2 2 4 2" xfId="582"/>
    <cellStyle name="Normal 12 2 2 4 2 2" xfId="583"/>
    <cellStyle name="Normal 12 2 2 4 3" xfId="584"/>
    <cellStyle name="Normal 12 2 2 5" xfId="585"/>
    <cellStyle name="Normal 12 2 2 5 2" xfId="586"/>
    <cellStyle name="Normal 12 2 2 6" xfId="587"/>
    <cellStyle name="Normal 12 2 3" xfId="588"/>
    <cellStyle name="Normal 12 2 3 2" xfId="589"/>
    <cellStyle name="Normal 12 2 3 2 2" xfId="590"/>
    <cellStyle name="Normal 12 2 3 2 2 2" xfId="591"/>
    <cellStyle name="Normal 12 2 3 2 2 2 2" xfId="592"/>
    <cellStyle name="Normal 12 2 3 2 2 3" xfId="593"/>
    <cellStyle name="Normal 12 2 3 2 3" xfId="594"/>
    <cellStyle name="Normal 12 2 3 2 3 2" xfId="595"/>
    <cellStyle name="Normal 12 2 3 2 4" xfId="596"/>
    <cellStyle name="Normal 12 2 3 3" xfId="597"/>
    <cellStyle name="Normal 12 2 3 3 2" xfId="598"/>
    <cellStyle name="Normal 12 2 3 3 2 2" xfId="599"/>
    <cellStyle name="Normal 12 2 3 3 3" xfId="600"/>
    <cellStyle name="Normal 12 2 3 4" xfId="601"/>
    <cellStyle name="Normal 12 2 3 4 2" xfId="602"/>
    <cellStyle name="Normal 12 2 3 5" xfId="603"/>
    <cellStyle name="Normal 12 2 4" xfId="604"/>
    <cellStyle name="Normal 12 2 4 2" xfId="605"/>
    <cellStyle name="Normal 12 2 4 2 2" xfId="606"/>
    <cellStyle name="Normal 12 2 4 2 2 2" xfId="607"/>
    <cellStyle name="Normal 12 2 4 2 3" xfId="608"/>
    <cellStyle name="Normal 12 2 4 3" xfId="609"/>
    <cellStyle name="Normal 12 2 4 3 2" xfId="610"/>
    <cellStyle name="Normal 12 2 4 4" xfId="611"/>
    <cellStyle name="Normal 12 2 5" xfId="612"/>
    <cellStyle name="Normal 12 2 5 2" xfId="613"/>
    <cellStyle name="Normal 12 2 5 2 2" xfId="614"/>
    <cellStyle name="Normal 12 2 5 3" xfId="615"/>
    <cellStyle name="Normal 12 2 6" xfId="616"/>
    <cellStyle name="Normal 12 2 6 2" xfId="617"/>
    <cellStyle name="Normal 12 2 7" xfId="618"/>
    <cellStyle name="Normal 12 3" xfId="619"/>
    <cellStyle name="Normal 12 3 2" xfId="620"/>
    <cellStyle name="Normal 12 3 2 2" xfId="621"/>
    <cellStyle name="Normal 12 3 2 2 2" xfId="622"/>
    <cellStyle name="Normal 12 3 2 2 2 2" xfId="623"/>
    <cellStyle name="Normal 12 3 2 2 2 2 2" xfId="624"/>
    <cellStyle name="Normal 12 3 2 2 2 3" xfId="625"/>
    <cellStyle name="Normal 12 3 2 2 3" xfId="626"/>
    <cellStyle name="Normal 12 3 2 2 3 2" xfId="627"/>
    <cellStyle name="Normal 12 3 2 2 4" xfId="628"/>
    <cellStyle name="Normal 12 3 2 3" xfId="629"/>
    <cellStyle name="Normal 12 3 2 3 2" xfId="630"/>
    <cellStyle name="Normal 12 3 2 3 2 2" xfId="631"/>
    <cellStyle name="Normal 12 3 2 3 3" xfId="632"/>
    <cellStyle name="Normal 12 3 2 4" xfId="633"/>
    <cellStyle name="Normal 12 3 2 4 2" xfId="634"/>
    <cellStyle name="Normal 12 3 2 5" xfId="635"/>
    <cellStyle name="Normal 12 3 3" xfId="636"/>
    <cellStyle name="Normal 12 3 3 2" xfId="637"/>
    <cellStyle name="Normal 12 3 3 2 2" xfId="638"/>
    <cellStyle name="Normal 12 3 3 2 2 2" xfId="639"/>
    <cellStyle name="Normal 12 3 3 2 3" xfId="640"/>
    <cellStyle name="Normal 12 3 3 3" xfId="641"/>
    <cellStyle name="Normal 12 3 3 3 2" xfId="642"/>
    <cellStyle name="Normal 12 3 3 4" xfId="643"/>
    <cellStyle name="Normal 12 3 4" xfId="644"/>
    <cellStyle name="Normal 12 3 4 2" xfId="645"/>
    <cellStyle name="Normal 12 3 4 2 2" xfId="646"/>
    <cellStyle name="Normal 12 3 4 3" xfId="647"/>
    <cellStyle name="Normal 12 3 5" xfId="648"/>
    <cellStyle name="Normal 12 3 5 2" xfId="649"/>
    <cellStyle name="Normal 12 3 6" xfId="650"/>
    <cellStyle name="Normal 12 4" xfId="651"/>
    <cellStyle name="Normal 12 4 2" xfId="652"/>
    <cellStyle name="Normal 12 4 2 2" xfId="653"/>
    <cellStyle name="Normal 12 4 2 2 2" xfId="654"/>
    <cellStyle name="Normal 12 4 2 2 2 2" xfId="655"/>
    <cellStyle name="Normal 12 4 2 2 3" xfId="656"/>
    <cellStyle name="Normal 12 4 2 3" xfId="657"/>
    <cellStyle name="Normal 12 4 2 3 2" xfId="658"/>
    <cellStyle name="Normal 12 4 2 4" xfId="659"/>
    <cellStyle name="Normal 12 4 3" xfId="660"/>
    <cellStyle name="Normal 12 4 3 2" xfId="661"/>
    <cellStyle name="Normal 12 4 3 2 2" xfId="662"/>
    <cellStyle name="Normal 12 4 3 3" xfId="663"/>
    <cellStyle name="Normal 12 4 4" xfId="664"/>
    <cellStyle name="Normal 12 4 4 2" xfId="665"/>
    <cellStyle name="Normal 12 4 5" xfId="666"/>
    <cellStyle name="Normal 12 5" xfId="667"/>
    <cellStyle name="Normal 12 5 2" xfId="668"/>
    <cellStyle name="Normal 12 5 2 2" xfId="669"/>
    <cellStyle name="Normal 12 5 2 2 2" xfId="670"/>
    <cellStyle name="Normal 12 5 2 3" xfId="671"/>
    <cellStyle name="Normal 12 5 3" xfId="672"/>
    <cellStyle name="Normal 12 5 3 2" xfId="673"/>
    <cellStyle name="Normal 12 5 4" xfId="674"/>
    <cellStyle name="Normal 12 6" xfId="675"/>
    <cellStyle name="Normal 12 6 2" xfId="676"/>
    <cellStyle name="Normal 12 6 2 2" xfId="677"/>
    <cellStyle name="Normal 12 6 3" xfId="678"/>
    <cellStyle name="Normal 12 7" xfId="679"/>
    <cellStyle name="Normal 12 7 2" xfId="680"/>
    <cellStyle name="Normal 12 8" xfId="681"/>
    <cellStyle name="Normal 12_COST OF SERVICE" xfId="8598"/>
    <cellStyle name="Normal 120" xfId="8599"/>
    <cellStyle name="Normal 121" xfId="8600"/>
    <cellStyle name="Normal 122" xfId="8601"/>
    <cellStyle name="Normal 123" xfId="8602"/>
    <cellStyle name="Normal 124" xfId="8603"/>
    <cellStyle name="Normal 125" xfId="8604"/>
    <cellStyle name="Normal 126" xfId="8605"/>
    <cellStyle name="Normal 127" xfId="8606"/>
    <cellStyle name="Normal 128" xfId="8607"/>
    <cellStyle name="Normal 129" xfId="8608"/>
    <cellStyle name="Normal 13" xfId="682"/>
    <cellStyle name="Normal 13 10" xfId="8609"/>
    <cellStyle name="Normal 13 10 2" xfId="8610"/>
    <cellStyle name="Normal 13 11" xfId="8611"/>
    <cellStyle name="Normal 13 12" xfId="8612"/>
    <cellStyle name="Normal 13 13" xfId="8613"/>
    <cellStyle name="Normal 13 14" xfId="8614"/>
    <cellStyle name="Normal 13 15" xfId="8615"/>
    <cellStyle name="Normal 13 16" xfId="8616"/>
    <cellStyle name="Normal 13 2" xfId="8617"/>
    <cellStyle name="Normal 13 2 10" xfId="8618"/>
    <cellStyle name="Normal 13 2 11" xfId="8619"/>
    <cellStyle name="Normal 13 2 12" xfId="8620"/>
    <cellStyle name="Normal 13 2 13" xfId="8621"/>
    <cellStyle name="Normal 13 2 14" xfId="8622"/>
    <cellStyle name="Normal 13 2 15" xfId="8623"/>
    <cellStyle name="Normal 13 2 2" xfId="8624"/>
    <cellStyle name="Normal 13 2 2 10" xfId="8625"/>
    <cellStyle name="Normal 13 2 2 11" xfId="8626"/>
    <cellStyle name="Normal 13 2 2 12" xfId="8627"/>
    <cellStyle name="Normal 13 2 2 13" xfId="8628"/>
    <cellStyle name="Normal 13 2 2 14" xfId="8629"/>
    <cellStyle name="Normal 13 2 2 2" xfId="8630"/>
    <cellStyle name="Normal 13 2 2 2 10" xfId="8631"/>
    <cellStyle name="Normal 13 2 2 2 11" xfId="8632"/>
    <cellStyle name="Normal 13 2 2 2 12" xfId="8633"/>
    <cellStyle name="Normal 13 2 2 2 13" xfId="8634"/>
    <cellStyle name="Normal 13 2 2 2 2" xfId="8635"/>
    <cellStyle name="Normal 13 2 2 2 2 10" xfId="8636"/>
    <cellStyle name="Normal 13 2 2 2 2 11" xfId="8637"/>
    <cellStyle name="Normal 13 2 2 2 2 12" xfId="8638"/>
    <cellStyle name="Normal 13 2 2 2 2 2" xfId="8639"/>
    <cellStyle name="Normal 13 2 2 2 2 2 2" xfId="8640"/>
    <cellStyle name="Normal 13 2 2 2 2 2 2 2" xfId="8641"/>
    <cellStyle name="Normal 13 2 2 2 2 2 2 3" xfId="8642"/>
    <cellStyle name="Normal 13 2 2 2 2 2 3" xfId="8643"/>
    <cellStyle name="Normal 13 2 2 2 2 2 3 2" xfId="8644"/>
    <cellStyle name="Normal 13 2 2 2 2 2 4" xfId="8645"/>
    <cellStyle name="Normal 13 2 2 2 2 2 5" xfId="8646"/>
    <cellStyle name="Normal 13 2 2 2 2 2 6" xfId="8647"/>
    <cellStyle name="Normal 13 2 2 2 2 2 7" xfId="8648"/>
    <cellStyle name="Normal 13 2 2 2 2 2 8" xfId="8649"/>
    <cellStyle name="Normal 13 2 2 2 2 3" xfId="8650"/>
    <cellStyle name="Normal 13 2 2 2 2 3 2" xfId="8651"/>
    <cellStyle name="Normal 13 2 2 2 2 3 2 2" xfId="8652"/>
    <cellStyle name="Normal 13 2 2 2 2 3 3" xfId="8653"/>
    <cellStyle name="Normal 13 2 2 2 2 3 4" xfId="8654"/>
    <cellStyle name="Normal 13 2 2 2 2 4" xfId="8655"/>
    <cellStyle name="Normal 13 2 2 2 2 4 2" xfId="8656"/>
    <cellStyle name="Normal 13 2 2 2 2 5" xfId="8657"/>
    <cellStyle name="Normal 13 2 2 2 2 5 2" xfId="8658"/>
    <cellStyle name="Normal 13 2 2 2 2 6" xfId="8659"/>
    <cellStyle name="Normal 13 2 2 2 2 6 2" xfId="8660"/>
    <cellStyle name="Normal 13 2 2 2 2 7" xfId="8661"/>
    <cellStyle name="Normal 13 2 2 2 2 8" xfId="8662"/>
    <cellStyle name="Normal 13 2 2 2 2 9" xfId="8663"/>
    <cellStyle name="Normal 13 2 2 2 3" xfId="8664"/>
    <cellStyle name="Normal 13 2 2 2 3 2" xfId="8665"/>
    <cellStyle name="Normal 13 2 2 2 3 2 2" xfId="8666"/>
    <cellStyle name="Normal 13 2 2 2 3 2 3" xfId="8667"/>
    <cellStyle name="Normal 13 2 2 2 3 3" xfId="8668"/>
    <cellStyle name="Normal 13 2 2 2 3 3 2" xfId="8669"/>
    <cellStyle name="Normal 13 2 2 2 3 4" xfId="8670"/>
    <cellStyle name="Normal 13 2 2 2 3 5" xfId="8671"/>
    <cellStyle name="Normal 13 2 2 2 3 6" xfId="8672"/>
    <cellStyle name="Normal 13 2 2 2 3 7" xfId="8673"/>
    <cellStyle name="Normal 13 2 2 2 3 8" xfId="8674"/>
    <cellStyle name="Normal 13 2 2 2 4" xfId="8675"/>
    <cellStyle name="Normal 13 2 2 2 4 2" xfId="8676"/>
    <cellStyle name="Normal 13 2 2 2 4 2 2" xfId="8677"/>
    <cellStyle name="Normal 13 2 2 2 4 3" xfId="8678"/>
    <cellStyle name="Normal 13 2 2 2 4 4" xfId="8679"/>
    <cellStyle name="Normal 13 2 2 2 5" xfId="8680"/>
    <cellStyle name="Normal 13 2 2 2 5 2" xfId="8681"/>
    <cellStyle name="Normal 13 2 2 2 6" xfId="8682"/>
    <cellStyle name="Normal 13 2 2 2 6 2" xfId="8683"/>
    <cellStyle name="Normal 13 2 2 2 7" xfId="8684"/>
    <cellStyle name="Normal 13 2 2 2 7 2" xfId="8685"/>
    <cellStyle name="Normal 13 2 2 2 8" xfId="8686"/>
    <cellStyle name="Normal 13 2 2 2 9" xfId="8687"/>
    <cellStyle name="Normal 13 2 2 3" xfId="8688"/>
    <cellStyle name="Normal 13 2 2 3 10" xfId="8689"/>
    <cellStyle name="Normal 13 2 2 3 11" xfId="8690"/>
    <cellStyle name="Normal 13 2 2 3 12" xfId="8691"/>
    <cellStyle name="Normal 13 2 2 3 2" xfId="8692"/>
    <cellStyle name="Normal 13 2 2 3 2 2" xfId="8693"/>
    <cellStyle name="Normal 13 2 2 3 2 2 2" xfId="8694"/>
    <cellStyle name="Normal 13 2 2 3 2 2 3" xfId="8695"/>
    <cellStyle name="Normal 13 2 2 3 2 3" xfId="8696"/>
    <cellStyle name="Normal 13 2 2 3 2 3 2" xfId="8697"/>
    <cellStyle name="Normal 13 2 2 3 2 4" xfId="8698"/>
    <cellStyle name="Normal 13 2 2 3 2 5" xfId="8699"/>
    <cellStyle name="Normal 13 2 2 3 2 6" xfId="8700"/>
    <cellStyle name="Normal 13 2 2 3 2 7" xfId="8701"/>
    <cellStyle name="Normal 13 2 2 3 2 8" xfId="8702"/>
    <cellStyle name="Normal 13 2 2 3 3" xfId="8703"/>
    <cellStyle name="Normal 13 2 2 3 3 2" xfId="8704"/>
    <cellStyle name="Normal 13 2 2 3 3 2 2" xfId="8705"/>
    <cellStyle name="Normal 13 2 2 3 3 3" xfId="8706"/>
    <cellStyle name="Normal 13 2 2 3 3 4" xfId="8707"/>
    <cellStyle name="Normal 13 2 2 3 4" xfId="8708"/>
    <cellStyle name="Normal 13 2 2 3 4 2" xfId="8709"/>
    <cellStyle name="Normal 13 2 2 3 5" xfId="8710"/>
    <cellStyle name="Normal 13 2 2 3 5 2" xfId="8711"/>
    <cellStyle name="Normal 13 2 2 3 6" xfId="8712"/>
    <cellStyle name="Normal 13 2 2 3 6 2" xfId="8713"/>
    <cellStyle name="Normal 13 2 2 3 7" xfId="8714"/>
    <cellStyle name="Normal 13 2 2 3 8" xfId="8715"/>
    <cellStyle name="Normal 13 2 2 3 9" xfId="8716"/>
    <cellStyle name="Normal 13 2 2 4" xfId="8717"/>
    <cellStyle name="Normal 13 2 2 4 2" xfId="8718"/>
    <cellStyle name="Normal 13 2 2 4 2 2" xfId="8719"/>
    <cellStyle name="Normal 13 2 2 4 2 3" xfId="8720"/>
    <cellStyle name="Normal 13 2 2 4 3" xfId="8721"/>
    <cellStyle name="Normal 13 2 2 4 3 2" xfId="8722"/>
    <cellStyle name="Normal 13 2 2 4 4" xfId="8723"/>
    <cellStyle name="Normal 13 2 2 4 5" xfId="8724"/>
    <cellStyle name="Normal 13 2 2 4 6" xfId="8725"/>
    <cellStyle name="Normal 13 2 2 4 7" xfId="8726"/>
    <cellStyle name="Normal 13 2 2 4 8" xfId="8727"/>
    <cellStyle name="Normal 13 2 2 4 9" xfId="8728"/>
    <cellStyle name="Normal 13 2 2 5" xfId="8729"/>
    <cellStyle name="Normal 13 2 2 5 2" xfId="8730"/>
    <cellStyle name="Normal 13 2 2 5 2 2" xfId="8731"/>
    <cellStyle name="Normal 13 2 2 5 3" xfId="8732"/>
    <cellStyle name="Normal 13 2 2 5 4" xfId="8733"/>
    <cellStyle name="Normal 13 2 2 6" xfId="8734"/>
    <cellStyle name="Normal 13 2 2 6 2" xfId="8735"/>
    <cellStyle name="Normal 13 2 2 7" xfId="8736"/>
    <cellStyle name="Normal 13 2 2 7 2" xfId="8737"/>
    <cellStyle name="Normal 13 2 2 8" xfId="8738"/>
    <cellStyle name="Normal 13 2 2 8 2" xfId="8739"/>
    <cellStyle name="Normal 13 2 2 9" xfId="8740"/>
    <cellStyle name="Normal 13 2 3" xfId="8741"/>
    <cellStyle name="Normal 13 2 3 10" xfId="8742"/>
    <cellStyle name="Normal 13 2 3 11" xfId="8743"/>
    <cellStyle name="Normal 13 2 3 12" xfId="8744"/>
    <cellStyle name="Normal 13 2 3 13" xfId="8745"/>
    <cellStyle name="Normal 13 2 3 2" xfId="8746"/>
    <cellStyle name="Normal 13 2 3 2 10" xfId="8747"/>
    <cellStyle name="Normal 13 2 3 2 11" xfId="8748"/>
    <cellStyle name="Normal 13 2 3 2 12" xfId="8749"/>
    <cellStyle name="Normal 13 2 3 2 2" xfId="8750"/>
    <cellStyle name="Normal 13 2 3 2 2 2" xfId="8751"/>
    <cellStyle name="Normal 13 2 3 2 2 2 2" xfId="8752"/>
    <cellStyle name="Normal 13 2 3 2 2 2 3" xfId="8753"/>
    <cellStyle name="Normal 13 2 3 2 2 3" xfId="8754"/>
    <cellStyle name="Normal 13 2 3 2 2 3 2" xfId="8755"/>
    <cellStyle name="Normal 13 2 3 2 2 4" xfId="8756"/>
    <cellStyle name="Normal 13 2 3 2 2 5" xfId="8757"/>
    <cellStyle name="Normal 13 2 3 2 2 6" xfId="8758"/>
    <cellStyle name="Normal 13 2 3 2 2 7" xfId="8759"/>
    <cellStyle name="Normal 13 2 3 2 2 8" xfId="8760"/>
    <cellStyle name="Normal 13 2 3 2 3" xfId="8761"/>
    <cellStyle name="Normal 13 2 3 2 3 2" xfId="8762"/>
    <cellStyle name="Normal 13 2 3 2 3 2 2" xfId="8763"/>
    <cellStyle name="Normal 13 2 3 2 3 3" xfId="8764"/>
    <cellStyle name="Normal 13 2 3 2 3 4" xfId="8765"/>
    <cellStyle name="Normal 13 2 3 2 4" xfId="8766"/>
    <cellStyle name="Normal 13 2 3 2 4 2" xfId="8767"/>
    <cellStyle name="Normal 13 2 3 2 5" xfId="8768"/>
    <cellStyle name="Normal 13 2 3 2 5 2" xfId="8769"/>
    <cellStyle name="Normal 13 2 3 2 6" xfId="8770"/>
    <cellStyle name="Normal 13 2 3 2 6 2" xfId="8771"/>
    <cellStyle name="Normal 13 2 3 2 7" xfId="8772"/>
    <cellStyle name="Normal 13 2 3 2 8" xfId="8773"/>
    <cellStyle name="Normal 13 2 3 2 9" xfId="8774"/>
    <cellStyle name="Normal 13 2 3 3" xfId="8775"/>
    <cellStyle name="Normal 13 2 3 3 2" xfId="8776"/>
    <cellStyle name="Normal 13 2 3 3 2 2" xfId="8777"/>
    <cellStyle name="Normal 13 2 3 3 2 3" xfId="8778"/>
    <cellStyle name="Normal 13 2 3 3 3" xfId="8779"/>
    <cellStyle name="Normal 13 2 3 3 3 2" xfId="8780"/>
    <cellStyle name="Normal 13 2 3 3 4" xfId="8781"/>
    <cellStyle name="Normal 13 2 3 3 5" xfId="8782"/>
    <cellStyle name="Normal 13 2 3 3 6" xfId="8783"/>
    <cellStyle name="Normal 13 2 3 3 7" xfId="8784"/>
    <cellStyle name="Normal 13 2 3 3 8" xfId="8785"/>
    <cellStyle name="Normal 13 2 3 4" xfId="8786"/>
    <cellStyle name="Normal 13 2 3 4 2" xfId="8787"/>
    <cellStyle name="Normal 13 2 3 4 2 2" xfId="8788"/>
    <cellStyle name="Normal 13 2 3 4 3" xfId="8789"/>
    <cellStyle name="Normal 13 2 3 4 4" xfId="8790"/>
    <cellStyle name="Normal 13 2 3 5" xfId="8791"/>
    <cellStyle name="Normal 13 2 3 5 2" xfId="8792"/>
    <cellStyle name="Normal 13 2 3 6" xfId="8793"/>
    <cellStyle name="Normal 13 2 3 6 2" xfId="8794"/>
    <cellStyle name="Normal 13 2 3 7" xfId="8795"/>
    <cellStyle name="Normal 13 2 3 7 2" xfId="8796"/>
    <cellStyle name="Normal 13 2 3 8" xfId="8797"/>
    <cellStyle name="Normal 13 2 3 9" xfId="8798"/>
    <cellStyle name="Normal 13 2 4" xfId="8799"/>
    <cellStyle name="Normal 13 2 4 10" xfId="8800"/>
    <cellStyle name="Normal 13 2 4 11" xfId="8801"/>
    <cellStyle name="Normal 13 2 4 12" xfId="8802"/>
    <cellStyle name="Normal 13 2 4 2" xfId="8803"/>
    <cellStyle name="Normal 13 2 4 2 2" xfId="8804"/>
    <cellStyle name="Normal 13 2 4 2 2 2" xfId="8805"/>
    <cellStyle name="Normal 13 2 4 2 2 3" xfId="8806"/>
    <cellStyle name="Normal 13 2 4 2 3" xfId="8807"/>
    <cellStyle name="Normal 13 2 4 2 3 2" xfId="8808"/>
    <cellStyle name="Normal 13 2 4 2 4" xfId="8809"/>
    <cellStyle name="Normal 13 2 4 2 5" xfId="8810"/>
    <cellStyle name="Normal 13 2 4 2 6" xfId="8811"/>
    <cellStyle name="Normal 13 2 4 2 7" xfId="8812"/>
    <cellStyle name="Normal 13 2 4 2 8" xfId="8813"/>
    <cellStyle name="Normal 13 2 4 3" xfId="8814"/>
    <cellStyle name="Normal 13 2 4 3 2" xfId="8815"/>
    <cellStyle name="Normal 13 2 4 3 2 2" xfId="8816"/>
    <cellStyle name="Normal 13 2 4 3 3" xfId="8817"/>
    <cellStyle name="Normal 13 2 4 3 4" xfId="8818"/>
    <cellStyle name="Normal 13 2 4 4" xfId="8819"/>
    <cellStyle name="Normal 13 2 4 4 2" xfId="8820"/>
    <cellStyle name="Normal 13 2 4 5" xfId="8821"/>
    <cellStyle name="Normal 13 2 4 5 2" xfId="8822"/>
    <cellStyle name="Normal 13 2 4 6" xfId="8823"/>
    <cellStyle name="Normal 13 2 4 6 2" xfId="8824"/>
    <cellStyle name="Normal 13 2 4 7" xfId="8825"/>
    <cellStyle name="Normal 13 2 4 8" xfId="8826"/>
    <cellStyle name="Normal 13 2 4 9" xfId="8827"/>
    <cellStyle name="Normal 13 2 5" xfId="8828"/>
    <cellStyle name="Normal 13 2 5 2" xfId="8829"/>
    <cellStyle name="Normal 13 2 5 2 2" xfId="8830"/>
    <cellStyle name="Normal 13 2 5 2 3" xfId="8831"/>
    <cellStyle name="Normal 13 2 5 3" xfId="8832"/>
    <cellStyle name="Normal 13 2 5 3 2" xfId="8833"/>
    <cellStyle name="Normal 13 2 5 4" xfId="8834"/>
    <cellStyle name="Normal 13 2 5 5" xfId="8835"/>
    <cellStyle name="Normal 13 2 5 6" xfId="8836"/>
    <cellStyle name="Normal 13 2 5 7" xfId="8837"/>
    <cellStyle name="Normal 13 2 5 8" xfId="8838"/>
    <cellStyle name="Normal 13 2 6" xfId="8839"/>
    <cellStyle name="Normal 13 2 6 2" xfId="8840"/>
    <cellStyle name="Normal 13 2 6 2 2" xfId="8841"/>
    <cellStyle name="Normal 13 2 6 3" xfId="8842"/>
    <cellStyle name="Normal 13 2 6 4" xfId="8843"/>
    <cellStyle name="Normal 13 2 7" xfId="8844"/>
    <cellStyle name="Normal 13 2 7 2" xfId="8845"/>
    <cellStyle name="Normal 13 2 8" xfId="8846"/>
    <cellStyle name="Normal 13 2 8 2" xfId="8847"/>
    <cellStyle name="Normal 13 2 9" xfId="8848"/>
    <cellStyle name="Normal 13 2 9 2" xfId="8849"/>
    <cellStyle name="Normal 13 3" xfId="8850"/>
    <cellStyle name="Normal 13 3 10" xfId="8851"/>
    <cellStyle name="Normal 13 3 11" xfId="8852"/>
    <cellStyle name="Normal 13 3 12" xfId="8853"/>
    <cellStyle name="Normal 13 3 13" xfId="8854"/>
    <cellStyle name="Normal 13 3 14" xfId="8855"/>
    <cellStyle name="Normal 13 3 2" xfId="8856"/>
    <cellStyle name="Normal 13 3 2 10" xfId="8857"/>
    <cellStyle name="Normal 13 3 2 11" xfId="8858"/>
    <cellStyle name="Normal 13 3 2 12" xfId="8859"/>
    <cellStyle name="Normal 13 3 2 13" xfId="8860"/>
    <cellStyle name="Normal 13 3 2 2" xfId="8861"/>
    <cellStyle name="Normal 13 3 2 2 10" xfId="8862"/>
    <cellStyle name="Normal 13 3 2 2 11" xfId="8863"/>
    <cellStyle name="Normal 13 3 2 2 12" xfId="8864"/>
    <cellStyle name="Normal 13 3 2 2 2" xfId="8865"/>
    <cellStyle name="Normal 13 3 2 2 2 2" xfId="8866"/>
    <cellStyle name="Normal 13 3 2 2 2 2 2" xfId="8867"/>
    <cellStyle name="Normal 13 3 2 2 2 2 3" xfId="8868"/>
    <cellStyle name="Normal 13 3 2 2 2 3" xfId="8869"/>
    <cellStyle name="Normal 13 3 2 2 2 3 2" xfId="8870"/>
    <cellStyle name="Normal 13 3 2 2 2 4" xfId="8871"/>
    <cellStyle name="Normal 13 3 2 2 2 5" xfId="8872"/>
    <cellStyle name="Normal 13 3 2 2 2 6" xfId="8873"/>
    <cellStyle name="Normal 13 3 2 2 2 7" xfId="8874"/>
    <cellStyle name="Normal 13 3 2 2 2 8" xfId="8875"/>
    <cellStyle name="Normal 13 3 2 2 3" xfId="8876"/>
    <cellStyle name="Normal 13 3 2 2 3 2" xfId="8877"/>
    <cellStyle name="Normal 13 3 2 2 3 2 2" xfId="8878"/>
    <cellStyle name="Normal 13 3 2 2 3 3" xfId="8879"/>
    <cellStyle name="Normal 13 3 2 2 3 4" xfId="8880"/>
    <cellStyle name="Normal 13 3 2 2 4" xfId="8881"/>
    <cellStyle name="Normal 13 3 2 2 4 2" xfId="8882"/>
    <cellStyle name="Normal 13 3 2 2 5" xfId="8883"/>
    <cellStyle name="Normal 13 3 2 2 5 2" xfId="8884"/>
    <cellStyle name="Normal 13 3 2 2 6" xfId="8885"/>
    <cellStyle name="Normal 13 3 2 2 6 2" xfId="8886"/>
    <cellStyle name="Normal 13 3 2 2 7" xfId="8887"/>
    <cellStyle name="Normal 13 3 2 2 8" xfId="8888"/>
    <cellStyle name="Normal 13 3 2 2 9" xfId="8889"/>
    <cellStyle name="Normal 13 3 2 3" xfId="8890"/>
    <cellStyle name="Normal 13 3 2 3 2" xfId="8891"/>
    <cellStyle name="Normal 13 3 2 3 2 2" xfId="8892"/>
    <cellStyle name="Normal 13 3 2 3 2 3" xfId="8893"/>
    <cellStyle name="Normal 13 3 2 3 3" xfId="8894"/>
    <cellStyle name="Normal 13 3 2 3 3 2" xfId="8895"/>
    <cellStyle name="Normal 13 3 2 3 4" xfId="8896"/>
    <cellStyle name="Normal 13 3 2 3 5" xfId="8897"/>
    <cellStyle name="Normal 13 3 2 3 6" xfId="8898"/>
    <cellStyle name="Normal 13 3 2 3 7" xfId="8899"/>
    <cellStyle name="Normal 13 3 2 3 8" xfId="8900"/>
    <cellStyle name="Normal 13 3 2 3 9" xfId="8901"/>
    <cellStyle name="Normal 13 3 2 4" xfId="8902"/>
    <cellStyle name="Normal 13 3 2 4 2" xfId="8903"/>
    <cellStyle name="Normal 13 3 2 4 2 2" xfId="8904"/>
    <cellStyle name="Normal 13 3 2 4 3" xfId="8905"/>
    <cellStyle name="Normal 13 3 2 4 4" xfId="8906"/>
    <cellStyle name="Normal 13 3 2 5" xfId="8907"/>
    <cellStyle name="Normal 13 3 2 5 2" xfId="8908"/>
    <cellStyle name="Normal 13 3 2 6" xfId="8909"/>
    <cellStyle name="Normal 13 3 2 6 2" xfId="8910"/>
    <cellStyle name="Normal 13 3 2 7" xfId="8911"/>
    <cellStyle name="Normal 13 3 2 7 2" xfId="8912"/>
    <cellStyle name="Normal 13 3 2 8" xfId="8913"/>
    <cellStyle name="Normal 13 3 2 9" xfId="8914"/>
    <cellStyle name="Normal 13 3 3" xfId="8915"/>
    <cellStyle name="Normal 13 3 3 10" xfId="8916"/>
    <cellStyle name="Normal 13 3 3 11" xfId="8917"/>
    <cellStyle name="Normal 13 3 3 12" xfId="8918"/>
    <cellStyle name="Normal 13 3 3 2" xfId="8919"/>
    <cellStyle name="Normal 13 3 3 2 2" xfId="8920"/>
    <cellStyle name="Normal 13 3 3 2 2 2" xfId="8921"/>
    <cellStyle name="Normal 13 3 3 2 2 3" xfId="8922"/>
    <cellStyle name="Normal 13 3 3 2 3" xfId="8923"/>
    <cellStyle name="Normal 13 3 3 2 3 2" xfId="8924"/>
    <cellStyle name="Normal 13 3 3 2 4" xfId="8925"/>
    <cellStyle name="Normal 13 3 3 2 5" xfId="8926"/>
    <cellStyle name="Normal 13 3 3 2 6" xfId="8927"/>
    <cellStyle name="Normal 13 3 3 2 7" xfId="8928"/>
    <cellStyle name="Normal 13 3 3 2 8" xfId="8929"/>
    <cellStyle name="Normal 13 3 3 3" xfId="8930"/>
    <cellStyle name="Normal 13 3 3 3 2" xfId="8931"/>
    <cellStyle name="Normal 13 3 3 3 2 2" xfId="8932"/>
    <cellStyle name="Normal 13 3 3 3 3" xfId="8933"/>
    <cellStyle name="Normal 13 3 3 3 4" xfId="8934"/>
    <cellStyle name="Normal 13 3 3 4" xfId="8935"/>
    <cellStyle name="Normal 13 3 3 4 2" xfId="8936"/>
    <cellStyle name="Normal 13 3 3 5" xfId="8937"/>
    <cellStyle name="Normal 13 3 3 5 2" xfId="8938"/>
    <cellStyle name="Normal 13 3 3 6" xfId="8939"/>
    <cellStyle name="Normal 13 3 3 6 2" xfId="8940"/>
    <cellStyle name="Normal 13 3 3 7" xfId="8941"/>
    <cellStyle name="Normal 13 3 3 8" xfId="8942"/>
    <cellStyle name="Normal 13 3 3 9" xfId="8943"/>
    <cellStyle name="Normal 13 3 4" xfId="8944"/>
    <cellStyle name="Normal 13 3 4 2" xfId="8945"/>
    <cellStyle name="Normal 13 3 4 2 2" xfId="8946"/>
    <cellStyle name="Normal 13 3 4 2 3" xfId="8947"/>
    <cellStyle name="Normal 13 3 4 3" xfId="8948"/>
    <cellStyle name="Normal 13 3 4 3 2" xfId="8949"/>
    <cellStyle name="Normal 13 3 4 4" xfId="8950"/>
    <cellStyle name="Normal 13 3 4 5" xfId="8951"/>
    <cellStyle name="Normal 13 3 4 6" xfId="8952"/>
    <cellStyle name="Normal 13 3 4 7" xfId="8953"/>
    <cellStyle name="Normal 13 3 4 8" xfId="8954"/>
    <cellStyle name="Normal 13 3 5" xfId="8955"/>
    <cellStyle name="Normal 13 3 5 2" xfId="8956"/>
    <cellStyle name="Normal 13 3 5 2 2" xfId="8957"/>
    <cellStyle name="Normal 13 3 5 3" xfId="8958"/>
    <cellStyle name="Normal 13 3 5 4" xfId="8959"/>
    <cellStyle name="Normal 13 3 6" xfId="8960"/>
    <cellStyle name="Normal 13 3 6 2" xfId="8961"/>
    <cellStyle name="Normal 13 3 7" xfId="8962"/>
    <cellStyle name="Normal 13 3 7 2" xfId="8963"/>
    <cellStyle name="Normal 13 3 8" xfId="8964"/>
    <cellStyle name="Normal 13 3 8 2" xfId="8965"/>
    <cellStyle name="Normal 13 3 9" xfId="8966"/>
    <cellStyle name="Normal 13 4" xfId="8967"/>
    <cellStyle name="Normal 13 4 10" xfId="8968"/>
    <cellStyle name="Normal 13 4 11" xfId="8969"/>
    <cellStyle name="Normal 13 4 12" xfId="8970"/>
    <cellStyle name="Normal 13 4 13" xfId="8971"/>
    <cellStyle name="Normal 13 4 2" xfId="8972"/>
    <cellStyle name="Normal 13 4 2 10" xfId="8973"/>
    <cellStyle name="Normal 13 4 2 11" xfId="8974"/>
    <cellStyle name="Normal 13 4 2 12" xfId="8975"/>
    <cellStyle name="Normal 13 4 2 2" xfId="8976"/>
    <cellStyle name="Normal 13 4 2 2 2" xfId="8977"/>
    <cellStyle name="Normal 13 4 2 2 2 2" xfId="8978"/>
    <cellStyle name="Normal 13 4 2 2 2 3" xfId="8979"/>
    <cellStyle name="Normal 13 4 2 2 3" xfId="8980"/>
    <cellStyle name="Normal 13 4 2 2 3 2" xfId="8981"/>
    <cellStyle name="Normal 13 4 2 2 4" xfId="8982"/>
    <cellStyle name="Normal 13 4 2 2 5" xfId="8983"/>
    <cellStyle name="Normal 13 4 2 2 6" xfId="8984"/>
    <cellStyle name="Normal 13 4 2 2 7" xfId="8985"/>
    <cellStyle name="Normal 13 4 2 2 8" xfId="8986"/>
    <cellStyle name="Normal 13 4 2 3" xfId="8987"/>
    <cellStyle name="Normal 13 4 2 3 2" xfId="8988"/>
    <cellStyle name="Normal 13 4 2 3 2 2" xfId="8989"/>
    <cellStyle name="Normal 13 4 2 3 3" xfId="8990"/>
    <cellStyle name="Normal 13 4 2 3 4" xfId="8991"/>
    <cellStyle name="Normal 13 4 2 4" xfId="8992"/>
    <cellStyle name="Normal 13 4 2 4 2" xfId="8993"/>
    <cellStyle name="Normal 13 4 2 5" xfId="8994"/>
    <cellStyle name="Normal 13 4 2 5 2" xfId="8995"/>
    <cellStyle name="Normal 13 4 2 6" xfId="8996"/>
    <cellStyle name="Normal 13 4 2 6 2" xfId="8997"/>
    <cellStyle name="Normal 13 4 2 7" xfId="8998"/>
    <cellStyle name="Normal 13 4 2 8" xfId="8999"/>
    <cellStyle name="Normal 13 4 2 9" xfId="9000"/>
    <cellStyle name="Normal 13 4 3" xfId="9001"/>
    <cellStyle name="Normal 13 4 3 2" xfId="9002"/>
    <cellStyle name="Normal 13 4 3 2 2" xfId="9003"/>
    <cellStyle name="Normal 13 4 3 2 3" xfId="9004"/>
    <cellStyle name="Normal 13 4 3 3" xfId="9005"/>
    <cellStyle name="Normal 13 4 3 3 2" xfId="9006"/>
    <cellStyle name="Normal 13 4 3 4" xfId="9007"/>
    <cellStyle name="Normal 13 4 3 5" xfId="9008"/>
    <cellStyle name="Normal 13 4 3 6" xfId="9009"/>
    <cellStyle name="Normal 13 4 3 7" xfId="9010"/>
    <cellStyle name="Normal 13 4 3 8" xfId="9011"/>
    <cellStyle name="Normal 13 4 4" xfId="9012"/>
    <cellStyle name="Normal 13 4 4 2" xfId="9013"/>
    <cellStyle name="Normal 13 4 4 2 2" xfId="9014"/>
    <cellStyle name="Normal 13 4 4 3" xfId="9015"/>
    <cellStyle name="Normal 13 4 4 4" xfId="9016"/>
    <cellStyle name="Normal 13 4 5" xfId="9017"/>
    <cellStyle name="Normal 13 4 5 2" xfId="9018"/>
    <cellStyle name="Normal 13 4 6" xfId="9019"/>
    <cellStyle name="Normal 13 4 6 2" xfId="9020"/>
    <cellStyle name="Normal 13 4 7" xfId="9021"/>
    <cellStyle name="Normal 13 4 7 2" xfId="9022"/>
    <cellStyle name="Normal 13 4 8" xfId="9023"/>
    <cellStyle name="Normal 13 4 9" xfId="9024"/>
    <cellStyle name="Normal 13 5" xfId="9025"/>
    <cellStyle name="Normal 13 5 10" xfId="9026"/>
    <cellStyle name="Normal 13 5 11" xfId="9027"/>
    <cellStyle name="Normal 13 5 12" xfId="9028"/>
    <cellStyle name="Normal 13 5 2" xfId="9029"/>
    <cellStyle name="Normal 13 5 2 2" xfId="9030"/>
    <cellStyle name="Normal 13 5 2 2 2" xfId="9031"/>
    <cellStyle name="Normal 13 5 2 2 3" xfId="9032"/>
    <cellStyle name="Normal 13 5 2 3" xfId="9033"/>
    <cellStyle name="Normal 13 5 2 3 2" xfId="9034"/>
    <cellStyle name="Normal 13 5 2 4" xfId="9035"/>
    <cellStyle name="Normal 13 5 2 5" xfId="9036"/>
    <cellStyle name="Normal 13 5 2 6" xfId="9037"/>
    <cellStyle name="Normal 13 5 2 7" xfId="9038"/>
    <cellStyle name="Normal 13 5 2 8" xfId="9039"/>
    <cellStyle name="Normal 13 5 3" xfId="9040"/>
    <cellStyle name="Normal 13 5 3 2" xfId="9041"/>
    <cellStyle name="Normal 13 5 3 2 2" xfId="9042"/>
    <cellStyle name="Normal 13 5 3 3" xfId="9043"/>
    <cellStyle name="Normal 13 5 3 4" xfId="9044"/>
    <cellStyle name="Normal 13 5 4" xfId="9045"/>
    <cellStyle name="Normal 13 5 4 2" xfId="9046"/>
    <cellStyle name="Normal 13 5 5" xfId="9047"/>
    <cellStyle name="Normal 13 5 5 2" xfId="9048"/>
    <cellStyle name="Normal 13 5 6" xfId="9049"/>
    <cellStyle name="Normal 13 5 6 2" xfId="9050"/>
    <cellStyle name="Normal 13 5 7" xfId="9051"/>
    <cellStyle name="Normal 13 5 8" xfId="9052"/>
    <cellStyle name="Normal 13 5 9" xfId="9053"/>
    <cellStyle name="Normal 13 6" xfId="9054"/>
    <cellStyle name="Normal 13 6 2" xfId="9055"/>
    <cellStyle name="Normal 13 6 2 2" xfId="9056"/>
    <cellStyle name="Normal 13 6 2 3" xfId="9057"/>
    <cellStyle name="Normal 13 6 3" xfId="9058"/>
    <cellStyle name="Normal 13 6 3 2" xfId="9059"/>
    <cellStyle name="Normal 13 6 4" xfId="9060"/>
    <cellStyle name="Normal 13 6 5" xfId="9061"/>
    <cellStyle name="Normal 13 6 6" xfId="9062"/>
    <cellStyle name="Normal 13 6 7" xfId="9063"/>
    <cellStyle name="Normal 13 6 8" xfId="9064"/>
    <cellStyle name="Normal 13 7" xfId="9065"/>
    <cellStyle name="Normal 13 7 2" xfId="9066"/>
    <cellStyle name="Normal 13 7 2 2" xfId="9067"/>
    <cellStyle name="Normal 13 7 3" xfId="9068"/>
    <cellStyle name="Normal 13 7 4" xfId="9069"/>
    <cellStyle name="Normal 13 8" xfId="9070"/>
    <cellStyle name="Normal 13 8 2" xfId="9071"/>
    <cellStyle name="Normal 13 9" xfId="9072"/>
    <cellStyle name="Normal 13 9 2" xfId="9073"/>
    <cellStyle name="Normal 130" xfId="9074"/>
    <cellStyle name="Normal 131" xfId="9075"/>
    <cellStyle name="Normal 132" xfId="9076"/>
    <cellStyle name="Normal 133" xfId="9077"/>
    <cellStyle name="Normal 134" xfId="9078"/>
    <cellStyle name="Normal 135" xfId="9079"/>
    <cellStyle name="Normal 136" xfId="9080"/>
    <cellStyle name="Normal 137" xfId="9081"/>
    <cellStyle name="Normal 138" xfId="9082"/>
    <cellStyle name="Normal 139" xfId="9083"/>
    <cellStyle name="Normal 14" xfId="683"/>
    <cellStyle name="Normal 14 10" xfId="9084"/>
    <cellStyle name="Normal 14 10 2" xfId="9085"/>
    <cellStyle name="Normal 14 11" xfId="9086"/>
    <cellStyle name="Normal 14 12" xfId="9087"/>
    <cellStyle name="Normal 14 13" xfId="9088"/>
    <cellStyle name="Normal 14 14" xfId="9089"/>
    <cellStyle name="Normal 14 15" xfId="9090"/>
    <cellStyle name="Normal 14 16" xfId="9091"/>
    <cellStyle name="Normal 14 2" xfId="684"/>
    <cellStyle name="Normal 14 2 2" xfId="685"/>
    <cellStyle name="Normal 14 2 2 2" xfId="686"/>
    <cellStyle name="Normal 14 2 2 2 2" xfId="687"/>
    <cellStyle name="Normal 14 2 2 2 2 2" xfId="688"/>
    <cellStyle name="Normal 14 2 2 2 2 2 2" xfId="689"/>
    <cellStyle name="Normal 14 2 2 2 2 2 2 2" xfId="690"/>
    <cellStyle name="Normal 14 2 2 2 2 2 3" xfId="691"/>
    <cellStyle name="Normal 14 2 2 2 2 3" xfId="692"/>
    <cellStyle name="Normal 14 2 2 2 2 3 2" xfId="693"/>
    <cellStyle name="Normal 14 2 2 2 2 4" xfId="694"/>
    <cellStyle name="Normal 14 2 2 2 3" xfId="695"/>
    <cellStyle name="Normal 14 2 2 2 3 2" xfId="696"/>
    <cellStyle name="Normal 14 2 2 2 3 2 2" xfId="697"/>
    <cellStyle name="Normal 14 2 2 2 3 3" xfId="698"/>
    <cellStyle name="Normal 14 2 2 2 4" xfId="699"/>
    <cellStyle name="Normal 14 2 2 2 4 2" xfId="700"/>
    <cellStyle name="Normal 14 2 2 2 5" xfId="701"/>
    <cellStyle name="Normal 14 2 2 3" xfId="702"/>
    <cellStyle name="Normal 14 2 2 3 2" xfId="703"/>
    <cellStyle name="Normal 14 2 2 3 2 2" xfId="704"/>
    <cellStyle name="Normal 14 2 2 3 2 2 2" xfId="705"/>
    <cellStyle name="Normal 14 2 2 3 2 3" xfId="706"/>
    <cellStyle name="Normal 14 2 2 3 3" xfId="707"/>
    <cellStyle name="Normal 14 2 2 3 3 2" xfId="708"/>
    <cellStyle name="Normal 14 2 2 3 4" xfId="709"/>
    <cellStyle name="Normal 14 2 2 4" xfId="710"/>
    <cellStyle name="Normal 14 2 2 4 2" xfId="711"/>
    <cellStyle name="Normal 14 2 2 4 2 2" xfId="712"/>
    <cellStyle name="Normal 14 2 2 4 3" xfId="713"/>
    <cellStyle name="Normal 14 2 2 5" xfId="714"/>
    <cellStyle name="Normal 14 2 2 5 2" xfId="715"/>
    <cellStyle name="Normal 14 2 2 6" xfId="716"/>
    <cellStyle name="Normal 14 2 3" xfId="717"/>
    <cellStyle name="Normal 14 2 3 2" xfId="718"/>
    <cellStyle name="Normal 14 2 3 2 2" xfId="719"/>
    <cellStyle name="Normal 14 2 3 2 2 2" xfId="720"/>
    <cellStyle name="Normal 14 2 3 2 2 2 2" xfId="721"/>
    <cellStyle name="Normal 14 2 3 2 2 3" xfId="722"/>
    <cellStyle name="Normal 14 2 3 2 3" xfId="723"/>
    <cellStyle name="Normal 14 2 3 2 3 2" xfId="724"/>
    <cellStyle name="Normal 14 2 3 2 4" xfId="725"/>
    <cellStyle name="Normal 14 2 3 3" xfId="726"/>
    <cellStyle name="Normal 14 2 3 3 2" xfId="727"/>
    <cellStyle name="Normal 14 2 3 3 2 2" xfId="728"/>
    <cellStyle name="Normal 14 2 3 3 3" xfId="729"/>
    <cellStyle name="Normal 14 2 3 4" xfId="730"/>
    <cellStyle name="Normal 14 2 3 4 2" xfId="731"/>
    <cellStyle name="Normal 14 2 3 5" xfId="732"/>
    <cellStyle name="Normal 14 2 4" xfId="733"/>
    <cellStyle name="Normal 14 2 4 2" xfId="734"/>
    <cellStyle name="Normal 14 2 4 2 2" xfId="735"/>
    <cellStyle name="Normal 14 2 4 2 2 2" xfId="736"/>
    <cellStyle name="Normal 14 2 4 2 3" xfId="737"/>
    <cellStyle name="Normal 14 2 4 3" xfId="738"/>
    <cellStyle name="Normal 14 2 4 3 2" xfId="739"/>
    <cellStyle name="Normal 14 2 4 4" xfId="740"/>
    <cellStyle name="Normal 14 2 5" xfId="741"/>
    <cellStyle name="Normal 14 2 5 2" xfId="742"/>
    <cellStyle name="Normal 14 2 5 2 2" xfId="743"/>
    <cellStyle name="Normal 14 2 5 3" xfId="744"/>
    <cellStyle name="Normal 14 2 6" xfId="745"/>
    <cellStyle name="Normal 14 2 6 2" xfId="746"/>
    <cellStyle name="Normal 14 2 7" xfId="747"/>
    <cellStyle name="Normal 14 3" xfId="748"/>
    <cellStyle name="Normal 14 3 10" xfId="9092"/>
    <cellStyle name="Normal 14 3 11" xfId="9093"/>
    <cellStyle name="Normal 14 3 12" xfId="9094"/>
    <cellStyle name="Normal 14 3 13" xfId="9095"/>
    <cellStyle name="Normal 14 3 14" xfId="9096"/>
    <cellStyle name="Normal 14 3 2" xfId="749"/>
    <cellStyle name="Normal 14 3 2 10" xfId="9097"/>
    <cellStyle name="Normal 14 3 2 11" xfId="9098"/>
    <cellStyle name="Normal 14 3 2 12" xfId="9099"/>
    <cellStyle name="Normal 14 3 2 13" xfId="9100"/>
    <cellStyle name="Normal 14 3 2 2" xfId="750"/>
    <cellStyle name="Normal 14 3 2 2 10" xfId="9101"/>
    <cellStyle name="Normal 14 3 2 2 11" xfId="9102"/>
    <cellStyle name="Normal 14 3 2 2 12" xfId="9103"/>
    <cellStyle name="Normal 14 3 2 2 2" xfId="751"/>
    <cellStyle name="Normal 14 3 2 2 2 2" xfId="752"/>
    <cellStyle name="Normal 14 3 2 2 2 2 2" xfId="753"/>
    <cellStyle name="Normal 14 3 2 2 2 2 3" xfId="9104"/>
    <cellStyle name="Normal 14 3 2 2 2 3" xfId="754"/>
    <cellStyle name="Normal 14 3 2 2 2 3 2" xfId="9105"/>
    <cellStyle name="Normal 14 3 2 2 2 4" xfId="9106"/>
    <cellStyle name="Normal 14 3 2 2 2 5" xfId="9107"/>
    <cellStyle name="Normal 14 3 2 2 2 6" xfId="9108"/>
    <cellStyle name="Normal 14 3 2 2 2 7" xfId="9109"/>
    <cellStyle name="Normal 14 3 2 2 2 8" xfId="9110"/>
    <cellStyle name="Normal 14 3 2 2 3" xfId="755"/>
    <cellStyle name="Normal 14 3 2 2 3 2" xfId="756"/>
    <cellStyle name="Normal 14 3 2 2 3 2 2" xfId="9111"/>
    <cellStyle name="Normal 14 3 2 2 3 3" xfId="9112"/>
    <cellStyle name="Normal 14 3 2 2 3 4" xfId="9113"/>
    <cellStyle name="Normal 14 3 2 2 4" xfId="757"/>
    <cellStyle name="Normal 14 3 2 2 4 2" xfId="9114"/>
    <cellStyle name="Normal 14 3 2 2 5" xfId="9115"/>
    <cellStyle name="Normal 14 3 2 2 5 2" xfId="9116"/>
    <cellStyle name="Normal 14 3 2 2 6" xfId="9117"/>
    <cellStyle name="Normal 14 3 2 2 6 2" xfId="9118"/>
    <cellStyle name="Normal 14 3 2 2 7" xfId="9119"/>
    <cellStyle name="Normal 14 3 2 2 8" xfId="9120"/>
    <cellStyle name="Normal 14 3 2 2 9" xfId="9121"/>
    <cellStyle name="Normal 14 3 2 3" xfId="758"/>
    <cellStyle name="Normal 14 3 2 3 2" xfId="759"/>
    <cellStyle name="Normal 14 3 2 3 2 2" xfId="760"/>
    <cellStyle name="Normal 14 3 2 3 2 3" xfId="9122"/>
    <cellStyle name="Normal 14 3 2 3 3" xfId="761"/>
    <cellStyle name="Normal 14 3 2 3 3 2" xfId="9123"/>
    <cellStyle name="Normal 14 3 2 3 4" xfId="9124"/>
    <cellStyle name="Normal 14 3 2 3 5" xfId="9125"/>
    <cellStyle name="Normal 14 3 2 3 6" xfId="9126"/>
    <cellStyle name="Normal 14 3 2 3 7" xfId="9127"/>
    <cellStyle name="Normal 14 3 2 3 8" xfId="9128"/>
    <cellStyle name="Normal 14 3 2 4" xfId="762"/>
    <cellStyle name="Normal 14 3 2 4 2" xfId="763"/>
    <cellStyle name="Normal 14 3 2 4 2 2" xfId="9129"/>
    <cellStyle name="Normal 14 3 2 4 3" xfId="9130"/>
    <cellStyle name="Normal 14 3 2 4 4" xfId="9131"/>
    <cellStyle name="Normal 14 3 2 5" xfId="764"/>
    <cellStyle name="Normal 14 3 2 5 2" xfId="9132"/>
    <cellStyle name="Normal 14 3 2 6" xfId="9133"/>
    <cellStyle name="Normal 14 3 2 6 2" xfId="9134"/>
    <cellStyle name="Normal 14 3 2 7" xfId="9135"/>
    <cellStyle name="Normal 14 3 2 7 2" xfId="9136"/>
    <cellStyle name="Normal 14 3 2 8" xfId="9137"/>
    <cellStyle name="Normal 14 3 2 9" xfId="9138"/>
    <cellStyle name="Normal 14 3 3" xfId="765"/>
    <cellStyle name="Normal 14 3 3 10" xfId="9139"/>
    <cellStyle name="Normal 14 3 3 11" xfId="9140"/>
    <cellStyle name="Normal 14 3 3 12" xfId="9141"/>
    <cellStyle name="Normal 14 3 3 2" xfId="766"/>
    <cellStyle name="Normal 14 3 3 2 2" xfId="767"/>
    <cellStyle name="Normal 14 3 3 2 2 2" xfId="768"/>
    <cellStyle name="Normal 14 3 3 2 2 3" xfId="9142"/>
    <cellStyle name="Normal 14 3 3 2 3" xfId="769"/>
    <cellStyle name="Normal 14 3 3 2 3 2" xfId="9143"/>
    <cellStyle name="Normal 14 3 3 2 4" xfId="9144"/>
    <cellStyle name="Normal 14 3 3 2 5" xfId="9145"/>
    <cellStyle name="Normal 14 3 3 2 6" xfId="9146"/>
    <cellStyle name="Normal 14 3 3 2 7" xfId="9147"/>
    <cellStyle name="Normal 14 3 3 2 8" xfId="9148"/>
    <cellStyle name="Normal 14 3 3 3" xfId="770"/>
    <cellStyle name="Normal 14 3 3 3 2" xfId="771"/>
    <cellStyle name="Normal 14 3 3 3 2 2" xfId="9149"/>
    <cellStyle name="Normal 14 3 3 3 3" xfId="9150"/>
    <cellStyle name="Normal 14 3 3 3 4" xfId="9151"/>
    <cellStyle name="Normal 14 3 3 4" xfId="772"/>
    <cellStyle name="Normal 14 3 3 4 2" xfId="9152"/>
    <cellStyle name="Normal 14 3 3 5" xfId="9153"/>
    <cellStyle name="Normal 14 3 3 5 2" xfId="9154"/>
    <cellStyle name="Normal 14 3 3 6" xfId="9155"/>
    <cellStyle name="Normal 14 3 3 6 2" xfId="9156"/>
    <cellStyle name="Normal 14 3 3 7" xfId="9157"/>
    <cellStyle name="Normal 14 3 3 8" xfId="9158"/>
    <cellStyle name="Normal 14 3 3 9" xfId="9159"/>
    <cellStyle name="Normal 14 3 4" xfId="773"/>
    <cellStyle name="Normal 14 3 4 2" xfId="774"/>
    <cellStyle name="Normal 14 3 4 2 2" xfId="775"/>
    <cellStyle name="Normal 14 3 4 2 3" xfId="9160"/>
    <cellStyle name="Normal 14 3 4 3" xfId="776"/>
    <cellStyle name="Normal 14 3 4 3 2" xfId="9161"/>
    <cellStyle name="Normal 14 3 4 4" xfId="9162"/>
    <cellStyle name="Normal 14 3 4 5" xfId="9163"/>
    <cellStyle name="Normal 14 3 4 6" xfId="9164"/>
    <cellStyle name="Normal 14 3 4 7" xfId="9165"/>
    <cellStyle name="Normal 14 3 4 8" xfId="9166"/>
    <cellStyle name="Normal 14 3 5" xfId="777"/>
    <cellStyle name="Normal 14 3 5 2" xfId="778"/>
    <cellStyle name="Normal 14 3 5 2 2" xfId="9167"/>
    <cellStyle name="Normal 14 3 5 3" xfId="9168"/>
    <cellStyle name="Normal 14 3 5 4" xfId="9169"/>
    <cellStyle name="Normal 14 3 6" xfId="779"/>
    <cellStyle name="Normal 14 3 6 2" xfId="9170"/>
    <cellStyle name="Normal 14 3 7" xfId="9171"/>
    <cellStyle name="Normal 14 3 7 2" xfId="9172"/>
    <cellStyle name="Normal 14 3 8" xfId="9173"/>
    <cellStyle name="Normal 14 3 8 2" xfId="9174"/>
    <cellStyle name="Normal 14 3 9" xfId="9175"/>
    <cellStyle name="Normal 14 4" xfId="780"/>
    <cellStyle name="Normal 14 4 10" xfId="9176"/>
    <cellStyle name="Normal 14 4 11" xfId="9177"/>
    <cellStyle name="Normal 14 4 12" xfId="9178"/>
    <cellStyle name="Normal 14 4 13" xfId="9179"/>
    <cellStyle name="Normal 14 4 2" xfId="781"/>
    <cellStyle name="Normal 14 4 2 10" xfId="9180"/>
    <cellStyle name="Normal 14 4 2 11" xfId="9181"/>
    <cellStyle name="Normal 14 4 2 12" xfId="9182"/>
    <cellStyle name="Normal 14 4 2 2" xfId="782"/>
    <cellStyle name="Normal 14 4 2 2 2" xfId="783"/>
    <cellStyle name="Normal 14 4 2 2 2 2" xfId="784"/>
    <cellStyle name="Normal 14 4 2 2 2 3" xfId="9183"/>
    <cellStyle name="Normal 14 4 2 2 3" xfId="785"/>
    <cellStyle name="Normal 14 4 2 2 3 2" xfId="9184"/>
    <cellStyle name="Normal 14 4 2 2 4" xfId="9185"/>
    <cellStyle name="Normal 14 4 2 2 5" xfId="9186"/>
    <cellStyle name="Normal 14 4 2 2 6" xfId="9187"/>
    <cellStyle name="Normal 14 4 2 2 7" xfId="9188"/>
    <cellStyle name="Normal 14 4 2 2 8" xfId="9189"/>
    <cellStyle name="Normal 14 4 2 3" xfId="786"/>
    <cellStyle name="Normal 14 4 2 3 2" xfId="787"/>
    <cellStyle name="Normal 14 4 2 3 2 2" xfId="9190"/>
    <cellStyle name="Normal 14 4 2 3 3" xfId="9191"/>
    <cellStyle name="Normal 14 4 2 3 4" xfId="9192"/>
    <cellStyle name="Normal 14 4 2 4" xfId="788"/>
    <cellStyle name="Normal 14 4 2 4 2" xfId="9193"/>
    <cellStyle name="Normal 14 4 2 5" xfId="9194"/>
    <cellStyle name="Normal 14 4 2 5 2" xfId="9195"/>
    <cellStyle name="Normal 14 4 2 6" xfId="9196"/>
    <cellStyle name="Normal 14 4 2 6 2" xfId="9197"/>
    <cellStyle name="Normal 14 4 2 7" xfId="9198"/>
    <cellStyle name="Normal 14 4 2 8" xfId="9199"/>
    <cellStyle name="Normal 14 4 2 9" xfId="9200"/>
    <cellStyle name="Normal 14 4 3" xfId="789"/>
    <cellStyle name="Normal 14 4 3 2" xfId="790"/>
    <cellStyle name="Normal 14 4 3 2 2" xfId="791"/>
    <cellStyle name="Normal 14 4 3 2 3" xfId="9201"/>
    <cellStyle name="Normal 14 4 3 3" xfId="792"/>
    <cellStyle name="Normal 14 4 3 3 2" xfId="9202"/>
    <cellStyle name="Normal 14 4 3 4" xfId="9203"/>
    <cellStyle name="Normal 14 4 3 5" xfId="9204"/>
    <cellStyle name="Normal 14 4 3 6" xfId="9205"/>
    <cellStyle name="Normal 14 4 3 7" xfId="9206"/>
    <cellStyle name="Normal 14 4 3 8" xfId="9207"/>
    <cellStyle name="Normal 14 4 4" xfId="793"/>
    <cellStyle name="Normal 14 4 4 2" xfId="794"/>
    <cellStyle name="Normal 14 4 4 2 2" xfId="9208"/>
    <cellStyle name="Normal 14 4 4 3" xfId="9209"/>
    <cellStyle name="Normal 14 4 4 4" xfId="9210"/>
    <cellStyle name="Normal 14 4 5" xfId="795"/>
    <cellStyle name="Normal 14 4 5 2" xfId="9211"/>
    <cellStyle name="Normal 14 4 6" xfId="9212"/>
    <cellStyle name="Normal 14 4 6 2" xfId="9213"/>
    <cellStyle name="Normal 14 4 7" xfId="9214"/>
    <cellStyle name="Normal 14 4 7 2" xfId="9215"/>
    <cellStyle name="Normal 14 4 8" xfId="9216"/>
    <cellStyle name="Normal 14 4 9" xfId="9217"/>
    <cellStyle name="Normal 14 5" xfId="796"/>
    <cellStyle name="Normal 14 5 10" xfId="9218"/>
    <cellStyle name="Normal 14 5 11" xfId="9219"/>
    <cellStyle name="Normal 14 5 12" xfId="9220"/>
    <cellStyle name="Normal 14 5 2" xfId="797"/>
    <cellStyle name="Normal 14 5 2 2" xfId="798"/>
    <cellStyle name="Normal 14 5 2 2 2" xfId="799"/>
    <cellStyle name="Normal 14 5 2 2 3" xfId="9221"/>
    <cellStyle name="Normal 14 5 2 3" xfId="800"/>
    <cellStyle name="Normal 14 5 2 3 2" xfId="9222"/>
    <cellStyle name="Normal 14 5 2 4" xfId="9223"/>
    <cellStyle name="Normal 14 5 2 5" xfId="9224"/>
    <cellStyle name="Normal 14 5 2 6" xfId="9225"/>
    <cellStyle name="Normal 14 5 2 7" xfId="9226"/>
    <cellStyle name="Normal 14 5 2 8" xfId="9227"/>
    <cellStyle name="Normal 14 5 3" xfId="801"/>
    <cellStyle name="Normal 14 5 3 2" xfId="802"/>
    <cellStyle name="Normal 14 5 3 2 2" xfId="9228"/>
    <cellStyle name="Normal 14 5 3 3" xfId="9229"/>
    <cellStyle name="Normal 14 5 3 4" xfId="9230"/>
    <cellStyle name="Normal 14 5 4" xfId="803"/>
    <cellStyle name="Normal 14 5 4 2" xfId="9231"/>
    <cellStyle name="Normal 14 5 5" xfId="9232"/>
    <cellStyle name="Normal 14 5 5 2" xfId="9233"/>
    <cellStyle name="Normal 14 5 6" xfId="9234"/>
    <cellStyle name="Normal 14 5 6 2" xfId="9235"/>
    <cellStyle name="Normal 14 5 7" xfId="9236"/>
    <cellStyle name="Normal 14 5 8" xfId="9237"/>
    <cellStyle name="Normal 14 5 9" xfId="9238"/>
    <cellStyle name="Normal 14 6" xfId="804"/>
    <cellStyle name="Normal 14 6 2" xfId="805"/>
    <cellStyle name="Normal 14 6 2 2" xfId="806"/>
    <cellStyle name="Normal 14 6 2 3" xfId="9239"/>
    <cellStyle name="Normal 14 6 3" xfId="807"/>
    <cellStyle name="Normal 14 6 3 2" xfId="9240"/>
    <cellStyle name="Normal 14 6 4" xfId="9241"/>
    <cellStyle name="Normal 14 6 5" xfId="9242"/>
    <cellStyle name="Normal 14 6 6" xfId="9243"/>
    <cellStyle name="Normal 14 6 7" xfId="9244"/>
    <cellStyle name="Normal 14 6 8" xfId="9245"/>
    <cellStyle name="Normal 14 6 9" xfId="9246"/>
    <cellStyle name="Normal 14 7" xfId="808"/>
    <cellStyle name="Normal 14 7 2" xfId="809"/>
    <cellStyle name="Normal 14 7 2 2" xfId="9247"/>
    <cellStyle name="Normal 14 7 3" xfId="9248"/>
    <cellStyle name="Normal 14 7 4" xfId="9249"/>
    <cellStyle name="Normal 14 8" xfId="810"/>
    <cellStyle name="Normal 14 8 2" xfId="9250"/>
    <cellStyle name="Normal 14 9" xfId="9251"/>
    <cellStyle name="Normal 14 9 2" xfId="9252"/>
    <cellStyle name="Normal 140" xfId="9253"/>
    <cellStyle name="Normal 141" xfId="9254"/>
    <cellStyle name="Normal 142" xfId="9255"/>
    <cellStyle name="Normal 143" xfId="9256"/>
    <cellStyle name="Normal 144" xfId="9257"/>
    <cellStyle name="Normal 145" xfId="9258"/>
    <cellStyle name="Normal 146" xfId="9259"/>
    <cellStyle name="Normal 147" xfId="9260"/>
    <cellStyle name="Normal 148" xfId="9261"/>
    <cellStyle name="Normal 149" xfId="9262"/>
    <cellStyle name="Normal 15" xfId="811"/>
    <cellStyle name="Normal 15 2" xfId="812"/>
    <cellStyle name="Normal 15 2 2" xfId="813"/>
    <cellStyle name="Normal 15 2 2 2" xfId="814"/>
    <cellStyle name="Normal 15 2 2 2 2" xfId="815"/>
    <cellStyle name="Normal 15 2 2 2 2 2" xfId="816"/>
    <cellStyle name="Normal 15 2 2 2 2 2 2" xfId="817"/>
    <cellStyle name="Normal 15 2 2 2 2 2 2 2" xfId="818"/>
    <cellStyle name="Normal 15 2 2 2 2 2 3" xfId="819"/>
    <cellStyle name="Normal 15 2 2 2 2 3" xfId="820"/>
    <cellStyle name="Normal 15 2 2 2 2 3 2" xfId="821"/>
    <cellStyle name="Normal 15 2 2 2 2 4" xfId="822"/>
    <cellStyle name="Normal 15 2 2 2 3" xfId="823"/>
    <cellStyle name="Normal 15 2 2 2 3 2" xfId="824"/>
    <cellStyle name="Normal 15 2 2 2 3 2 2" xfId="825"/>
    <cellStyle name="Normal 15 2 2 2 3 3" xfId="826"/>
    <cellStyle name="Normal 15 2 2 2 4" xfId="827"/>
    <cellStyle name="Normal 15 2 2 2 4 2" xfId="828"/>
    <cellStyle name="Normal 15 2 2 2 5" xfId="829"/>
    <cellStyle name="Normal 15 2 2 3" xfId="830"/>
    <cellStyle name="Normal 15 2 2 3 2" xfId="831"/>
    <cellStyle name="Normal 15 2 2 3 2 2" xfId="832"/>
    <cellStyle name="Normal 15 2 2 3 2 2 2" xfId="833"/>
    <cellStyle name="Normal 15 2 2 3 2 3" xfId="834"/>
    <cellStyle name="Normal 15 2 2 3 3" xfId="835"/>
    <cellStyle name="Normal 15 2 2 3 3 2" xfId="836"/>
    <cellStyle name="Normal 15 2 2 3 4" xfId="837"/>
    <cellStyle name="Normal 15 2 2 4" xfId="838"/>
    <cellStyle name="Normal 15 2 2 4 2" xfId="839"/>
    <cellStyle name="Normal 15 2 2 4 2 2" xfId="840"/>
    <cellStyle name="Normal 15 2 2 4 3" xfId="841"/>
    <cellStyle name="Normal 15 2 2 5" xfId="842"/>
    <cellStyle name="Normal 15 2 2 5 2" xfId="843"/>
    <cellStyle name="Normal 15 2 2 6" xfId="844"/>
    <cellStyle name="Normal 15 2 3" xfId="845"/>
    <cellStyle name="Normal 15 2 3 2" xfId="846"/>
    <cellStyle name="Normal 15 2 3 2 2" xfId="847"/>
    <cellStyle name="Normal 15 2 3 2 2 2" xfId="848"/>
    <cellStyle name="Normal 15 2 3 2 2 2 2" xfId="849"/>
    <cellStyle name="Normal 15 2 3 2 2 3" xfId="850"/>
    <cellStyle name="Normal 15 2 3 2 3" xfId="851"/>
    <cellStyle name="Normal 15 2 3 2 3 2" xfId="852"/>
    <cellStyle name="Normal 15 2 3 2 4" xfId="853"/>
    <cellStyle name="Normal 15 2 3 3" xfId="854"/>
    <cellStyle name="Normal 15 2 3 3 2" xfId="855"/>
    <cellStyle name="Normal 15 2 3 3 2 2" xfId="856"/>
    <cellStyle name="Normal 15 2 3 3 3" xfId="857"/>
    <cellStyle name="Normal 15 2 3 4" xfId="858"/>
    <cellStyle name="Normal 15 2 3 4 2" xfId="859"/>
    <cellStyle name="Normal 15 2 3 5" xfId="860"/>
    <cellStyle name="Normal 15 2 4" xfId="861"/>
    <cellStyle name="Normal 15 2 4 2" xfId="862"/>
    <cellStyle name="Normal 15 2 4 2 2" xfId="863"/>
    <cellStyle name="Normal 15 2 4 2 2 2" xfId="864"/>
    <cellStyle name="Normal 15 2 4 2 3" xfId="865"/>
    <cellStyle name="Normal 15 2 4 3" xfId="866"/>
    <cellStyle name="Normal 15 2 4 3 2" xfId="867"/>
    <cellStyle name="Normal 15 2 4 4" xfId="868"/>
    <cellStyle name="Normal 15 2 5" xfId="869"/>
    <cellStyle name="Normal 15 2 5 2" xfId="870"/>
    <cellStyle name="Normal 15 2 5 2 2" xfId="871"/>
    <cellStyle name="Normal 15 2 5 3" xfId="872"/>
    <cellStyle name="Normal 15 2 6" xfId="873"/>
    <cellStyle name="Normal 15 2 6 2" xfId="874"/>
    <cellStyle name="Normal 15 2 7" xfId="875"/>
    <cellStyle name="Normal 15 3" xfId="876"/>
    <cellStyle name="Normal 15 3 2" xfId="877"/>
    <cellStyle name="Normal 15 3 2 2" xfId="878"/>
    <cellStyle name="Normal 15 3 2 2 2" xfId="879"/>
    <cellStyle name="Normal 15 3 2 2 2 2" xfId="880"/>
    <cellStyle name="Normal 15 3 2 2 2 2 2" xfId="881"/>
    <cellStyle name="Normal 15 3 2 2 2 3" xfId="882"/>
    <cellStyle name="Normal 15 3 2 2 3" xfId="883"/>
    <cellStyle name="Normal 15 3 2 2 3 2" xfId="884"/>
    <cellStyle name="Normal 15 3 2 2 4" xfId="885"/>
    <cellStyle name="Normal 15 3 2 3" xfId="886"/>
    <cellStyle name="Normal 15 3 2 3 2" xfId="887"/>
    <cellStyle name="Normal 15 3 2 3 2 2" xfId="888"/>
    <cellStyle name="Normal 15 3 2 3 3" xfId="889"/>
    <cellStyle name="Normal 15 3 2 4" xfId="890"/>
    <cellStyle name="Normal 15 3 2 4 2" xfId="891"/>
    <cellStyle name="Normal 15 3 2 5" xfId="892"/>
    <cellStyle name="Normal 15 3 3" xfId="893"/>
    <cellStyle name="Normal 15 3 3 2" xfId="894"/>
    <cellStyle name="Normal 15 3 3 2 2" xfId="895"/>
    <cellStyle name="Normal 15 3 3 2 2 2" xfId="896"/>
    <cellStyle name="Normal 15 3 3 2 3" xfId="897"/>
    <cellStyle name="Normal 15 3 3 3" xfId="898"/>
    <cellStyle name="Normal 15 3 3 3 2" xfId="899"/>
    <cellStyle name="Normal 15 3 3 4" xfId="900"/>
    <cellStyle name="Normal 15 3 4" xfId="901"/>
    <cellStyle name="Normal 15 3 4 2" xfId="902"/>
    <cellStyle name="Normal 15 3 4 2 2" xfId="903"/>
    <cellStyle name="Normal 15 3 4 3" xfId="904"/>
    <cellStyle name="Normal 15 3 5" xfId="905"/>
    <cellStyle name="Normal 15 3 5 2" xfId="906"/>
    <cellStyle name="Normal 15 3 6" xfId="907"/>
    <cellStyle name="Normal 15 4" xfId="908"/>
    <cellStyle name="Normal 15 4 2" xfId="909"/>
    <cellStyle name="Normal 15 4 2 2" xfId="910"/>
    <cellStyle name="Normal 15 4 2 2 2" xfId="911"/>
    <cellStyle name="Normal 15 4 2 2 2 2" xfId="912"/>
    <cellStyle name="Normal 15 4 2 2 3" xfId="913"/>
    <cellStyle name="Normal 15 4 2 3" xfId="914"/>
    <cellStyle name="Normal 15 4 2 3 2" xfId="915"/>
    <cellStyle name="Normal 15 4 2 4" xfId="916"/>
    <cellStyle name="Normal 15 4 3" xfId="917"/>
    <cellStyle name="Normal 15 4 3 2" xfId="918"/>
    <cellStyle name="Normal 15 4 3 2 2" xfId="919"/>
    <cellStyle name="Normal 15 4 3 3" xfId="920"/>
    <cellStyle name="Normal 15 4 4" xfId="921"/>
    <cellStyle name="Normal 15 4 4 2" xfId="922"/>
    <cellStyle name="Normal 15 4 5" xfId="923"/>
    <cellStyle name="Normal 15 5" xfId="924"/>
    <cellStyle name="Normal 15 5 2" xfId="925"/>
    <cellStyle name="Normal 15 5 2 2" xfId="926"/>
    <cellStyle name="Normal 15 5 2 2 2" xfId="927"/>
    <cellStyle name="Normal 15 5 2 3" xfId="928"/>
    <cellStyle name="Normal 15 5 3" xfId="929"/>
    <cellStyle name="Normal 15 5 3 2" xfId="930"/>
    <cellStyle name="Normal 15 5 4" xfId="931"/>
    <cellStyle name="Normal 15 6" xfId="932"/>
    <cellStyle name="Normal 15 6 2" xfId="933"/>
    <cellStyle name="Normal 15 6 2 2" xfId="934"/>
    <cellStyle name="Normal 15 6 3" xfId="935"/>
    <cellStyle name="Normal 15 7" xfId="936"/>
    <cellStyle name="Normal 15 7 2" xfId="937"/>
    <cellStyle name="Normal 15 8" xfId="938"/>
    <cellStyle name="Normal 150" xfId="9263"/>
    <cellStyle name="Normal 151" xfId="9264"/>
    <cellStyle name="Normal 152" xfId="9265"/>
    <cellStyle name="Normal 153" xfId="9266"/>
    <cellStyle name="Normal 154" xfId="9267"/>
    <cellStyle name="Normal 155" xfId="9268"/>
    <cellStyle name="Normal 156" xfId="9269"/>
    <cellStyle name="Normal 157" xfId="9270"/>
    <cellStyle name="Normal 158" xfId="9271"/>
    <cellStyle name="Normal 159" xfId="9272"/>
    <cellStyle name="Normal 16" xfId="939"/>
    <cellStyle name="Normal 16 2" xfId="940"/>
    <cellStyle name="Normal 16 2 2" xfId="9273"/>
    <cellStyle name="Normal 16 2 2 2" xfId="9274"/>
    <cellStyle name="Normal 16 2 2 2 2" xfId="9275"/>
    <cellStyle name="Normal 16 2 2 3" xfId="9276"/>
    <cellStyle name="Normal 16 2 3" xfId="9277"/>
    <cellStyle name="Normal 16 2 3 2" xfId="9278"/>
    <cellStyle name="Normal 16 2 4" xfId="9279"/>
    <cellStyle name="Normal 16 2 5" xfId="9280"/>
    <cellStyle name="Normal 16 3" xfId="9281"/>
    <cellStyle name="Normal 16 3 2" xfId="9282"/>
    <cellStyle name="Normal 16 3 2 2" xfId="9283"/>
    <cellStyle name="Normal 16 3 3" xfId="9284"/>
    <cellStyle name="Normal 16 3 4" xfId="9285"/>
    <cellStyle name="Normal 16 4" xfId="9286"/>
    <cellStyle name="Normal 16 4 2" xfId="9287"/>
    <cellStyle name="Normal 16 5" xfId="9288"/>
    <cellStyle name="Normal 16 6" xfId="9289"/>
    <cellStyle name="Normal 16 7" xfId="9290"/>
    <cellStyle name="Normal 160" xfId="9291"/>
    <cellStyle name="Normal 161" xfId="9292"/>
    <cellStyle name="Normal 162" xfId="9293"/>
    <cellStyle name="Normal 163" xfId="9294"/>
    <cellStyle name="Normal 164" xfId="9295"/>
    <cellStyle name="Normal 165" xfId="9296"/>
    <cellStyle name="Normal 166" xfId="9297"/>
    <cellStyle name="Normal 167" xfId="9298"/>
    <cellStyle name="Normal 168" xfId="9299"/>
    <cellStyle name="Normal 169" xfId="9300"/>
    <cellStyle name="Normal 17" xfId="941"/>
    <cellStyle name="Normal 17 10" xfId="9301"/>
    <cellStyle name="Normal 17 10 2" xfId="9302"/>
    <cellStyle name="Normal 17 11" xfId="9303"/>
    <cellStyle name="Normal 17 12" xfId="9304"/>
    <cellStyle name="Normal 17 13" xfId="9305"/>
    <cellStyle name="Normal 17 14" xfId="9306"/>
    <cellStyle name="Normal 17 15" xfId="9307"/>
    <cellStyle name="Normal 17 16" xfId="9308"/>
    <cellStyle name="Normal 17 2" xfId="2987"/>
    <cellStyle name="Normal 17 2 10" xfId="9309"/>
    <cellStyle name="Normal 17 2 11" xfId="9310"/>
    <cellStyle name="Normal 17 2 12" xfId="9311"/>
    <cellStyle name="Normal 17 2 13" xfId="9312"/>
    <cellStyle name="Normal 17 2 14" xfId="9313"/>
    <cellStyle name="Normal 17 2 2" xfId="9314"/>
    <cellStyle name="Normal 17 2 2 10" xfId="9315"/>
    <cellStyle name="Normal 17 2 2 11" xfId="9316"/>
    <cellStyle name="Normal 17 2 2 12" xfId="9317"/>
    <cellStyle name="Normal 17 2 2 13" xfId="9318"/>
    <cellStyle name="Normal 17 2 2 2" xfId="9319"/>
    <cellStyle name="Normal 17 2 2 2 10" xfId="9320"/>
    <cellStyle name="Normal 17 2 2 2 11" xfId="9321"/>
    <cellStyle name="Normal 17 2 2 2 12" xfId="9322"/>
    <cellStyle name="Normal 17 2 2 2 2" xfId="9323"/>
    <cellStyle name="Normal 17 2 2 2 2 2" xfId="9324"/>
    <cellStyle name="Normal 17 2 2 2 2 2 2" xfId="9325"/>
    <cellStyle name="Normal 17 2 2 2 2 2 3" xfId="9326"/>
    <cellStyle name="Normal 17 2 2 2 2 3" xfId="9327"/>
    <cellStyle name="Normal 17 2 2 2 2 3 2" xfId="9328"/>
    <cellStyle name="Normal 17 2 2 2 2 4" xfId="9329"/>
    <cellStyle name="Normal 17 2 2 2 2 5" xfId="9330"/>
    <cellStyle name="Normal 17 2 2 2 2 6" xfId="9331"/>
    <cellStyle name="Normal 17 2 2 2 2 7" xfId="9332"/>
    <cellStyle name="Normal 17 2 2 2 2 8" xfId="9333"/>
    <cellStyle name="Normal 17 2 2 2 2 9" xfId="9334"/>
    <cellStyle name="Normal 17 2 2 2 3" xfId="9335"/>
    <cellStyle name="Normal 17 2 2 2 3 2" xfId="9336"/>
    <cellStyle name="Normal 17 2 2 2 3 2 2" xfId="9337"/>
    <cellStyle name="Normal 17 2 2 2 3 3" xfId="9338"/>
    <cellStyle name="Normal 17 2 2 2 3 4" xfId="9339"/>
    <cellStyle name="Normal 17 2 2 2 4" xfId="9340"/>
    <cellStyle name="Normal 17 2 2 2 4 2" xfId="9341"/>
    <cellStyle name="Normal 17 2 2 2 5" xfId="9342"/>
    <cellStyle name="Normal 17 2 2 2 5 2" xfId="9343"/>
    <cellStyle name="Normal 17 2 2 2 6" xfId="9344"/>
    <cellStyle name="Normal 17 2 2 2 6 2" xfId="9345"/>
    <cellStyle name="Normal 17 2 2 2 7" xfId="9346"/>
    <cellStyle name="Normal 17 2 2 2 8" xfId="9347"/>
    <cellStyle name="Normal 17 2 2 2 9" xfId="9348"/>
    <cellStyle name="Normal 17 2 2 3" xfId="9349"/>
    <cellStyle name="Normal 17 2 2 3 2" xfId="9350"/>
    <cellStyle name="Normal 17 2 2 3 2 2" xfId="9351"/>
    <cellStyle name="Normal 17 2 2 3 2 3" xfId="9352"/>
    <cellStyle name="Normal 17 2 2 3 3" xfId="9353"/>
    <cellStyle name="Normal 17 2 2 3 3 2" xfId="9354"/>
    <cellStyle name="Normal 17 2 2 3 4" xfId="9355"/>
    <cellStyle name="Normal 17 2 2 3 5" xfId="9356"/>
    <cellStyle name="Normal 17 2 2 3 6" xfId="9357"/>
    <cellStyle name="Normal 17 2 2 3 7" xfId="9358"/>
    <cellStyle name="Normal 17 2 2 3 8" xfId="9359"/>
    <cellStyle name="Normal 17 2 2 3 9" xfId="9360"/>
    <cellStyle name="Normal 17 2 2 4" xfId="9361"/>
    <cellStyle name="Normal 17 2 2 4 2" xfId="9362"/>
    <cellStyle name="Normal 17 2 2 4 2 2" xfId="9363"/>
    <cellStyle name="Normal 17 2 2 4 3" xfId="9364"/>
    <cellStyle name="Normal 17 2 2 4 4" xfId="9365"/>
    <cellStyle name="Normal 17 2 2 5" xfId="9366"/>
    <cellStyle name="Normal 17 2 2 5 2" xfId="9367"/>
    <cellStyle name="Normal 17 2 2 6" xfId="9368"/>
    <cellStyle name="Normal 17 2 2 6 2" xfId="9369"/>
    <cellStyle name="Normal 17 2 2 7" xfId="9370"/>
    <cellStyle name="Normal 17 2 2 7 2" xfId="9371"/>
    <cellStyle name="Normal 17 2 2 8" xfId="9372"/>
    <cellStyle name="Normal 17 2 2 9" xfId="9373"/>
    <cellStyle name="Normal 17 2 3" xfId="9374"/>
    <cellStyle name="Normal 17 2 3 10" xfId="9375"/>
    <cellStyle name="Normal 17 2 3 11" xfId="9376"/>
    <cellStyle name="Normal 17 2 3 12" xfId="9377"/>
    <cellStyle name="Normal 17 2 3 2" xfId="9378"/>
    <cellStyle name="Normal 17 2 3 2 2" xfId="9379"/>
    <cellStyle name="Normal 17 2 3 2 2 2" xfId="9380"/>
    <cellStyle name="Normal 17 2 3 2 2 3" xfId="9381"/>
    <cellStyle name="Normal 17 2 3 2 3" xfId="9382"/>
    <cellStyle name="Normal 17 2 3 2 3 2" xfId="9383"/>
    <cellStyle name="Normal 17 2 3 2 4" xfId="9384"/>
    <cellStyle name="Normal 17 2 3 2 5" xfId="9385"/>
    <cellStyle name="Normal 17 2 3 2 6" xfId="9386"/>
    <cellStyle name="Normal 17 2 3 2 7" xfId="9387"/>
    <cellStyle name="Normal 17 2 3 2 8" xfId="9388"/>
    <cellStyle name="Normal 17 2 3 2 9" xfId="9389"/>
    <cellStyle name="Normal 17 2 3 3" xfId="9390"/>
    <cellStyle name="Normal 17 2 3 3 2" xfId="9391"/>
    <cellStyle name="Normal 17 2 3 3 2 2" xfId="9392"/>
    <cellStyle name="Normal 17 2 3 3 3" xfId="9393"/>
    <cellStyle name="Normal 17 2 3 3 4" xfId="9394"/>
    <cellStyle name="Normal 17 2 3 4" xfId="9395"/>
    <cellStyle name="Normal 17 2 3 4 2" xfId="9396"/>
    <cellStyle name="Normal 17 2 3 5" xfId="9397"/>
    <cellStyle name="Normal 17 2 3 5 2" xfId="9398"/>
    <cellStyle name="Normal 17 2 3 6" xfId="9399"/>
    <cellStyle name="Normal 17 2 3 6 2" xfId="9400"/>
    <cellStyle name="Normal 17 2 3 7" xfId="9401"/>
    <cellStyle name="Normal 17 2 3 8" xfId="9402"/>
    <cellStyle name="Normal 17 2 3 9" xfId="9403"/>
    <cellStyle name="Normal 17 2 4" xfId="9404"/>
    <cellStyle name="Normal 17 2 4 2" xfId="9405"/>
    <cellStyle name="Normal 17 2 4 2 2" xfId="9406"/>
    <cellStyle name="Normal 17 2 4 2 3" xfId="9407"/>
    <cellStyle name="Normal 17 2 4 3" xfId="9408"/>
    <cellStyle name="Normal 17 2 4 3 2" xfId="9409"/>
    <cellStyle name="Normal 17 2 4 4" xfId="9410"/>
    <cellStyle name="Normal 17 2 4 5" xfId="9411"/>
    <cellStyle name="Normal 17 2 4 6" xfId="9412"/>
    <cellStyle name="Normal 17 2 4 7" xfId="9413"/>
    <cellStyle name="Normal 17 2 4 8" xfId="9414"/>
    <cellStyle name="Normal 17 2 4 9" xfId="9415"/>
    <cellStyle name="Normal 17 2 5" xfId="9416"/>
    <cellStyle name="Normal 17 2 5 2" xfId="9417"/>
    <cellStyle name="Normal 17 2 5 2 2" xfId="9418"/>
    <cellStyle name="Normal 17 2 5 3" xfId="9419"/>
    <cellStyle name="Normal 17 2 5 4" xfId="9420"/>
    <cellStyle name="Normal 17 2 5 5" xfId="9421"/>
    <cellStyle name="Normal 17 2 6" xfId="9422"/>
    <cellStyle name="Normal 17 2 6 2" xfId="9423"/>
    <cellStyle name="Normal 17 2 7" xfId="9424"/>
    <cellStyle name="Normal 17 2 7 2" xfId="9425"/>
    <cellStyle name="Normal 17 2 8" xfId="9426"/>
    <cellStyle name="Normal 17 2 8 2" xfId="9427"/>
    <cellStyle name="Normal 17 2 9" xfId="9428"/>
    <cellStyle name="Normal 17 3" xfId="9429"/>
    <cellStyle name="Normal 17 3 10" xfId="9430"/>
    <cellStyle name="Normal 17 3 11" xfId="9431"/>
    <cellStyle name="Normal 17 3 12" xfId="9432"/>
    <cellStyle name="Normal 17 3 13" xfId="9433"/>
    <cellStyle name="Normal 17 3 2" xfId="9434"/>
    <cellStyle name="Normal 17 3 2 10" xfId="9435"/>
    <cellStyle name="Normal 17 3 2 11" xfId="9436"/>
    <cellStyle name="Normal 17 3 2 12" xfId="9437"/>
    <cellStyle name="Normal 17 3 2 2" xfId="9438"/>
    <cellStyle name="Normal 17 3 2 2 2" xfId="9439"/>
    <cellStyle name="Normal 17 3 2 2 2 2" xfId="9440"/>
    <cellStyle name="Normal 17 3 2 2 2 3" xfId="9441"/>
    <cellStyle name="Normal 17 3 2 2 3" xfId="9442"/>
    <cellStyle name="Normal 17 3 2 2 3 2" xfId="9443"/>
    <cellStyle name="Normal 17 3 2 2 4" xfId="9444"/>
    <cellStyle name="Normal 17 3 2 2 5" xfId="9445"/>
    <cellStyle name="Normal 17 3 2 2 6" xfId="9446"/>
    <cellStyle name="Normal 17 3 2 2 7" xfId="9447"/>
    <cellStyle name="Normal 17 3 2 2 8" xfId="9448"/>
    <cellStyle name="Normal 17 3 2 2 9" xfId="9449"/>
    <cellStyle name="Normal 17 3 2 3" xfId="9450"/>
    <cellStyle name="Normal 17 3 2 3 2" xfId="9451"/>
    <cellStyle name="Normal 17 3 2 3 2 2" xfId="9452"/>
    <cellStyle name="Normal 17 3 2 3 3" xfId="9453"/>
    <cellStyle name="Normal 17 3 2 3 4" xfId="9454"/>
    <cellStyle name="Normal 17 3 2 4" xfId="9455"/>
    <cellStyle name="Normal 17 3 2 4 2" xfId="9456"/>
    <cellStyle name="Normal 17 3 2 5" xfId="9457"/>
    <cellStyle name="Normal 17 3 2 5 2" xfId="9458"/>
    <cellStyle name="Normal 17 3 2 6" xfId="9459"/>
    <cellStyle name="Normal 17 3 2 6 2" xfId="9460"/>
    <cellStyle name="Normal 17 3 2 7" xfId="9461"/>
    <cellStyle name="Normal 17 3 2 8" xfId="9462"/>
    <cellStyle name="Normal 17 3 2 9" xfId="9463"/>
    <cellStyle name="Normal 17 3 3" xfId="9464"/>
    <cellStyle name="Normal 17 3 3 2" xfId="9465"/>
    <cellStyle name="Normal 17 3 3 2 2" xfId="9466"/>
    <cellStyle name="Normal 17 3 3 2 3" xfId="9467"/>
    <cellStyle name="Normal 17 3 3 3" xfId="9468"/>
    <cellStyle name="Normal 17 3 3 3 2" xfId="9469"/>
    <cellStyle name="Normal 17 3 3 4" xfId="9470"/>
    <cellStyle name="Normal 17 3 3 5" xfId="9471"/>
    <cellStyle name="Normal 17 3 3 6" xfId="9472"/>
    <cellStyle name="Normal 17 3 3 7" xfId="9473"/>
    <cellStyle name="Normal 17 3 3 8" xfId="9474"/>
    <cellStyle name="Normal 17 3 3 9" xfId="9475"/>
    <cellStyle name="Normal 17 3 4" xfId="9476"/>
    <cellStyle name="Normal 17 3 4 2" xfId="9477"/>
    <cellStyle name="Normal 17 3 4 2 2" xfId="9478"/>
    <cellStyle name="Normal 17 3 4 3" xfId="9479"/>
    <cellStyle name="Normal 17 3 4 4" xfId="9480"/>
    <cellStyle name="Normal 17 3 5" xfId="9481"/>
    <cellStyle name="Normal 17 3 5 2" xfId="9482"/>
    <cellStyle name="Normal 17 3 6" xfId="9483"/>
    <cellStyle name="Normal 17 3 6 2" xfId="9484"/>
    <cellStyle name="Normal 17 3 7" xfId="9485"/>
    <cellStyle name="Normal 17 3 7 2" xfId="9486"/>
    <cellStyle name="Normal 17 3 8" xfId="9487"/>
    <cellStyle name="Normal 17 3 9" xfId="9488"/>
    <cellStyle name="Normal 17 4" xfId="9489"/>
    <cellStyle name="Normal 17 4 10" xfId="9490"/>
    <cellStyle name="Normal 17 4 11" xfId="9491"/>
    <cellStyle name="Normal 17 4 12" xfId="9492"/>
    <cellStyle name="Normal 17 4 2" xfId="9493"/>
    <cellStyle name="Normal 17 4 2 2" xfId="9494"/>
    <cellStyle name="Normal 17 4 2 2 2" xfId="9495"/>
    <cellStyle name="Normal 17 4 2 2 3" xfId="9496"/>
    <cellStyle name="Normal 17 4 2 3" xfId="9497"/>
    <cellStyle name="Normal 17 4 2 3 2" xfId="9498"/>
    <cellStyle name="Normal 17 4 2 4" xfId="9499"/>
    <cellStyle name="Normal 17 4 2 5" xfId="9500"/>
    <cellStyle name="Normal 17 4 2 6" xfId="9501"/>
    <cellStyle name="Normal 17 4 2 7" xfId="9502"/>
    <cellStyle name="Normal 17 4 2 8" xfId="9503"/>
    <cellStyle name="Normal 17 4 2 9" xfId="9504"/>
    <cellStyle name="Normal 17 4 3" xfId="9505"/>
    <cellStyle name="Normal 17 4 3 2" xfId="9506"/>
    <cellStyle name="Normal 17 4 3 2 2" xfId="9507"/>
    <cellStyle name="Normal 17 4 3 3" xfId="9508"/>
    <cellStyle name="Normal 17 4 3 4" xfId="9509"/>
    <cellStyle name="Normal 17 4 4" xfId="9510"/>
    <cellStyle name="Normal 17 4 4 2" xfId="9511"/>
    <cellStyle name="Normal 17 4 5" xfId="9512"/>
    <cellStyle name="Normal 17 4 5 2" xfId="9513"/>
    <cellStyle name="Normal 17 4 6" xfId="9514"/>
    <cellStyle name="Normal 17 4 6 2" xfId="9515"/>
    <cellStyle name="Normal 17 4 7" xfId="9516"/>
    <cellStyle name="Normal 17 4 8" xfId="9517"/>
    <cellStyle name="Normal 17 4 9" xfId="9518"/>
    <cellStyle name="Normal 17 5" xfId="9519"/>
    <cellStyle name="Normal 17 5 2" xfId="9520"/>
    <cellStyle name="Normal 17 6" xfId="9521"/>
    <cellStyle name="Normal 17 6 2" xfId="9522"/>
    <cellStyle name="Normal 17 6 2 2" xfId="9523"/>
    <cellStyle name="Normal 17 6 2 3" xfId="9524"/>
    <cellStyle name="Normal 17 6 3" xfId="9525"/>
    <cellStyle name="Normal 17 6 3 2" xfId="9526"/>
    <cellStyle name="Normal 17 6 4" xfId="9527"/>
    <cellStyle name="Normal 17 6 5" xfId="9528"/>
    <cellStyle name="Normal 17 6 6" xfId="9529"/>
    <cellStyle name="Normal 17 6 7" xfId="9530"/>
    <cellStyle name="Normal 17 6 8" xfId="9531"/>
    <cellStyle name="Normal 17 6 9" xfId="9532"/>
    <cellStyle name="Normal 17 7" xfId="9533"/>
    <cellStyle name="Normal 17 7 2" xfId="9534"/>
    <cellStyle name="Normal 17 7 2 2" xfId="9535"/>
    <cellStyle name="Normal 17 7 3" xfId="9536"/>
    <cellStyle name="Normal 17 7 4" xfId="9537"/>
    <cellStyle name="Normal 17 8" xfId="9538"/>
    <cellStyle name="Normal 17 8 2" xfId="9539"/>
    <cellStyle name="Normal 17 9" xfId="9540"/>
    <cellStyle name="Normal 17 9 2" xfId="9541"/>
    <cellStyle name="Normal 170" xfId="9542"/>
    <cellStyle name="Normal 171" xfId="9543"/>
    <cellStyle name="Normal 172" xfId="9544"/>
    <cellStyle name="Normal 173" xfId="9545"/>
    <cellStyle name="Normal 174" xfId="9546"/>
    <cellStyle name="Normal 175" xfId="9547"/>
    <cellStyle name="Normal 176" xfId="9548"/>
    <cellStyle name="Normal 177" xfId="9549"/>
    <cellStyle name="Normal 178" xfId="9550"/>
    <cellStyle name="Normal 179" xfId="9551"/>
    <cellStyle name="Normal 18" xfId="2988"/>
    <cellStyle name="Normal 18 10" xfId="9552"/>
    <cellStyle name="Normal 18 11" xfId="9553"/>
    <cellStyle name="Normal 18 12" xfId="9554"/>
    <cellStyle name="Normal 18 13" xfId="9555"/>
    <cellStyle name="Normal 18 14" xfId="9556"/>
    <cellStyle name="Normal 18 15" xfId="9557"/>
    <cellStyle name="Normal 18 16" xfId="16882"/>
    <cellStyle name="Normal 18 2" xfId="9558"/>
    <cellStyle name="Normal 18 2 10" xfId="9559"/>
    <cellStyle name="Normal 18 2 11" xfId="9560"/>
    <cellStyle name="Normal 18 2 12" xfId="9561"/>
    <cellStyle name="Normal 18 2 13" xfId="9562"/>
    <cellStyle name="Normal 18 2 14" xfId="9563"/>
    <cellStyle name="Normal 18 2 2" xfId="9564"/>
    <cellStyle name="Normal 18 2 2 10" xfId="9565"/>
    <cellStyle name="Normal 18 2 2 11" xfId="9566"/>
    <cellStyle name="Normal 18 2 2 12" xfId="9567"/>
    <cellStyle name="Normal 18 2 2 13" xfId="9568"/>
    <cellStyle name="Normal 18 2 2 2" xfId="9569"/>
    <cellStyle name="Normal 18 2 2 2 10" xfId="9570"/>
    <cellStyle name="Normal 18 2 2 2 11" xfId="9571"/>
    <cellStyle name="Normal 18 2 2 2 12" xfId="9572"/>
    <cellStyle name="Normal 18 2 2 2 2" xfId="9573"/>
    <cellStyle name="Normal 18 2 2 2 2 2" xfId="9574"/>
    <cellStyle name="Normal 18 2 2 2 2 2 2" xfId="9575"/>
    <cellStyle name="Normal 18 2 2 2 2 2 3" xfId="9576"/>
    <cellStyle name="Normal 18 2 2 2 2 3" xfId="9577"/>
    <cellStyle name="Normal 18 2 2 2 2 3 2" xfId="9578"/>
    <cellStyle name="Normal 18 2 2 2 2 4" xfId="9579"/>
    <cellStyle name="Normal 18 2 2 2 2 5" xfId="9580"/>
    <cellStyle name="Normal 18 2 2 2 2 6" xfId="9581"/>
    <cellStyle name="Normal 18 2 2 2 2 7" xfId="9582"/>
    <cellStyle name="Normal 18 2 2 2 2 8" xfId="9583"/>
    <cellStyle name="Normal 18 2 2 2 2 9" xfId="9584"/>
    <cellStyle name="Normal 18 2 2 2 3" xfId="9585"/>
    <cellStyle name="Normal 18 2 2 2 3 2" xfId="9586"/>
    <cellStyle name="Normal 18 2 2 2 3 2 2" xfId="9587"/>
    <cellStyle name="Normal 18 2 2 2 3 3" xfId="9588"/>
    <cellStyle name="Normal 18 2 2 2 3 4" xfId="9589"/>
    <cellStyle name="Normal 18 2 2 2 4" xfId="9590"/>
    <cellStyle name="Normal 18 2 2 2 4 2" xfId="9591"/>
    <cellStyle name="Normal 18 2 2 2 5" xfId="9592"/>
    <cellStyle name="Normal 18 2 2 2 5 2" xfId="9593"/>
    <cellStyle name="Normal 18 2 2 2 6" xfId="9594"/>
    <cellStyle name="Normal 18 2 2 2 6 2" xfId="9595"/>
    <cellStyle name="Normal 18 2 2 2 7" xfId="9596"/>
    <cellStyle name="Normal 18 2 2 2 8" xfId="9597"/>
    <cellStyle name="Normal 18 2 2 2 9" xfId="9598"/>
    <cellStyle name="Normal 18 2 2 3" xfId="9599"/>
    <cellStyle name="Normal 18 2 2 3 2" xfId="9600"/>
    <cellStyle name="Normal 18 2 2 3 2 2" xfId="9601"/>
    <cellStyle name="Normal 18 2 2 3 2 3" xfId="9602"/>
    <cellStyle name="Normal 18 2 2 3 3" xfId="9603"/>
    <cellStyle name="Normal 18 2 2 3 3 2" xfId="9604"/>
    <cellStyle name="Normal 18 2 2 3 4" xfId="9605"/>
    <cellStyle name="Normal 18 2 2 3 5" xfId="9606"/>
    <cellStyle name="Normal 18 2 2 3 6" xfId="9607"/>
    <cellStyle name="Normal 18 2 2 3 7" xfId="9608"/>
    <cellStyle name="Normal 18 2 2 3 8" xfId="9609"/>
    <cellStyle name="Normal 18 2 2 3 9" xfId="9610"/>
    <cellStyle name="Normal 18 2 2 4" xfId="9611"/>
    <cellStyle name="Normal 18 2 2 4 2" xfId="9612"/>
    <cellStyle name="Normal 18 2 2 4 2 2" xfId="9613"/>
    <cellStyle name="Normal 18 2 2 4 3" xfId="9614"/>
    <cellStyle name="Normal 18 2 2 4 4" xfId="9615"/>
    <cellStyle name="Normal 18 2 2 5" xfId="9616"/>
    <cellStyle name="Normal 18 2 2 5 2" xfId="9617"/>
    <cellStyle name="Normal 18 2 2 6" xfId="9618"/>
    <cellStyle name="Normal 18 2 2 6 2" xfId="9619"/>
    <cellStyle name="Normal 18 2 2 7" xfId="9620"/>
    <cellStyle name="Normal 18 2 2 7 2" xfId="9621"/>
    <cellStyle name="Normal 18 2 2 8" xfId="9622"/>
    <cellStyle name="Normal 18 2 2 9" xfId="9623"/>
    <cellStyle name="Normal 18 2 3" xfId="9624"/>
    <cellStyle name="Normal 18 2 3 10" xfId="9625"/>
    <cellStyle name="Normal 18 2 3 11" xfId="9626"/>
    <cellStyle name="Normal 18 2 3 12" xfId="9627"/>
    <cellStyle name="Normal 18 2 3 2" xfId="9628"/>
    <cellStyle name="Normal 18 2 3 2 2" xfId="9629"/>
    <cellStyle name="Normal 18 2 3 2 2 2" xfId="9630"/>
    <cellStyle name="Normal 18 2 3 2 2 3" xfId="9631"/>
    <cellStyle name="Normal 18 2 3 2 3" xfId="9632"/>
    <cellStyle name="Normal 18 2 3 2 3 2" xfId="9633"/>
    <cellStyle name="Normal 18 2 3 2 4" xfId="9634"/>
    <cellStyle name="Normal 18 2 3 2 5" xfId="9635"/>
    <cellStyle name="Normal 18 2 3 2 6" xfId="9636"/>
    <cellStyle name="Normal 18 2 3 2 7" xfId="9637"/>
    <cellStyle name="Normal 18 2 3 2 8" xfId="9638"/>
    <cellStyle name="Normal 18 2 3 2 9" xfId="9639"/>
    <cellStyle name="Normal 18 2 3 3" xfId="9640"/>
    <cellStyle name="Normal 18 2 3 3 2" xfId="9641"/>
    <cellStyle name="Normal 18 2 3 3 2 2" xfId="9642"/>
    <cellStyle name="Normal 18 2 3 3 3" xfId="9643"/>
    <cellStyle name="Normal 18 2 3 3 4" xfId="9644"/>
    <cellStyle name="Normal 18 2 3 4" xfId="9645"/>
    <cellStyle name="Normal 18 2 3 4 2" xfId="9646"/>
    <cellStyle name="Normal 18 2 3 5" xfId="9647"/>
    <cellStyle name="Normal 18 2 3 5 2" xfId="9648"/>
    <cellStyle name="Normal 18 2 3 6" xfId="9649"/>
    <cellStyle name="Normal 18 2 3 6 2" xfId="9650"/>
    <cellStyle name="Normal 18 2 3 7" xfId="9651"/>
    <cellStyle name="Normal 18 2 3 8" xfId="9652"/>
    <cellStyle name="Normal 18 2 3 9" xfId="9653"/>
    <cellStyle name="Normal 18 2 4" xfId="9654"/>
    <cellStyle name="Normal 18 2 4 2" xfId="9655"/>
    <cellStyle name="Normal 18 2 4 2 2" xfId="9656"/>
    <cellStyle name="Normal 18 2 4 2 3" xfId="9657"/>
    <cellStyle name="Normal 18 2 4 3" xfId="9658"/>
    <cellStyle name="Normal 18 2 4 3 2" xfId="9659"/>
    <cellStyle name="Normal 18 2 4 4" xfId="9660"/>
    <cellStyle name="Normal 18 2 4 5" xfId="9661"/>
    <cellStyle name="Normal 18 2 4 6" xfId="9662"/>
    <cellStyle name="Normal 18 2 4 7" xfId="9663"/>
    <cellStyle name="Normal 18 2 4 8" xfId="9664"/>
    <cellStyle name="Normal 18 2 4 9" xfId="9665"/>
    <cellStyle name="Normal 18 2 5" xfId="9666"/>
    <cellStyle name="Normal 18 2 5 2" xfId="9667"/>
    <cellStyle name="Normal 18 2 5 2 2" xfId="9668"/>
    <cellStyle name="Normal 18 2 5 3" xfId="9669"/>
    <cellStyle name="Normal 18 2 5 4" xfId="9670"/>
    <cellStyle name="Normal 18 2 5 5" xfId="9671"/>
    <cellStyle name="Normal 18 2 6" xfId="9672"/>
    <cellStyle name="Normal 18 2 6 2" xfId="9673"/>
    <cellStyle name="Normal 18 2 7" xfId="9674"/>
    <cellStyle name="Normal 18 2 7 2" xfId="9675"/>
    <cellStyle name="Normal 18 2 8" xfId="9676"/>
    <cellStyle name="Normal 18 2 8 2" xfId="9677"/>
    <cellStyle name="Normal 18 2 9" xfId="9678"/>
    <cellStyle name="Normal 18 3" xfId="9679"/>
    <cellStyle name="Normal 18 3 10" xfId="9680"/>
    <cellStyle name="Normal 18 3 11" xfId="9681"/>
    <cellStyle name="Normal 18 3 12" xfId="9682"/>
    <cellStyle name="Normal 18 3 13" xfId="9683"/>
    <cellStyle name="Normal 18 3 2" xfId="9684"/>
    <cellStyle name="Normal 18 3 2 10" xfId="9685"/>
    <cellStyle name="Normal 18 3 2 11" xfId="9686"/>
    <cellStyle name="Normal 18 3 2 12" xfId="9687"/>
    <cellStyle name="Normal 18 3 2 2" xfId="9688"/>
    <cellStyle name="Normal 18 3 2 2 2" xfId="9689"/>
    <cellStyle name="Normal 18 3 2 2 2 2" xfId="9690"/>
    <cellStyle name="Normal 18 3 2 2 2 3" xfId="9691"/>
    <cellStyle name="Normal 18 3 2 2 3" xfId="9692"/>
    <cellStyle name="Normal 18 3 2 2 3 2" xfId="9693"/>
    <cellStyle name="Normal 18 3 2 2 4" xfId="9694"/>
    <cellStyle name="Normal 18 3 2 2 5" xfId="9695"/>
    <cellStyle name="Normal 18 3 2 2 6" xfId="9696"/>
    <cellStyle name="Normal 18 3 2 2 7" xfId="9697"/>
    <cellStyle name="Normal 18 3 2 2 8" xfId="9698"/>
    <cellStyle name="Normal 18 3 2 2 9" xfId="9699"/>
    <cellStyle name="Normal 18 3 2 3" xfId="9700"/>
    <cellStyle name="Normal 18 3 2 3 2" xfId="9701"/>
    <cellStyle name="Normal 18 3 2 3 2 2" xfId="9702"/>
    <cellStyle name="Normal 18 3 2 3 3" xfId="9703"/>
    <cellStyle name="Normal 18 3 2 3 4" xfId="9704"/>
    <cellStyle name="Normal 18 3 2 4" xfId="9705"/>
    <cellStyle name="Normal 18 3 2 4 2" xfId="9706"/>
    <cellStyle name="Normal 18 3 2 5" xfId="9707"/>
    <cellStyle name="Normal 18 3 2 5 2" xfId="9708"/>
    <cellStyle name="Normal 18 3 2 6" xfId="9709"/>
    <cellStyle name="Normal 18 3 2 6 2" xfId="9710"/>
    <cellStyle name="Normal 18 3 2 7" xfId="9711"/>
    <cellStyle name="Normal 18 3 2 8" xfId="9712"/>
    <cellStyle name="Normal 18 3 2 9" xfId="9713"/>
    <cellStyle name="Normal 18 3 3" xfId="9714"/>
    <cellStyle name="Normal 18 3 3 2" xfId="9715"/>
    <cellStyle name="Normal 18 3 3 2 2" xfId="9716"/>
    <cellStyle name="Normal 18 3 3 2 3" xfId="9717"/>
    <cellStyle name="Normal 18 3 3 3" xfId="9718"/>
    <cellStyle name="Normal 18 3 3 3 2" xfId="9719"/>
    <cellStyle name="Normal 18 3 3 4" xfId="9720"/>
    <cellStyle name="Normal 18 3 3 5" xfId="9721"/>
    <cellStyle name="Normal 18 3 3 6" xfId="9722"/>
    <cellStyle name="Normal 18 3 3 7" xfId="9723"/>
    <cellStyle name="Normal 18 3 3 8" xfId="9724"/>
    <cellStyle name="Normal 18 3 3 9" xfId="9725"/>
    <cellStyle name="Normal 18 3 4" xfId="9726"/>
    <cellStyle name="Normal 18 3 4 2" xfId="9727"/>
    <cellStyle name="Normal 18 3 4 2 2" xfId="9728"/>
    <cellStyle name="Normal 18 3 4 3" xfId="9729"/>
    <cellStyle name="Normal 18 3 4 4" xfId="9730"/>
    <cellStyle name="Normal 18 3 5" xfId="9731"/>
    <cellStyle name="Normal 18 3 5 2" xfId="9732"/>
    <cellStyle name="Normal 18 3 6" xfId="9733"/>
    <cellStyle name="Normal 18 3 6 2" xfId="9734"/>
    <cellStyle name="Normal 18 3 7" xfId="9735"/>
    <cellStyle name="Normal 18 3 7 2" xfId="9736"/>
    <cellStyle name="Normal 18 3 8" xfId="9737"/>
    <cellStyle name="Normal 18 3 9" xfId="9738"/>
    <cellStyle name="Normal 18 4" xfId="9739"/>
    <cellStyle name="Normal 18 4 10" xfId="9740"/>
    <cellStyle name="Normal 18 4 11" xfId="9741"/>
    <cellStyle name="Normal 18 4 12" xfId="9742"/>
    <cellStyle name="Normal 18 4 2" xfId="9743"/>
    <cellStyle name="Normal 18 4 2 2" xfId="9744"/>
    <cellStyle name="Normal 18 4 2 2 2" xfId="9745"/>
    <cellStyle name="Normal 18 4 2 2 3" xfId="9746"/>
    <cellStyle name="Normal 18 4 2 3" xfId="9747"/>
    <cellStyle name="Normal 18 4 2 3 2" xfId="9748"/>
    <cellStyle name="Normal 18 4 2 4" xfId="9749"/>
    <cellStyle name="Normal 18 4 2 5" xfId="9750"/>
    <cellStyle name="Normal 18 4 2 6" xfId="9751"/>
    <cellStyle name="Normal 18 4 2 7" xfId="9752"/>
    <cellStyle name="Normal 18 4 2 8" xfId="9753"/>
    <cellStyle name="Normal 18 4 2 9" xfId="9754"/>
    <cellStyle name="Normal 18 4 3" xfId="9755"/>
    <cellStyle name="Normal 18 4 3 2" xfId="9756"/>
    <cellStyle name="Normal 18 4 3 2 2" xfId="9757"/>
    <cellStyle name="Normal 18 4 3 3" xfId="9758"/>
    <cellStyle name="Normal 18 4 3 4" xfId="9759"/>
    <cellStyle name="Normal 18 4 4" xfId="9760"/>
    <cellStyle name="Normal 18 4 4 2" xfId="9761"/>
    <cellStyle name="Normal 18 4 5" xfId="9762"/>
    <cellStyle name="Normal 18 4 5 2" xfId="9763"/>
    <cellStyle name="Normal 18 4 6" xfId="9764"/>
    <cellStyle name="Normal 18 4 6 2" xfId="9765"/>
    <cellStyle name="Normal 18 4 7" xfId="9766"/>
    <cellStyle name="Normal 18 4 8" xfId="9767"/>
    <cellStyle name="Normal 18 4 9" xfId="9768"/>
    <cellStyle name="Normal 18 5" xfId="9769"/>
    <cellStyle name="Normal 18 5 2" xfId="9770"/>
    <cellStyle name="Normal 18 5 2 2" xfId="9771"/>
    <cellStyle name="Normal 18 5 2 3" xfId="9772"/>
    <cellStyle name="Normal 18 5 3" xfId="9773"/>
    <cellStyle name="Normal 18 5 3 2" xfId="9774"/>
    <cellStyle name="Normal 18 5 4" xfId="9775"/>
    <cellStyle name="Normal 18 5 5" xfId="9776"/>
    <cellStyle name="Normal 18 5 6" xfId="9777"/>
    <cellStyle name="Normal 18 5 7" xfId="9778"/>
    <cellStyle name="Normal 18 5 8" xfId="9779"/>
    <cellStyle name="Normal 18 5 9" xfId="9780"/>
    <cellStyle name="Normal 18 6" xfId="9781"/>
    <cellStyle name="Normal 18 6 2" xfId="9782"/>
    <cellStyle name="Normal 18 6 2 2" xfId="9783"/>
    <cellStyle name="Normal 18 6 3" xfId="9784"/>
    <cellStyle name="Normal 18 6 4" xfId="9785"/>
    <cellStyle name="Normal 18 6 5" xfId="9786"/>
    <cellStyle name="Normal 18 7" xfId="9787"/>
    <cellStyle name="Normal 18 7 2" xfId="9788"/>
    <cellStyle name="Normal 18 8" xfId="9789"/>
    <cellStyle name="Normal 18 8 2" xfId="9790"/>
    <cellStyle name="Normal 18 9" xfId="9791"/>
    <cellStyle name="Normal 18 9 2" xfId="9792"/>
    <cellStyle name="Normal 180" xfId="9793"/>
    <cellStyle name="Normal 181" xfId="9794"/>
    <cellStyle name="Normal 182" xfId="9795"/>
    <cellStyle name="Normal 183" xfId="9796"/>
    <cellStyle name="Normal 184" xfId="9797"/>
    <cellStyle name="Normal 185" xfId="9798"/>
    <cellStyle name="Normal 186" xfId="9799"/>
    <cellStyle name="Normal 187" xfId="9800"/>
    <cellStyle name="Normal 188" xfId="9801"/>
    <cellStyle name="Normal 189" xfId="9802"/>
    <cellStyle name="Normal 19" xfId="3225"/>
    <cellStyle name="Normal 19 2" xfId="9803"/>
    <cellStyle name="Normal 19 2 2" xfId="9804"/>
    <cellStyle name="Normal 19 2 2 2" xfId="9805"/>
    <cellStyle name="Normal 19 2 2 2 2" xfId="9806"/>
    <cellStyle name="Normal 19 2 2 3" xfId="9807"/>
    <cellStyle name="Normal 19 2 3" xfId="9808"/>
    <cellStyle name="Normal 19 2 3 2" xfId="9809"/>
    <cellStyle name="Normal 19 2 4" xfId="9810"/>
    <cellStyle name="Normal 19 3" xfId="9811"/>
    <cellStyle name="Normal 19 3 2" xfId="9812"/>
    <cellStyle name="Normal 19 3 2 2" xfId="9813"/>
    <cellStyle name="Normal 19 3 3" xfId="9814"/>
    <cellStyle name="Normal 19 4" xfId="9815"/>
    <cellStyle name="Normal 19 4 2" xfId="9816"/>
    <cellStyle name="Normal 19 5" xfId="9817"/>
    <cellStyle name="Normal 19 6" xfId="9818"/>
    <cellStyle name="Normal 19 7" xfId="9819"/>
    <cellStyle name="Normal 190" xfId="9820"/>
    <cellStyle name="Normal 191" xfId="9821"/>
    <cellStyle name="Normal 192" xfId="9822"/>
    <cellStyle name="Normal 193" xfId="9823"/>
    <cellStyle name="Normal 194" xfId="9824"/>
    <cellStyle name="Normal 195" xfId="9825"/>
    <cellStyle name="Normal 196" xfId="9826"/>
    <cellStyle name="Normal 197" xfId="9827"/>
    <cellStyle name="Normal 198" xfId="9828"/>
    <cellStyle name="Normal 199" xfId="9829"/>
    <cellStyle name="Normal 2" xfId="6"/>
    <cellStyle name="Normal 2 10" xfId="942"/>
    <cellStyle name="Normal 2 10 2" xfId="9830"/>
    <cellStyle name="Normal 2 11" xfId="9831"/>
    <cellStyle name="Normal 2 11 2" xfId="9832"/>
    <cellStyle name="Normal 2 12" xfId="9833"/>
    <cellStyle name="Normal 2 12 2" xfId="9834"/>
    <cellStyle name="Normal 2 13" xfId="9835"/>
    <cellStyle name="Normal 2 13 2" xfId="9836"/>
    <cellStyle name="Normal 2 14" xfId="9837"/>
    <cellStyle name="Normal 2 15" xfId="9838"/>
    <cellStyle name="Normal 2 16" xfId="9839"/>
    <cellStyle name="Normal 2 17" xfId="9840"/>
    <cellStyle name="Normal 2 18" xfId="9841"/>
    <cellStyle name="Normal 2 19" xfId="9842"/>
    <cellStyle name="Normal 2 2" xfId="19"/>
    <cellStyle name="Normal 2 2 2" xfId="943"/>
    <cellStyle name="Normal 2 2 2 10" xfId="9843"/>
    <cellStyle name="Normal 2 2 2 11" xfId="9844"/>
    <cellStyle name="Normal 2 2 2 12" xfId="9845"/>
    <cellStyle name="Normal 2 2 2 13" xfId="9846"/>
    <cellStyle name="Normal 2 2 2 14" xfId="9847"/>
    <cellStyle name="Normal 2 2 2 2" xfId="944"/>
    <cellStyle name="Normal 2 2 2 2 10" xfId="9848"/>
    <cellStyle name="Normal 2 2 2 2 11" xfId="9849"/>
    <cellStyle name="Normal 2 2 2 2 12" xfId="9850"/>
    <cellStyle name="Normal 2 2 2 2 13" xfId="9851"/>
    <cellStyle name="Normal 2 2 2 2 2" xfId="945"/>
    <cellStyle name="Normal 2 2 2 2 2 10" xfId="9852"/>
    <cellStyle name="Normal 2 2 2 2 2 11" xfId="9853"/>
    <cellStyle name="Normal 2 2 2 2 2 2" xfId="946"/>
    <cellStyle name="Normal 2 2 2 2 2 2 2" xfId="947"/>
    <cellStyle name="Normal 2 2 2 2 2 2 2 2" xfId="948"/>
    <cellStyle name="Normal 2 2 2 2 2 2 2 2 2" xfId="949"/>
    <cellStyle name="Normal 2 2 2 2 2 2 2 3" xfId="950"/>
    <cellStyle name="Normal 2 2 2 2 2 2 3" xfId="951"/>
    <cellStyle name="Normal 2 2 2 2 2 2 3 2" xfId="952"/>
    <cellStyle name="Normal 2 2 2 2 2 2 4" xfId="953"/>
    <cellStyle name="Normal 2 2 2 2 2 2 5" xfId="9854"/>
    <cellStyle name="Normal 2 2 2 2 2 2 6" xfId="9855"/>
    <cellStyle name="Normal 2 2 2 2 2 2 7" xfId="9856"/>
    <cellStyle name="Normal 2 2 2 2 2 2 8" xfId="9857"/>
    <cellStyle name="Normal 2 2 2 2 2 3" xfId="954"/>
    <cellStyle name="Normal 2 2 2 2 2 3 2" xfId="955"/>
    <cellStyle name="Normal 2 2 2 2 2 3 2 2" xfId="956"/>
    <cellStyle name="Normal 2 2 2 2 2 3 3" xfId="957"/>
    <cellStyle name="Normal 2 2 2 2 2 3 4" xfId="9858"/>
    <cellStyle name="Normal 2 2 2 2 2 4" xfId="958"/>
    <cellStyle name="Normal 2 2 2 2 2 4 2" xfId="959"/>
    <cellStyle name="Normal 2 2 2 2 2 5" xfId="960"/>
    <cellStyle name="Normal 2 2 2 2 2 5 2" xfId="9859"/>
    <cellStyle name="Normal 2 2 2 2 2 6" xfId="9860"/>
    <cellStyle name="Normal 2 2 2 2 2 6 2" xfId="9861"/>
    <cellStyle name="Normal 2 2 2 2 2 7" xfId="9862"/>
    <cellStyle name="Normal 2 2 2 2 2 8" xfId="9863"/>
    <cellStyle name="Normal 2 2 2 2 2 9" xfId="9864"/>
    <cellStyle name="Normal 2 2 2 2 3" xfId="961"/>
    <cellStyle name="Normal 2 2 2 2 3 2" xfId="962"/>
    <cellStyle name="Normal 2 2 2 2 3 2 2" xfId="963"/>
    <cellStyle name="Normal 2 2 2 2 3 2 2 2" xfId="964"/>
    <cellStyle name="Normal 2 2 2 2 3 2 3" xfId="965"/>
    <cellStyle name="Normal 2 2 2 2 3 3" xfId="966"/>
    <cellStyle name="Normal 2 2 2 2 3 3 2" xfId="967"/>
    <cellStyle name="Normal 2 2 2 2 3 4" xfId="968"/>
    <cellStyle name="Normal 2 2 2 2 3 5" xfId="9865"/>
    <cellStyle name="Normal 2 2 2 2 3 6" xfId="9866"/>
    <cellStyle name="Normal 2 2 2 2 3 7" xfId="9867"/>
    <cellStyle name="Normal 2 2 2 2 3 8" xfId="9868"/>
    <cellStyle name="Normal 2 2 2 2 4" xfId="969"/>
    <cellStyle name="Normal 2 2 2 2 4 2" xfId="970"/>
    <cellStyle name="Normal 2 2 2 2 4 2 2" xfId="971"/>
    <cellStyle name="Normal 2 2 2 2 4 3" xfId="972"/>
    <cellStyle name="Normal 2 2 2 2 4 4" xfId="9869"/>
    <cellStyle name="Normal 2 2 2 2 5" xfId="973"/>
    <cellStyle name="Normal 2 2 2 2 5 2" xfId="974"/>
    <cellStyle name="Normal 2 2 2 2 6" xfId="975"/>
    <cellStyle name="Normal 2 2 2 2 6 2" xfId="9870"/>
    <cellStyle name="Normal 2 2 2 2 7" xfId="9871"/>
    <cellStyle name="Normal 2 2 2 2 7 2" xfId="9872"/>
    <cellStyle name="Normal 2 2 2 2 8" xfId="9873"/>
    <cellStyle name="Normal 2 2 2 2 9" xfId="9874"/>
    <cellStyle name="Normal 2 2 2 3" xfId="976"/>
    <cellStyle name="Normal 2 2 2 3 10" xfId="9875"/>
    <cellStyle name="Normal 2 2 2 3 11" xfId="9876"/>
    <cellStyle name="Normal 2 2 2 3 2" xfId="977"/>
    <cellStyle name="Normal 2 2 2 3 2 2" xfId="978"/>
    <cellStyle name="Normal 2 2 2 3 2 2 2" xfId="979"/>
    <cellStyle name="Normal 2 2 2 3 2 2 2 2" xfId="980"/>
    <cellStyle name="Normal 2 2 2 3 2 2 3" xfId="981"/>
    <cellStyle name="Normal 2 2 2 3 2 3" xfId="982"/>
    <cellStyle name="Normal 2 2 2 3 2 3 2" xfId="983"/>
    <cellStyle name="Normal 2 2 2 3 2 4" xfId="984"/>
    <cellStyle name="Normal 2 2 2 3 2 5" xfId="9877"/>
    <cellStyle name="Normal 2 2 2 3 2 6" xfId="9878"/>
    <cellStyle name="Normal 2 2 2 3 2 7" xfId="9879"/>
    <cellStyle name="Normal 2 2 2 3 2 8" xfId="9880"/>
    <cellStyle name="Normal 2 2 2 3 3" xfId="985"/>
    <cellStyle name="Normal 2 2 2 3 3 2" xfId="986"/>
    <cellStyle name="Normal 2 2 2 3 3 2 2" xfId="987"/>
    <cellStyle name="Normal 2 2 2 3 3 3" xfId="988"/>
    <cellStyle name="Normal 2 2 2 3 3 4" xfId="9881"/>
    <cellStyle name="Normal 2 2 2 3 4" xfId="989"/>
    <cellStyle name="Normal 2 2 2 3 4 2" xfId="990"/>
    <cellStyle name="Normal 2 2 2 3 5" xfId="991"/>
    <cellStyle name="Normal 2 2 2 3 5 2" xfId="9882"/>
    <cellStyle name="Normal 2 2 2 3 6" xfId="9883"/>
    <cellStyle name="Normal 2 2 2 3 6 2" xfId="9884"/>
    <cellStyle name="Normal 2 2 2 3 7" xfId="9885"/>
    <cellStyle name="Normal 2 2 2 3 8" xfId="9886"/>
    <cellStyle name="Normal 2 2 2 3 9" xfId="9887"/>
    <cellStyle name="Normal 2 2 2 4" xfId="992"/>
    <cellStyle name="Normal 2 2 2 4 2" xfId="993"/>
    <cellStyle name="Normal 2 2 2 4 2 2" xfId="994"/>
    <cellStyle name="Normal 2 2 2 4 2 2 2" xfId="995"/>
    <cellStyle name="Normal 2 2 2 4 2 3" xfId="996"/>
    <cellStyle name="Normal 2 2 2 4 3" xfId="997"/>
    <cellStyle name="Normal 2 2 2 4 3 2" xfId="998"/>
    <cellStyle name="Normal 2 2 2 4 4" xfId="999"/>
    <cellStyle name="Normal 2 2 2 4 5" xfId="9888"/>
    <cellStyle name="Normal 2 2 2 4 6" xfId="9889"/>
    <cellStyle name="Normal 2 2 2 4 7" xfId="9890"/>
    <cellStyle name="Normal 2 2 2 4 8" xfId="9891"/>
    <cellStyle name="Normal 2 2 2 5" xfId="1000"/>
    <cellStyle name="Normal 2 2 2 5 2" xfId="1001"/>
    <cellStyle name="Normal 2 2 2 5 2 2" xfId="1002"/>
    <cellStyle name="Normal 2 2 2 5 3" xfId="1003"/>
    <cellStyle name="Normal 2 2 2 5 4" xfId="9892"/>
    <cellStyle name="Normal 2 2 2 6" xfId="1004"/>
    <cellStyle name="Normal 2 2 2 6 2" xfId="1005"/>
    <cellStyle name="Normal 2 2 2 7" xfId="1006"/>
    <cellStyle name="Normal 2 2 2 7 2" xfId="9893"/>
    <cellStyle name="Normal 2 2 2 8" xfId="9894"/>
    <cellStyle name="Normal 2 2 2 8 2" xfId="9895"/>
    <cellStyle name="Normal 2 2 2 9" xfId="9896"/>
    <cellStyle name="Normal 2 2 3" xfId="1007"/>
    <cellStyle name="Normal 2 2 3 2" xfId="1008"/>
    <cellStyle name="Normal 2 2 3 2 2" xfId="1009"/>
    <cellStyle name="Normal 2 2 3 2 2 2" xfId="1010"/>
    <cellStyle name="Normal 2 2 3 2 2 2 2" xfId="1011"/>
    <cellStyle name="Normal 2 2 3 2 2 2 2 2" xfId="1012"/>
    <cellStyle name="Normal 2 2 3 2 2 2 3" xfId="1013"/>
    <cellStyle name="Normal 2 2 3 2 2 3" xfId="1014"/>
    <cellStyle name="Normal 2 2 3 2 2 3 2" xfId="1015"/>
    <cellStyle name="Normal 2 2 3 2 2 4" xfId="1016"/>
    <cellStyle name="Normal 2 2 3 2 3" xfId="1017"/>
    <cellStyle name="Normal 2 2 3 2 3 2" xfId="1018"/>
    <cellStyle name="Normal 2 2 3 2 3 2 2" xfId="1019"/>
    <cellStyle name="Normal 2 2 3 2 3 3" xfId="1020"/>
    <cellStyle name="Normal 2 2 3 2 4" xfId="1021"/>
    <cellStyle name="Normal 2 2 3 2 4 2" xfId="1022"/>
    <cellStyle name="Normal 2 2 3 2 5" xfId="1023"/>
    <cellStyle name="Normal 2 2 3 3" xfId="1024"/>
    <cellStyle name="Normal 2 2 3 3 2" xfId="1025"/>
    <cellStyle name="Normal 2 2 3 3 2 2" xfId="1026"/>
    <cellStyle name="Normal 2 2 3 3 2 2 2" xfId="1027"/>
    <cellStyle name="Normal 2 2 3 3 2 3" xfId="1028"/>
    <cellStyle name="Normal 2 2 3 3 3" xfId="1029"/>
    <cellStyle name="Normal 2 2 3 3 3 2" xfId="1030"/>
    <cellStyle name="Normal 2 2 3 3 4" xfId="1031"/>
    <cellStyle name="Normal 2 2 3 4" xfId="1032"/>
    <cellStyle name="Normal 2 2 3 4 2" xfId="1033"/>
    <cellStyle name="Normal 2 2 3 4 2 2" xfId="1034"/>
    <cellStyle name="Normal 2 2 3 4 3" xfId="1035"/>
    <cellStyle name="Normal 2 2 3 5" xfId="1036"/>
    <cellStyle name="Normal 2 2 3 5 2" xfId="1037"/>
    <cellStyle name="Normal 2 2 3 6" xfId="1038"/>
    <cellStyle name="Normal 2 2 4" xfId="1039"/>
    <cellStyle name="Normal 2 2 4 2" xfId="1040"/>
    <cellStyle name="Normal 2 2 4 2 2" xfId="1041"/>
    <cellStyle name="Normal 2 2 4 2 2 2" xfId="1042"/>
    <cellStyle name="Normal 2 2 4 2 2 2 2" xfId="1043"/>
    <cellStyle name="Normal 2 2 4 2 2 3" xfId="1044"/>
    <cellStyle name="Normal 2 2 4 2 3" xfId="1045"/>
    <cellStyle name="Normal 2 2 4 2 3 2" xfId="1046"/>
    <cellStyle name="Normal 2 2 4 2 4" xfId="1047"/>
    <cellStyle name="Normal 2 2 4 3" xfId="1048"/>
    <cellStyle name="Normal 2 2 4 3 2" xfId="1049"/>
    <cellStyle name="Normal 2 2 4 3 2 2" xfId="1050"/>
    <cellStyle name="Normal 2 2 4 3 3" xfId="1051"/>
    <cellStyle name="Normal 2 2 4 4" xfId="1052"/>
    <cellStyle name="Normal 2 2 4 4 2" xfId="1053"/>
    <cellStyle name="Normal 2 2 4 5" xfId="1054"/>
    <cellStyle name="Normal 2 2 5" xfId="1055"/>
    <cellStyle name="Normal 2 2 5 10" xfId="9897"/>
    <cellStyle name="Normal 2 2 5 11" xfId="9898"/>
    <cellStyle name="Normal 2 2 5 2" xfId="1056"/>
    <cellStyle name="Normal 2 2 5 2 2" xfId="1057"/>
    <cellStyle name="Normal 2 2 5 2 2 2" xfId="1058"/>
    <cellStyle name="Normal 2 2 5 2 2 3" xfId="9899"/>
    <cellStyle name="Normal 2 2 5 2 3" xfId="1059"/>
    <cellStyle name="Normal 2 2 5 2 3 2" xfId="9900"/>
    <cellStyle name="Normal 2 2 5 2 4" xfId="9901"/>
    <cellStyle name="Normal 2 2 5 2 5" xfId="9902"/>
    <cellStyle name="Normal 2 2 5 2 6" xfId="9903"/>
    <cellStyle name="Normal 2 2 5 2 7" xfId="9904"/>
    <cellStyle name="Normal 2 2 5 2 8" xfId="9905"/>
    <cellStyle name="Normal 2 2 5 3" xfId="1060"/>
    <cellStyle name="Normal 2 2 5 3 2" xfId="1061"/>
    <cellStyle name="Normal 2 2 5 3 3" xfId="9906"/>
    <cellStyle name="Normal 2 2 5 4" xfId="1062"/>
    <cellStyle name="Normal 2 2 5 4 2" xfId="9907"/>
    <cellStyle name="Normal 2 2 5 5" xfId="9908"/>
    <cellStyle name="Normal 2 2 5 5 2" xfId="9909"/>
    <cellStyle name="Normal 2 2 5 6" xfId="9910"/>
    <cellStyle name="Normal 2 2 5 7" xfId="9911"/>
    <cellStyle name="Normal 2 2 5 8" xfId="9912"/>
    <cellStyle name="Normal 2 2 5 9" xfId="9913"/>
    <cellStyle name="Normal 2 2 6" xfId="1063"/>
    <cellStyle name="Normal 2 2 6 2" xfId="1064"/>
    <cellStyle name="Normal 2 2 6 2 2" xfId="1065"/>
    <cellStyle name="Normal 2 2 6 2 3" xfId="9914"/>
    <cellStyle name="Normal 2 2 6 3" xfId="1066"/>
    <cellStyle name="Normal 2 2 6 4" xfId="9915"/>
    <cellStyle name="Normal 2 2 6 5" xfId="9916"/>
    <cellStyle name="Normal 2 2 6 6" xfId="9917"/>
    <cellStyle name="Normal 2 2 6 7" xfId="9918"/>
    <cellStyle name="Normal 2 2 7" xfId="1067"/>
    <cellStyle name="Normal 2 2 7 2" xfId="1068"/>
    <cellStyle name="Normal 2 2 8" xfId="1069"/>
    <cellStyle name="Normal 2 2 9" xfId="41"/>
    <cellStyle name="Normal 2 2_II-I-1 TRAN" xfId="9919"/>
    <cellStyle name="Normal 2 20" xfId="9920"/>
    <cellStyle name="Normal 2 21" xfId="9921"/>
    <cellStyle name="Normal 2 22" xfId="9922"/>
    <cellStyle name="Normal 2 23" xfId="9923"/>
    <cellStyle name="Normal 2 24" xfId="9924"/>
    <cellStyle name="Normal 2 25" xfId="9925"/>
    <cellStyle name="Normal 2 3" xfId="21"/>
    <cellStyle name="Normal 2 3 2" xfId="28"/>
    <cellStyle name="Normal 2 3 2 10" xfId="9926"/>
    <cellStyle name="Normal 2 3 2 11" xfId="9927"/>
    <cellStyle name="Normal 2 3 2 12" xfId="9928"/>
    <cellStyle name="Normal 2 3 2 13" xfId="9929"/>
    <cellStyle name="Normal 2 3 2 14" xfId="9930"/>
    <cellStyle name="Normal 2 3 2 15" xfId="1071"/>
    <cellStyle name="Normal 2 3 2 2" xfId="1072"/>
    <cellStyle name="Normal 2 3 2 2 10" xfId="9931"/>
    <cellStyle name="Normal 2 3 2 2 11" xfId="9932"/>
    <cellStyle name="Normal 2 3 2 2 12" xfId="9933"/>
    <cellStyle name="Normal 2 3 2 2 13" xfId="9934"/>
    <cellStyle name="Normal 2 3 2 2 2" xfId="1073"/>
    <cellStyle name="Normal 2 3 2 2 2 10" xfId="9935"/>
    <cellStyle name="Normal 2 3 2 2 2 11" xfId="9936"/>
    <cellStyle name="Normal 2 3 2 2 2 12" xfId="9937"/>
    <cellStyle name="Normal 2 3 2 2 2 2" xfId="1074"/>
    <cellStyle name="Normal 2 3 2 2 2 2 2" xfId="1075"/>
    <cellStyle name="Normal 2 3 2 2 2 2 2 2" xfId="1076"/>
    <cellStyle name="Normal 2 3 2 2 2 2 2 3" xfId="9938"/>
    <cellStyle name="Normal 2 3 2 2 2 2 3" xfId="1077"/>
    <cellStyle name="Normal 2 3 2 2 2 2 3 2" xfId="9939"/>
    <cellStyle name="Normal 2 3 2 2 2 2 4" xfId="9940"/>
    <cellStyle name="Normal 2 3 2 2 2 2 5" xfId="9941"/>
    <cellStyle name="Normal 2 3 2 2 2 2 6" xfId="9942"/>
    <cellStyle name="Normal 2 3 2 2 2 2 7" xfId="9943"/>
    <cellStyle name="Normal 2 3 2 2 2 2 8" xfId="9944"/>
    <cellStyle name="Normal 2 3 2 2 2 2 9" xfId="9945"/>
    <cellStyle name="Normal 2 3 2 2 2 3" xfId="1078"/>
    <cellStyle name="Normal 2 3 2 2 2 3 2" xfId="1079"/>
    <cellStyle name="Normal 2 3 2 2 2 3 2 2" xfId="9946"/>
    <cellStyle name="Normal 2 3 2 2 2 3 3" xfId="9947"/>
    <cellStyle name="Normal 2 3 2 2 2 3 4" xfId="9948"/>
    <cellStyle name="Normal 2 3 2 2 2 4" xfId="1080"/>
    <cellStyle name="Normal 2 3 2 2 2 4 2" xfId="9949"/>
    <cellStyle name="Normal 2 3 2 2 2 5" xfId="9950"/>
    <cellStyle name="Normal 2 3 2 2 2 5 2" xfId="9951"/>
    <cellStyle name="Normal 2 3 2 2 2 6" xfId="9952"/>
    <cellStyle name="Normal 2 3 2 2 2 6 2" xfId="9953"/>
    <cellStyle name="Normal 2 3 2 2 2 7" xfId="9954"/>
    <cellStyle name="Normal 2 3 2 2 2 8" xfId="9955"/>
    <cellStyle name="Normal 2 3 2 2 2 9" xfId="9956"/>
    <cellStyle name="Normal 2 3 2 2 3" xfId="1081"/>
    <cellStyle name="Normal 2 3 2 2 3 2" xfId="1082"/>
    <cellStyle name="Normal 2 3 2 2 3 2 2" xfId="1083"/>
    <cellStyle name="Normal 2 3 2 2 3 2 3" xfId="9957"/>
    <cellStyle name="Normal 2 3 2 2 3 3" xfId="1084"/>
    <cellStyle name="Normal 2 3 2 2 3 3 2" xfId="9958"/>
    <cellStyle name="Normal 2 3 2 2 3 4" xfId="9959"/>
    <cellStyle name="Normal 2 3 2 2 3 5" xfId="9960"/>
    <cellStyle name="Normal 2 3 2 2 3 6" xfId="9961"/>
    <cellStyle name="Normal 2 3 2 2 3 7" xfId="9962"/>
    <cellStyle name="Normal 2 3 2 2 3 8" xfId="9963"/>
    <cellStyle name="Normal 2 3 2 2 3 9" xfId="9964"/>
    <cellStyle name="Normal 2 3 2 2 4" xfId="1085"/>
    <cellStyle name="Normal 2 3 2 2 4 2" xfId="1086"/>
    <cellStyle name="Normal 2 3 2 2 4 2 2" xfId="9965"/>
    <cellStyle name="Normal 2 3 2 2 4 3" xfId="9966"/>
    <cellStyle name="Normal 2 3 2 2 4 4" xfId="9967"/>
    <cellStyle name="Normal 2 3 2 2 5" xfId="1087"/>
    <cellStyle name="Normal 2 3 2 2 5 2" xfId="9968"/>
    <cellStyle name="Normal 2 3 2 2 6" xfId="9969"/>
    <cellStyle name="Normal 2 3 2 2 6 2" xfId="9970"/>
    <cellStyle name="Normal 2 3 2 2 7" xfId="9971"/>
    <cellStyle name="Normal 2 3 2 2 7 2" xfId="9972"/>
    <cellStyle name="Normal 2 3 2 2 8" xfId="9973"/>
    <cellStyle name="Normal 2 3 2 2 9" xfId="9974"/>
    <cellStyle name="Normal 2 3 2 3" xfId="1088"/>
    <cellStyle name="Normal 2 3 2 3 10" xfId="9975"/>
    <cellStyle name="Normal 2 3 2 3 11" xfId="9976"/>
    <cellStyle name="Normal 2 3 2 3 12" xfId="9977"/>
    <cellStyle name="Normal 2 3 2 3 2" xfId="1089"/>
    <cellStyle name="Normal 2 3 2 3 2 2" xfId="1090"/>
    <cellStyle name="Normal 2 3 2 3 2 2 2" xfId="1091"/>
    <cellStyle name="Normal 2 3 2 3 2 2 3" xfId="9978"/>
    <cellStyle name="Normal 2 3 2 3 2 3" xfId="1092"/>
    <cellStyle name="Normal 2 3 2 3 2 3 2" xfId="9979"/>
    <cellStyle name="Normal 2 3 2 3 2 4" xfId="9980"/>
    <cellStyle name="Normal 2 3 2 3 2 5" xfId="9981"/>
    <cellStyle name="Normal 2 3 2 3 2 6" xfId="9982"/>
    <cellStyle name="Normal 2 3 2 3 2 7" xfId="9983"/>
    <cellStyle name="Normal 2 3 2 3 2 8" xfId="9984"/>
    <cellStyle name="Normal 2 3 2 3 2 9" xfId="9985"/>
    <cellStyle name="Normal 2 3 2 3 3" xfId="1093"/>
    <cellStyle name="Normal 2 3 2 3 3 2" xfId="1094"/>
    <cellStyle name="Normal 2 3 2 3 3 2 2" xfId="9986"/>
    <cellStyle name="Normal 2 3 2 3 3 3" xfId="9987"/>
    <cellStyle name="Normal 2 3 2 3 3 4" xfId="9988"/>
    <cellStyle name="Normal 2 3 2 3 4" xfId="1095"/>
    <cellStyle name="Normal 2 3 2 3 4 2" xfId="9989"/>
    <cellStyle name="Normal 2 3 2 3 5" xfId="9990"/>
    <cellStyle name="Normal 2 3 2 3 5 2" xfId="9991"/>
    <cellStyle name="Normal 2 3 2 3 6" xfId="9992"/>
    <cellStyle name="Normal 2 3 2 3 6 2" xfId="9993"/>
    <cellStyle name="Normal 2 3 2 3 7" xfId="9994"/>
    <cellStyle name="Normal 2 3 2 3 8" xfId="9995"/>
    <cellStyle name="Normal 2 3 2 3 9" xfId="9996"/>
    <cellStyle name="Normal 2 3 2 4" xfId="1096"/>
    <cellStyle name="Normal 2 3 2 4 2" xfId="1097"/>
    <cellStyle name="Normal 2 3 2 4 2 2" xfId="1098"/>
    <cellStyle name="Normal 2 3 2 4 2 3" xfId="9997"/>
    <cellStyle name="Normal 2 3 2 4 3" xfId="1099"/>
    <cellStyle name="Normal 2 3 2 4 3 2" xfId="9998"/>
    <cellStyle name="Normal 2 3 2 4 4" xfId="9999"/>
    <cellStyle name="Normal 2 3 2 4 5" xfId="10000"/>
    <cellStyle name="Normal 2 3 2 4 6" xfId="10001"/>
    <cellStyle name="Normal 2 3 2 4 7" xfId="10002"/>
    <cellStyle name="Normal 2 3 2 4 8" xfId="10003"/>
    <cellStyle name="Normal 2 3 2 4 9" xfId="10004"/>
    <cellStyle name="Normal 2 3 2 5" xfId="1100"/>
    <cellStyle name="Normal 2 3 2 5 2" xfId="1101"/>
    <cellStyle name="Normal 2 3 2 5 2 2" xfId="10005"/>
    <cellStyle name="Normal 2 3 2 5 3" xfId="10006"/>
    <cellStyle name="Normal 2 3 2 5 4" xfId="10007"/>
    <cellStyle name="Normal 2 3 2 5 5" xfId="10008"/>
    <cellStyle name="Normal 2 3 2 6" xfId="1102"/>
    <cellStyle name="Normal 2 3 2 6 2" xfId="10009"/>
    <cellStyle name="Normal 2 3 2 7" xfId="10010"/>
    <cellStyle name="Normal 2 3 2 7 2" xfId="10011"/>
    <cellStyle name="Normal 2 3 2 8" xfId="10012"/>
    <cellStyle name="Normal 2 3 2 8 2" xfId="10013"/>
    <cellStyle name="Normal 2 3 2 9" xfId="10014"/>
    <cellStyle name="Normal 2 3 3" xfId="1103"/>
    <cellStyle name="Normal 2 3 3 2" xfId="1104"/>
    <cellStyle name="Normal 2 3 3 2 2" xfId="1105"/>
    <cellStyle name="Normal 2 3 3 2 2 2" xfId="1106"/>
    <cellStyle name="Normal 2 3 3 2 2 2 2" xfId="1107"/>
    <cellStyle name="Normal 2 3 3 2 2 3" xfId="1108"/>
    <cellStyle name="Normal 2 3 3 2 3" xfId="1109"/>
    <cellStyle name="Normal 2 3 3 2 3 2" xfId="1110"/>
    <cellStyle name="Normal 2 3 3 2 4" xfId="1111"/>
    <cellStyle name="Normal 2 3 3 3" xfId="1112"/>
    <cellStyle name="Normal 2 3 3 3 2" xfId="1113"/>
    <cellStyle name="Normal 2 3 3 3 2 2" xfId="1114"/>
    <cellStyle name="Normal 2 3 3 3 3" xfId="1115"/>
    <cellStyle name="Normal 2 3 3 4" xfId="1116"/>
    <cellStyle name="Normal 2 3 3 4 2" xfId="1117"/>
    <cellStyle name="Normal 2 3 3 5" xfId="1118"/>
    <cellStyle name="Normal 2 3 4" xfId="1119"/>
    <cellStyle name="Normal 2 3 4 2" xfId="1120"/>
    <cellStyle name="Normal 2 3 4 2 2" xfId="1121"/>
    <cellStyle name="Normal 2 3 4 2 2 2" xfId="1122"/>
    <cellStyle name="Normal 2 3 4 2 3" xfId="1123"/>
    <cellStyle name="Normal 2 3 4 3" xfId="1124"/>
    <cellStyle name="Normal 2 3 4 3 2" xfId="1125"/>
    <cellStyle name="Normal 2 3 4 4" xfId="1126"/>
    <cellStyle name="Normal 2 3 5" xfId="1127"/>
    <cellStyle name="Normal 2 3 5 2" xfId="1128"/>
    <cellStyle name="Normal 2 3 5 2 2" xfId="1129"/>
    <cellStyle name="Normal 2 3 5 3" xfId="1130"/>
    <cellStyle name="Normal 2 3 6" xfId="1131"/>
    <cellStyle name="Normal 2 3 6 2" xfId="1132"/>
    <cellStyle name="Normal 2 3 7" xfId="1133"/>
    <cellStyle name="Normal 2 3 8" xfId="10015"/>
    <cellStyle name="Normal 2 3 9" xfId="1070"/>
    <cellStyle name="Normal 2 4" xfId="1134"/>
    <cellStyle name="Normal 2 4 2" xfId="1135"/>
    <cellStyle name="Normal 2 4 2 2" xfId="1136"/>
    <cellStyle name="Normal 2 4 2 2 2" xfId="1137"/>
    <cellStyle name="Normal 2 4 2 2 2 2" xfId="1138"/>
    <cellStyle name="Normal 2 4 2 2 2 2 2" xfId="1139"/>
    <cellStyle name="Normal 2 4 2 2 2 3" xfId="1140"/>
    <cellStyle name="Normal 2 4 2 2 3" xfId="1141"/>
    <cellStyle name="Normal 2 4 2 2 3 2" xfId="1142"/>
    <cellStyle name="Normal 2 4 2 2 4" xfId="1143"/>
    <cellStyle name="Normal 2 4 2 3" xfId="1144"/>
    <cellStyle name="Normal 2 4 2 3 2" xfId="1145"/>
    <cellStyle name="Normal 2 4 2 3 2 2" xfId="1146"/>
    <cellStyle name="Normal 2 4 2 3 3" xfId="1147"/>
    <cellStyle name="Normal 2 4 2 4" xfId="1148"/>
    <cellStyle name="Normal 2 4 2 4 2" xfId="1149"/>
    <cellStyle name="Normal 2 4 2 5" xfId="1150"/>
    <cellStyle name="Normal 2 4 3" xfId="1151"/>
    <cellStyle name="Normal 2 4 3 2" xfId="1152"/>
    <cellStyle name="Normal 2 4 3 2 2" xfId="1153"/>
    <cellStyle name="Normal 2 4 3 2 2 2" xfId="1154"/>
    <cellStyle name="Normal 2 4 3 2 3" xfId="1155"/>
    <cellStyle name="Normal 2 4 3 3" xfId="1156"/>
    <cellStyle name="Normal 2 4 3 3 2" xfId="1157"/>
    <cellStyle name="Normal 2 4 3 4" xfId="1158"/>
    <cellStyle name="Normal 2 4 4" xfId="1159"/>
    <cellStyle name="Normal 2 4 4 2" xfId="1160"/>
    <cellStyle name="Normal 2 4 4 2 2" xfId="1161"/>
    <cellStyle name="Normal 2 4 4 3" xfId="1162"/>
    <cellStyle name="Normal 2 4 5" xfId="1163"/>
    <cellStyle name="Normal 2 4 5 2" xfId="1164"/>
    <cellStyle name="Normal 2 4 6" xfId="1165"/>
    <cellStyle name="Normal 2 5" xfId="1166"/>
    <cellStyle name="Normal 2 5 2" xfId="1167"/>
    <cellStyle name="Normal 2 5 2 2" xfId="1168"/>
    <cellStyle name="Normal 2 5 2 2 2" xfId="1169"/>
    <cellStyle name="Normal 2 5 2 2 2 2" xfId="1170"/>
    <cellStyle name="Normal 2 5 2 2 3" xfId="1171"/>
    <cellStyle name="Normal 2 5 2 3" xfId="1172"/>
    <cellStyle name="Normal 2 5 2 3 2" xfId="1173"/>
    <cellStyle name="Normal 2 5 2 4" xfId="1174"/>
    <cellStyle name="Normal 2 5 3" xfId="1175"/>
    <cellStyle name="Normal 2 5 3 2" xfId="1176"/>
    <cellStyle name="Normal 2 5 3 2 2" xfId="1177"/>
    <cellStyle name="Normal 2 5 3 3" xfId="1178"/>
    <cellStyle name="Normal 2 5 4" xfId="1179"/>
    <cellStyle name="Normal 2 5 4 2" xfId="1180"/>
    <cellStyle name="Normal 2 5 5" xfId="1181"/>
    <cellStyle name="Normal 2 6" xfId="1182"/>
    <cellStyle name="Normal 2 6 2" xfId="1183"/>
    <cellStyle name="Normal 2 6 2 2" xfId="1184"/>
    <cellStyle name="Normal 2 6 2 2 2" xfId="1185"/>
    <cellStyle name="Normal 2 6 2 3" xfId="1186"/>
    <cellStyle name="Normal 2 6 3" xfId="1187"/>
    <cellStyle name="Normal 2 6 3 2" xfId="1188"/>
    <cellStyle name="Normal 2 6 4" xfId="1189"/>
    <cellStyle name="Normal 2 7" xfId="1190"/>
    <cellStyle name="Normal 2 7 2" xfId="1191"/>
    <cellStyle name="Normal 2 7 2 2" xfId="1192"/>
    <cellStyle name="Normal 2 7 3" xfId="1193"/>
    <cellStyle name="Normal 2 8" xfId="1194"/>
    <cellStyle name="Normal 2 8 2" xfId="1195"/>
    <cellStyle name="Normal 2 8 3" xfId="10016"/>
    <cellStyle name="Normal 2 9" xfId="1196"/>
    <cellStyle name="Normal 2 9 2" xfId="10017"/>
    <cellStyle name="Normal 2 9 3" xfId="10018"/>
    <cellStyle name="Normal 2_12-10 Form 1 Filing and supporting papers-Nivision Revised" xfId="10019"/>
    <cellStyle name="Normal 20" xfId="10020"/>
    <cellStyle name="Normal 20 2" xfId="10021"/>
    <cellStyle name="Normal 20 2 2" xfId="10022"/>
    <cellStyle name="Normal 20 2 2 2" xfId="10023"/>
    <cellStyle name="Normal 20 2 2 2 2" xfId="10024"/>
    <cellStyle name="Normal 20 2 2 3" xfId="10025"/>
    <cellStyle name="Normal 20 2 3" xfId="10026"/>
    <cellStyle name="Normal 20 2 3 2" xfId="10027"/>
    <cellStyle name="Normal 20 2 4" xfId="10028"/>
    <cellStyle name="Normal 20 3" xfId="10029"/>
    <cellStyle name="Normal 20 3 2" xfId="10030"/>
    <cellStyle name="Normal 20 3 2 2" xfId="10031"/>
    <cellStyle name="Normal 20 3 3" xfId="10032"/>
    <cellStyle name="Normal 20 4" xfId="10033"/>
    <cellStyle name="Normal 20 4 2" xfId="10034"/>
    <cellStyle name="Normal 20 5" xfId="10035"/>
    <cellStyle name="Normal 20 6" xfId="10036"/>
    <cellStyle name="Normal 200" xfId="10037"/>
    <cellStyle name="Normal 201" xfId="10038"/>
    <cellStyle name="Normal 202" xfId="10039"/>
    <cellStyle name="Normal 203" xfId="10040"/>
    <cellStyle name="Normal 204" xfId="10041"/>
    <cellStyle name="Normal 205" xfId="10042"/>
    <cellStyle name="Normal 206" xfId="10043"/>
    <cellStyle name="Normal 207" xfId="10044"/>
    <cellStyle name="Normal 208" xfId="10045"/>
    <cellStyle name="Normal 209" xfId="10046"/>
    <cellStyle name="Normal 21" xfId="10047"/>
    <cellStyle name="Normal 21 2" xfId="10048"/>
    <cellStyle name="Normal 21 2 2" xfId="10049"/>
    <cellStyle name="Normal 21 2 2 2" xfId="10050"/>
    <cellStyle name="Normal 21 2 2 2 2" xfId="10051"/>
    <cellStyle name="Normal 21 2 2 3" xfId="10052"/>
    <cellStyle name="Normal 21 2 3" xfId="10053"/>
    <cellStyle name="Normal 21 2 3 2" xfId="10054"/>
    <cellStyle name="Normal 21 2 4" xfId="10055"/>
    <cellStyle name="Normal 21 3" xfId="10056"/>
    <cellStyle name="Normal 21 3 2" xfId="10057"/>
    <cellStyle name="Normal 21 3 2 2" xfId="10058"/>
    <cellStyle name="Normal 21 3 3" xfId="10059"/>
    <cellStyle name="Normal 21 4" xfId="10060"/>
    <cellStyle name="Normal 21 4 2" xfId="10061"/>
    <cellStyle name="Normal 21 5" xfId="10062"/>
    <cellStyle name="Normal 21 6" xfId="10063"/>
    <cellStyle name="Normal 21 7" xfId="10064"/>
    <cellStyle name="Normal 210" xfId="10065"/>
    <cellStyle name="Normal 211" xfId="10066"/>
    <cellStyle name="Normal 212" xfId="10067"/>
    <cellStyle name="Normal 213" xfId="10068"/>
    <cellStyle name="Normal 214" xfId="10069"/>
    <cellStyle name="Normal 215" xfId="10070"/>
    <cellStyle name="Normal 216" xfId="10071"/>
    <cellStyle name="Normal 217" xfId="10072"/>
    <cellStyle name="Normal 218" xfId="10073"/>
    <cellStyle name="Normal 219" xfId="10074"/>
    <cellStyle name="Normal 22" xfId="10075"/>
    <cellStyle name="Normal 22 2" xfId="10076"/>
    <cellStyle name="Normal 22 2 2" xfId="10077"/>
    <cellStyle name="Normal 22 2 2 2" xfId="10078"/>
    <cellStyle name="Normal 22 2 2 2 2" xfId="10079"/>
    <cellStyle name="Normal 22 2 2 3" xfId="10080"/>
    <cellStyle name="Normal 22 2 3" xfId="10081"/>
    <cellStyle name="Normal 22 2 3 2" xfId="10082"/>
    <cellStyle name="Normal 22 2 4" xfId="10083"/>
    <cellStyle name="Normal 22 3" xfId="10084"/>
    <cellStyle name="Normal 22 3 2" xfId="10085"/>
    <cellStyle name="Normal 22 3 2 2" xfId="10086"/>
    <cellStyle name="Normal 22 3 3" xfId="10087"/>
    <cellStyle name="Normal 22 4" xfId="10088"/>
    <cellStyle name="Normal 22 4 2" xfId="10089"/>
    <cellStyle name="Normal 22 5" xfId="10090"/>
    <cellStyle name="Normal 22 6" xfId="10091"/>
    <cellStyle name="Normal 22 7" xfId="10092"/>
    <cellStyle name="Normal 220" xfId="10093"/>
    <cellStyle name="Normal 221" xfId="10094"/>
    <cellStyle name="Normal 222" xfId="10095"/>
    <cellStyle name="Normal 223" xfId="10096"/>
    <cellStyle name="Normal 224" xfId="10097"/>
    <cellStyle name="Normal 225" xfId="10098"/>
    <cellStyle name="Normal 226" xfId="10099"/>
    <cellStyle name="Normal 227" xfId="10100"/>
    <cellStyle name="Normal 228" xfId="10101"/>
    <cellStyle name="Normal 229" xfId="3226"/>
    <cellStyle name="Normal 23" xfId="10102"/>
    <cellStyle name="Normal 23 2" xfId="10103"/>
    <cellStyle name="Normal 23 2 2" xfId="10104"/>
    <cellStyle name="Normal 23 2 2 2" xfId="10105"/>
    <cellStyle name="Normal 23 2 2 2 2" xfId="10106"/>
    <cellStyle name="Normal 23 2 2 3" xfId="10107"/>
    <cellStyle name="Normal 23 2 3" xfId="10108"/>
    <cellStyle name="Normal 23 2 3 2" xfId="10109"/>
    <cellStyle name="Normal 23 2 4" xfId="10110"/>
    <cellStyle name="Normal 23 3" xfId="10111"/>
    <cellStyle name="Normal 23 3 2" xfId="10112"/>
    <cellStyle name="Normal 23 3 2 2" xfId="10113"/>
    <cellStyle name="Normal 23 3 3" xfId="10114"/>
    <cellStyle name="Normal 23 4" xfId="10115"/>
    <cellStyle name="Normal 23 4 2" xfId="10116"/>
    <cellStyle name="Normal 23 5" xfId="10117"/>
    <cellStyle name="Normal 23 6" xfId="10118"/>
    <cellStyle name="Normal 23 7" xfId="10119"/>
    <cellStyle name="Normal 230" xfId="16885"/>
    <cellStyle name="Normal 24" xfId="10120"/>
    <cellStyle name="Normal 24 2" xfId="10121"/>
    <cellStyle name="Normal 24 3" xfId="10122"/>
    <cellStyle name="Normal 25" xfId="10123"/>
    <cellStyle name="Normal 25 2" xfId="10124"/>
    <cellStyle name="Normal 25 2 2" xfId="10125"/>
    <cellStyle name="Normal 25 2 3" xfId="10126"/>
    <cellStyle name="Normal 25 3" xfId="10127"/>
    <cellStyle name="Normal 25 4" xfId="10128"/>
    <cellStyle name="Normal 26" xfId="10129"/>
    <cellStyle name="Normal 26 2" xfId="10130"/>
    <cellStyle name="Normal 26 2 2" xfId="10131"/>
    <cellStyle name="Normal 26 3" xfId="10132"/>
    <cellStyle name="Normal 26 3 2" xfId="10133"/>
    <cellStyle name="Normal 26 4" xfId="10134"/>
    <cellStyle name="Normal 27" xfId="10135"/>
    <cellStyle name="Normal 27 2" xfId="10136"/>
    <cellStyle name="Normal 27 2 10" xfId="10137"/>
    <cellStyle name="Normal 27 2 11" xfId="10138"/>
    <cellStyle name="Normal 27 2 2" xfId="10139"/>
    <cellStyle name="Normal 27 2 2 2" xfId="10140"/>
    <cellStyle name="Normal 27 2 2 2 2" xfId="10141"/>
    <cellStyle name="Normal 27 2 2 3" xfId="10142"/>
    <cellStyle name="Normal 27 2 2 4" xfId="10143"/>
    <cellStyle name="Normal 27 2 3" xfId="10144"/>
    <cellStyle name="Normal 27 2 3 2" xfId="10145"/>
    <cellStyle name="Normal 27 2 4" xfId="10146"/>
    <cellStyle name="Normal 27 2 4 2" xfId="10147"/>
    <cellStyle name="Normal 27 2 5" xfId="10148"/>
    <cellStyle name="Normal 27 2 5 2" xfId="10149"/>
    <cellStyle name="Normal 27 2 6" xfId="10150"/>
    <cellStyle name="Normal 27 2 7" xfId="10151"/>
    <cellStyle name="Normal 27 2 8" xfId="10152"/>
    <cellStyle name="Normal 27 2 9" xfId="10153"/>
    <cellStyle name="Normal 27 3" xfId="10154"/>
    <cellStyle name="Normal 27 3 2" xfId="10155"/>
    <cellStyle name="Normal 27 3 3" xfId="10156"/>
    <cellStyle name="Normal 27 3 4" xfId="10157"/>
    <cellStyle name="Normal 27 3 5" xfId="10158"/>
    <cellStyle name="Normal 27 4" xfId="10159"/>
    <cellStyle name="Normal 27 4 2" xfId="10160"/>
    <cellStyle name="Normal 27 5" xfId="10161"/>
    <cellStyle name="Normal 27 6" xfId="10162"/>
    <cellStyle name="Normal 28" xfId="10163"/>
    <cellStyle name="Normal 28 2" xfId="10164"/>
    <cellStyle name="Normal 28 2 10" xfId="10165"/>
    <cellStyle name="Normal 28 2 11" xfId="10166"/>
    <cellStyle name="Normal 28 2 2" xfId="10167"/>
    <cellStyle name="Normal 28 2 2 2" xfId="10168"/>
    <cellStyle name="Normal 28 2 2 2 2" xfId="10169"/>
    <cellStyle name="Normal 28 2 2 3" xfId="10170"/>
    <cellStyle name="Normal 28 2 2 4" xfId="10171"/>
    <cellStyle name="Normal 28 2 3" xfId="10172"/>
    <cellStyle name="Normal 28 2 3 2" xfId="10173"/>
    <cellStyle name="Normal 28 2 4" xfId="10174"/>
    <cellStyle name="Normal 28 2 4 2" xfId="10175"/>
    <cellStyle name="Normal 28 2 5" xfId="10176"/>
    <cellStyle name="Normal 28 2 5 2" xfId="10177"/>
    <cellStyle name="Normal 28 2 6" xfId="10178"/>
    <cellStyle name="Normal 28 2 7" xfId="10179"/>
    <cellStyle name="Normal 28 2 8" xfId="10180"/>
    <cellStyle name="Normal 28 2 9" xfId="10181"/>
    <cellStyle name="Normal 28 3" xfId="10182"/>
    <cellStyle name="Normal 28 3 2" xfId="10183"/>
    <cellStyle name="Normal 28 3 3" xfId="10184"/>
    <cellStyle name="Normal 28 3 4" xfId="10185"/>
    <cellStyle name="Normal 28 3 5" xfId="10186"/>
    <cellStyle name="Normal 28 4" xfId="10187"/>
    <cellStyle name="Normal 28 5" xfId="10188"/>
    <cellStyle name="Normal 28 6" xfId="10189"/>
    <cellStyle name="Normal 29" xfId="10190"/>
    <cellStyle name="Normal 29 2" xfId="10191"/>
    <cellStyle name="Normal 29 2 10" xfId="10192"/>
    <cellStyle name="Normal 29 2 11" xfId="10193"/>
    <cellStyle name="Normal 29 2 2" xfId="10194"/>
    <cellStyle name="Normal 29 2 2 2" xfId="10195"/>
    <cellStyle name="Normal 29 2 2 2 2" xfId="10196"/>
    <cellStyle name="Normal 29 2 2 3" xfId="10197"/>
    <cellStyle name="Normal 29 2 2 4" xfId="10198"/>
    <cellStyle name="Normal 29 2 3" xfId="10199"/>
    <cellStyle name="Normal 29 2 3 2" xfId="10200"/>
    <cellStyle name="Normal 29 2 4" xfId="10201"/>
    <cellStyle name="Normal 29 2 4 2" xfId="10202"/>
    <cellStyle name="Normal 29 2 5" xfId="10203"/>
    <cellStyle name="Normal 29 2 5 2" xfId="10204"/>
    <cellStyle name="Normal 29 2 6" xfId="10205"/>
    <cellStyle name="Normal 29 2 7" xfId="10206"/>
    <cellStyle name="Normal 29 2 8" xfId="10207"/>
    <cellStyle name="Normal 29 2 9" xfId="10208"/>
    <cellStyle name="Normal 29 3" xfId="10209"/>
    <cellStyle name="Normal 29 3 2" xfId="10210"/>
    <cellStyle name="Normal 29 3 3" xfId="10211"/>
    <cellStyle name="Normal 29 3 4" xfId="10212"/>
    <cellStyle name="Normal 29 3 5" xfId="10213"/>
    <cellStyle name="Normal 29 4" xfId="10214"/>
    <cellStyle name="Normal 29 5" xfId="10215"/>
    <cellStyle name="Normal 29 6" xfId="10216"/>
    <cellStyle name="Normal 3" xfId="8"/>
    <cellStyle name="Normal 3 10" xfId="1197"/>
    <cellStyle name="Normal 3 10 2" xfId="10217"/>
    <cellStyle name="Normal 3 10 3" xfId="10218"/>
    <cellStyle name="Normal 3 11" xfId="10219"/>
    <cellStyle name="Normal 3 11 2" xfId="10220"/>
    <cellStyle name="Normal 3 12" xfId="10221"/>
    <cellStyle name="Normal 3 12 2" xfId="10222"/>
    <cellStyle name="Normal 3 13" xfId="10223"/>
    <cellStyle name="Normal 3 13 2" xfId="10224"/>
    <cellStyle name="Normal 3 14" xfId="10225"/>
    <cellStyle name="Normal 3 15" xfId="10226"/>
    <cellStyle name="Normal 3 16" xfId="10227"/>
    <cellStyle name="Normal 3 2" xfId="15"/>
    <cellStyle name="Normal 3 2 10" xfId="10228"/>
    <cellStyle name="Normal 3 2 11" xfId="10229"/>
    <cellStyle name="Normal 3 2 12" xfId="10230"/>
    <cellStyle name="Normal 3 2 13" xfId="10231"/>
    <cellStyle name="Normal 3 2 14" xfId="10232"/>
    <cellStyle name="Normal 3 2 15" xfId="10233"/>
    <cellStyle name="Normal 3 2 16" xfId="44"/>
    <cellStyle name="Normal 3 2 2" xfId="1198"/>
    <cellStyle name="Normal 3 2 2 10" xfId="10234"/>
    <cellStyle name="Normal 3 2 2 11" xfId="10235"/>
    <cellStyle name="Normal 3 2 2 12" xfId="10236"/>
    <cellStyle name="Normal 3 2 2 13" xfId="10237"/>
    <cellStyle name="Normal 3 2 2 14" xfId="10238"/>
    <cellStyle name="Normal 3 2 2 2" xfId="1199"/>
    <cellStyle name="Normal 3 2 2 2 10" xfId="10239"/>
    <cellStyle name="Normal 3 2 2 2 11" xfId="10240"/>
    <cellStyle name="Normal 3 2 2 2 12" xfId="10241"/>
    <cellStyle name="Normal 3 2 2 2 13" xfId="10242"/>
    <cellStyle name="Normal 3 2 2 2 2" xfId="1200"/>
    <cellStyle name="Normal 3 2 2 2 2 10" xfId="10243"/>
    <cellStyle name="Normal 3 2 2 2 2 11" xfId="10244"/>
    <cellStyle name="Normal 3 2 2 2 2 2" xfId="1201"/>
    <cellStyle name="Normal 3 2 2 2 2 2 2" xfId="1202"/>
    <cellStyle name="Normal 3 2 2 2 2 2 2 2" xfId="1203"/>
    <cellStyle name="Normal 3 2 2 2 2 2 2 2 2" xfId="1204"/>
    <cellStyle name="Normal 3 2 2 2 2 2 2 3" xfId="1205"/>
    <cellStyle name="Normal 3 2 2 2 2 2 3" xfId="1206"/>
    <cellStyle name="Normal 3 2 2 2 2 2 3 2" xfId="1207"/>
    <cellStyle name="Normal 3 2 2 2 2 2 4" xfId="1208"/>
    <cellStyle name="Normal 3 2 2 2 2 2 5" xfId="10245"/>
    <cellStyle name="Normal 3 2 2 2 2 2 6" xfId="10246"/>
    <cellStyle name="Normal 3 2 2 2 2 2 7" xfId="10247"/>
    <cellStyle name="Normal 3 2 2 2 2 2 8" xfId="10248"/>
    <cellStyle name="Normal 3 2 2 2 2 3" xfId="1209"/>
    <cellStyle name="Normal 3 2 2 2 2 3 2" xfId="1210"/>
    <cellStyle name="Normal 3 2 2 2 2 3 2 2" xfId="1211"/>
    <cellStyle name="Normal 3 2 2 2 2 3 3" xfId="1212"/>
    <cellStyle name="Normal 3 2 2 2 2 3 4" xfId="10249"/>
    <cellStyle name="Normal 3 2 2 2 2 4" xfId="1213"/>
    <cellStyle name="Normal 3 2 2 2 2 4 2" xfId="1214"/>
    <cellStyle name="Normal 3 2 2 2 2 5" xfId="1215"/>
    <cellStyle name="Normal 3 2 2 2 2 5 2" xfId="10250"/>
    <cellStyle name="Normal 3 2 2 2 2 6" xfId="10251"/>
    <cellStyle name="Normal 3 2 2 2 2 6 2" xfId="10252"/>
    <cellStyle name="Normal 3 2 2 2 2 7" xfId="10253"/>
    <cellStyle name="Normal 3 2 2 2 2 8" xfId="10254"/>
    <cellStyle name="Normal 3 2 2 2 2 9" xfId="10255"/>
    <cellStyle name="Normal 3 2 2 2 3" xfId="1216"/>
    <cellStyle name="Normal 3 2 2 2 3 2" xfId="1217"/>
    <cellStyle name="Normal 3 2 2 2 3 2 2" xfId="1218"/>
    <cellStyle name="Normal 3 2 2 2 3 2 2 2" xfId="1219"/>
    <cellStyle name="Normal 3 2 2 2 3 2 3" xfId="1220"/>
    <cellStyle name="Normal 3 2 2 2 3 3" xfId="1221"/>
    <cellStyle name="Normal 3 2 2 2 3 3 2" xfId="1222"/>
    <cellStyle name="Normal 3 2 2 2 3 4" xfId="1223"/>
    <cellStyle name="Normal 3 2 2 2 3 5" xfId="10256"/>
    <cellStyle name="Normal 3 2 2 2 3 6" xfId="10257"/>
    <cellStyle name="Normal 3 2 2 2 3 7" xfId="10258"/>
    <cellStyle name="Normal 3 2 2 2 3 8" xfId="10259"/>
    <cellStyle name="Normal 3 2 2 2 4" xfId="1224"/>
    <cellStyle name="Normal 3 2 2 2 4 2" xfId="1225"/>
    <cellStyle name="Normal 3 2 2 2 4 2 2" xfId="1226"/>
    <cellStyle name="Normal 3 2 2 2 4 3" xfId="1227"/>
    <cellStyle name="Normal 3 2 2 2 4 4" xfId="10260"/>
    <cellStyle name="Normal 3 2 2 2 5" xfId="1228"/>
    <cellStyle name="Normal 3 2 2 2 5 2" xfId="1229"/>
    <cellStyle name="Normal 3 2 2 2 6" xfId="1230"/>
    <cellStyle name="Normal 3 2 2 2 6 2" xfId="10261"/>
    <cellStyle name="Normal 3 2 2 2 7" xfId="10262"/>
    <cellStyle name="Normal 3 2 2 2 7 2" xfId="10263"/>
    <cellStyle name="Normal 3 2 2 2 8" xfId="10264"/>
    <cellStyle name="Normal 3 2 2 2 9" xfId="10265"/>
    <cellStyle name="Normal 3 2 2 3" xfId="1231"/>
    <cellStyle name="Normal 3 2 2 3 10" xfId="10266"/>
    <cellStyle name="Normal 3 2 2 3 11" xfId="10267"/>
    <cellStyle name="Normal 3 2 2 3 12" xfId="10268"/>
    <cellStyle name="Normal 3 2 2 3 2" xfId="1232"/>
    <cellStyle name="Normal 3 2 2 3 2 2" xfId="1233"/>
    <cellStyle name="Normal 3 2 2 3 2 2 2" xfId="1234"/>
    <cellStyle name="Normal 3 2 2 3 2 2 2 2" xfId="1235"/>
    <cellStyle name="Normal 3 2 2 3 2 2 3" xfId="1236"/>
    <cellStyle name="Normal 3 2 2 3 2 3" xfId="1237"/>
    <cellStyle name="Normal 3 2 2 3 2 3 2" xfId="1238"/>
    <cellStyle name="Normal 3 2 2 3 2 4" xfId="1239"/>
    <cellStyle name="Normal 3 2 2 3 2 5" xfId="10269"/>
    <cellStyle name="Normal 3 2 2 3 2 6" xfId="10270"/>
    <cellStyle name="Normal 3 2 2 3 2 7" xfId="10271"/>
    <cellStyle name="Normal 3 2 2 3 2 8" xfId="10272"/>
    <cellStyle name="Normal 3 2 2 3 3" xfId="1240"/>
    <cellStyle name="Normal 3 2 2 3 3 2" xfId="1241"/>
    <cellStyle name="Normal 3 2 2 3 3 2 2" xfId="1242"/>
    <cellStyle name="Normal 3 2 2 3 3 3" xfId="1243"/>
    <cellStyle name="Normal 3 2 2 3 3 4" xfId="10273"/>
    <cellStyle name="Normal 3 2 2 3 4" xfId="1244"/>
    <cellStyle name="Normal 3 2 2 3 4 2" xfId="1245"/>
    <cellStyle name="Normal 3 2 2 3 5" xfId="1246"/>
    <cellStyle name="Normal 3 2 2 3 5 2" xfId="10274"/>
    <cellStyle name="Normal 3 2 2 3 6" xfId="10275"/>
    <cellStyle name="Normal 3 2 2 3 6 2" xfId="10276"/>
    <cellStyle name="Normal 3 2 2 3 7" xfId="10277"/>
    <cellStyle name="Normal 3 2 2 3 8" xfId="10278"/>
    <cellStyle name="Normal 3 2 2 3 9" xfId="10279"/>
    <cellStyle name="Normal 3 2 2 4" xfId="1247"/>
    <cellStyle name="Normal 3 2 2 4 2" xfId="1248"/>
    <cellStyle name="Normal 3 2 2 4 2 2" xfId="1249"/>
    <cellStyle name="Normal 3 2 2 4 2 2 2" xfId="1250"/>
    <cellStyle name="Normal 3 2 2 4 2 3" xfId="1251"/>
    <cellStyle name="Normal 3 2 2 4 3" xfId="1252"/>
    <cellStyle name="Normal 3 2 2 4 3 2" xfId="1253"/>
    <cellStyle name="Normal 3 2 2 4 4" xfId="1254"/>
    <cellStyle name="Normal 3 2 2 4 5" xfId="10280"/>
    <cellStyle name="Normal 3 2 2 4 6" xfId="10281"/>
    <cellStyle name="Normal 3 2 2 4 7" xfId="10282"/>
    <cellStyle name="Normal 3 2 2 4 8" xfId="10283"/>
    <cellStyle name="Normal 3 2 2 5" xfId="1255"/>
    <cellStyle name="Normal 3 2 2 5 2" xfId="1256"/>
    <cellStyle name="Normal 3 2 2 5 2 2" xfId="1257"/>
    <cellStyle name="Normal 3 2 2 5 3" xfId="1258"/>
    <cellStyle name="Normal 3 2 2 5 4" xfId="10284"/>
    <cellStyle name="Normal 3 2 2 6" xfId="1259"/>
    <cellStyle name="Normal 3 2 2 6 2" xfId="1260"/>
    <cellStyle name="Normal 3 2 2 7" xfId="1261"/>
    <cellStyle name="Normal 3 2 2 7 2" xfId="10285"/>
    <cellStyle name="Normal 3 2 2 8" xfId="10286"/>
    <cellStyle name="Normal 3 2 2 8 2" xfId="10287"/>
    <cellStyle name="Normal 3 2 2 9" xfId="10288"/>
    <cellStyle name="Normal 3 2 3" xfId="1262"/>
    <cellStyle name="Normal 3 2 3 10" xfId="10289"/>
    <cellStyle name="Normal 3 2 3 11" xfId="10290"/>
    <cellStyle name="Normal 3 2 3 12" xfId="10291"/>
    <cellStyle name="Normal 3 2 3 13" xfId="10292"/>
    <cellStyle name="Normal 3 2 3 2" xfId="1263"/>
    <cellStyle name="Normal 3 2 3 2 10" xfId="10293"/>
    <cellStyle name="Normal 3 2 3 2 11" xfId="10294"/>
    <cellStyle name="Normal 3 2 3 2 12" xfId="10295"/>
    <cellStyle name="Normal 3 2 3 2 2" xfId="1264"/>
    <cellStyle name="Normal 3 2 3 2 2 2" xfId="1265"/>
    <cellStyle name="Normal 3 2 3 2 2 2 2" xfId="1266"/>
    <cellStyle name="Normal 3 2 3 2 2 2 2 2" xfId="1267"/>
    <cellStyle name="Normal 3 2 3 2 2 2 3" xfId="1268"/>
    <cellStyle name="Normal 3 2 3 2 2 2 4" xfId="10296"/>
    <cellStyle name="Normal 3 2 3 2 2 3" xfId="1269"/>
    <cellStyle name="Normal 3 2 3 2 2 3 2" xfId="1270"/>
    <cellStyle name="Normal 3 2 3 2 2 4" xfId="1271"/>
    <cellStyle name="Normal 3 2 3 2 2 5" xfId="10297"/>
    <cellStyle name="Normal 3 2 3 2 2 6" xfId="10298"/>
    <cellStyle name="Normal 3 2 3 2 2 7" xfId="10299"/>
    <cellStyle name="Normal 3 2 3 2 2 8" xfId="10300"/>
    <cellStyle name="Normal 3 2 3 2 2 9" xfId="10301"/>
    <cellStyle name="Normal 3 2 3 2 3" xfId="1272"/>
    <cellStyle name="Normal 3 2 3 2 3 2" xfId="1273"/>
    <cellStyle name="Normal 3 2 3 2 3 2 2" xfId="1274"/>
    <cellStyle name="Normal 3 2 3 2 3 3" xfId="1275"/>
    <cellStyle name="Normal 3 2 3 2 3 4" xfId="10302"/>
    <cellStyle name="Normal 3 2 3 2 3 5" xfId="10303"/>
    <cellStyle name="Normal 3 2 3 2 4" xfId="1276"/>
    <cellStyle name="Normal 3 2 3 2 4 2" xfId="1277"/>
    <cellStyle name="Normal 3 2 3 2 5" xfId="1278"/>
    <cellStyle name="Normal 3 2 3 2 5 2" xfId="10304"/>
    <cellStyle name="Normal 3 2 3 2 6" xfId="10305"/>
    <cellStyle name="Normal 3 2 3 2 6 2" xfId="10306"/>
    <cellStyle name="Normal 3 2 3 2 7" xfId="10307"/>
    <cellStyle name="Normal 3 2 3 2 8" xfId="10308"/>
    <cellStyle name="Normal 3 2 3 2 9" xfId="10309"/>
    <cellStyle name="Normal 3 2 3 3" xfId="1279"/>
    <cellStyle name="Normal 3 2 3 3 2" xfId="1280"/>
    <cellStyle name="Normal 3 2 3 3 2 2" xfId="1281"/>
    <cellStyle name="Normal 3 2 3 3 2 2 2" xfId="1282"/>
    <cellStyle name="Normal 3 2 3 3 2 3" xfId="1283"/>
    <cellStyle name="Normal 3 2 3 3 2 4" xfId="10310"/>
    <cellStyle name="Normal 3 2 3 3 3" xfId="1284"/>
    <cellStyle name="Normal 3 2 3 3 3 2" xfId="1285"/>
    <cellStyle name="Normal 3 2 3 3 4" xfId="1286"/>
    <cellStyle name="Normal 3 2 3 3 5" xfId="10311"/>
    <cellStyle name="Normal 3 2 3 3 6" xfId="10312"/>
    <cellStyle name="Normal 3 2 3 3 7" xfId="10313"/>
    <cellStyle name="Normal 3 2 3 3 8" xfId="10314"/>
    <cellStyle name="Normal 3 2 3 3 9" xfId="10315"/>
    <cellStyle name="Normal 3 2 3 4" xfId="1287"/>
    <cellStyle name="Normal 3 2 3 4 2" xfId="1288"/>
    <cellStyle name="Normal 3 2 3 4 2 2" xfId="1289"/>
    <cellStyle name="Normal 3 2 3 4 3" xfId="1290"/>
    <cellStyle name="Normal 3 2 3 4 4" xfId="10316"/>
    <cellStyle name="Normal 3 2 3 4 5" xfId="10317"/>
    <cellStyle name="Normal 3 2 3 5" xfId="1291"/>
    <cellStyle name="Normal 3 2 3 5 2" xfId="1292"/>
    <cellStyle name="Normal 3 2 3 6" xfId="1293"/>
    <cellStyle name="Normal 3 2 3 6 2" xfId="10318"/>
    <cellStyle name="Normal 3 2 3 7" xfId="10319"/>
    <cellStyle name="Normal 3 2 3 7 2" xfId="10320"/>
    <cellStyle name="Normal 3 2 3 8" xfId="10321"/>
    <cellStyle name="Normal 3 2 3 9" xfId="10322"/>
    <cellStyle name="Normal 3 2 4" xfId="1294"/>
    <cellStyle name="Normal 3 2 4 10" xfId="10323"/>
    <cellStyle name="Normal 3 2 4 11" xfId="10324"/>
    <cellStyle name="Normal 3 2 4 12" xfId="10325"/>
    <cellStyle name="Normal 3 2 4 2" xfId="1295"/>
    <cellStyle name="Normal 3 2 4 2 2" xfId="1296"/>
    <cellStyle name="Normal 3 2 4 2 2 2" xfId="1297"/>
    <cellStyle name="Normal 3 2 4 2 2 2 2" xfId="1298"/>
    <cellStyle name="Normal 3 2 4 2 2 3" xfId="1299"/>
    <cellStyle name="Normal 3 2 4 2 2 4" xfId="10326"/>
    <cellStyle name="Normal 3 2 4 2 3" xfId="1300"/>
    <cellStyle name="Normal 3 2 4 2 3 2" xfId="1301"/>
    <cellStyle name="Normal 3 2 4 2 4" xfId="1302"/>
    <cellStyle name="Normal 3 2 4 2 5" xfId="10327"/>
    <cellStyle name="Normal 3 2 4 2 6" xfId="10328"/>
    <cellStyle name="Normal 3 2 4 2 7" xfId="10329"/>
    <cellStyle name="Normal 3 2 4 2 8" xfId="10330"/>
    <cellStyle name="Normal 3 2 4 2 9" xfId="10331"/>
    <cellStyle name="Normal 3 2 4 3" xfId="1303"/>
    <cellStyle name="Normal 3 2 4 3 2" xfId="1304"/>
    <cellStyle name="Normal 3 2 4 3 2 2" xfId="1305"/>
    <cellStyle name="Normal 3 2 4 3 3" xfId="1306"/>
    <cellStyle name="Normal 3 2 4 3 4" xfId="10332"/>
    <cellStyle name="Normal 3 2 4 3 5" xfId="10333"/>
    <cellStyle name="Normal 3 2 4 4" xfId="1307"/>
    <cellStyle name="Normal 3 2 4 4 2" xfId="1308"/>
    <cellStyle name="Normal 3 2 4 5" xfId="1309"/>
    <cellStyle name="Normal 3 2 4 5 2" xfId="10334"/>
    <cellStyle name="Normal 3 2 4 6" xfId="10335"/>
    <cellStyle name="Normal 3 2 4 6 2" xfId="10336"/>
    <cellStyle name="Normal 3 2 4 7" xfId="10337"/>
    <cellStyle name="Normal 3 2 4 8" xfId="10338"/>
    <cellStyle name="Normal 3 2 4 9" xfId="10339"/>
    <cellStyle name="Normal 3 2 5" xfId="1310"/>
    <cellStyle name="Normal 3 2 5 2" xfId="1311"/>
    <cellStyle name="Normal 3 2 5 2 2" xfId="1312"/>
    <cellStyle name="Normal 3 2 5 2 2 2" xfId="1313"/>
    <cellStyle name="Normal 3 2 5 2 3" xfId="1314"/>
    <cellStyle name="Normal 3 2 5 3" xfId="1315"/>
    <cellStyle name="Normal 3 2 5 3 2" xfId="1316"/>
    <cellStyle name="Normal 3 2 5 4" xfId="1317"/>
    <cellStyle name="Normal 3 2 5 5" xfId="10340"/>
    <cellStyle name="Normal 3 2 5 6" xfId="10341"/>
    <cellStyle name="Normal 3 2 6" xfId="1318"/>
    <cellStyle name="Normal 3 2 6 2" xfId="1319"/>
    <cellStyle name="Normal 3 2 6 2 2" xfId="1320"/>
    <cellStyle name="Normal 3 2 6 2 3" xfId="10342"/>
    <cellStyle name="Normal 3 2 6 3" xfId="1321"/>
    <cellStyle name="Normal 3 2 6 3 2" xfId="10343"/>
    <cellStyle name="Normal 3 2 6 4" xfId="10344"/>
    <cellStyle name="Normal 3 2 6 5" xfId="10345"/>
    <cellStyle name="Normal 3 2 6 6" xfId="10346"/>
    <cellStyle name="Normal 3 2 6 7" xfId="10347"/>
    <cellStyle name="Normal 3 2 6 8" xfId="10348"/>
    <cellStyle name="Normal 3 2 6 9" xfId="10349"/>
    <cellStyle name="Normal 3 2 7" xfId="1322"/>
    <cellStyle name="Normal 3 2 7 2" xfId="1323"/>
    <cellStyle name="Normal 3 2 7 3" xfId="10350"/>
    <cellStyle name="Normal 3 2 7 4" xfId="10351"/>
    <cellStyle name="Normal 3 2 8" xfId="1324"/>
    <cellStyle name="Normal 3 2 8 2" xfId="10352"/>
    <cellStyle name="Normal 3 2 8 3" xfId="10353"/>
    <cellStyle name="Normal 3 2 9" xfId="10354"/>
    <cellStyle name="Normal 3 2 9 2" xfId="10355"/>
    <cellStyle name="Normal 3 3" xfId="32"/>
    <cellStyle name="Normal 3 3 10" xfId="10356"/>
    <cellStyle name="Normal 3 3 11" xfId="10357"/>
    <cellStyle name="Normal 3 3 12" xfId="10358"/>
    <cellStyle name="Normal 3 3 13" xfId="10359"/>
    <cellStyle name="Normal 3 3 14" xfId="10360"/>
    <cellStyle name="Normal 3 3 15" xfId="10361"/>
    <cellStyle name="Normal 3 3 16" xfId="1325"/>
    <cellStyle name="Normal 3 3 2" xfId="1326"/>
    <cellStyle name="Normal 3 3 2 10" xfId="10362"/>
    <cellStyle name="Normal 3 3 2 11" xfId="10363"/>
    <cellStyle name="Normal 3 3 2 2" xfId="1327"/>
    <cellStyle name="Normal 3 3 2 2 2" xfId="1328"/>
    <cellStyle name="Normal 3 3 2 2 2 2" xfId="1329"/>
    <cellStyle name="Normal 3 3 2 2 2 2 2" xfId="1330"/>
    <cellStyle name="Normal 3 3 2 2 2 2 2 2" xfId="1331"/>
    <cellStyle name="Normal 3 3 2 2 2 2 3" xfId="1332"/>
    <cellStyle name="Normal 3 3 2 2 2 3" xfId="1333"/>
    <cellStyle name="Normal 3 3 2 2 2 3 2" xfId="1334"/>
    <cellStyle name="Normal 3 3 2 2 2 4" xfId="1335"/>
    <cellStyle name="Normal 3 3 2 2 3" xfId="1336"/>
    <cellStyle name="Normal 3 3 2 2 3 2" xfId="1337"/>
    <cellStyle name="Normal 3 3 2 2 3 2 2" xfId="1338"/>
    <cellStyle name="Normal 3 3 2 2 3 3" xfId="1339"/>
    <cellStyle name="Normal 3 3 2 2 4" xfId="1340"/>
    <cellStyle name="Normal 3 3 2 2 4 2" xfId="1341"/>
    <cellStyle name="Normal 3 3 2 2 5" xfId="1342"/>
    <cellStyle name="Normal 3 3 2 3" xfId="1343"/>
    <cellStyle name="Normal 3 3 2 3 2" xfId="1344"/>
    <cellStyle name="Normal 3 3 2 3 2 2" xfId="1345"/>
    <cellStyle name="Normal 3 3 2 3 2 2 2" xfId="1346"/>
    <cellStyle name="Normal 3 3 2 3 2 3" xfId="1347"/>
    <cellStyle name="Normal 3 3 2 3 3" xfId="1348"/>
    <cellStyle name="Normal 3 3 2 3 3 2" xfId="1349"/>
    <cellStyle name="Normal 3 3 2 3 4" xfId="1350"/>
    <cellStyle name="Normal 3 3 2 4" xfId="1351"/>
    <cellStyle name="Normal 3 3 2 4 2" xfId="1352"/>
    <cellStyle name="Normal 3 3 2 4 2 2" xfId="1353"/>
    <cellStyle name="Normal 3 3 2 4 3" xfId="1354"/>
    <cellStyle name="Normal 3 3 2 4 4" xfId="10364"/>
    <cellStyle name="Normal 3 3 2 5" xfId="1355"/>
    <cellStyle name="Normal 3 3 2 5 2" xfId="1356"/>
    <cellStyle name="Normal 3 3 2 5 3" xfId="10365"/>
    <cellStyle name="Normal 3 3 2 5 4" xfId="10366"/>
    <cellStyle name="Normal 3 3 2 6" xfId="1357"/>
    <cellStyle name="Normal 3 3 2 7" xfId="10367"/>
    <cellStyle name="Normal 3 3 2 8" xfId="10368"/>
    <cellStyle name="Normal 3 3 2 9" xfId="10369"/>
    <cellStyle name="Normal 3 3 2_Actual" xfId="10370"/>
    <cellStyle name="Normal 3 3 3" xfId="1358"/>
    <cellStyle name="Normal 3 3 3 2" xfId="1359"/>
    <cellStyle name="Normal 3 3 3 2 2" xfId="1360"/>
    <cellStyle name="Normal 3 3 3 2 2 2" xfId="1361"/>
    <cellStyle name="Normal 3 3 3 2 2 2 2" xfId="1362"/>
    <cellStyle name="Normal 3 3 3 2 2 3" xfId="1363"/>
    <cellStyle name="Normal 3 3 3 2 3" xfId="1364"/>
    <cellStyle name="Normal 3 3 3 2 3 2" xfId="1365"/>
    <cellStyle name="Normal 3 3 3 2 4" xfId="1366"/>
    <cellStyle name="Normal 3 3 3 3" xfId="1367"/>
    <cellStyle name="Normal 3 3 3 3 2" xfId="1368"/>
    <cellStyle name="Normal 3 3 3 3 2 2" xfId="1369"/>
    <cellStyle name="Normal 3 3 3 3 3" xfId="1370"/>
    <cellStyle name="Normal 3 3 3 3 3 2" xfId="10371"/>
    <cellStyle name="Normal 3 3 3 3 4" xfId="10372"/>
    <cellStyle name="Normal 3 3 3 4" xfId="1371"/>
    <cellStyle name="Normal 3 3 3 4 2" xfId="1372"/>
    <cellStyle name="Normal 3 3 3 4 3" xfId="10373"/>
    <cellStyle name="Normal 3 3 3 4 4" xfId="10374"/>
    <cellStyle name="Normal 3 3 3 5" xfId="1373"/>
    <cellStyle name="Normal 3 3 3 5 2" xfId="10375"/>
    <cellStyle name="Normal 3 3 3 5 3" xfId="10376"/>
    <cellStyle name="Normal 3 3 3 5 4" xfId="10377"/>
    <cellStyle name="Normal 3 3 3 6" xfId="10378"/>
    <cellStyle name="Normal 3 3 3 7" xfId="10379"/>
    <cellStyle name="Normal 3 3 3 8" xfId="10380"/>
    <cellStyle name="Normal 3 3 3 9" xfId="10381"/>
    <cellStyle name="Normal 3 3 3_Actual" xfId="10382"/>
    <cellStyle name="Normal 3 3 4" xfId="1374"/>
    <cellStyle name="Normal 3 3 4 2" xfId="1375"/>
    <cellStyle name="Normal 3 3 4 2 2" xfId="1376"/>
    <cellStyle name="Normal 3 3 4 2 2 2" xfId="1377"/>
    <cellStyle name="Normal 3 3 4 2 3" xfId="1378"/>
    <cellStyle name="Normal 3 3 4 2 3 2" xfId="10383"/>
    <cellStyle name="Normal 3 3 4 2 4" xfId="10384"/>
    <cellStyle name="Normal 3 3 4 3" xfId="1379"/>
    <cellStyle name="Normal 3 3 4 3 2" xfId="1380"/>
    <cellStyle name="Normal 3 3 4 3 2 2" xfId="10385"/>
    <cellStyle name="Normal 3 3 4 3 3" xfId="10386"/>
    <cellStyle name="Normal 3 3 4 3 3 2" xfId="10387"/>
    <cellStyle name="Normal 3 3 4 3 4" xfId="10388"/>
    <cellStyle name="Normal 3 3 4 4" xfId="1381"/>
    <cellStyle name="Normal 3 3 4 4 2" xfId="10389"/>
    <cellStyle name="Normal 3 3 4 4 3" xfId="10390"/>
    <cellStyle name="Normal 3 3 4 4 4" xfId="10391"/>
    <cellStyle name="Normal 3 3 4 5" xfId="10392"/>
    <cellStyle name="Normal 3 3 4 5 2" xfId="10393"/>
    <cellStyle name="Normal 3 3 4 5 3" xfId="10394"/>
    <cellStyle name="Normal 3 3 4 5 4" xfId="10395"/>
    <cellStyle name="Normal 3 3 4 6" xfId="10396"/>
    <cellStyle name="Normal 3 3 4 7" xfId="10397"/>
    <cellStyle name="Normal 3 3 4 8" xfId="10398"/>
    <cellStyle name="Normal 3 3 4 9" xfId="10399"/>
    <cellStyle name="Normal 3 3 4_Actual" xfId="10400"/>
    <cellStyle name="Normal 3 3 5" xfId="1382"/>
    <cellStyle name="Normal 3 3 5 2" xfId="1383"/>
    <cellStyle name="Normal 3 3 5 2 2" xfId="1384"/>
    <cellStyle name="Normal 3 3 5 3" xfId="1385"/>
    <cellStyle name="Normal 3 3 5 3 2" xfId="10401"/>
    <cellStyle name="Normal 3 3 5 4" xfId="10402"/>
    <cellStyle name="Normal 3 3 6" xfId="1386"/>
    <cellStyle name="Normal 3 3 6 2" xfId="1387"/>
    <cellStyle name="Normal 3 3 6 2 2" xfId="10403"/>
    <cellStyle name="Normal 3 3 6 3" xfId="10404"/>
    <cellStyle name="Normal 3 3 6 3 2" xfId="10405"/>
    <cellStyle name="Normal 3 3 6 4" xfId="10406"/>
    <cellStyle name="Normal 3 3 7" xfId="1388"/>
    <cellStyle name="Normal 3 3 7 2" xfId="10407"/>
    <cellStyle name="Normal 3 3 7 2 2" xfId="10408"/>
    <cellStyle name="Normal 3 3 7 3" xfId="10409"/>
    <cellStyle name="Normal 3 3 7 4" xfId="10410"/>
    <cellStyle name="Normal 3 3 8" xfId="10411"/>
    <cellStyle name="Normal 3 3 8 2" xfId="10412"/>
    <cellStyle name="Normal 3 3 8 3" xfId="10413"/>
    <cellStyle name="Normal 3 3 8 4" xfId="10414"/>
    <cellStyle name="Normal 3 3 9" xfId="10415"/>
    <cellStyle name="Normal 3 3_Actual" xfId="10416"/>
    <cellStyle name="Normal 3 4" xfId="1389"/>
    <cellStyle name="Normal 3 4 10" xfId="10417"/>
    <cellStyle name="Normal 3 4 11" xfId="10418"/>
    <cellStyle name="Normal 3 4 12" xfId="10419"/>
    <cellStyle name="Normal 3 4 13" xfId="10420"/>
    <cellStyle name="Normal 3 4 14" xfId="10421"/>
    <cellStyle name="Normal 3 4 2" xfId="1390"/>
    <cellStyle name="Normal 3 4 2 10" xfId="10422"/>
    <cellStyle name="Normal 3 4 2 11" xfId="10423"/>
    <cellStyle name="Normal 3 4 2 2" xfId="1391"/>
    <cellStyle name="Normal 3 4 2 2 2" xfId="1392"/>
    <cellStyle name="Normal 3 4 2 2 2 2" xfId="1393"/>
    <cellStyle name="Normal 3 4 2 2 2 2 2" xfId="1394"/>
    <cellStyle name="Normal 3 4 2 2 2 3" xfId="1395"/>
    <cellStyle name="Normal 3 4 2 2 3" xfId="1396"/>
    <cellStyle name="Normal 3 4 2 2 3 2" xfId="1397"/>
    <cellStyle name="Normal 3 4 2 2 4" xfId="1398"/>
    <cellStyle name="Normal 3 4 2 3" xfId="1399"/>
    <cellStyle name="Normal 3 4 2 3 2" xfId="1400"/>
    <cellStyle name="Normal 3 4 2 3 2 2" xfId="1401"/>
    <cellStyle name="Normal 3 4 2 3 3" xfId="1402"/>
    <cellStyle name="Normal 3 4 2 3 3 2" xfId="10424"/>
    <cellStyle name="Normal 3 4 2 3 4" xfId="10425"/>
    <cellStyle name="Normal 3 4 2 4" xfId="1403"/>
    <cellStyle name="Normal 3 4 2 4 2" xfId="1404"/>
    <cellStyle name="Normal 3 4 2 4 3" xfId="10426"/>
    <cellStyle name="Normal 3 4 2 4 4" xfId="10427"/>
    <cellStyle name="Normal 3 4 2 5" xfId="1405"/>
    <cellStyle name="Normal 3 4 2 5 2" xfId="10428"/>
    <cellStyle name="Normal 3 4 2 5 3" xfId="10429"/>
    <cellStyle name="Normal 3 4 2 5 4" xfId="10430"/>
    <cellStyle name="Normal 3 4 2 6" xfId="10431"/>
    <cellStyle name="Normal 3 4 2 7" xfId="10432"/>
    <cellStyle name="Normal 3 4 2 8" xfId="10433"/>
    <cellStyle name="Normal 3 4 2 9" xfId="10434"/>
    <cellStyle name="Normal 3 4 2_Actual" xfId="10435"/>
    <cellStyle name="Normal 3 4 3" xfId="1406"/>
    <cellStyle name="Normal 3 4 3 2" xfId="1407"/>
    <cellStyle name="Normal 3 4 3 2 2" xfId="1408"/>
    <cellStyle name="Normal 3 4 3 2 2 2" xfId="1409"/>
    <cellStyle name="Normal 3 4 3 2 3" xfId="1410"/>
    <cellStyle name="Normal 3 4 3 2 3 2" xfId="10436"/>
    <cellStyle name="Normal 3 4 3 2 4" xfId="10437"/>
    <cellStyle name="Normal 3 4 3 3" xfId="1411"/>
    <cellStyle name="Normal 3 4 3 3 2" xfId="1412"/>
    <cellStyle name="Normal 3 4 3 3 2 2" xfId="10438"/>
    <cellStyle name="Normal 3 4 3 3 3" xfId="10439"/>
    <cellStyle name="Normal 3 4 3 3 3 2" xfId="10440"/>
    <cellStyle name="Normal 3 4 3 3 4" xfId="10441"/>
    <cellStyle name="Normal 3 4 3 4" xfId="1413"/>
    <cellStyle name="Normal 3 4 3 4 2" xfId="10442"/>
    <cellStyle name="Normal 3 4 3 4 3" xfId="10443"/>
    <cellStyle name="Normal 3 4 3 4 4" xfId="10444"/>
    <cellStyle name="Normal 3 4 3 5" xfId="10445"/>
    <cellStyle name="Normal 3 4 3 5 2" xfId="10446"/>
    <cellStyle name="Normal 3 4 3 5 3" xfId="10447"/>
    <cellStyle name="Normal 3 4 3 5 4" xfId="10448"/>
    <cellStyle name="Normal 3 4 3 6" xfId="10449"/>
    <cellStyle name="Normal 3 4 3 7" xfId="10450"/>
    <cellStyle name="Normal 3 4 3 8" xfId="10451"/>
    <cellStyle name="Normal 3 4 3 9" xfId="10452"/>
    <cellStyle name="Normal 3 4 3_Actual" xfId="10453"/>
    <cellStyle name="Normal 3 4 4" xfId="1414"/>
    <cellStyle name="Normal 3 4 4 2" xfId="1415"/>
    <cellStyle name="Normal 3 4 4 2 2" xfId="1416"/>
    <cellStyle name="Normal 3 4 4 2 2 2" xfId="10454"/>
    <cellStyle name="Normal 3 4 4 2 3" xfId="10455"/>
    <cellStyle name="Normal 3 4 4 2 3 2" xfId="10456"/>
    <cellStyle name="Normal 3 4 4 2 4" xfId="10457"/>
    <cellStyle name="Normal 3 4 4 3" xfId="1417"/>
    <cellStyle name="Normal 3 4 4 3 2" xfId="10458"/>
    <cellStyle name="Normal 3 4 4 3 2 2" xfId="10459"/>
    <cellStyle name="Normal 3 4 4 3 3" xfId="10460"/>
    <cellStyle name="Normal 3 4 4 3 3 2" xfId="10461"/>
    <cellStyle name="Normal 3 4 4 3 4" xfId="10462"/>
    <cellStyle name="Normal 3 4 4 4" xfId="10463"/>
    <cellStyle name="Normal 3 4 4 4 2" xfId="10464"/>
    <cellStyle name="Normal 3 4 4 4 3" xfId="10465"/>
    <cellStyle name="Normal 3 4 4 4 4" xfId="10466"/>
    <cellStyle name="Normal 3 4 4 5" xfId="10467"/>
    <cellStyle name="Normal 3 4 4 5 2" xfId="10468"/>
    <cellStyle name="Normal 3 4 4 5 3" xfId="10469"/>
    <cellStyle name="Normal 3 4 4 5 4" xfId="10470"/>
    <cellStyle name="Normal 3 4 4 6" xfId="10471"/>
    <cellStyle name="Normal 3 4 4 7" xfId="10472"/>
    <cellStyle name="Normal 3 4 4 8" xfId="10473"/>
    <cellStyle name="Normal 3 4 4 9" xfId="10474"/>
    <cellStyle name="Normal 3 4 4_Actual" xfId="10475"/>
    <cellStyle name="Normal 3 4 5" xfId="1418"/>
    <cellStyle name="Normal 3 4 5 2" xfId="1419"/>
    <cellStyle name="Normal 3 4 5 2 2" xfId="10476"/>
    <cellStyle name="Normal 3 4 5 3" xfId="10477"/>
    <cellStyle name="Normal 3 4 5 3 2" xfId="10478"/>
    <cellStyle name="Normal 3 4 5 4" xfId="10479"/>
    <cellStyle name="Normal 3 4 6" xfId="1420"/>
    <cellStyle name="Normal 3 4 6 2" xfId="10480"/>
    <cellStyle name="Normal 3 4 6 2 2" xfId="10481"/>
    <cellStyle name="Normal 3 4 6 3" xfId="10482"/>
    <cellStyle name="Normal 3 4 6 3 2" xfId="10483"/>
    <cellStyle name="Normal 3 4 6 4" xfId="10484"/>
    <cellStyle name="Normal 3 4 7" xfId="10485"/>
    <cellStyle name="Normal 3 4 7 2" xfId="10486"/>
    <cellStyle name="Normal 3 4 7 2 2" xfId="10487"/>
    <cellStyle name="Normal 3 4 7 3" xfId="10488"/>
    <cellStyle name="Normal 3 4 7 4" xfId="10489"/>
    <cellStyle name="Normal 3 4 8" xfId="10490"/>
    <cellStyle name="Normal 3 4 8 2" xfId="10491"/>
    <cellStyle name="Normal 3 4 8 3" xfId="10492"/>
    <cellStyle name="Normal 3 4 8 4" xfId="10493"/>
    <cellStyle name="Normal 3 4 9" xfId="10494"/>
    <cellStyle name="Normal 3 4_Actual" xfId="10495"/>
    <cellStyle name="Normal 3 5" xfId="1421"/>
    <cellStyle name="Normal 3 5 10" xfId="10496"/>
    <cellStyle name="Normal 3 5 11" xfId="10497"/>
    <cellStyle name="Normal 3 5 12" xfId="10498"/>
    <cellStyle name="Normal 3 5 13" xfId="10499"/>
    <cellStyle name="Normal 3 5 2" xfId="1422"/>
    <cellStyle name="Normal 3 5 2 10" xfId="10500"/>
    <cellStyle name="Normal 3 5 2 2" xfId="1423"/>
    <cellStyle name="Normal 3 5 2 2 2" xfId="1424"/>
    <cellStyle name="Normal 3 5 2 2 2 2" xfId="1425"/>
    <cellStyle name="Normal 3 5 2 2 3" xfId="1426"/>
    <cellStyle name="Normal 3 5 2 2 3 2" xfId="10501"/>
    <cellStyle name="Normal 3 5 2 2 4" xfId="10502"/>
    <cellStyle name="Normal 3 5 2 2 5" xfId="10503"/>
    <cellStyle name="Normal 3 5 2 3" xfId="1427"/>
    <cellStyle name="Normal 3 5 2 3 2" xfId="1428"/>
    <cellStyle name="Normal 3 5 2 3 2 2" xfId="10504"/>
    <cellStyle name="Normal 3 5 2 3 3" xfId="10505"/>
    <cellStyle name="Normal 3 5 2 3 3 2" xfId="10506"/>
    <cellStyle name="Normal 3 5 2 3 4" xfId="10507"/>
    <cellStyle name="Normal 3 5 2 4" xfId="1429"/>
    <cellStyle name="Normal 3 5 2 4 2" xfId="10508"/>
    <cellStyle name="Normal 3 5 2 4 3" xfId="10509"/>
    <cellStyle name="Normal 3 5 2 4 4" xfId="10510"/>
    <cellStyle name="Normal 3 5 2 5" xfId="10511"/>
    <cellStyle name="Normal 3 5 2 5 2" xfId="10512"/>
    <cellStyle name="Normal 3 5 2 5 3" xfId="10513"/>
    <cellStyle name="Normal 3 5 2 5 4" xfId="10514"/>
    <cellStyle name="Normal 3 5 2 6" xfId="10515"/>
    <cellStyle name="Normal 3 5 2 7" xfId="10516"/>
    <cellStyle name="Normal 3 5 2 8" xfId="10517"/>
    <cellStyle name="Normal 3 5 2 9" xfId="10518"/>
    <cellStyle name="Normal 3 5 2_Actual" xfId="10519"/>
    <cellStyle name="Normal 3 5 3" xfId="1430"/>
    <cellStyle name="Normal 3 5 3 10" xfId="10520"/>
    <cellStyle name="Normal 3 5 3 2" xfId="1431"/>
    <cellStyle name="Normal 3 5 3 2 2" xfId="1432"/>
    <cellStyle name="Normal 3 5 3 2 2 2" xfId="10521"/>
    <cellStyle name="Normal 3 5 3 2 3" xfId="10522"/>
    <cellStyle name="Normal 3 5 3 2 3 2" xfId="10523"/>
    <cellStyle name="Normal 3 5 3 2 4" xfId="10524"/>
    <cellStyle name="Normal 3 5 3 3" xfId="1433"/>
    <cellStyle name="Normal 3 5 3 3 2" xfId="10525"/>
    <cellStyle name="Normal 3 5 3 3 2 2" xfId="10526"/>
    <cellStyle name="Normal 3 5 3 3 3" xfId="10527"/>
    <cellStyle name="Normal 3 5 3 3 3 2" xfId="10528"/>
    <cellStyle name="Normal 3 5 3 3 4" xfId="10529"/>
    <cellStyle name="Normal 3 5 3 4" xfId="10530"/>
    <cellStyle name="Normal 3 5 3 4 2" xfId="10531"/>
    <cellStyle name="Normal 3 5 3 4 3" xfId="10532"/>
    <cellStyle name="Normal 3 5 3 4 4" xfId="10533"/>
    <cellStyle name="Normal 3 5 3 5" xfId="10534"/>
    <cellStyle name="Normal 3 5 3 5 2" xfId="10535"/>
    <cellStyle name="Normal 3 5 3 5 3" xfId="10536"/>
    <cellStyle name="Normal 3 5 3 5 4" xfId="10537"/>
    <cellStyle name="Normal 3 5 3 6" xfId="10538"/>
    <cellStyle name="Normal 3 5 3 7" xfId="10539"/>
    <cellStyle name="Normal 3 5 3 8" xfId="10540"/>
    <cellStyle name="Normal 3 5 3 9" xfId="10541"/>
    <cellStyle name="Normal 3 5 3_Actual" xfId="10542"/>
    <cellStyle name="Normal 3 5 4" xfId="1434"/>
    <cellStyle name="Normal 3 5 4 2" xfId="1435"/>
    <cellStyle name="Normal 3 5 4 2 2" xfId="10543"/>
    <cellStyle name="Normal 3 5 4 2 2 2" xfId="10544"/>
    <cellStyle name="Normal 3 5 4 2 3" xfId="10545"/>
    <cellStyle name="Normal 3 5 4 2 3 2" xfId="10546"/>
    <cellStyle name="Normal 3 5 4 2 4" xfId="10547"/>
    <cellStyle name="Normal 3 5 4 3" xfId="10548"/>
    <cellStyle name="Normal 3 5 4 3 2" xfId="10549"/>
    <cellStyle name="Normal 3 5 4 3 2 2" xfId="10550"/>
    <cellStyle name="Normal 3 5 4 3 3" xfId="10551"/>
    <cellStyle name="Normal 3 5 4 3 3 2" xfId="10552"/>
    <cellStyle name="Normal 3 5 4 3 4" xfId="10553"/>
    <cellStyle name="Normal 3 5 4 4" xfId="10554"/>
    <cellStyle name="Normal 3 5 4 4 2" xfId="10555"/>
    <cellStyle name="Normal 3 5 4 4 3" xfId="10556"/>
    <cellStyle name="Normal 3 5 4 4 4" xfId="10557"/>
    <cellStyle name="Normal 3 5 4 5" xfId="10558"/>
    <cellStyle name="Normal 3 5 4 5 2" xfId="10559"/>
    <cellStyle name="Normal 3 5 4 5 3" xfId="10560"/>
    <cellStyle name="Normal 3 5 4 5 4" xfId="10561"/>
    <cellStyle name="Normal 3 5 4 6" xfId="10562"/>
    <cellStyle name="Normal 3 5 4 7" xfId="10563"/>
    <cellStyle name="Normal 3 5 4 8" xfId="10564"/>
    <cellStyle name="Normal 3 5 4 9" xfId="10565"/>
    <cellStyle name="Normal 3 5 4_Actual" xfId="10566"/>
    <cellStyle name="Normal 3 5 5" xfId="1436"/>
    <cellStyle name="Normal 3 5 5 2" xfId="10567"/>
    <cellStyle name="Normal 3 5 5 2 2" xfId="10568"/>
    <cellStyle name="Normal 3 5 5 3" xfId="10569"/>
    <cellStyle name="Normal 3 5 5 3 2" xfId="10570"/>
    <cellStyle name="Normal 3 5 5 4" xfId="10571"/>
    <cellStyle name="Normal 3 5 6" xfId="10572"/>
    <cellStyle name="Normal 3 5 6 2" xfId="10573"/>
    <cellStyle name="Normal 3 5 6 2 2" xfId="10574"/>
    <cellStyle name="Normal 3 5 6 3" xfId="10575"/>
    <cellStyle name="Normal 3 5 6 3 2" xfId="10576"/>
    <cellStyle name="Normal 3 5 6 4" xfId="10577"/>
    <cellStyle name="Normal 3 5 7" xfId="10578"/>
    <cellStyle name="Normal 3 5 7 2" xfId="10579"/>
    <cellStyle name="Normal 3 5 7 3" xfId="10580"/>
    <cellStyle name="Normal 3 5 7 4" xfId="10581"/>
    <cellStyle name="Normal 3 5 8" xfId="10582"/>
    <cellStyle name="Normal 3 5 8 2" xfId="10583"/>
    <cellStyle name="Normal 3 5 8 3" xfId="10584"/>
    <cellStyle name="Normal 3 5 8 4" xfId="10585"/>
    <cellStyle name="Normal 3 5 9" xfId="10586"/>
    <cellStyle name="Normal 3 5_Actual" xfId="10587"/>
    <cellStyle name="Normal 3 6" xfId="1437"/>
    <cellStyle name="Normal 3 6 10" xfId="10588"/>
    <cellStyle name="Normal 3 6 2" xfId="1438"/>
    <cellStyle name="Normal 3 6 2 2" xfId="1439"/>
    <cellStyle name="Normal 3 6 2 2 2" xfId="1440"/>
    <cellStyle name="Normal 3 6 2 3" xfId="1441"/>
    <cellStyle name="Normal 3 6 2 3 2" xfId="10589"/>
    <cellStyle name="Normal 3 6 2 4" xfId="10590"/>
    <cellStyle name="Normal 3 6 2 5" xfId="10591"/>
    <cellStyle name="Normal 3 6 3" xfId="1442"/>
    <cellStyle name="Normal 3 6 3 2" xfId="1443"/>
    <cellStyle name="Normal 3 6 3 2 2" xfId="10592"/>
    <cellStyle name="Normal 3 6 3 3" xfId="10593"/>
    <cellStyle name="Normal 3 6 3 3 2" xfId="10594"/>
    <cellStyle name="Normal 3 6 3 4" xfId="10595"/>
    <cellStyle name="Normal 3 6 3 5" xfId="10596"/>
    <cellStyle name="Normal 3 6 4" xfId="1444"/>
    <cellStyle name="Normal 3 6 4 2" xfId="10597"/>
    <cellStyle name="Normal 3 6 4 3" xfId="10598"/>
    <cellStyle name="Normal 3 6 4 4" xfId="10599"/>
    <cellStyle name="Normal 3 6 5" xfId="10600"/>
    <cellStyle name="Normal 3 6 5 2" xfId="10601"/>
    <cellStyle name="Normal 3 6 5 3" xfId="10602"/>
    <cellStyle name="Normal 3 6 5 4" xfId="10603"/>
    <cellStyle name="Normal 3 6 6" xfId="10604"/>
    <cellStyle name="Normal 3 6 6 2" xfId="10605"/>
    <cellStyle name="Normal 3 6 7" xfId="10606"/>
    <cellStyle name="Normal 3 6 8" xfId="10607"/>
    <cellStyle name="Normal 3 6 9" xfId="10608"/>
    <cellStyle name="Normal 3 6_Actual" xfId="10609"/>
    <cellStyle name="Normal 3 7" xfId="1445"/>
    <cellStyle name="Normal 3 7 2" xfId="1446"/>
    <cellStyle name="Normal 3 7 2 2" xfId="1447"/>
    <cellStyle name="Normal 3 7 3" xfId="1448"/>
    <cellStyle name="Normal 3 7 3 2" xfId="10610"/>
    <cellStyle name="Normal 3 7 4" xfId="10611"/>
    <cellStyle name="Normal 3 7 5" xfId="10612"/>
    <cellStyle name="Normal 3 7 6" xfId="10613"/>
    <cellStyle name="Normal 3 8" xfId="1449"/>
    <cellStyle name="Normal 3 8 2" xfId="1450"/>
    <cellStyle name="Normal 3 8 2 2" xfId="10614"/>
    <cellStyle name="Normal 3 8 3" xfId="10615"/>
    <cellStyle name="Normal 3 8 3 2" xfId="10616"/>
    <cellStyle name="Normal 3 8 4" xfId="10617"/>
    <cellStyle name="Normal 3 8 5" xfId="10618"/>
    <cellStyle name="Normal 3 8 6" xfId="10619"/>
    <cellStyle name="Normal 3 9" xfId="1451"/>
    <cellStyle name="Normal 3 9 2" xfId="10620"/>
    <cellStyle name="Normal 3 9 3" xfId="10621"/>
    <cellStyle name="Normal 3 9 4" xfId="10622"/>
    <cellStyle name="Normal 3_12-10 Form 1 Filing and supporting papers-Nivision Revised" xfId="10623"/>
    <cellStyle name="Normal 30" xfId="10624"/>
    <cellStyle name="Normal 30 10" xfId="10625"/>
    <cellStyle name="Normal 30 11" xfId="10626"/>
    <cellStyle name="Normal 30 12" xfId="10627"/>
    <cellStyle name="Normal 30 2" xfId="10628"/>
    <cellStyle name="Normal 30 2 2" xfId="10629"/>
    <cellStyle name="Normal 30 2 2 2" xfId="10630"/>
    <cellStyle name="Normal 30 2 2 3" xfId="10631"/>
    <cellStyle name="Normal 30 2 3" xfId="10632"/>
    <cellStyle name="Normal 30 2 3 2" xfId="10633"/>
    <cellStyle name="Normal 30 2 4" xfId="10634"/>
    <cellStyle name="Normal 30 2 5" xfId="10635"/>
    <cellStyle name="Normal 30 2 6" xfId="10636"/>
    <cellStyle name="Normal 30 2 7" xfId="10637"/>
    <cellStyle name="Normal 30 2 8" xfId="10638"/>
    <cellStyle name="Normal 30 2 9" xfId="10639"/>
    <cellStyle name="Normal 30 3" xfId="10640"/>
    <cellStyle name="Normal 30 3 2" xfId="10641"/>
    <cellStyle name="Normal 30 3 2 2" xfId="10642"/>
    <cellStyle name="Normal 30 3 3" xfId="10643"/>
    <cellStyle name="Normal 30 3 4" xfId="10644"/>
    <cellStyle name="Normal 30 3 5" xfId="10645"/>
    <cellStyle name="Normal 30 4" xfId="10646"/>
    <cellStyle name="Normal 30 4 2" xfId="10647"/>
    <cellStyle name="Normal 30 5" xfId="10648"/>
    <cellStyle name="Normal 30 5 2" xfId="10649"/>
    <cellStyle name="Normal 30 6" xfId="10650"/>
    <cellStyle name="Normal 30 6 2" xfId="10651"/>
    <cellStyle name="Normal 30 7" xfId="10652"/>
    <cellStyle name="Normal 30 8" xfId="10653"/>
    <cellStyle name="Normal 30 9" xfId="10654"/>
    <cellStyle name="Normal 31" xfId="10655"/>
    <cellStyle name="Normal 31 10" xfId="10656"/>
    <cellStyle name="Normal 31 11" xfId="10657"/>
    <cellStyle name="Normal 31 12" xfId="10658"/>
    <cellStyle name="Normal 31 2" xfId="10659"/>
    <cellStyle name="Normal 31 2 2" xfId="10660"/>
    <cellStyle name="Normal 31 2 2 2" xfId="10661"/>
    <cellStyle name="Normal 31 2 2 3" xfId="10662"/>
    <cellStyle name="Normal 31 2 3" xfId="10663"/>
    <cellStyle name="Normal 31 2 3 2" xfId="10664"/>
    <cellStyle name="Normal 31 2 4" xfId="10665"/>
    <cellStyle name="Normal 31 2 5" xfId="10666"/>
    <cellStyle name="Normal 31 2 6" xfId="10667"/>
    <cellStyle name="Normal 31 2 7" xfId="10668"/>
    <cellStyle name="Normal 31 2 8" xfId="10669"/>
    <cellStyle name="Normal 31 3" xfId="10670"/>
    <cellStyle name="Normal 31 3 2" xfId="10671"/>
    <cellStyle name="Normal 31 3 2 2" xfId="10672"/>
    <cellStyle name="Normal 31 3 3" xfId="10673"/>
    <cellStyle name="Normal 31 3 4" xfId="10674"/>
    <cellStyle name="Normal 31 3 5" xfId="10675"/>
    <cellStyle name="Normal 31 4" xfId="10676"/>
    <cellStyle name="Normal 31 4 2" xfId="10677"/>
    <cellStyle name="Normal 31 5" xfId="10678"/>
    <cellStyle name="Normal 31 5 2" xfId="10679"/>
    <cellStyle name="Normal 31 6" xfId="10680"/>
    <cellStyle name="Normal 31 6 2" xfId="10681"/>
    <cellStyle name="Normal 31 7" xfId="10682"/>
    <cellStyle name="Normal 31 8" xfId="10683"/>
    <cellStyle name="Normal 31 9" xfId="10684"/>
    <cellStyle name="Normal 32" xfId="10685"/>
    <cellStyle name="Normal 32 10" xfId="10686"/>
    <cellStyle name="Normal 32 11" xfId="10687"/>
    <cellStyle name="Normal 32 12" xfId="10688"/>
    <cellStyle name="Normal 32 2" xfId="10689"/>
    <cellStyle name="Normal 32 2 2" xfId="10690"/>
    <cellStyle name="Normal 32 2 2 2" xfId="10691"/>
    <cellStyle name="Normal 32 2 2 3" xfId="10692"/>
    <cellStyle name="Normal 32 2 3" xfId="10693"/>
    <cellStyle name="Normal 32 2 3 2" xfId="10694"/>
    <cellStyle name="Normal 32 2 4" xfId="10695"/>
    <cellStyle name="Normal 32 2 5" xfId="10696"/>
    <cellStyle name="Normal 32 2 6" xfId="10697"/>
    <cellStyle name="Normal 32 2 7" xfId="10698"/>
    <cellStyle name="Normal 32 2 8" xfId="10699"/>
    <cellStyle name="Normal 32 3" xfId="10700"/>
    <cellStyle name="Normal 32 3 2" xfId="10701"/>
    <cellStyle name="Normal 32 3 2 2" xfId="10702"/>
    <cellStyle name="Normal 32 3 3" xfId="10703"/>
    <cellStyle name="Normal 32 3 4" xfId="10704"/>
    <cellStyle name="Normal 32 3 5" xfId="10705"/>
    <cellStyle name="Normal 32 4" xfId="10706"/>
    <cellStyle name="Normal 32 4 2" xfId="10707"/>
    <cellStyle name="Normal 32 5" xfId="10708"/>
    <cellStyle name="Normal 32 5 2" xfId="10709"/>
    <cellStyle name="Normal 32 6" xfId="10710"/>
    <cellStyle name="Normal 32 6 2" xfId="10711"/>
    <cellStyle name="Normal 32 7" xfId="10712"/>
    <cellStyle name="Normal 32 8" xfId="10713"/>
    <cellStyle name="Normal 32 9" xfId="10714"/>
    <cellStyle name="Normal 33" xfId="10715"/>
    <cellStyle name="Normal 33 10" xfId="10716"/>
    <cellStyle name="Normal 33 11" xfId="10717"/>
    <cellStyle name="Normal 33 2" xfId="10718"/>
    <cellStyle name="Normal 33 2 2" xfId="10719"/>
    <cellStyle name="Normal 33 2 2 2" xfId="10720"/>
    <cellStyle name="Normal 33 2 2 3" xfId="10721"/>
    <cellStyle name="Normal 33 2 3" xfId="10722"/>
    <cellStyle name="Normal 33 2 3 2" xfId="10723"/>
    <cellStyle name="Normal 33 2 4" xfId="10724"/>
    <cellStyle name="Normal 33 2 5" xfId="10725"/>
    <cellStyle name="Normal 33 2 6" xfId="10726"/>
    <cellStyle name="Normal 33 2 7" xfId="10727"/>
    <cellStyle name="Normal 33 2 8" xfId="10728"/>
    <cellStyle name="Normal 33 3" xfId="10729"/>
    <cellStyle name="Normal 33 3 2" xfId="10730"/>
    <cellStyle name="Normal 33 3 3" xfId="10731"/>
    <cellStyle name="Normal 33 4" xfId="10732"/>
    <cellStyle name="Normal 33 4 2" xfId="10733"/>
    <cellStyle name="Normal 33 5" xfId="10734"/>
    <cellStyle name="Normal 33 5 2" xfId="10735"/>
    <cellStyle name="Normal 33 6" xfId="10736"/>
    <cellStyle name="Normal 33 7" xfId="10737"/>
    <cellStyle name="Normal 33 8" xfId="10738"/>
    <cellStyle name="Normal 33 9" xfId="10739"/>
    <cellStyle name="Normal 34" xfId="10740"/>
    <cellStyle name="Normal 34 2" xfId="10741"/>
    <cellStyle name="Normal 34 2 2" xfId="10742"/>
    <cellStyle name="Normal 34 2 2 2" xfId="10743"/>
    <cellStyle name="Normal 34 2 3" xfId="10744"/>
    <cellStyle name="Normal 34 2 4" xfId="10745"/>
    <cellStyle name="Normal 34 2 5" xfId="10746"/>
    <cellStyle name="Normal 34 2 6" xfId="10747"/>
    <cellStyle name="Normal 34 3" xfId="10748"/>
    <cellStyle name="Normal 34 3 2" xfId="10749"/>
    <cellStyle name="Normal 34 4" xfId="10750"/>
    <cellStyle name="Normal 34 5" xfId="10751"/>
    <cellStyle name="Normal 35" xfId="10752"/>
    <cellStyle name="Normal 35 2" xfId="10753"/>
    <cellStyle name="Normal 35 2 2" xfId="10754"/>
    <cellStyle name="Normal 35 2 2 2" xfId="10755"/>
    <cellStyle name="Normal 35 2 3" xfId="10756"/>
    <cellStyle name="Normal 35 2 4" xfId="10757"/>
    <cellStyle name="Normal 35 2 5" xfId="10758"/>
    <cellStyle name="Normal 35 2 6" xfId="10759"/>
    <cellStyle name="Normal 35 2 7" xfId="10760"/>
    <cellStyle name="Normal 35 3" xfId="10761"/>
    <cellStyle name="Normal 35 3 2" xfId="10762"/>
    <cellStyle name="Normal 35 4" xfId="10763"/>
    <cellStyle name="Normal 35 5" xfId="10764"/>
    <cellStyle name="Normal 36" xfId="10765"/>
    <cellStyle name="Normal 36 2" xfId="10766"/>
    <cellStyle name="Normal 36 2 2" xfId="10767"/>
    <cellStyle name="Normal 36 2 2 2" xfId="10768"/>
    <cellStyle name="Normal 36 2 3" xfId="10769"/>
    <cellStyle name="Normal 36 2 4" xfId="10770"/>
    <cellStyle name="Normal 36 2 5" xfId="10771"/>
    <cellStyle name="Normal 36 2 6" xfId="10772"/>
    <cellStyle name="Normal 36 2 7" xfId="10773"/>
    <cellStyle name="Normal 36 3" xfId="10774"/>
    <cellStyle name="Normal 36 3 2" xfId="10775"/>
    <cellStyle name="Normal 36 4" xfId="10776"/>
    <cellStyle name="Normal 36 5" xfId="10777"/>
    <cellStyle name="Normal 37" xfId="10778"/>
    <cellStyle name="Normal 37 2" xfId="10779"/>
    <cellStyle name="Normal 37 2 2" xfId="10780"/>
    <cellStyle name="Normal 37 2 2 2" xfId="10781"/>
    <cellStyle name="Normal 37 2 3" xfId="10782"/>
    <cellStyle name="Normal 37 2 4" xfId="10783"/>
    <cellStyle name="Normal 37 2 5" xfId="10784"/>
    <cellStyle name="Normal 37 2 6" xfId="10785"/>
    <cellStyle name="Normal 37 3" xfId="10786"/>
    <cellStyle name="Normal 37 3 2" xfId="10787"/>
    <cellStyle name="Normal 37 4" xfId="10788"/>
    <cellStyle name="Normal 37 5" xfId="10789"/>
    <cellStyle name="Normal 38" xfId="10790"/>
    <cellStyle name="Normal 38 2" xfId="10791"/>
    <cellStyle name="Normal 38 2 2" xfId="10792"/>
    <cellStyle name="Normal 38 2 2 2" xfId="10793"/>
    <cellStyle name="Normal 38 2 3" xfId="10794"/>
    <cellStyle name="Normal 38 2 4" xfId="10795"/>
    <cellStyle name="Normal 38 2 5" xfId="10796"/>
    <cellStyle name="Normal 38 2 6" xfId="10797"/>
    <cellStyle name="Normal 38 3" xfId="10798"/>
    <cellStyle name="Normal 38 3 2" xfId="10799"/>
    <cellStyle name="Normal 38 4" xfId="10800"/>
    <cellStyle name="Normal 38 5" xfId="10801"/>
    <cellStyle name="Normal 39" xfId="10802"/>
    <cellStyle name="Normal 39 2" xfId="10803"/>
    <cellStyle name="Normal 39 2 2" xfId="10804"/>
    <cellStyle name="Normal 39 2 2 2" xfId="10805"/>
    <cellStyle name="Normal 39 2 3" xfId="10806"/>
    <cellStyle name="Normal 39 2 4" xfId="10807"/>
    <cellStyle name="Normal 39 2 5" xfId="10808"/>
    <cellStyle name="Normal 39 2 6" xfId="10809"/>
    <cellStyle name="Normal 39 3" xfId="10810"/>
    <cellStyle name="Normal 39 3 2" xfId="10811"/>
    <cellStyle name="Normal 39 4" xfId="10812"/>
    <cellStyle name="Normal 39 5" xfId="10813"/>
    <cellStyle name="Normal 39 6" xfId="10814"/>
    <cellStyle name="Normal 4" xfId="14"/>
    <cellStyle name="Normal 4 10" xfId="10815"/>
    <cellStyle name="Normal 4 10 2" xfId="10816"/>
    <cellStyle name="Normal 4 10 2 2" xfId="10817"/>
    <cellStyle name="Normal 4 10 3" xfId="10818"/>
    <cellStyle name="Normal 4 10 4" xfId="10819"/>
    <cellStyle name="Normal 4 10 5" xfId="10820"/>
    <cellStyle name="Normal 4 10 6" xfId="10821"/>
    <cellStyle name="Normal 4 11" xfId="10822"/>
    <cellStyle name="Normal 4 11 2" xfId="10823"/>
    <cellStyle name="Normal 4 11 3" xfId="10824"/>
    <cellStyle name="Normal 4 11 4" xfId="10825"/>
    <cellStyle name="Normal 4 11 5" xfId="10826"/>
    <cellStyle name="Normal 4 12" xfId="10827"/>
    <cellStyle name="Normal 4 12 2" xfId="10828"/>
    <cellStyle name="Normal 4 12 2 2" xfId="10829"/>
    <cellStyle name="Normal 4 12 2 3" xfId="10830"/>
    <cellStyle name="Normal 4 12 3" xfId="10831"/>
    <cellStyle name="Normal 4 12 4" xfId="10832"/>
    <cellStyle name="Normal 4 12 5" xfId="10833"/>
    <cellStyle name="Normal 4 12 6" xfId="10834"/>
    <cellStyle name="Normal 4 12 7" xfId="10835"/>
    <cellStyle name="Normal 4 12 8" xfId="10836"/>
    <cellStyle name="Normal 4 13" xfId="10837"/>
    <cellStyle name="Normal 4 13 2" xfId="10838"/>
    <cellStyle name="Normal 4 13 2 2" xfId="10839"/>
    <cellStyle name="Normal 4 13 3" xfId="10840"/>
    <cellStyle name="Normal 4 13 4" xfId="10841"/>
    <cellStyle name="Normal 4 14" xfId="10842"/>
    <cellStyle name="Normal 4 14 2" xfId="10843"/>
    <cellStyle name="Normal 4 15" xfId="10844"/>
    <cellStyle name="Normal 4 15 2" xfId="10845"/>
    <cellStyle name="Normal 4 16" xfId="10846"/>
    <cellStyle name="Normal 4 16 2" xfId="10847"/>
    <cellStyle name="Normal 4 17" xfId="10848"/>
    <cellStyle name="Normal 4 18" xfId="10849"/>
    <cellStyle name="Normal 4 19" xfId="1452"/>
    <cellStyle name="Normal 4 2" xfId="27"/>
    <cellStyle name="Normal 4 2 10" xfId="10850"/>
    <cellStyle name="Normal 4 2 11" xfId="10851"/>
    <cellStyle name="Normal 4 2 12" xfId="10852"/>
    <cellStyle name="Normal 4 2 13" xfId="10853"/>
    <cellStyle name="Normal 4 2 14" xfId="10854"/>
    <cellStyle name="Normal 4 2 15" xfId="10855"/>
    <cellStyle name="Normal 4 2 16" xfId="1453"/>
    <cellStyle name="Normal 4 2 2" xfId="1454"/>
    <cellStyle name="Normal 4 2 2 10" xfId="10856"/>
    <cellStyle name="Normal 4 2 2 11" xfId="10857"/>
    <cellStyle name="Normal 4 2 2 12" xfId="10858"/>
    <cellStyle name="Normal 4 2 2 13" xfId="10859"/>
    <cellStyle name="Normal 4 2 2 14" xfId="10860"/>
    <cellStyle name="Normal 4 2 2 2" xfId="1455"/>
    <cellStyle name="Normal 4 2 2 2 10" xfId="10861"/>
    <cellStyle name="Normal 4 2 2 2 11" xfId="10862"/>
    <cellStyle name="Normal 4 2 2 2 12" xfId="10863"/>
    <cellStyle name="Normal 4 2 2 2 13" xfId="10864"/>
    <cellStyle name="Normal 4 2 2 2 2" xfId="1456"/>
    <cellStyle name="Normal 4 2 2 2 2 10" xfId="10865"/>
    <cellStyle name="Normal 4 2 2 2 2 11" xfId="10866"/>
    <cellStyle name="Normal 4 2 2 2 2 12" xfId="10867"/>
    <cellStyle name="Normal 4 2 2 2 2 2" xfId="1457"/>
    <cellStyle name="Normal 4 2 2 2 2 2 2" xfId="1458"/>
    <cellStyle name="Normal 4 2 2 2 2 2 2 2" xfId="1459"/>
    <cellStyle name="Normal 4 2 2 2 2 2 2 2 2" xfId="1460"/>
    <cellStyle name="Normal 4 2 2 2 2 2 2 3" xfId="1461"/>
    <cellStyle name="Normal 4 2 2 2 2 2 3" xfId="1462"/>
    <cellStyle name="Normal 4 2 2 2 2 2 3 2" xfId="1463"/>
    <cellStyle name="Normal 4 2 2 2 2 2 4" xfId="1464"/>
    <cellStyle name="Normal 4 2 2 2 2 2 5" xfId="10868"/>
    <cellStyle name="Normal 4 2 2 2 2 2 6" xfId="10869"/>
    <cellStyle name="Normal 4 2 2 2 2 2 7" xfId="10870"/>
    <cellStyle name="Normal 4 2 2 2 2 2 8" xfId="10871"/>
    <cellStyle name="Normal 4 2 2 2 2 2 9" xfId="10872"/>
    <cellStyle name="Normal 4 2 2 2 2 3" xfId="1465"/>
    <cellStyle name="Normal 4 2 2 2 2 3 2" xfId="1466"/>
    <cellStyle name="Normal 4 2 2 2 2 3 2 2" xfId="1467"/>
    <cellStyle name="Normal 4 2 2 2 2 3 3" xfId="1468"/>
    <cellStyle name="Normal 4 2 2 2 2 3 4" xfId="10873"/>
    <cellStyle name="Normal 4 2 2 2 2 4" xfId="1469"/>
    <cellStyle name="Normal 4 2 2 2 2 4 2" xfId="1470"/>
    <cellStyle name="Normal 4 2 2 2 2 5" xfId="1471"/>
    <cellStyle name="Normal 4 2 2 2 2 5 2" xfId="10874"/>
    <cellStyle name="Normal 4 2 2 2 2 6" xfId="10875"/>
    <cellStyle name="Normal 4 2 2 2 2 6 2" xfId="10876"/>
    <cellStyle name="Normal 4 2 2 2 2 7" xfId="10877"/>
    <cellStyle name="Normal 4 2 2 2 2 8" xfId="10878"/>
    <cellStyle name="Normal 4 2 2 2 2 9" xfId="10879"/>
    <cellStyle name="Normal 4 2 2 2 3" xfId="1472"/>
    <cellStyle name="Normal 4 2 2 2 3 2" xfId="1473"/>
    <cellStyle name="Normal 4 2 2 2 3 2 2" xfId="1474"/>
    <cellStyle name="Normal 4 2 2 2 3 2 2 2" xfId="1475"/>
    <cellStyle name="Normal 4 2 2 2 3 2 3" xfId="1476"/>
    <cellStyle name="Normal 4 2 2 2 3 3" xfId="1477"/>
    <cellStyle name="Normal 4 2 2 2 3 3 2" xfId="1478"/>
    <cellStyle name="Normal 4 2 2 2 3 4" xfId="1479"/>
    <cellStyle name="Normal 4 2 2 2 3 5" xfId="10880"/>
    <cellStyle name="Normal 4 2 2 2 3 6" xfId="10881"/>
    <cellStyle name="Normal 4 2 2 2 3 7" xfId="10882"/>
    <cellStyle name="Normal 4 2 2 2 3 8" xfId="10883"/>
    <cellStyle name="Normal 4 2 2 2 3 9" xfId="10884"/>
    <cellStyle name="Normal 4 2 2 2 4" xfId="1480"/>
    <cellStyle name="Normal 4 2 2 2 4 2" xfId="1481"/>
    <cellStyle name="Normal 4 2 2 2 4 2 2" xfId="1482"/>
    <cellStyle name="Normal 4 2 2 2 4 3" xfId="1483"/>
    <cellStyle name="Normal 4 2 2 2 4 4" xfId="10885"/>
    <cellStyle name="Normal 4 2 2 2 5" xfId="1484"/>
    <cellStyle name="Normal 4 2 2 2 5 2" xfId="1485"/>
    <cellStyle name="Normal 4 2 2 2 6" xfId="1486"/>
    <cellStyle name="Normal 4 2 2 2 6 2" xfId="10886"/>
    <cellStyle name="Normal 4 2 2 2 7" xfId="10887"/>
    <cellStyle name="Normal 4 2 2 2 7 2" xfId="10888"/>
    <cellStyle name="Normal 4 2 2 2 8" xfId="10889"/>
    <cellStyle name="Normal 4 2 2 2 9" xfId="10890"/>
    <cellStyle name="Normal 4 2 2 3" xfId="1487"/>
    <cellStyle name="Normal 4 2 2 3 10" xfId="10891"/>
    <cellStyle name="Normal 4 2 2 3 11" xfId="10892"/>
    <cellStyle name="Normal 4 2 2 3 12" xfId="10893"/>
    <cellStyle name="Normal 4 2 2 3 2" xfId="1488"/>
    <cellStyle name="Normal 4 2 2 3 2 2" xfId="1489"/>
    <cellStyle name="Normal 4 2 2 3 2 2 2" xfId="1490"/>
    <cellStyle name="Normal 4 2 2 3 2 2 2 2" xfId="1491"/>
    <cellStyle name="Normal 4 2 2 3 2 2 3" xfId="1492"/>
    <cellStyle name="Normal 4 2 2 3 2 3" xfId="1493"/>
    <cellStyle name="Normal 4 2 2 3 2 3 2" xfId="1494"/>
    <cellStyle name="Normal 4 2 2 3 2 4" xfId="1495"/>
    <cellStyle name="Normal 4 2 2 3 2 5" xfId="10894"/>
    <cellStyle name="Normal 4 2 2 3 2 6" xfId="10895"/>
    <cellStyle name="Normal 4 2 2 3 2 7" xfId="10896"/>
    <cellStyle name="Normal 4 2 2 3 2 8" xfId="10897"/>
    <cellStyle name="Normal 4 2 2 3 2 9" xfId="10898"/>
    <cellStyle name="Normal 4 2 2 3 3" xfId="1496"/>
    <cellStyle name="Normal 4 2 2 3 3 2" xfId="1497"/>
    <cellStyle name="Normal 4 2 2 3 3 2 2" xfId="1498"/>
    <cellStyle name="Normal 4 2 2 3 3 3" xfId="1499"/>
    <cellStyle name="Normal 4 2 2 3 3 4" xfId="10899"/>
    <cellStyle name="Normal 4 2 2 3 4" xfId="1500"/>
    <cellStyle name="Normal 4 2 2 3 4 2" xfId="1501"/>
    <cellStyle name="Normal 4 2 2 3 5" xfId="1502"/>
    <cellStyle name="Normal 4 2 2 3 5 2" xfId="10900"/>
    <cellStyle name="Normal 4 2 2 3 6" xfId="10901"/>
    <cellStyle name="Normal 4 2 2 3 6 2" xfId="10902"/>
    <cellStyle name="Normal 4 2 2 3 7" xfId="10903"/>
    <cellStyle name="Normal 4 2 2 3 8" xfId="10904"/>
    <cellStyle name="Normal 4 2 2 3 9" xfId="10905"/>
    <cellStyle name="Normal 4 2 2 4" xfId="1503"/>
    <cellStyle name="Normal 4 2 2 4 2" xfId="1504"/>
    <cellStyle name="Normal 4 2 2 4 2 2" xfId="1505"/>
    <cellStyle name="Normal 4 2 2 4 2 2 2" xfId="1506"/>
    <cellStyle name="Normal 4 2 2 4 2 3" xfId="1507"/>
    <cellStyle name="Normal 4 2 2 4 3" xfId="1508"/>
    <cellStyle name="Normal 4 2 2 4 3 2" xfId="1509"/>
    <cellStyle name="Normal 4 2 2 4 4" xfId="1510"/>
    <cellStyle name="Normal 4 2 2 4 5" xfId="10906"/>
    <cellStyle name="Normal 4 2 2 4 6" xfId="10907"/>
    <cellStyle name="Normal 4 2 2 4 7" xfId="10908"/>
    <cellStyle name="Normal 4 2 2 4 8" xfId="10909"/>
    <cellStyle name="Normal 4 2 2 4 9" xfId="10910"/>
    <cellStyle name="Normal 4 2 2 5" xfId="1511"/>
    <cellStyle name="Normal 4 2 2 5 2" xfId="1512"/>
    <cellStyle name="Normal 4 2 2 5 2 2" xfId="1513"/>
    <cellStyle name="Normal 4 2 2 5 3" xfId="1514"/>
    <cellStyle name="Normal 4 2 2 5 4" xfId="10911"/>
    <cellStyle name="Normal 4 2 2 5 5" xfId="10912"/>
    <cellStyle name="Normal 4 2 2 6" xfId="1515"/>
    <cellStyle name="Normal 4 2 2 6 2" xfId="1516"/>
    <cellStyle name="Normal 4 2 2 7" xfId="1517"/>
    <cellStyle name="Normal 4 2 2 7 2" xfId="10913"/>
    <cellStyle name="Normal 4 2 2 8" xfId="10914"/>
    <cellStyle name="Normal 4 2 2 8 2" xfId="10915"/>
    <cellStyle name="Normal 4 2 2 9" xfId="10916"/>
    <cellStyle name="Normal 4 2 3" xfId="1518"/>
    <cellStyle name="Normal 4 2 3 10" xfId="10917"/>
    <cellStyle name="Normal 4 2 3 11" xfId="10918"/>
    <cellStyle name="Normal 4 2 3 12" xfId="10919"/>
    <cellStyle name="Normal 4 2 3 13" xfId="10920"/>
    <cellStyle name="Normal 4 2 3 2" xfId="1519"/>
    <cellStyle name="Normal 4 2 3 2 10" xfId="10921"/>
    <cellStyle name="Normal 4 2 3 2 11" xfId="10922"/>
    <cellStyle name="Normal 4 2 3 2 12" xfId="10923"/>
    <cellStyle name="Normal 4 2 3 2 2" xfId="1520"/>
    <cellStyle name="Normal 4 2 3 2 2 2" xfId="1521"/>
    <cellStyle name="Normal 4 2 3 2 2 2 2" xfId="1522"/>
    <cellStyle name="Normal 4 2 3 2 2 2 2 2" xfId="1523"/>
    <cellStyle name="Normal 4 2 3 2 2 2 3" xfId="1524"/>
    <cellStyle name="Normal 4 2 3 2 2 3" xfId="1525"/>
    <cellStyle name="Normal 4 2 3 2 2 3 2" xfId="1526"/>
    <cellStyle name="Normal 4 2 3 2 2 4" xfId="1527"/>
    <cellStyle name="Normal 4 2 3 2 2 5" xfId="10924"/>
    <cellStyle name="Normal 4 2 3 2 2 6" xfId="10925"/>
    <cellStyle name="Normal 4 2 3 2 2 7" xfId="10926"/>
    <cellStyle name="Normal 4 2 3 2 2 8" xfId="10927"/>
    <cellStyle name="Normal 4 2 3 2 2 9" xfId="10928"/>
    <cellStyle name="Normal 4 2 3 2 3" xfId="1528"/>
    <cellStyle name="Normal 4 2 3 2 3 2" xfId="1529"/>
    <cellStyle name="Normal 4 2 3 2 3 2 2" xfId="1530"/>
    <cellStyle name="Normal 4 2 3 2 3 3" xfId="1531"/>
    <cellStyle name="Normal 4 2 3 2 3 4" xfId="10929"/>
    <cellStyle name="Normal 4 2 3 2 4" xfId="1532"/>
    <cellStyle name="Normal 4 2 3 2 4 2" xfId="1533"/>
    <cellStyle name="Normal 4 2 3 2 5" xfId="1534"/>
    <cellStyle name="Normal 4 2 3 2 5 2" xfId="10930"/>
    <cellStyle name="Normal 4 2 3 2 6" xfId="10931"/>
    <cellStyle name="Normal 4 2 3 2 6 2" xfId="10932"/>
    <cellStyle name="Normal 4 2 3 2 7" xfId="10933"/>
    <cellStyle name="Normal 4 2 3 2 8" xfId="10934"/>
    <cellStyle name="Normal 4 2 3 2 9" xfId="10935"/>
    <cellStyle name="Normal 4 2 3 3" xfId="1535"/>
    <cellStyle name="Normal 4 2 3 3 2" xfId="1536"/>
    <cellStyle name="Normal 4 2 3 3 2 2" xfId="1537"/>
    <cellStyle name="Normal 4 2 3 3 2 2 2" xfId="1538"/>
    <cellStyle name="Normal 4 2 3 3 2 3" xfId="1539"/>
    <cellStyle name="Normal 4 2 3 3 3" xfId="1540"/>
    <cellStyle name="Normal 4 2 3 3 3 2" xfId="1541"/>
    <cellStyle name="Normal 4 2 3 3 4" xfId="1542"/>
    <cellStyle name="Normal 4 2 3 3 5" xfId="10936"/>
    <cellStyle name="Normal 4 2 3 3 6" xfId="10937"/>
    <cellStyle name="Normal 4 2 3 3 7" xfId="10938"/>
    <cellStyle name="Normal 4 2 3 3 8" xfId="10939"/>
    <cellStyle name="Normal 4 2 3 3 9" xfId="10940"/>
    <cellStyle name="Normal 4 2 3 4" xfId="1543"/>
    <cellStyle name="Normal 4 2 3 4 2" xfId="1544"/>
    <cellStyle name="Normal 4 2 3 4 2 2" xfId="1545"/>
    <cellStyle name="Normal 4 2 3 4 3" xfId="1546"/>
    <cellStyle name="Normal 4 2 3 4 4" xfId="10941"/>
    <cellStyle name="Normal 4 2 3 5" xfId="1547"/>
    <cellStyle name="Normal 4 2 3 5 2" xfId="1548"/>
    <cellStyle name="Normal 4 2 3 6" xfId="1549"/>
    <cellStyle name="Normal 4 2 3 6 2" xfId="10942"/>
    <cellStyle name="Normal 4 2 3 7" xfId="10943"/>
    <cellStyle name="Normal 4 2 3 7 2" xfId="10944"/>
    <cellStyle name="Normal 4 2 3 8" xfId="10945"/>
    <cellStyle name="Normal 4 2 3 9" xfId="10946"/>
    <cellStyle name="Normal 4 2 4" xfId="1550"/>
    <cellStyle name="Normal 4 2 4 10" xfId="10947"/>
    <cellStyle name="Normal 4 2 4 11" xfId="10948"/>
    <cellStyle name="Normal 4 2 4 12" xfId="10949"/>
    <cellStyle name="Normal 4 2 4 2" xfId="1551"/>
    <cellStyle name="Normal 4 2 4 2 2" xfId="1552"/>
    <cellStyle name="Normal 4 2 4 2 2 2" xfId="1553"/>
    <cellStyle name="Normal 4 2 4 2 2 2 2" xfId="1554"/>
    <cellStyle name="Normal 4 2 4 2 2 3" xfId="1555"/>
    <cellStyle name="Normal 4 2 4 2 3" xfId="1556"/>
    <cellStyle name="Normal 4 2 4 2 3 2" xfId="1557"/>
    <cellStyle name="Normal 4 2 4 2 4" xfId="1558"/>
    <cellStyle name="Normal 4 2 4 2 5" xfId="10950"/>
    <cellStyle name="Normal 4 2 4 2 6" xfId="10951"/>
    <cellStyle name="Normal 4 2 4 2 7" xfId="10952"/>
    <cellStyle name="Normal 4 2 4 2 8" xfId="10953"/>
    <cellStyle name="Normal 4 2 4 2 9" xfId="10954"/>
    <cellStyle name="Normal 4 2 4 3" xfId="1559"/>
    <cellStyle name="Normal 4 2 4 3 2" xfId="1560"/>
    <cellStyle name="Normal 4 2 4 3 2 2" xfId="1561"/>
    <cellStyle name="Normal 4 2 4 3 3" xfId="1562"/>
    <cellStyle name="Normal 4 2 4 3 4" xfId="10955"/>
    <cellStyle name="Normal 4 2 4 4" xfId="1563"/>
    <cellStyle name="Normal 4 2 4 4 2" xfId="1564"/>
    <cellStyle name="Normal 4 2 4 5" xfId="1565"/>
    <cellStyle name="Normal 4 2 4 5 2" xfId="10956"/>
    <cellStyle name="Normal 4 2 4 6" xfId="10957"/>
    <cellStyle name="Normal 4 2 4 6 2" xfId="10958"/>
    <cellStyle name="Normal 4 2 4 7" xfId="10959"/>
    <cellStyle name="Normal 4 2 4 8" xfId="10960"/>
    <cellStyle name="Normal 4 2 4 9" xfId="10961"/>
    <cellStyle name="Normal 4 2 5" xfId="1566"/>
    <cellStyle name="Normal 4 2 5 2" xfId="1567"/>
    <cellStyle name="Normal 4 2 5 2 2" xfId="1568"/>
    <cellStyle name="Normal 4 2 5 2 2 2" xfId="1569"/>
    <cellStyle name="Normal 4 2 5 2 3" xfId="1570"/>
    <cellStyle name="Normal 4 2 5 3" xfId="1571"/>
    <cellStyle name="Normal 4 2 5 3 2" xfId="1572"/>
    <cellStyle name="Normal 4 2 5 4" xfId="1573"/>
    <cellStyle name="Normal 4 2 5 5" xfId="10962"/>
    <cellStyle name="Normal 4 2 5 6" xfId="10963"/>
    <cellStyle name="Normal 4 2 6" xfId="1574"/>
    <cellStyle name="Normal 4 2 6 2" xfId="1575"/>
    <cellStyle name="Normal 4 2 6 2 2" xfId="1576"/>
    <cellStyle name="Normal 4 2 6 3" xfId="1577"/>
    <cellStyle name="Normal 4 2 6 4" xfId="10964"/>
    <cellStyle name="Normal 4 2 6 5" xfId="10965"/>
    <cellStyle name="Normal 4 2 7" xfId="1578"/>
    <cellStyle name="Normal 4 2 7 2" xfId="1579"/>
    <cellStyle name="Normal 4 2 7 2 2" xfId="10966"/>
    <cellStyle name="Normal 4 2 7 2 3" xfId="10967"/>
    <cellStyle name="Normal 4 2 7 3" xfId="10968"/>
    <cellStyle name="Normal 4 2 7 4" xfId="10969"/>
    <cellStyle name="Normal 4 2 7 5" xfId="10970"/>
    <cellStyle name="Normal 4 2 7 6" xfId="10971"/>
    <cellStyle name="Normal 4 2 7 7" xfId="10972"/>
    <cellStyle name="Normal 4 2 8" xfId="1580"/>
    <cellStyle name="Normal 4 2 8 2" xfId="10973"/>
    <cellStyle name="Normal 4 2 8 3" xfId="10974"/>
    <cellStyle name="Normal 4 2 9" xfId="10975"/>
    <cellStyle name="Normal 4 2 9 2" xfId="10976"/>
    <cellStyle name="Normal 4 3" xfId="1581"/>
    <cellStyle name="Normal 4 3 2" xfId="1582"/>
    <cellStyle name="Normal 4 3 2 2" xfId="1583"/>
    <cellStyle name="Normal 4 3 2 2 2" xfId="1584"/>
    <cellStyle name="Normal 4 3 2 2 2 2" xfId="1585"/>
    <cellStyle name="Normal 4 3 2 2 2 2 2" xfId="1586"/>
    <cellStyle name="Normal 4 3 2 2 2 2 2 2" xfId="1587"/>
    <cellStyle name="Normal 4 3 2 2 2 2 3" xfId="1588"/>
    <cellStyle name="Normal 4 3 2 2 2 3" xfId="1589"/>
    <cellStyle name="Normal 4 3 2 2 2 3 2" xfId="1590"/>
    <cellStyle name="Normal 4 3 2 2 2 4" xfId="1591"/>
    <cellStyle name="Normal 4 3 2 2 3" xfId="1592"/>
    <cellStyle name="Normal 4 3 2 2 3 2" xfId="1593"/>
    <cellStyle name="Normal 4 3 2 2 3 2 2" xfId="1594"/>
    <cellStyle name="Normal 4 3 2 2 3 3" xfId="1595"/>
    <cellStyle name="Normal 4 3 2 2 4" xfId="1596"/>
    <cellStyle name="Normal 4 3 2 2 4 2" xfId="1597"/>
    <cellStyle name="Normal 4 3 2 2 5" xfId="1598"/>
    <cellStyle name="Normal 4 3 2 3" xfId="1599"/>
    <cellStyle name="Normal 4 3 2 3 2" xfId="1600"/>
    <cellStyle name="Normal 4 3 2 3 2 2" xfId="1601"/>
    <cellStyle name="Normal 4 3 2 3 2 2 2" xfId="1602"/>
    <cellStyle name="Normal 4 3 2 3 2 3" xfId="1603"/>
    <cellStyle name="Normal 4 3 2 3 3" xfId="1604"/>
    <cellStyle name="Normal 4 3 2 3 3 2" xfId="1605"/>
    <cellStyle name="Normal 4 3 2 3 4" xfId="1606"/>
    <cellStyle name="Normal 4 3 2 4" xfId="1607"/>
    <cellStyle name="Normal 4 3 2 4 2" xfId="1608"/>
    <cellStyle name="Normal 4 3 2 4 2 2" xfId="1609"/>
    <cellStyle name="Normal 4 3 2 4 3" xfId="1610"/>
    <cellStyle name="Normal 4 3 2 5" xfId="1611"/>
    <cellStyle name="Normal 4 3 2 5 2" xfId="1612"/>
    <cellStyle name="Normal 4 3 2 6" xfId="1613"/>
    <cellStyle name="Normal 4 3 3" xfId="1614"/>
    <cellStyle name="Normal 4 3 3 2" xfId="1615"/>
    <cellStyle name="Normal 4 3 3 2 2" xfId="1616"/>
    <cellStyle name="Normal 4 3 3 2 2 2" xfId="1617"/>
    <cellStyle name="Normal 4 3 3 2 2 2 2" xfId="1618"/>
    <cellStyle name="Normal 4 3 3 2 2 3" xfId="1619"/>
    <cellStyle name="Normal 4 3 3 2 3" xfId="1620"/>
    <cellStyle name="Normal 4 3 3 2 3 2" xfId="1621"/>
    <cellStyle name="Normal 4 3 3 2 4" xfId="1622"/>
    <cellStyle name="Normal 4 3 3 3" xfId="1623"/>
    <cellStyle name="Normal 4 3 3 3 2" xfId="1624"/>
    <cellStyle name="Normal 4 3 3 3 2 2" xfId="1625"/>
    <cellStyle name="Normal 4 3 3 3 3" xfId="1626"/>
    <cellStyle name="Normal 4 3 3 4" xfId="1627"/>
    <cellStyle name="Normal 4 3 3 4 2" xfId="1628"/>
    <cellStyle name="Normal 4 3 3 5" xfId="1629"/>
    <cellStyle name="Normal 4 3 4" xfId="1630"/>
    <cellStyle name="Normal 4 3 4 2" xfId="1631"/>
    <cellStyle name="Normal 4 3 4 2 2" xfId="1632"/>
    <cellStyle name="Normal 4 3 4 2 2 2" xfId="1633"/>
    <cellStyle name="Normal 4 3 4 2 3" xfId="1634"/>
    <cellStyle name="Normal 4 3 4 3" xfId="1635"/>
    <cellStyle name="Normal 4 3 4 3 2" xfId="1636"/>
    <cellStyle name="Normal 4 3 4 4" xfId="1637"/>
    <cellStyle name="Normal 4 3 5" xfId="1638"/>
    <cellStyle name="Normal 4 3 5 2" xfId="1639"/>
    <cellStyle name="Normal 4 3 5 2 2" xfId="1640"/>
    <cellStyle name="Normal 4 3 5 3" xfId="1641"/>
    <cellStyle name="Normal 4 3 6" xfId="1642"/>
    <cellStyle name="Normal 4 3 6 2" xfId="1643"/>
    <cellStyle name="Normal 4 3 7" xfId="1644"/>
    <cellStyle name="Normal 4 4" xfId="1645"/>
    <cellStyle name="Normal 4 4 2" xfId="1646"/>
    <cellStyle name="Normal 4 4 2 2" xfId="1647"/>
    <cellStyle name="Normal 4 4 2 2 2" xfId="1648"/>
    <cellStyle name="Normal 4 4 2 2 2 2" xfId="1649"/>
    <cellStyle name="Normal 4 4 2 2 2 2 2" xfId="1650"/>
    <cellStyle name="Normal 4 4 2 2 2 3" xfId="1651"/>
    <cellStyle name="Normal 4 4 2 2 3" xfId="1652"/>
    <cellStyle name="Normal 4 4 2 2 3 2" xfId="1653"/>
    <cellStyle name="Normal 4 4 2 2 4" xfId="1654"/>
    <cellStyle name="Normal 4 4 2 3" xfId="1655"/>
    <cellStyle name="Normal 4 4 2 3 2" xfId="1656"/>
    <cellStyle name="Normal 4 4 2 3 2 2" xfId="1657"/>
    <cellStyle name="Normal 4 4 2 3 3" xfId="1658"/>
    <cellStyle name="Normal 4 4 2 4" xfId="1659"/>
    <cellStyle name="Normal 4 4 2 4 2" xfId="1660"/>
    <cellStyle name="Normal 4 4 2 5" xfId="1661"/>
    <cellStyle name="Normal 4 4 3" xfId="1662"/>
    <cellStyle name="Normal 4 4 3 2" xfId="1663"/>
    <cellStyle name="Normal 4 4 3 2 2" xfId="1664"/>
    <cellStyle name="Normal 4 4 3 2 2 2" xfId="1665"/>
    <cellStyle name="Normal 4 4 3 2 3" xfId="1666"/>
    <cellStyle name="Normal 4 4 3 3" xfId="1667"/>
    <cellStyle name="Normal 4 4 3 3 2" xfId="1668"/>
    <cellStyle name="Normal 4 4 3 4" xfId="1669"/>
    <cellStyle name="Normal 4 4 4" xfId="1670"/>
    <cellStyle name="Normal 4 4 4 2" xfId="1671"/>
    <cellStyle name="Normal 4 4 4 2 2" xfId="1672"/>
    <cellStyle name="Normal 4 4 4 3" xfId="1673"/>
    <cellStyle name="Normal 4 4 5" xfId="1674"/>
    <cellStyle name="Normal 4 4 5 2" xfId="1675"/>
    <cellStyle name="Normal 4 4 6" xfId="1676"/>
    <cellStyle name="Normal 4 5" xfId="1677"/>
    <cellStyle name="Normal 4 5 10" xfId="10977"/>
    <cellStyle name="Normal 4 5 11" xfId="10978"/>
    <cellStyle name="Normal 4 5 12" xfId="10979"/>
    <cellStyle name="Normal 4 5 13" xfId="10980"/>
    <cellStyle name="Normal 4 5 14" xfId="10981"/>
    <cellStyle name="Normal 4 5 2" xfId="1678"/>
    <cellStyle name="Normal 4 5 2 10" xfId="10982"/>
    <cellStyle name="Normal 4 5 2 11" xfId="10983"/>
    <cellStyle name="Normal 4 5 2 12" xfId="10984"/>
    <cellStyle name="Normal 4 5 2 13" xfId="10985"/>
    <cellStyle name="Normal 4 5 2 2" xfId="1679"/>
    <cellStyle name="Normal 4 5 2 2 10" xfId="10986"/>
    <cellStyle name="Normal 4 5 2 2 11" xfId="10987"/>
    <cellStyle name="Normal 4 5 2 2 2" xfId="1680"/>
    <cellStyle name="Normal 4 5 2 2 2 2" xfId="1681"/>
    <cellStyle name="Normal 4 5 2 2 2 2 2" xfId="10988"/>
    <cellStyle name="Normal 4 5 2 2 2 2 3" xfId="10989"/>
    <cellStyle name="Normal 4 5 2 2 2 3" xfId="10990"/>
    <cellStyle name="Normal 4 5 2 2 2 3 2" xfId="10991"/>
    <cellStyle name="Normal 4 5 2 2 2 4" xfId="10992"/>
    <cellStyle name="Normal 4 5 2 2 2 5" xfId="10993"/>
    <cellStyle name="Normal 4 5 2 2 2 6" xfId="10994"/>
    <cellStyle name="Normal 4 5 2 2 2 7" xfId="10995"/>
    <cellStyle name="Normal 4 5 2 2 2 8" xfId="10996"/>
    <cellStyle name="Normal 4 5 2 2 3" xfId="1682"/>
    <cellStyle name="Normal 4 5 2 2 3 2" xfId="10997"/>
    <cellStyle name="Normal 4 5 2 2 3 2 2" xfId="10998"/>
    <cellStyle name="Normal 4 5 2 2 3 3" xfId="10999"/>
    <cellStyle name="Normal 4 5 2 2 3 4" xfId="11000"/>
    <cellStyle name="Normal 4 5 2 2 4" xfId="11001"/>
    <cellStyle name="Normal 4 5 2 2 4 2" xfId="11002"/>
    <cellStyle name="Normal 4 5 2 2 5" xfId="11003"/>
    <cellStyle name="Normal 4 5 2 2 5 2" xfId="11004"/>
    <cellStyle name="Normal 4 5 2 2 6" xfId="11005"/>
    <cellStyle name="Normal 4 5 2 2 6 2" xfId="11006"/>
    <cellStyle name="Normal 4 5 2 2 7" xfId="11007"/>
    <cellStyle name="Normal 4 5 2 2 8" xfId="11008"/>
    <cellStyle name="Normal 4 5 2 2 9" xfId="11009"/>
    <cellStyle name="Normal 4 5 2 3" xfId="1683"/>
    <cellStyle name="Normal 4 5 2 3 2" xfId="1684"/>
    <cellStyle name="Normal 4 5 2 3 2 2" xfId="11010"/>
    <cellStyle name="Normal 4 5 2 3 2 3" xfId="11011"/>
    <cellStyle name="Normal 4 5 2 3 3" xfId="11012"/>
    <cellStyle name="Normal 4 5 2 3 3 2" xfId="11013"/>
    <cellStyle name="Normal 4 5 2 3 4" xfId="11014"/>
    <cellStyle name="Normal 4 5 2 3 5" xfId="11015"/>
    <cellStyle name="Normal 4 5 2 3 6" xfId="11016"/>
    <cellStyle name="Normal 4 5 2 3 7" xfId="11017"/>
    <cellStyle name="Normal 4 5 2 3 8" xfId="11018"/>
    <cellStyle name="Normal 4 5 2 4" xfId="1685"/>
    <cellStyle name="Normal 4 5 2 4 2" xfId="11019"/>
    <cellStyle name="Normal 4 5 2 4 2 2" xfId="11020"/>
    <cellStyle name="Normal 4 5 2 4 3" xfId="11021"/>
    <cellStyle name="Normal 4 5 2 4 4" xfId="11022"/>
    <cellStyle name="Normal 4 5 2 5" xfId="11023"/>
    <cellStyle name="Normal 4 5 2 5 2" xfId="11024"/>
    <cellStyle name="Normal 4 5 2 6" xfId="11025"/>
    <cellStyle name="Normal 4 5 2 6 2" xfId="11026"/>
    <cellStyle name="Normal 4 5 2 7" xfId="11027"/>
    <cellStyle name="Normal 4 5 2 7 2" xfId="11028"/>
    <cellStyle name="Normal 4 5 2 8" xfId="11029"/>
    <cellStyle name="Normal 4 5 2 9" xfId="11030"/>
    <cellStyle name="Normal 4 5 3" xfId="1686"/>
    <cellStyle name="Normal 4 5 3 10" xfId="11031"/>
    <cellStyle name="Normal 4 5 3 11" xfId="11032"/>
    <cellStyle name="Normal 4 5 3 2" xfId="1687"/>
    <cellStyle name="Normal 4 5 3 2 2" xfId="1688"/>
    <cellStyle name="Normal 4 5 3 2 2 2" xfId="11033"/>
    <cellStyle name="Normal 4 5 3 2 2 3" xfId="11034"/>
    <cellStyle name="Normal 4 5 3 2 3" xfId="11035"/>
    <cellStyle name="Normal 4 5 3 2 3 2" xfId="11036"/>
    <cellStyle name="Normal 4 5 3 2 4" xfId="11037"/>
    <cellStyle name="Normal 4 5 3 2 5" xfId="11038"/>
    <cellStyle name="Normal 4 5 3 2 6" xfId="11039"/>
    <cellStyle name="Normal 4 5 3 2 7" xfId="11040"/>
    <cellStyle name="Normal 4 5 3 2 8" xfId="11041"/>
    <cellStyle name="Normal 4 5 3 3" xfId="1689"/>
    <cellStyle name="Normal 4 5 3 3 2" xfId="11042"/>
    <cellStyle name="Normal 4 5 3 3 2 2" xfId="11043"/>
    <cellStyle name="Normal 4 5 3 3 3" xfId="11044"/>
    <cellStyle name="Normal 4 5 3 3 4" xfId="11045"/>
    <cellStyle name="Normal 4 5 3 4" xfId="11046"/>
    <cellStyle name="Normal 4 5 3 4 2" xfId="11047"/>
    <cellStyle name="Normal 4 5 3 5" xfId="11048"/>
    <cellStyle name="Normal 4 5 3 5 2" xfId="11049"/>
    <cellStyle name="Normal 4 5 3 6" xfId="11050"/>
    <cellStyle name="Normal 4 5 3 6 2" xfId="11051"/>
    <cellStyle name="Normal 4 5 3 7" xfId="11052"/>
    <cellStyle name="Normal 4 5 3 8" xfId="11053"/>
    <cellStyle name="Normal 4 5 3 9" xfId="11054"/>
    <cellStyle name="Normal 4 5 4" xfId="1690"/>
    <cellStyle name="Normal 4 5 4 2" xfId="1691"/>
    <cellStyle name="Normal 4 5 4 2 2" xfId="11055"/>
    <cellStyle name="Normal 4 5 4 3" xfId="11056"/>
    <cellStyle name="Normal 4 5 4 4" xfId="11057"/>
    <cellStyle name="Normal 4 5 4 5" xfId="11058"/>
    <cellStyle name="Normal 4 5 5" xfId="1692"/>
    <cellStyle name="Normal 4 5 5 2" xfId="11059"/>
    <cellStyle name="Normal 4 5 5 2 2" xfId="11060"/>
    <cellStyle name="Normal 4 5 5 2 3" xfId="11061"/>
    <cellStyle name="Normal 4 5 5 3" xfId="11062"/>
    <cellStyle name="Normal 4 5 5 3 2" xfId="11063"/>
    <cellStyle name="Normal 4 5 5 4" xfId="11064"/>
    <cellStyle name="Normal 4 5 5 5" xfId="11065"/>
    <cellStyle name="Normal 4 5 5 6" xfId="11066"/>
    <cellStyle name="Normal 4 5 5 7" xfId="11067"/>
    <cellStyle name="Normal 4 5 5 8" xfId="11068"/>
    <cellStyle name="Normal 4 5 6" xfId="11069"/>
    <cellStyle name="Normal 4 5 6 2" xfId="11070"/>
    <cellStyle name="Normal 4 5 6 3" xfId="11071"/>
    <cellStyle name="Normal 4 5 7" xfId="11072"/>
    <cellStyle name="Normal 4 5 7 2" xfId="11073"/>
    <cellStyle name="Normal 4 5 8" xfId="11074"/>
    <cellStyle name="Normal 4 5 8 2" xfId="11075"/>
    <cellStyle name="Normal 4 5 9" xfId="11076"/>
    <cellStyle name="Normal 4 6" xfId="1693"/>
    <cellStyle name="Normal 4 6 2" xfId="1694"/>
    <cellStyle name="Normal 4 6 2 2" xfId="1695"/>
    <cellStyle name="Normal 4 6 2 2 2" xfId="1696"/>
    <cellStyle name="Normal 4 6 2 3" xfId="1697"/>
    <cellStyle name="Normal 4 6 3" xfId="1698"/>
    <cellStyle name="Normal 4 6 3 2" xfId="1699"/>
    <cellStyle name="Normal 4 6 4" xfId="1700"/>
    <cellStyle name="Normal 4 7" xfId="1701"/>
    <cellStyle name="Normal 4 7 10" xfId="11077"/>
    <cellStyle name="Normal 4 7 11" xfId="11078"/>
    <cellStyle name="Normal 4 7 12" xfId="11079"/>
    <cellStyle name="Normal 4 7 13" xfId="11080"/>
    <cellStyle name="Normal 4 7 2" xfId="1702"/>
    <cellStyle name="Normal 4 7 2 10" xfId="11081"/>
    <cellStyle name="Normal 4 7 2 11" xfId="11082"/>
    <cellStyle name="Normal 4 7 2 12" xfId="11083"/>
    <cellStyle name="Normal 4 7 2 2" xfId="1703"/>
    <cellStyle name="Normal 4 7 2 2 2" xfId="11084"/>
    <cellStyle name="Normal 4 7 2 2 2 2" xfId="11085"/>
    <cellStyle name="Normal 4 7 2 2 2 3" xfId="11086"/>
    <cellStyle name="Normal 4 7 2 2 3" xfId="11087"/>
    <cellStyle name="Normal 4 7 2 2 3 2" xfId="11088"/>
    <cellStyle name="Normal 4 7 2 2 4" xfId="11089"/>
    <cellStyle name="Normal 4 7 2 2 5" xfId="11090"/>
    <cellStyle name="Normal 4 7 2 2 6" xfId="11091"/>
    <cellStyle name="Normal 4 7 2 2 7" xfId="11092"/>
    <cellStyle name="Normal 4 7 2 2 8" xfId="11093"/>
    <cellStyle name="Normal 4 7 2 3" xfId="11094"/>
    <cellStyle name="Normal 4 7 2 3 2" xfId="11095"/>
    <cellStyle name="Normal 4 7 2 3 2 2" xfId="11096"/>
    <cellStyle name="Normal 4 7 2 3 3" xfId="11097"/>
    <cellStyle name="Normal 4 7 2 3 4" xfId="11098"/>
    <cellStyle name="Normal 4 7 2 4" xfId="11099"/>
    <cellStyle name="Normal 4 7 2 4 2" xfId="11100"/>
    <cellStyle name="Normal 4 7 2 5" xfId="11101"/>
    <cellStyle name="Normal 4 7 2 5 2" xfId="11102"/>
    <cellStyle name="Normal 4 7 2 6" xfId="11103"/>
    <cellStyle name="Normal 4 7 2 6 2" xfId="11104"/>
    <cellStyle name="Normal 4 7 2 7" xfId="11105"/>
    <cellStyle name="Normal 4 7 2 8" xfId="11106"/>
    <cellStyle name="Normal 4 7 2 9" xfId="11107"/>
    <cellStyle name="Normal 4 7 3" xfId="1704"/>
    <cellStyle name="Normal 4 7 3 2" xfId="11108"/>
    <cellStyle name="Normal 4 7 3 2 2" xfId="11109"/>
    <cellStyle name="Normal 4 7 3 3" xfId="11110"/>
    <cellStyle name="Normal 4 7 3 4" xfId="11111"/>
    <cellStyle name="Normal 4 7 3 5" xfId="11112"/>
    <cellStyle name="Normal 4 7 4" xfId="11113"/>
    <cellStyle name="Normal 4 7 4 2" xfId="11114"/>
    <cellStyle name="Normal 4 7 4 2 2" xfId="11115"/>
    <cellStyle name="Normal 4 7 4 2 3" xfId="11116"/>
    <cellStyle name="Normal 4 7 4 3" xfId="11117"/>
    <cellStyle name="Normal 4 7 4 3 2" xfId="11118"/>
    <cellStyle name="Normal 4 7 4 4" xfId="11119"/>
    <cellStyle name="Normal 4 7 4 5" xfId="11120"/>
    <cellStyle name="Normal 4 7 4 6" xfId="11121"/>
    <cellStyle name="Normal 4 7 4 7" xfId="11122"/>
    <cellStyle name="Normal 4 7 4 8" xfId="11123"/>
    <cellStyle name="Normal 4 7 5" xfId="11124"/>
    <cellStyle name="Normal 4 7 5 2" xfId="11125"/>
    <cellStyle name="Normal 4 7 5 3" xfId="11126"/>
    <cellStyle name="Normal 4 7 6" xfId="11127"/>
    <cellStyle name="Normal 4 7 6 2" xfId="11128"/>
    <cellStyle name="Normal 4 7 7" xfId="11129"/>
    <cellStyle name="Normal 4 7 7 2" xfId="11130"/>
    <cellStyle name="Normal 4 7 8" xfId="11131"/>
    <cellStyle name="Normal 4 7 9" xfId="11132"/>
    <cellStyle name="Normal 4 8" xfId="1705"/>
    <cellStyle name="Normal 4 8 10" xfId="11133"/>
    <cellStyle name="Normal 4 8 11" xfId="11134"/>
    <cellStyle name="Normal 4 8 12" xfId="11135"/>
    <cellStyle name="Normal 4 8 2" xfId="1706"/>
    <cellStyle name="Normal 4 8 2 2" xfId="11136"/>
    <cellStyle name="Normal 4 8 2 2 2" xfId="11137"/>
    <cellStyle name="Normal 4 8 2 3" xfId="11138"/>
    <cellStyle name="Normal 4 8 2 4" xfId="11139"/>
    <cellStyle name="Normal 4 8 2 5" xfId="11140"/>
    <cellStyle name="Normal 4 8 3" xfId="11141"/>
    <cellStyle name="Normal 4 8 3 2" xfId="11142"/>
    <cellStyle name="Normal 4 8 3 2 2" xfId="11143"/>
    <cellStyle name="Normal 4 8 3 2 3" xfId="11144"/>
    <cellStyle name="Normal 4 8 3 3" xfId="11145"/>
    <cellStyle name="Normal 4 8 3 3 2" xfId="11146"/>
    <cellStyle name="Normal 4 8 3 4" xfId="11147"/>
    <cellStyle name="Normal 4 8 3 5" xfId="11148"/>
    <cellStyle name="Normal 4 8 3 6" xfId="11149"/>
    <cellStyle name="Normal 4 8 3 7" xfId="11150"/>
    <cellStyle name="Normal 4 8 3 8" xfId="11151"/>
    <cellStyle name="Normal 4 8 4" xfId="11152"/>
    <cellStyle name="Normal 4 8 4 2" xfId="11153"/>
    <cellStyle name="Normal 4 8 4 3" xfId="11154"/>
    <cellStyle name="Normal 4 8 5" xfId="11155"/>
    <cellStyle name="Normal 4 8 5 2" xfId="11156"/>
    <cellStyle name="Normal 4 8 6" xfId="11157"/>
    <cellStyle name="Normal 4 8 6 2" xfId="11158"/>
    <cellStyle name="Normal 4 8 7" xfId="11159"/>
    <cellStyle name="Normal 4 8 8" xfId="11160"/>
    <cellStyle name="Normal 4 8 9" xfId="11161"/>
    <cellStyle name="Normal 4 9" xfId="1707"/>
    <cellStyle name="Normal 4 9 2" xfId="11162"/>
    <cellStyle name="Normal 4 9 2 2" xfId="11163"/>
    <cellStyle name="Normal 4 9 3" xfId="11164"/>
    <cellStyle name="Normal 4 9 4" xfId="11165"/>
    <cellStyle name="Normal 4 9 5" xfId="11166"/>
    <cellStyle name="Normal 4 9 6" xfId="11167"/>
    <cellStyle name="Normal 4_12-10 Form 1 Filing and supporting papers-Nivision Revised" xfId="11168"/>
    <cellStyle name="Normal 40" xfId="11169"/>
    <cellStyle name="Normal 40 2" xfId="11170"/>
    <cellStyle name="Normal 40 2 2" xfId="11171"/>
    <cellStyle name="Normal 40 3" xfId="11172"/>
    <cellStyle name="Normal 40 3 2" xfId="11173"/>
    <cellStyle name="Normal 40 4" xfId="11174"/>
    <cellStyle name="Normal 40 5" xfId="11175"/>
    <cellStyle name="Normal 41" xfId="11176"/>
    <cellStyle name="Normal 41 2" xfId="11177"/>
    <cellStyle name="Normal 41 2 2" xfId="11178"/>
    <cellStyle name="Normal 41 3" xfId="11179"/>
    <cellStyle name="Normal 41 4" xfId="11180"/>
    <cellStyle name="Normal 42" xfId="11181"/>
    <cellStyle name="Normal 42 2" xfId="11182"/>
    <cellStyle name="Normal 42 3" xfId="11183"/>
    <cellStyle name="Normal 43" xfId="11184"/>
    <cellStyle name="Normal 43 2" xfId="11185"/>
    <cellStyle name="Normal 43 2 2" xfId="11186"/>
    <cellStyle name="Normal 43 2 3" xfId="11187"/>
    <cellStyle name="Normal 43 3" xfId="11188"/>
    <cellStyle name="Normal 44" xfId="3224"/>
    <cellStyle name="Normal 44 2" xfId="11189"/>
    <cellStyle name="Normal 44 2 2" xfId="11190"/>
    <cellStyle name="Normal 44 2 3" xfId="11191"/>
    <cellStyle name="Normal 44 3" xfId="11192"/>
    <cellStyle name="Normal 44 3 2" xfId="11193"/>
    <cellStyle name="Normal 44 3 2 2" xfId="11194"/>
    <cellStyle name="Normal 44 4" xfId="11195"/>
    <cellStyle name="Normal 45" xfId="11196"/>
    <cellStyle name="Normal 45 2" xfId="11197"/>
    <cellStyle name="Normal 45 2 2" xfId="11198"/>
    <cellStyle name="Normal 45 2 2 2" xfId="11199"/>
    <cellStyle name="Normal 45 2 3" xfId="11200"/>
    <cellStyle name="Normal 45 2 4" xfId="11201"/>
    <cellStyle name="Normal 45 3" xfId="11202"/>
    <cellStyle name="Normal 45 4" xfId="11203"/>
    <cellStyle name="Normal 46" xfId="11204"/>
    <cellStyle name="Normal 46 2" xfId="11205"/>
    <cellStyle name="Normal 46 2 2" xfId="11206"/>
    <cellStyle name="Normal 46 2 2 2" xfId="11207"/>
    <cellStyle name="Normal 46 2 3" xfId="11208"/>
    <cellStyle name="Normal 46 3" xfId="11209"/>
    <cellStyle name="Normal 46 4" xfId="11210"/>
    <cellStyle name="Normal 47" xfId="11211"/>
    <cellStyle name="Normal 47 2" xfId="11212"/>
    <cellStyle name="Normal 47 2 2" xfId="11213"/>
    <cellStyle name="Normal 47 2 2 2" xfId="11214"/>
    <cellStyle name="Normal 47 2 3" xfId="11215"/>
    <cellStyle name="Normal 47 3" xfId="11216"/>
    <cellStyle name="Normal 47 4" xfId="11217"/>
    <cellStyle name="Normal 48" xfId="11218"/>
    <cellStyle name="Normal 48 2" xfId="11219"/>
    <cellStyle name="Normal 48 2 2" xfId="11220"/>
    <cellStyle name="Normal 49" xfId="11221"/>
    <cellStyle name="Normal 5" xfId="1708"/>
    <cellStyle name="Normal 5 10" xfId="11222"/>
    <cellStyle name="Normal 5 11" xfId="11223"/>
    <cellStyle name="Normal 5 12" xfId="36"/>
    <cellStyle name="Normal 5 2" xfId="1709"/>
    <cellStyle name="Normal 5 2 2" xfId="1710"/>
    <cellStyle name="Normal 5 2 2 2" xfId="1711"/>
    <cellStyle name="Normal 5 2 2 2 2" xfId="1712"/>
    <cellStyle name="Normal 5 2 2 2 2 2" xfId="1713"/>
    <cellStyle name="Normal 5 2 2 2 2 2 2" xfId="1714"/>
    <cellStyle name="Normal 5 2 2 2 2 2 2 2" xfId="1715"/>
    <cellStyle name="Normal 5 2 2 2 2 2 2 2 2" xfId="1716"/>
    <cellStyle name="Normal 5 2 2 2 2 2 2 3" xfId="1717"/>
    <cellStyle name="Normal 5 2 2 2 2 2 3" xfId="1718"/>
    <cellStyle name="Normal 5 2 2 2 2 2 3 2" xfId="1719"/>
    <cellStyle name="Normal 5 2 2 2 2 2 4" xfId="1720"/>
    <cellStyle name="Normal 5 2 2 2 2 3" xfId="1721"/>
    <cellStyle name="Normal 5 2 2 2 2 3 2" xfId="1722"/>
    <cellStyle name="Normal 5 2 2 2 2 3 2 2" xfId="1723"/>
    <cellStyle name="Normal 5 2 2 2 2 3 3" xfId="1724"/>
    <cellStyle name="Normal 5 2 2 2 2 4" xfId="1725"/>
    <cellStyle name="Normal 5 2 2 2 2 4 2" xfId="1726"/>
    <cellStyle name="Normal 5 2 2 2 2 5" xfId="1727"/>
    <cellStyle name="Normal 5 2 2 2 3" xfId="1728"/>
    <cellStyle name="Normal 5 2 2 2 3 2" xfId="1729"/>
    <cellStyle name="Normal 5 2 2 2 3 2 2" xfId="1730"/>
    <cellStyle name="Normal 5 2 2 2 3 2 2 2" xfId="1731"/>
    <cellStyle name="Normal 5 2 2 2 3 2 3" xfId="1732"/>
    <cellStyle name="Normal 5 2 2 2 3 3" xfId="1733"/>
    <cellStyle name="Normal 5 2 2 2 3 3 2" xfId="1734"/>
    <cellStyle name="Normal 5 2 2 2 3 4" xfId="1735"/>
    <cellStyle name="Normal 5 2 2 2 4" xfId="1736"/>
    <cellStyle name="Normal 5 2 2 2 4 2" xfId="1737"/>
    <cellStyle name="Normal 5 2 2 2 4 2 2" xfId="1738"/>
    <cellStyle name="Normal 5 2 2 2 4 3" xfId="1739"/>
    <cellStyle name="Normal 5 2 2 2 5" xfId="1740"/>
    <cellStyle name="Normal 5 2 2 2 5 2" xfId="1741"/>
    <cellStyle name="Normal 5 2 2 2 6" xfId="1742"/>
    <cellStyle name="Normal 5 2 2 3" xfId="1743"/>
    <cellStyle name="Normal 5 2 2 3 2" xfId="1744"/>
    <cellStyle name="Normal 5 2 2 3 2 2" xfId="1745"/>
    <cellStyle name="Normal 5 2 2 3 2 2 2" xfId="1746"/>
    <cellStyle name="Normal 5 2 2 3 2 2 2 2" xfId="1747"/>
    <cellStyle name="Normal 5 2 2 3 2 2 3" xfId="1748"/>
    <cellStyle name="Normal 5 2 2 3 2 3" xfId="1749"/>
    <cellStyle name="Normal 5 2 2 3 2 3 2" xfId="1750"/>
    <cellStyle name="Normal 5 2 2 3 2 4" xfId="1751"/>
    <cellStyle name="Normal 5 2 2 3 3" xfId="1752"/>
    <cellStyle name="Normal 5 2 2 3 3 2" xfId="1753"/>
    <cellStyle name="Normal 5 2 2 3 3 2 2" xfId="1754"/>
    <cellStyle name="Normal 5 2 2 3 3 3" xfId="1755"/>
    <cellStyle name="Normal 5 2 2 3 4" xfId="1756"/>
    <cellStyle name="Normal 5 2 2 3 4 2" xfId="1757"/>
    <cellStyle name="Normal 5 2 2 3 5" xfId="1758"/>
    <cellStyle name="Normal 5 2 2 4" xfId="1759"/>
    <cellStyle name="Normal 5 2 2 4 2" xfId="1760"/>
    <cellStyle name="Normal 5 2 2 4 2 2" xfId="1761"/>
    <cellStyle name="Normal 5 2 2 4 2 2 2" xfId="1762"/>
    <cellStyle name="Normal 5 2 2 4 2 3" xfId="1763"/>
    <cellStyle name="Normal 5 2 2 4 3" xfId="1764"/>
    <cellStyle name="Normal 5 2 2 4 3 2" xfId="1765"/>
    <cellStyle name="Normal 5 2 2 4 4" xfId="1766"/>
    <cellStyle name="Normal 5 2 2 5" xfId="1767"/>
    <cellStyle name="Normal 5 2 2 5 2" xfId="1768"/>
    <cellStyle name="Normal 5 2 2 5 2 2" xfId="1769"/>
    <cellStyle name="Normal 5 2 2 5 3" xfId="1770"/>
    <cellStyle name="Normal 5 2 2 6" xfId="1771"/>
    <cellStyle name="Normal 5 2 2 6 2" xfId="1772"/>
    <cellStyle name="Normal 5 2 2 7" xfId="1773"/>
    <cellStyle name="Normal 5 2 3" xfId="1774"/>
    <cellStyle name="Normal 5 2 3 2" xfId="1775"/>
    <cellStyle name="Normal 5 2 3 2 2" xfId="1776"/>
    <cellStyle name="Normal 5 2 3 2 2 2" xfId="1777"/>
    <cellStyle name="Normal 5 2 3 2 2 2 2" xfId="1778"/>
    <cellStyle name="Normal 5 2 3 2 2 2 2 2" xfId="1779"/>
    <cellStyle name="Normal 5 2 3 2 2 2 3" xfId="1780"/>
    <cellStyle name="Normal 5 2 3 2 2 3" xfId="1781"/>
    <cellStyle name="Normal 5 2 3 2 2 3 2" xfId="1782"/>
    <cellStyle name="Normal 5 2 3 2 2 4" xfId="1783"/>
    <cellStyle name="Normal 5 2 3 2 3" xfId="1784"/>
    <cellStyle name="Normal 5 2 3 2 3 2" xfId="1785"/>
    <cellStyle name="Normal 5 2 3 2 3 2 2" xfId="1786"/>
    <cellStyle name="Normal 5 2 3 2 3 3" xfId="1787"/>
    <cellStyle name="Normal 5 2 3 2 4" xfId="1788"/>
    <cellStyle name="Normal 5 2 3 2 4 2" xfId="1789"/>
    <cellStyle name="Normal 5 2 3 2 5" xfId="1790"/>
    <cellStyle name="Normal 5 2 3 3" xfId="1791"/>
    <cellStyle name="Normal 5 2 3 3 2" xfId="1792"/>
    <cellStyle name="Normal 5 2 3 3 2 2" xfId="1793"/>
    <cellStyle name="Normal 5 2 3 3 2 2 2" xfId="1794"/>
    <cellStyle name="Normal 5 2 3 3 2 3" xfId="1795"/>
    <cellStyle name="Normal 5 2 3 3 3" xfId="1796"/>
    <cellStyle name="Normal 5 2 3 3 3 2" xfId="1797"/>
    <cellStyle name="Normal 5 2 3 3 4" xfId="1798"/>
    <cellStyle name="Normal 5 2 3 4" xfId="1799"/>
    <cellStyle name="Normal 5 2 3 4 2" xfId="1800"/>
    <cellStyle name="Normal 5 2 3 4 2 2" xfId="1801"/>
    <cellStyle name="Normal 5 2 3 4 3" xfId="1802"/>
    <cellStyle name="Normal 5 2 3 5" xfId="1803"/>
    <cellStyle name="Normal 5 2 3 5 2" xfId="1804"/>
    <cellStyle name="Normal 5 2 3 6" xfId="1805"/>
    <cellStyle name="Normal 5 2 4" xfId="1806"/>
    <cellStyle name="Normal 5 2 4 2" xfId="1807"/>
    <cellStyle name="Normal 5 2 4 2 2" xfId="1808"/>
    <cellStyle name="Normal 5 2 4 2 2 2" xfId="1809"/>
    <cellStyle name="Normal 5 2 4 2 2 2 2" xfId="1810"/>
    <cellStyle name="Normal 5 2 4 2 2 3" xfId="1811"/>
    <cellStyle name="Normal 5 2 4 2 3" xfId="1812"/>
    <cellStyle name="Normal 5 2 4 2 3 2" xfId="1813"/>
    <cellStyle name="Normal 5 2 4 2 4" xfId="1814"/>
    <cellStyle name="Normal 5 2 4 3" xfId="1815"/>
    <cellStyle name="Normal 5 2 4 3 2" xfId="1816"/>
    <cellStyle name="Normal 5 2 4 3 2 2" xfId="1817"/>
    <cellStyle name="Normal 5 2 4 3 3" xfId="1818"/>
    <cellStyle name="Normal 5 2 4 4" xfId="1819"/>
    <cellStyle name="Normal 5 2 4 4 2" xfId="1820"/>
    <cellStyle name="Normal 5 2 4 5" xfId="1821"/>
    <cellStyle name="Normal 5 2 5" xfId="1822"/>
    <cellStyle name="Normal 5 2 5 2" xfId="1823"/>
    <cellStyle name="Normal 5 2 5 2 2" xfId="1824"/>
    <cellStyle name="Normal 5 2 5 2 2 2" xfId="1825"/>
    <cellStyle name="Normal 5 2 5 2 3" xfId="1826"/>
    <cellStyle name="Normal 5 2 5 3" xfId="1827"/>
    <cellStyle name="Normal 5 2 5 3 2" xfId="1828"/>
    <cellStyle name="Normal 5 2 5 4" xfId="1829"/>
    <cellStyle name="Normal 5 2 6" xfId="1830"/>
    <cellStyle name="Normal 5 2 6 2" xfId="1831"/>
    <cellStyle name="Normal 5 2 6 2 2" xfId="1832"/>
    <cellStyle name="Normal 5 2 6 3" xfId="1833"/>
    <cellStyle name="Normal 5 2 7" xfId="1834"/>
    <cellStyle name="Normal 5 2 7 2" xfId="1835"/>
    <cellStyle name="Normal 5 2 8" xfId="1836"/>
    <cellStyle name="Normal 5 3" xfId="1837"/>
    <cellStyle name="Normal 5 3 2" xfId="1838"/>
    <cellStyle name="Normal 5 3 2 2" xfId="1839"/>
    <cellStyle name="Normal 5 3 2 2 2" xfId="1840"/>
    <cellStyle name="Normal 5 3 2 2 2 2" xfId="1841"/>
    <cellStyle name="Normal 5 3 2 2 2 2 2" xfId="1842"/>
    <cellStyle name="Normal 5 3 2 2 2 2 2 2" xfId="1843"/>
    <cellStyle name="Normal 5 3 2 2 2 2 3" xfId="1844"/>
    <cellStyle name="Normal 5 3 2 2 2 3" xfId="1845"/>
    <cellStyle name="Normal 5 3 2 2 2 3 2" xfId="1846"/>
    <cellStyle name="Normal 5 3 2 2 2 4" xfId="1847"/>
    <cellStyle name="Normal 5 3 2 2 3" xfId="1848"/>
    <cellStyle name="Normal 5 3 2 2 3 2" xfId="1849"/>
    <cellStyle name="Normal 5 3 2 2 3 2 2" xfId="1850"/>
    <cellStyle name="Normal 5 3 2 2 3 3" xfId="1851"/>
    <cellStyle name="Normal 5 3 2 2 4" xfId="1852"/>
    <cellStyle name="Normal 5 3 2 2 4 2" xfId="1853"/>
    <cellStyle name="Normal 5 3 2 2 5" xfId="1854"/>
    <cellStyle name="Normal 5 3 2 3" xfId="1855"/>
    <cellStyle name="Normal 5 3 2 3 2" xfId="1856"/>
    <cellStyle name="Normal 5 3 2 3 2 2" xfId="1857"/>
    <cellStyle name="Normal 5 3 2 3 2 2 2" xfId="1858"/>
    <cellStyle name="Normal 5 3 2 3 2 3" xfId="1859"/>
    <cellStyle name="Normal 5 3 2 3 3" xfId="1860"/>
    <cellStyle name="Normal 5 3 2 3 3 2" xfId="1861"/>
    <cellStyle name="Normal 5 3 2 3 4" xfId="1862"/>
    <cellStyle name="Normal 5 3 2 4" xfId="1863"/>
    <cellStyle name="Normal 5 3 2 4 2" xfId="1864"/>
    <cellStyle name="Normal 5 3 2 4 2 2" xfId="1865"/>
    <cellStyle name="Normal 5 3 2 4 3" xfId="1866"/>
    <cellStyle name="Normal 5 3 2 5" xfId="1867"/>
    <cellStyle name="Normal 5 3 2 5 2" xfId="1868"/>
    <cellStyle name="Normal 5 3 2 6" xfId="1869"/>
    <cellStyle name="Normal 5 3 3" xfId="1870"/>
    <cellStyle name="Normal 5 3 3 2" xfId="1871"/>
    <cellStyle name="Normal 5 3 3 2 2" xfId="1872"/>
    <cellStyle name="Normal 5 3 3 2 2 2" xfId="1873"/>
    <cellStyle name="Normal 5 3 3 2 2 2 2" xfId="1874"/>
    <cellStyle name="Normal 5 3 3 2 2 3" xfId="1875"/>
    <cellStyle name="Normal 5 3 3 2 3" xfId="1876"/>
    <cellStyle name="Normal 5 3 3 2 3 2" xfId="1877"/>
    <cellStyle name="Normal 5 3 3 2 4" xfId="1878"/>
    <cellStyle name="Normal 5 3 3 3" xfId="1879"/>
    <cellStyle name="Normal 5 3 3 3 2" xfId="1880"/>
    <cellStyle name="Normal 5 3 3 3 2 2" xfId="1881"/>
    <cellStyle name="Normal 5 3 3 3 3" xfId="1882"/>
    <cellStyle name="Normal 5 3 3 4" xfId="1883"/>
    <cellStyle name="Normal 5 3 3 4 2" xfId="1884"/>
    <cellStyle name="Normal 5 3 3 5" xfId="1885"/>
    <cellStyle name="Normal 5 3 4" xfId="1886"/>
    <cellStyle name="Normal 5 3 4 2" xfId="1887"/>
    <cellStyle name="Normal 5 3 4 2 2" xfId="1888"/>
    <cellStyle name="Normal 5 3 4 2 2 2" xfId="1889"/>
    <cellStyle name="Normal 5 3 4 2 3" xfId="1890"/>
    <cellStyle name="Normal 5 3 4 3" xfId="1891"/>
    <cellStyle name="Normal 5 3 4 3 2" xfId="1892"/>
    <cellStyle name="Normal 5 3 4 4" xfId="1893"/>
    <cellStyle name="Normal 5 3 5" xfId="1894"/>
    <cellStyle name="Normal 5 3 5 2" xfId="1895"/>
    <cellStyle name="Normal 5 3 5 2 2" xfId="1896"/>
    <cellStyle name="Normal 5 3 5 3" xfId="1897"/>
    <cellStyle name="Normal 5 3 6" xfId="1898"/>
    <cellStyle name="Normal 5 3 6 2" xfId="1899"/>
    <cellStyle name="Normal 5 3 7" xfId="1900"/>
    <cellStyle name="Normal 5 4" xfId="1901"/>
    <cellStyle name="Normal 5 4 2" xfId="1902"/>
    <cellStyle name="Normal 5 4 2 2" xfId="1903"/>
    <cellStyle name="Normal 5 4 2 2 2" xfId="1904"/>
    <cellStyle name="Normal 5 4 2 2 2 2" xfId="1905"/>
    <cellStyle name="Normal 5 4 2 2 2 2 2" xfId="1906"/>
    <cellStyle name="Normal 5 4 2 2 2 3" xfId="1907"/>
    <cellStyle name="Normal 5 4 2 2 3" xfId="1908"/>
    <cellStyle name="Normal 5 4 2 2 3 2" xfId="1909"/>
    <cellStyle name="Normal 5 4 2 2 4" xfId="1910"/>
    <cellStyle name="Normal 5 4 2 3" xfId="1911"/>
    <cellStyle name="Normal 5 4 2 3 2" xfId="1912"/>
    <cellStyle name="Normal 5 4 2 3 2 2" xfId="1913"/>
    <cellStyle name="Normal 5 4 2 3 3" xfId="1914"/>
    <cellStyle name="Normal 5 4 2 4" xfId="1915"/>
    <cellStyle name="Normal 5 4 2 4 2" xfId="1916"/>
    <cellStyle name="Normal 5 4 2 5" xfId="1917"/>
    <cellStyle name="Normal 5 4 3" xfId="1918"/>
    <cellStyle name="Normal 5 4 3 2" xfId="1919"/>
    <cellStyle name="Normal 5 4 3 2 2" xfId="1920"/>
    <cellStyle name="Normal 5 4 3 2 2 2" xfId="1921"/>
    <cellStyle name="Normal 5 4 3 2 3" xfId="1922"/>
    <cellStyle name="Normal 5 4 3 3" xfId="1923"/>
    <cellStyle name="Normal 5 4 3 3 2" xfId="1924"/>
    <cellStyle name="Normal 5 4 3 4" xfId="1925"/>
    <cellStyle name="Normal 5 4 4" xfId="1926"/>
    <cellStyle name="Normal 5 4 4 2" xfId="1927"/>
    <cellStyle name="Normal 5 4 4 2 2" xfId="1928"/>
    <cellStyle name="Normal 5 4 4 3" xfId="1929"/>
    <cellStyle name="Normal 5 4 5" xfId="1930"/>
    <cellStyle name="Normal 5 4 5 2" xfId="1931"/>
    <cellStyle name="Normal 5 4 6" xfId="1932"/>
    <cellStyle name="Normal 5 5" xfId="1933"/>
    <cellStyle name="Normal 5 5 2" xfId="1934"/>
    <cellStyle name="Normal 5 5 2 2" xfId="1935"/>
    <cellStyle name="Normal 5 5 2 2 2" xfId="1936"/>
    <cellStyle name="Normal 5 5 2 2 2 2" xfId="1937"/>
    <cellStyle name="Normal 5 5 2 2 3" xfId="1938"/>
    <cellStyle name="Normal 5 5 2 3" xfId="1939"/>
    <cellStyle name="Normal 5 5 2 3 2" xfId="1940"/>
    <cellStyle name="Normal 5 5 2 4" xfId="1941"/>
    <cellStyle name="Normal 5 5 3" xfId="1942"/>
    <cellStyle name="Normal 5 5 3 2" xfId="1943"/>
    <cellStyle name="Normal 5 5 3 2 2" xfId="1944"/>
    <cellStyle name="Normal 5 5 3 3" xfId="1945"/>
    <cellStyle name="Normal 5 5 4" xfId="1946"/>
    <cellStyle name="Normal 5 5 4 2" xfId="1947"/>
    <cellStyle name="Normal 5 5 5" xfId="1948"/>
    <cellStyle name="Normal 5 6" xfId="1949"/>
    <cellStyle name="Normal 5 6 2" xfId="1950"/>
    <cellStyle name="Normal 5 6 2 2" xfId="1951"/>
    <cellStyle name="Normal 5 6 2 2 2" xfId="1952"/>
    <cellStyle name="Normal 5 6 2 3" xfId="1953"/>
    <cellStyle name="Normal 5 6 3" xfId="1954"/>
    <cellStyle name="Normal 5 6 3 2" xfId="1955"/>
    <cellStyle name="Normal 5 6 4" xfId="1956"/>
    <cellStyle name="Normal 5 7" xfId="1957"/>
    <cellStyle name="Normal 5 7 2" xfId="1958"/>
    <cellStyle name="Normal 5 7 2 2" xfId="1959"/>
    <cellStyle name="Normal 5 7 3" xfId="1960"/>
    <cellStyle name="Normal 5 8" xfId="1961"/>
    <cellStyle name="Normal 5 8 10" xfId="11224"/>
    <cellStyle name="Normal 5 8 11" xfId="11225"/>
    <cellStyle name="Normal 5 8 12" xfId="11226"/>
    <cellStyle name="Normal 5 8 13" xfId="11227"/>
    <cellStyle name="Normal 5 8 14" xfId="11228"/>
    <cellStyle name="Normal 5 8 15" xfId="11229"/>
    <cellStyle name="Normal 5 8 2" xfId="1962"/>
    <cellStyle name="Normal 5 8 2 10" xfId="11230"/>
    <cellStyle name="Normal 5 8 2 11" xfId="11231"/>
    <cellStyle name="Normal 5 8 2 12" xfId="11232"/>
    <cellStyle name="Normal 5 8 2 13" xfId="11233"/>
    <cellStyle name="Normal 5 8 2 2" xfId="11234"/>
    <cellStyle name="Normal 5 8 2 2 10" xfId="11235"/>
    <cellStyle name="Normal 5 8 2 2 11" xfId="11236"/>
    <cellStyle name="Normal 5 8 2 2 12" xfId="11237"/>
    <cellStyle name="Normal 5 8 2 2 2" xfId="11238"/>
    <cellStyle name="Normal 5 8 2 2 2 10" xfId="11239"/>
    <cellStyle name="Normal 5 8 2 2 2 11" xfId="11240"/>
    <cellStyle name="Normal 5 8 2 2 2 2" xfId="11241"/>
    <cellStyle name="Normal 5 8 2 2 2 2 2" xfId="11242"/>
    <cellStyle name="Normal 5 8 2 2 2 2 2 2" xfId="11243"/>
    <cellStyle name="Normal 5 8 2 2 2 2 2 3" xfId="11244"/>
    <cellStyle name="Normal 5 8 2 2 2 2 3" xfId="11245"/>
    <cellStyle name="Normal 5 8 2 2 2 2 3 2" xfId="11246"/>
    <cellStyle name="Normal 5 8 2 2 2 2 4" xfId="11247"/>
    <cellStyle name="Normal 5 8 2 2 2 2 5" xfId="11248"/>
    <cellStyle name="Normal 5 8 2 2 2 2 6" xfId="11249"/>
    <cellStyle name="Normal 5 8 2 2 2 2 7" xfId="11250"/>
    <cellStyle name="Normal 5 8 2 2 2 2 8" xfId="11251"/>
    <cellStyle name="Normal 5 8 2 2 2 3" xfId="11252"/>
    <cellStyle name="Normal 5 8 2 2 2 3 2" xfId="11253"/>
    <cellStyle name="Normal 5 8 2 2 2 3 2 2" xfId="11254"/>
    <cellStyle name="Normal 5 8 2 2 2 3 3" xfId="11255"/>
    <cellStyle name="Normal 5 8 2 2 2 3 4" xfId="11256"/>
    <cellStyle name="Normal 5 8 2 2 2 4" xfId="11257"/>
    <cellStyle name="Normal 5 8 2 2 2 4 2" xfId="11258"/>
    <cellStyle name="Normal 5 8 2 2 2 5" xfId="11259"/>
    <cellStyle name="Normal 5 8 2 2 2 5 2" xfId="11260"/>
    <cellStyle name="Normal 5 8 2 2 2 6" xfId="11261"/>
    <cellStyle name="Normal 5 8 2 2 2 6 2" xfId="11262"/>
    <cellStyle name="Normal 5 8 2 2 2 7" xfId="11263"/>
    <cellStyle name="Normal 5 8 2 2 2 8" xfId="11264"/>
    <cellStyle name="Normal 5 8 2 2 2 9" xfId="11265"/>
    <cellStyle name="Normal 5 8 2 2 3" xfId="11266"/>
    <cellStyle name="Normal 5 8 2 2 3 2" xfId="11267"/>
    <cellStyle name="Normal 5 8 2 2 3 2 2" xfId="11268"/>
    <cellStyle name="Normal 5 8 2 2 3 2 3" xfId="11269"/>
    <cellStyle name="Normal 5 8 2 2 3 3" xfId="11270"/>
    <cellStyle name="Normal 5 8 2 2 3 3 2" xfId="11271"/>
    <cellStyle name="Normal 5 8 2 2 3 4" xfId="11272"/>
    <cellStyle name="Normal 5 8 2 2 3 5" xfId="11273"/>
    <cellStyle name="Normal 5 8 2 2 3 6" xfId="11274"/>
    <cellStyle name="Normal 5 8 2 2 3 7" xfId="11275"/>
    <cellStyle name="Normal 5 8 2 2 3 8" xfId="11276"/>
    <cellStyle name="Normal 5 8 2 2 4" xfId="11277"/>
    <cellStyle name="Normal 5 8 2 2 4 2" xfId="11278"/>
    <cellStyle name="Normal 5 8 2 2 4 2 2" xfId="11279"/>
    <cellStyle name="Normal 5 8 2 2 4 3" xfId="11280"/>
    <cellStyle name="Normal 5 8 2 2 4 4" xfId="11281"/>
    <cellStyle name="Normal 5 8 2 2 5" xfId="11282"/>
    <cellStyle name="Normal 5 8 2 2 5 2" xfId="11283"/>
    <cellStyle name="Normal 5 8 2 2 6" xfId="11284"/>
    <cellStyle name="Normal 5 8 2 2 6 2" xfId="11285"/>
    <cellStyle name="Normal 5 8 2 2 7" xfId="11286"/>
    <cellStyle name="Normal 5 8 2 2 7 2" xfId="11287"/>
    <cellStyle name="Normal 5 8 2 2 8" xfId="11288"/>
    <cellStyle name="Normal 5 8 2 2 9" xfId="11289"/>
    <cellStyle name="Normal 5 8 2 3" xfId="11290"/>
    <cellStyle name="Normal 5 8 2 3 10" xfId="11291"/>
    <cellStyle name="Normal 5 8 2 3 11" xfId="11292"/>
    <cellStyle name="Normal 5 8 2 3 2" xfId="11293"/>
    <cellStyle name="Normal 5 8 2 3 2 2" xfId="11294"/>
    <cellStyle name="Normal 5 8 2 3 2 2 2" xfId="11295"/>
    <cellStyle name="Normal 5 8 2 3 2 2 3" xfId="11296"/>
    <cellStyle name="Normal 5 8 2 3 2 3" xfId="11297"/>
    <cellStyle name="Normal 5 8 2 3 2 3 2" xfId="11298"/>
    <cellStyle name="Normal 5 8 2 3 2 4" xfId="11299"/>
    <cellStyle name="Normal 5 8 2 3 2 5" xfId="11300"/>
    <cellStyle name="Normal 5 8 2 3 2 6" xfId="11301"/>
    <cellStyle name="Normal 5 8 2 3 2 7" xfId="11302"/>
    <cellStyle name="Normal 5 8 2 3 2 8" xfId="11303"/>
    <cellStyle name="Normal 5 8 2 3 3" xfId="11304"/>
    <cellStyle name="Normal 5 8 2 3 3 2" xfId="11305"/>
    <cellStyle name="Normal 5 8 2 3 3 2 2" xfId="11306"/>
    <cellStyle name="Normal 5 8 2 3 3 3" xfId="11307"/>
    <cellStyle name="Normal 5 8 2 3 3 4" xfId="11308"/>
    <cellStyle name="Normal 5 8 2 3 4" xfId="11309"/>
    <cellStyle name="Normal 5 8 2 3 4 2" xfId="11310"/>
    <cellStyle name="Normal 5 8 2 3 5" xfId="11311"/>
    <cellStyle name="Normal 5 8 2 3 5 2" xfId="11312"/>
    <cellStyle name="Normal 5 8 2 3 6" xfId="11313"/>
    <cellStyle name="Normal 5 8 2 3 6 2" xfId="11314"/>
    <cellStyle name="Normal 5 8 2 3 7" xfId="11315"/>
    <cellStyle name="Normal 5 8 2 3 8" xfId="11316"/>
    <cellStyle name="Normal 5 8 2 3 9" xfId="11317"/>
    <cellStyle name="Normal 5 8 2 4" xfId="11318"/>
    <cellStyle name="Normal 5 8 2 4 2" xfId="11319"/>
    <cellStyle name="Normal 5 8 2 4 2 2" xfId="11320"/>
    <cellStyle name="Normal 5 8 2 4 2 3" xfId="11321"/>
    <cellStyle name="Normal 5 8 2 4 3" xfId="11322"/>
    <cellStyle name="Normal 5 8 2 4 3 2" xfId="11323"/>
    <cellStyle name="Normal 5 8 2 4 4" xfId="11324"/>
    <cellStyle name="Normal 5 8 2 4 5" xfId="11325"/>
    <cellStyle name="Normal 5 8 2 4 6" xfId="11326"/>
    <cellStyle name="Normal 5 8 2 4 7" xfId="11327"/>
    <cellStyle name="Normal 5 8 2 4 8" xfId="11328"/>
    <cellStyle name="Normal 5 8 2 5" xfId="11329"/>
    <cellStyle name="Normal 5 8 2 5 2" xfId="11330"/>
    <cellStyle name="Normal 5 8 2 5 2 2" xfId="11331"/>
    <cellStyle name="Normal 5 8 2 5 3" xfId="11332"/>
    <cellStyle name="Normal 5 8 2 5 4" xfId="11333"/>
    <cellStyle name="Normal 5 8 2 6" xfId="11334"/>
    <cellStyle name="Normal 5 8 2 6 2" xfId="11335"/>
    <cellStyle name="Normal 5 8 2 7" xfId="11336"/>
    <cellStyle name="Normal 5 8 2 7 2" xfId="11337"/>
    <cellStyle name="Normal 5 8 2 8" xfId="11338"/>
    <cellStyle name="Normal 5 8 2 8 2" xfId="11339"/>
    <cellStyle name="Normal 5 8 2 9" xfId="11340"/>
    <cellStyle name="Normal 5 8 3" xfId="11341"/>
    <cellStyle name="Normal 5 8 3 10" xfId="11342"/>
    <cellStyle name="Normal 5 8 3 11" xfId="11343"/>
    <cellStyle name="Normal 5 8 3 12" xfId="11344"/>
    <cellStyle name="Normal 5 8 3 2" xfId="11345"/>
    <cellStyle name="Normal 5 8 3 2 10" xfId="11346"/>
    <cellStyle name="Normal 5 8 3 2 11" xfId="11347"/>
    <cellStyle name="Normal 5 8 3 2 2" xfId="11348"/>
    <cellStyle name="Normal 5 8 3 2 2 2" xfId="11349"/>
    <cellStyle name="Normal 5 8 3 2 2 2 2" xfId="11350"/>
    <cellStyle name="Normal 5 8 3 2 2 2 3" xfId="11351"/>
    <cellStyle name="Normal 5 8 3 2 2 3" xfId="11352"/>
    <cellStyle name="Normal 5 8 3 2 2 3 2" xfId="11353"/>
    <cellStyle name="Normal 5 8 3 2 2 4" xfId="11354"/>
    <cellStyle name="Normal 5 8 3 2 2 5" xfId="11355"/>
    <cellStyle name="Normal 5 8 3 2 2 6" xfId="11356"/>
    <cellStyle name="Normal 5 8 3 2 2 7" xfId="11357"/>
    <cellStyle name="Normal 5 8 3 2 2 8" xfId="11358"/>
    <cellStyle name="Normal 5 8 3 2 3" xfId="11359"/>
    <cellStyle name="Normal 5 8 3 2 3 2" xfId="11360"/>
    <cellStyle name="Normal 5 8 3 2 3 2 2" xfId="11361"/>
    <cellStyle name="Normal 5 8 3 2 3 3" xfId="11362"/>
    <cellStyle name="Normal 5 8 3 2 3 4" xfId="11363"/>
    <cellStyle name="Normal 5 8 3 2 4" xfId="11364"/>
    <cellStyle name="Normal 5 8 3 2 4 2" xfId="11365"/>
    <cellStyle name="Normal 5 8 3 2 5" xfId="11366"/>
    <cellStyle name="Normal 5 8 3 2 5 2" xfId="11367"/>
    <cellStyle name="Normal 5 8 3 2 6" xfId="11368"/>
    <cellStyle name="Normal 5 8 3 2 6 2" xfId="11369"/>
    <cellStyle name="Normal 5 8 3 2 7" xfId="11370"/>
    <cellStyle name="Normal 5 8 3 2 8" xfId="11371"/>
    <cellStyle name="Normal 5 8 3 2 9" xfId="11372"/>
    <cellStyle name="Normal 5 8 3 3" xfId="11373"/>
    <cellStyle name="Normal 5 8 3 3 2" xfId="11374"/>
    <cellStyle name="Normal 5 8 3 3 2 2" xfId="11375"/>
    <cellStyle name="Normal 5 8 3 3 2 3" xfId="11376"/>
    <cellStyle name="Normal 5 8 3 3 3" xfId="11377"/>
    <cellStyle name="Normal 5 8 3 3 3 2" xfId="11378"/>
    <cellStyle name="Normal 5 8 3 3 4" xfId="11379"/>
    <cellStyle name="Normal 5 8 3 3 5" xfId="11380"/>
    <cellStyle name="Normal 5 8 3 3 6" xfId="11381"/>
    <cellStyle name="Normal 5 8 3 3 7" xfId="11382"/>
    <cellStyle name="Normal 5 8 3 3 8" xfId="11383"/>
    <cellStyle name="Normal 5 8 3 4" xfId="11384"/>
    <cellStyle name="Normal 5 8 3 4 2" xfId="11385"/>
    <cellStyle name="Normal 5 8 3 4 2 2" xfId="11386"/>
    <cellStyle name="Normal 5 8 3 4 3" xfId="11387"/>
    <cellStyle name="Normal 5 8 3 4 4" xfId="11388"/>
    <cellStyle name="Normal 5 8 3 5" xfId="11389"/>
    <cellStyle name="Normal 5 8 3 5 2" xfId="11390"/>
    <cellStyle name="Normal 5 8 3 6" xfId="11391"/>
    <cellStyle name="Normal 5 8 3 6 2" xfId="11392"/>
    <cellStyle name="Normal 5 8 3 7" xfId="11393"/>
    <cellStyle name="Normal 5 8 3 7 2" xfId="11394"/>
    <cellStyle name="Normal 5 8 3 8" xfId="11395"/>
    <cellStyle name="Normal 5 8 3 9" xfId="11396"/>
    <cellStyle name="Normal 5 8 4" xfId="11397"/>
    <cellStyle name="Normal 5 8 4 10" xfId="11398"/>
    <cellStyle name="Normal 5 8 4 11" xfId="11399"/>
    <cellStyle name="Normal 5 8 4 2" xfId="11400"/>
    <cellStyle name="Normal 5 8 4 2 2" xfId="11401"/>
    <cellStyle name="Normal 5 8 4 2 2 2" xfId="11402"/>
    <cellStyle name="Normal 5 8 4 2 2 3" xfId="11403"/>
    <cellStyle name="Normal 5 8 4 2 3" xfId="11404"/>
    <cellStyle name="Normal 5 8 4 2 3 2" xfId="11405"/>
    <cellStyle name="Normal 5 8 4 2 4" xfId="11406"/>
    <cellStyle name="Normal 5 8 4 2 5" xfId="11407"/>
    <cellStyle name="Normal 5 8 4 2 6" xfId="11408"/>
    <cellStyle name="Normal 5 8 4 2 7" xfId="11409"/>
    <cellStyle name="Normal 5 8 4 2 8" xfId="11410"/>
    <cellStyle name="Normal 5 8 4 3" xfId="11411"/>
    <cellStyle name="Normal 5 8 4 3 2" xfId="11412"/>
    <cellStyle name="Normal 5 8 4 3 2 2" xfId="11413"/>
    <cellStyle name="Normal 5 8 4 3 3" xfId="11414"/>
    <cellStyle name="Normal 5 8 4 3 4" xfId="11415"/>
    <cellStyle name="Normal 5 8 4 4" xfId="11416"/>
    <cellStyle name="Normal 5 8 4 4 2" xfId="11417"/>
    <cellStyle name="Normal 5 8 4 5" xfId="11418"/>
    <cellStyle name="Normal 5 8 4 5 2" xfId="11419"/>
    <cellStyle name="Normal 5 8 4 6" xfId="11420"/>
    <cellStyle name="Normal 5 8 4 6 2" xfId="11421"/>
    <cellStyle name="Normal 5 8 4 7" xfId="11422"/>
    <cellStyle name="Normal 5 8 4 8" xfId="11423"/>
    <cellStyle name="Normal 5 8 4 9" xfId="11424"/>
    <cellStyle name="Normal 5 8 5" xfId="11425"/>
    <cellStyle name="Normal 5 8 5 2" xfId="11426"/>
    <cellStyle name="Normal 5 8 5 2 2" xfId="11427"/>
    <cellStyle name="Normal 5 8 5 2 3" xfId="11428"/>
    <cellStyle name="Normal 5 8 5 3" xfId="11429"/>
    <cellStyle name="Normal 5 8 5 3 2" xfId="11430"/>
    <cellStyle name="Normal 5 8 5 4" xfId="11431"/>
    <cellStyle name="Normal 5 8 5 5" xfId="11432"/>
    <cellStyle name="Normal 5 8 5 6" xfId="11433"/>
    <cellStyle name="Normal 5 8 5 7" xfId="11434"/>
    <cellStyle name="Normal 5 8 5 8" xfId="11435"/>
    <cellStyle name="Normal 5 8 6" xfId="11436"/>
    <cellStyle name="Normal 5 8 6 2" xfId="11437"/>
    <cellStyle name="Normal 5 8 6 2 2" xfId="11438"/>
    <cellStyle name="Normal 5 8 6 3" xfId="11439"/>
    <cellStyle name="Normal 5 8 6 4" xfId="11440"/>
    <cellStyle name="Normal 5 8 7" xfId="11441"/>
    <cellStyle name="Normal 5 8 7 2" xfId="11442"/>
    <cellStyle name="Normal 5 8 8" xfId="11443"/>
    <cellStyle name="Normal 5 8 8 2" xfId="11444"/>
    <cellStyle name="Normal 5 8 9" xfId="11445"/>
    <cellStyle name="Normal 5 8 9 2" xfId="11446"/>
    <cellStyle name="Normal 5 9" xfId="1963"/>
    <cellStyle name="Normal 5_Book3" xfId="11447"/>
    <cellStyle name="Normal 50" xfId="11448"/>
    <cellStyle name="Normal 51" xfId="11449"/>
    <cellStyle name="Normal 51 2" xfId="11450"/>
    <cellStyle name="Normal 52" xfId="11451"/>
    <cellStyle name="Normal 52 2" xfId="11452"/>
    <cellStyle name="Normal 53" xfId="11453"/>
    <cellStyle name="Normal 53 2" xfId="11454"/>
    <cellStyle name="Normal 53 2 2" xfId="11455"/>
    <cellStyle name="Normal 53 3" xfId="11456"/>
    <cellStyle name="Normal 54" xfId="11457"/>
    <cellStyle name="Normal 54 2" xfId="11458"/>
    <cellStyle name="Normal 54 2 2" xfId="11459"/>
    <cellStyle name="Normal 54 3" xfId="11460"/>
    <cellStyle name="Normal 55" xfId="11461"/>
    <cellStyle name="Normal 55 2" xfId="11462"/>
    <cellStyle name="Normal 56" xfId="11463"/>
    <cellStyle name="Normal 56 2" xfId="11464"/>
    <cellStyle name="Normal 57" xfId="11465"/>
    <cellStyle name="Normal 57 2" xfId="11466"/>
    <cellStyle name="Normal 58" xfId="11467"/>
    <cellStyle name="Normal 58 2" xfId="11468"/>
    <cellStyle name="Normal 59" xfId="11469"/>
    <cellStyle name="Normal 59 2" xfId="11470"/>
    <cellStyle name="Normal 6" xfId="1964"/>
    <cellStyle name="Normal 6 10" xfId="11471"/>
    <cellStyle name="Normal 6 11" xfId="11472"/>
    <cellStyle name="Normal 6 2" xfId="5"/>
    <cellStyle name="Normal 6 2 2" xfId="23"/>
    <cellStyle name="Normal 6 2 2 2" xfId="1967"/>
    <cellStyle name="Normal 6 2 2 2 2" xfId="1968"/>
    <cellStyle name="Normal 6 2 2 2 2 2" xfId="1969"/>
    <cellStyle name="Normal 6 2 2 2 2 2 2" xfId="1970"/>
    <cellStyle name="Normal 6 2 2 2 2 2 2 2" xfId="1971"/>
    <cellStyle name="Normal 6 2 2 2 2 2 2 2 2" xfId="1972"/>
    <cellStyle name="Normal 6 2 2 2 2 2 2 3" xfId="1973"/>
    <cellStyle name="Normal 6 2 2 2 2 2 3" xfId="1974"/>
    <cellStyle name="Normal 6 2 2 2 2 2 3 2" xfId="1975"/>
    <cellStyle name="Normal 6 2 2 2 2 2 4" xfId="1976"/>
    <cellStyle name="Normal 6 2 2 2 2 3" xfId="1977"/>
    <cellStyle name="Normal 6 2 2 2 2 3 2" xfId="1978"/>
    <cellStyle name="Normal 6 2 2 2 2 3 2 2" xfId="1979"/>
    <cellStyle name="Normal 6 2 2 2 2 3 3" xfId="1980"/>
    <cellStyle name="Normal 6 2 2 2 2 4" xfId="1981"/>
    <cellStyle name="Normal 6 2 2 2 2 4 2" xfId="1982"/>
    <cellStyle name="Normal 6 2 2 2 2 5" xfId="1983"/>
    <cellStyle name="Normal 6 2 2 2 3" xfId="1984"/>
    <cellStyle name="Normal 6 2 2 2 3 2" xfId="1985"/>
    <cellStyle name="Normal 6 2 2 2 3 2 2" xfId="1986"/>
    <cellStyle name="Normal 6 2 2 2 3 2 2 2" xfId="1987"/>
    <cellStyle name="Normal 6 2 2 2 3 2 3" xfId="1988"/>
    <cellStyle name="Normal 6 2 2 2 3 3" xfId="1989"/>
    <cellStyle name="Normal 6 2 2 2 3 3 2" xfId="1990"/>
    <cellStyle name="Normal 6 2 2 2 3 4" xfId="1991"/>
    <cellStyle name="Normal 6 2 2 2 4" xfId="1992"/>
    <cellStyle name="Normal 6 2 2 2 4 2" xfId="1993"/>
    <cellStyle name="Normal 6 2 2 2 4 2 2" xfId="1994"/>
    <cellStyle name="Normal 6 2 2 2 4 3" xfId="1995"/>
    <cellStyle name="Normal 6 2 2 2 5" xfId="1996"/>
    <cellStyle name="Normal 6 2 2 2 5 2" xfId="1997"/>
    <cellStyle name="Normal 6 2 2 2 6" xfId="1998"/>
    <cellStyle name="Normal 6 2 2 3" xfId="1999"/>
    <cellStyle name="Normal 6 2 2 3 2" xfId="2000"/>
    <cellStyle name="Normal 6 2 2 3 2 2" xfId="2001"/>
    <cellStyle name="Normal 6 2 2 3 2 2 2" xfId="2002"/>
    <cellStyle name="Normal 6 2 2 3 2 2 2 2" xfId="2003"/>
    <cellStyle name="Normal 6 2 2 3 2 2 3" xfId="2004"/>
    <cellStyle name="Normal 6 2 2 3 2 3" xfId="2005"/>
    <cellStyle name="Normal 6 2 2 3 2 3 2" xfId="2006"/>
    <cellStyle name="Normal 6 2 2 3 2 4" xfId="2007"/>
    <cellStyle name="Normal 6 2 2 3 3" xfId="2008"/>
    <cellStyle name="Normal 6 2 2 3 3 2" xfId="2009"/>
    <cellStyle name="Normal 6 2 2 3 3 2 2" xfId="2010"/>
    <cellStyle name="Normal 6 2 2 3 3 3" xfId="2011"/>
    <cellStyle name="Normal 6 2 2 3 4" xfId="2012"/>
    <cellStyle name="Normal 6 2 2 3 4 2" xfId="2013"/>
    <cellStyle name="Normal 6 2 2 3 5" xfId="2014"/>
    <cellStyle name="Normal 6 2 2 4" xfId="2015"/>
    <cellStyle name="Normal 6 2 2 4 2" xfId="2016"/>
    <cellStyle name="Normal 6 2 2 4 2 2" xfId="2017"/>
    <cellStyle name="Normal 6 2 2 4 2 2 2" xfId="2018"/>
    <cellStyle name="Normal 6 2 2 4 2 3" xfId="2019"/>
    <cellStyle name="Normal 6 2 2 4 3" xfId="2020"/>
    <cellStyle name="Normal 6 2 2 4 3 2" xfId="2021"/>
    <cellStyle name="Normal 6 2 2 4 4" xfId="2022"/>
    <cellStyle name="Normal 6 2 2 5" xfId="2023"/>
    <cellStyle name="Normal 6 2 2 5 2" xfId="2024"/>
    <cellStyle name="Normal 6 2 2 5 2 2" xfId="2025"/>
    <cellStyle name="Normal 6 2 2 5 3" xfId="2026"/>
    <cellStyle name="Normal 6 2 2 6" xfId="2027"/>
    <cellStyle name="Normal 6 2 2 6 2" xfId="2028"/>
    <cellStyle name="Normal 6 2 2 7" xfId="2029"/>
    <cellStyle name="Normal 6 2 2 8" xfId="1966"/>
    <cellStyle name="Normal 6 2 3" xfId="2030"/>
    <cellStyle name="Normal 6 2 3 2" xfId="2031"/>
    <cellStyle name="Normal 6 2 3 2 2" xfId="2032"/>
    <cellStyle name="Normal 6 2 3 2 2 2" xfId="2033"/>
    <cellStyle name="Normal 6 2 3 2 2 2 2" xfId="2034"/>
    <cellStyle name="Normal 6 2 3 2 2 2 2 2" xfId="2035"/>
    <cellStyle name="Normal 6 2 3 2 2 2 3" xfId="2036"/>
    <cellStyle name="Normal 6 2 3 2 2 3" xfId="2037"/>
    <cellStyle name="Normal 6 2 3 2 2 3 2" xfId="2038"/>
    <cellStyle name="Normal 6 2 3 2 2 4" xfId="2039"/>
    <cellStyle name="Normal 6 2 3 2 3" xfId="2040"/>
    <cellStyle name="Normal 6 2 3 2 3 2" xfId="2041"/>
    <cellStyle name="Normal 6 2 3 2 3 2 2" xfId="2042"/>
    <cellStyle name="Normal 6 2 3 2 3 3" xfId="2043"/>
    <cellStyle name="Normal 6 2 3 2 4" xfId="2044"/>
    <cellStyle name="Normal 6 2 3 2 4 2" xfId="2045"/>
    <cellStyle name="Normal 6 2 3 2 5" xfId="2046"/>
    <cellStyle name="Normal 6 2 3 3" xfId="2047"/>
    <cellStyle name="Normal 6 2 3 3 2" xfId="2048"/>
    <cellStyle name="Normal 6 2 3 3 2 2" xfId="2049"/>
    <cellStyle name="Normal 6 2 3 3 2 2 2" xfId="2050"/>
    <cellStyle name="Normal 6 2 3 3 2 3" xfId="2051"/>
    <cellStyle name="Normal 6 2 3 3 3" xfId="2052"/>
    <cellStyle name="Normal 6 2 3 3 3 2" xfId="2053"/>
    <cellStyle name="Normal 6 2 3 3 4" xfId="2054"/>
    <cellStyle name="Normal 6 2 3 4" xfId="2055"/>
    <cellStyle name="Normal 6 2 3 4 2" xfId="2056"/>
    <cellStyle name="Normal 6 2 3 4 2 2" xfId="2057"/>
    <cellStyle name="Normal 6 2 3 4 3" xfId="2058"/>
    <cellStyle name="Normal 6 2 3 5" xfId="2059"/>
    <cellStyle name="Normal 6 2 3 5 2" xfId="2060"/>
    <cellStyle name="Normal 6 2 3 6" xfId="2061"/>
    <cellStyle name="Normal 6 2 4" xfId="2062"/>
    <cellStyle name="Normal 6 2 4 2" xfId="2063"/>
    <cellStyle name="Normal 6 2 4 2 2" xfId="2064"/>
    <cellStyle name="Normal 6 2 4 2 2 2" xfId="2065"/>
    <cellStyle name="Normal 6 2 4 2 2 2 2" xfId="2066"/>
    <cellStyle name="Normal 6 2 4 2 2 3" xfId="2067"/>
    <cellStyle name="Normal 6 2 4 2 3" xfId="2068"/>
    <cellStyle name="Normal 6 2 4 2 3 2" xfId="2069"/>
    <cellStyle name="Normal 6 2 4 2 4" xfId="2070"/>
    <cellStyle name="Normal 6 2 4 3" xfId="2071"/>
    <cellStyle name="Normal 6 2 4 3 2" xfId="2072"/>
    <cellStyle name="Normal 6 2 4 3 2 2" xfId="2073"/>
    <cellStyle name="Normal 6 2 4 3 3" xfId="2074"/>
    <cellStyle name="Normal 6 2 4 4" xfId="2075"/>
    <cellStyle name="Normal 6 2 4 4 2" xfId="2076"/>
    <cellStyle name="Normal 6 2 4 5" xfId="2077"/>
    <cellStyle name="Normal 6 2 5" xfId="2078"/>
    <cellStyle name="Normal 6 2 5 2" xfId="2079"/>
    <cellStyle name="Normal 6 2 5 2 2" xfId="2080"/>
    <cellStyle name="Normal 6 2 5 2 2 2" xfId="2081"/>
    <cellStyle name="Normal 6 2 5 2 3" xfId="2082"/>
    <cellStyle name="Normal 6 2 5 3" xfId="2083"/>
    <cellStyle name="Normal 6 2 5 3 2" xfId="2084"/>
    <cellStyle name="Normal 6 2 5 4" xfId="2085"/>
    <cellStyle name="Normal 6 2 6" xfId="2086"/>
    <cellStyle name="Normal 6 2 6 2" xfId="2087"/>
    <cellStyle name="Normal 6 2 6 2 2" xfId="2088"/>
    <cellStyle name="Normal 6 2 6 3" xfId="2089"/>
    <cellStyle name="Normal 6 2 7" xfId="2090"/>
    <cellStyle name="Normal 6 2 7 2" xfId="2091"/>
    <cellStyle name="Normal 6 2 8" xfId="2092"/>
    <cellStyle name="Normal 6 2 9" xfId="1965"/>
    <cellStyle name="Normal 6 3" xfId="2093"/>
    <cellStyle name="Normal 6 3 2" xfId="2094"/>
    <cellStyle name="Normal 6 3 2 2" xfId="2095"/>
    <cellStyle name="Normal 6 3 2 2 2" xfId="2096"/>
    <cellStyle name="Normal 6 3 2 2 2 2" xfId="2097"/>
    <cellStyle name="Normal 6 3 2 2 2 2 2" xfId="2098"/>
    <cellStyle name="Normal 6 3 2 2 2 2 2 2" xfId="2099"/>
    <cellStyle name="Normal 6 3 2 2 2 2 3" xfId="2100"/>
    <cellStyle name="Normal 6 3 2 2 2 3" xfId="2101"/>
    <cellStyle name="Normal 6 3 2 2 2 3 2" xfId="2102"/>
    <cellStyle name="Normal 6 3 2 2 2 4" xfId="2103"/>
    <cellStyle name="Normal 6 3 2 2 3" xfId="2104"/>
    <cellStyle name="Normal 6 3 2 2 3 2" xfId="2105"/>
    <cellStyle name="Normal 6 3 2 2 3 2 2" xfId="2106"/>
    <cellStyle name="Normal 6 3 2 2 3 3" xfId="2107"/>
    <cellStyle name="Normal 6 3 2 2 4" xfId="2108"/>
    <cellStyle name="Normal 6 3 2 2 4 2" xfId="2109"/>
    <cellStyle name="Normal 6 3 2 2 5" xfId="2110"/>
    <cellStyle name="Normal 6 3 2 3" xfId="2111"/>
    <cellStyle name="Normal 6 3 2 3 2" xfId="2112"/>
    <cellStyle name="Normal 6 3 2 3 2 2" xfId="2113"/>
    <cellStyle name="Normal 6 3 2 3 2 2 2" xfId="2114"/>
    <cellStyle name="Normal 6 3 2 3 2 3" xfId="2115"/>
    <cellStyle name="Normal 6 3 2 3 3" xfId="2116"/>
    <cellStyle name="Normal 6 3 2 3 3 2" xfId="2117"/>
    <cellStyle name="Normal 6 3 2 3 4" xfId="2118"/>
    <cellStyle name="Normal 6 3 2 4" xfId="2119"/>
    <cellStyle name="Normal 6 3 2 4 2" xfId="2120"/>
    <cellStyle name="Normal 6 3 2 4 2 2" xfId="2121"/>
    <cellStyle name="Normal 6 3 2 4 3" xfId="2122"/>
    <cellStyle name="Normal 6 3 2 5" xfId="2123"/>
    <cellStyle name="Normal 6 3 2 5 2" xfId="2124"/>
    <cellStyle name="Normal 6 3 2 6" xfId="2125"/>
    <cellStyle name="Normal 6 3 3" xfId="2126"/>
    <cellStyle name="Normal 6 3 3 2" xfId="2127"/>
    <cellStyle name="Normal 6 3 3 2 2" xfId="2128"/>
    <cellStyle name="Normal 6 3 3 2 2 2" xfId="2129"/>
    <cellStyle name="Normal 6 3 3 2 2 2 2" xfId="2130"/>
    <cellStyle name="Normal 6 3 3 2 2 3" xfId="2131"/>
    <cellStyle name="Normal 6 3 3 2 3" xfId="2132"/>
    <cellStyle name="Normal 6 3 3 2 3 2" xfId="2133"/>
    <cellStyle name="Normal 6 3 3 2 4" xfId="2134"/>
    <cellStyle name="Normal 6 3 3 3" xfId="2135"/>
    <cellStyle name="Normal 6 3 3 3 2" xfId="2136"/>
    <cellStyle name="Normal 6 3 3 3 2 2" xfId="2137"/>
    <cellStyle name="Normal 6 3 3 3 3" xfId="2138"/>
    <cellStyle name="Normal 6 3 3 4" xfId="2139"/>
    <cellStyle name="Normal 6 3 3 4 2" xfId="2140"/>
    <cellStyle name="Normal 6 3 3 5" xfId="2141"/>
    <cellStyle name="Normal 6 3 4" xfId="2142"/>
    <cellStyle name="Normal 6 3 4 2" xfId="2143"/>
    <cellStyle name="Normal 6 3 4 2 2" xfId="2144"/>
    <cellStyle name="Normal 6 3 4 2 2 2" xfId="2145"/>
    <cellStyle name="Normal 6 3 4 2 3" xfId="2146"/>
    <cellStyle name="Normal 6 3 4 3" xfId="2147"/>
    <cellStyle name="Normal 6 3 4 3 2" xfId="2148"/>
    <cellStyle name="Normal 6 3 4 4" xfId="2149"/>
    <cellStyle name="Normal 6 3 5" xfId="2150"/>
    <cellStyle name="Normal 6 3 5 2" xfId="2151"/>
    <cellStyle name="Normal 6 3 5 2 2" xfId="2152"/>
    <cellStyle name="Normal 6 3 5 3" xfId="2153"/>
    <cellStyle name="Normal 6 3 6" xfId="2154"/>
    <cellStyle name="Normal 6 3 6 2" xfId="2155"/>
    <cellStyle name="Normal 6 3 7" xfId="2156"/>
    <cellStyle name="Normal 6 4" xfId="2157"/>
    <cellStyle name="Normal 6 4 2" xfId="2158"/>
    <cellStyle name="Normal 6 4 2 2" xfId="2159"/>
    <cellStyle name="Normal 6 4 2 2 2" xfId="2160"/>
    <cellStyle name="Normal 6 4 2 2 2 2" xfId="2161"/>
    <cellStyle name="Normal 6 4 2 2 2 2 2" xfId="2162"/>
    <cellStyle name="Normal 6 4 2 2 2 3" xfId="2163"/>
    <cellStyle name="Normal 6 4 2 2 3" xfId="2164"/>
    <cellStyle name="Normal 6 4 2 2 3 2" xfId="2165"/>
    <cellStyle name="Normal 6 4 2 2 4" xfId="2166"/>
    <cellStyle name="Normal 6 4 2 3" xfId="2167"/>
    <cellStyle name="Normal 6 4 2 3 2" xfId="2168"/>
    <cellStyle name="Normal 6 4 2 3 2 2" xfId="2169"/>
    <cellStyle name="Normal 6 4 2 3 3" xfId="2170"/>
    <cellStyle name="Normal 6 4 2 4" xfId="2171"/>
    <cellStyle name="Normal 6 4 2 4 2" xfId="2172"/>
    <cellStyle name="Normal 6 4 2 5" xfId="2173"/>
    <cellStyle name="Normal 6 4 3" xfId="2174"/>
    <cellStyle name="Normal 6 4 3 2" xfId="2175"/>
    <cellStyle name="Normal 6 4 3 2 2" xfId="2176"/>
    <cellStyle name="Normal 6 4 3 2 2 2" xfId="2177"/>
    <cellStyle name="Normal 6 4 3 2 3" xfId="2178"/>
    <cellStyle name="Normal 6 4 3 3" xfId="2179"/>
    <cellStyle name="Normal 6 4 3 3 2" xfId="2180"/>
    <cellStyle name="Normal 6 4 3 4" xfId="2181"/>
    <cellStyle name="Normal 6 4 4" xfId="2182"/>
    <cellStyle name="Normal 6 4 4 2" xfId="2183"/>
    <cellStyle name="Normal 6 4 4 2 2" xfId="2184"/>
    <cellStyle name="Normal 6 4 4 3" xfId="2185"/>
    <cellStyle name="Normal 6 4 5" xfId="2186"/>
    <cellStyle name="Normal 6 4 5 2" xfId="2187"/>
    <cellStyle name="Normal 6 4 6" xfId="2188"/>
    <cellStyle name="Normal 6 5" xfId="2189"/>
    <cellStyle name="Normal 6 5 2" xfId="2190"/>
    <cellStyle name="Normal 6 5 2 2" xfId="2191"/>
    <cellStyle name="Normal 6 5 2 2 2" xfId="2192"/>
    <cellStyle name="Normal 6 5 2 2 2 2" xfId="2193"/>
    <cellStyle name="Normal 6 5 2 2 3" xfId="2194"/>
    <cellStyle name="Normal 6 5 2 3" xfId="2195"/>
    <cellStyle name="Normal 6 5 2 3 2" xfId="2196"/>
    <cellStyle name="Normal 6 5 2 4" xfId="2197"/>
    <cellStyle name="Normal 6 5 3" xfId="2198"/>
    <cellStyle name="Normal 6 5 3 2" xfId="2199"/>
    <cellStyle name="Normal 6 5 3 2 2" xfId="2200"/>
    <cellStyle name="Normal 6 5 3 3" xfId="2201"/>
    <cellStyle name="Normal 6 5 4" xfId="2202"/>
    <cellStyle name="Normal 6 5 4 2" xfId="2203"/>
    <cellStyle name="Normal 6 5 5" xfId="2204"/>
    <cellStyle name="Normal 6 6" xfId="2205"/>
    <cellStyle name="Normal 6 6 2" xfId="2206"/>
    <cellStyle name="Normal 6 6 2 2" xfId="2207"/>
    <cellStyle name="Normal 6 6 2 2 2" xfId="2208"/>
    <cellStyle name="Normal 6 6 2 3" xfId="2209"/>
    <cellStyle name="Normal 6 6 3" xfId="2210"/>
    <cellStyle name="Normal 6 6 3 2" xfId="2211"/>
    <cellStyle name="Normal 6 6 4" xfId="2212"/>
    <cellStyle name="Normal 6 7" xfId="2213"/>
    <cellStyle name="Normal 6 7 2" xfId="2214"/>
    <cellStyle name="Normal 6 7 2 2" xfId="2215"/>
    <cellStyle name="Normal 6 7 3" xfId="2216"/>
    <cellStyle name="Normal 6 8" xfId="2217"/>
    <cellStyle name="Normal 6 8 10" xfId="11473"/>
    <cellStyle name="Normal 6 8 11" xfId="11474"/>
    <cellStyle name="Normal 6 8 12" xfId="11475"/>
    <cellStyle name="Normal 6 8 13" xfId="11476"/>
    <cellStyle name="Normal 6 8 14" xfId="11477"/>
    <cellStyle name="Normal 6 8 2" xfId="2218"/>
    <cellStyle name="Normal 6 8 2 10" xfId="11478"/>
    <cellStyle name="Normal 6 8 2 11" xfId="11479"/>
    <cellStyle name="Normal 6 8 2 12" xfId="11480"/>
    <cellStyle name="Normal 6 8 2 13" xfId="11481"/>
    <cellStyle name="Normal 6 8 2 2" xfId="11482"/>
    <cellStyle name="Normal 6 8 2 2 10" xfId="11483"/>
    <cellStyle name="Normal 6 8 2 2 11" xfId="11484"/>
    <cellStyle name="Normal 6 8 2 2 12" xfId="11485"/>
    <cellStyle name="Normal 6 8 2 2 2" xfId="11486"/>
    <cellStyle name="Normal 6 8 2 2 2 10" xfId="11487"/>
    <cellStyle name="Normal 6 8 2 2 2 11" xfId="11488"/>
    <cellStyle name="Normal 6 8 2 2 2 2" xfId="11489"/>
    <cellStyle name="Normal 6 8 2 2 2 2 2" xfId="11490"/>
    <cellStyle name="Normal 6 8 2 2 2 2 2 2" xfId="11491"/>
    <cellStyle name="Normal 6 8 2 2 2 2 2 3" xfId="11492"/>
    <cellStyle name="Normal 6 8 2 2 2 2 3" xfId="11493"/>
    <cellStyle name="Normal 6 8 2 2 2 2 3 2" xfId="11494"/>
    <cellStyle name="Normal 6 8 2 2 2 2 4" xfId="11495"/>
    <cellStyle name="Normal 6 8 2 2 2 2 5" xfId="11496"/>
    <cellStyle name="Normal 6 8 2 2 2 2 6" xfId="11497"/>
    <cellStyle name="Normal 6 8 2 2 2 2 7" xfId="11498"/>
    <cellStyle name="Normal 6 8 2 2 2 2 8" xfId="11499"/>
    <cellStyle name="Normal 6 8 2 2 2 3" xfId="11500"/>
    <cellStyle name="Normal 6 8 2 2 2 3 2" xfId="11501"/>
    <cellStyle name="Normal 6 8 2 2 2 3 2 2" xfId="11502"/>
    <cellStyle name="Normal 6 8 2 2 2 3 3" xfId="11503"/>
    <cellStyle name="Normal 6 8 2 2 2 3 4" xfId="11504"/>
    <cellStyle name="Normal 6 8 2 2 2 4" xfId="11505"/>
    <cellStyle name="Normal 6 8 2 2 2 4 2" xfId="11506"/>
    <cellStyle name="Normal 6 8 2 2 2 5" xfId="11507"/>
    <cellStyle name="Normal 6 8 2 2 2 5 2" xfId="11508"/>
    <cellStyle name="Normal 6 8 2 2 2 6" xfId="11509"/>
    <cellStyle name="Normal 6 8 2 2 2 6 2" xfId="11510"/>
    <cellStyle name="Normal 6 8 2 2 2 7" xfId="11511"/>
    <cellStyle name="Normal 6 8 2 2 2 8" xfId="11512"/>
    <cellStyle name="Normal 6 8 2 2 2 9" xfId="11513"/>
    <cellStyle name="Normal 6 8 2 2 3" xfId="11514"/>
    <cellStyle name="Normal 6 8 2 2 3 2" xfId="11515"/>
    <cellStyle name="Normal 6 8 2 2 3 2 2" xfId="11516"/>
    <cellStyle name="Normal 6 8 2 2 3 2 3" xfId="11517"/>
    <cellStyle name="Normal 6 8 2 2 3 3" xfId="11518"/>
    <cellStyle name="Normal 6 8 2 2 3 3 2" xfId="11519"/>
    <cellStyle name="Normal 6 8 2 2 3 4" xfId="11520"/>
    <cellStyle name="Normal 6 8 2 2 3 5" xfId="11521"/>
    <cellStyle name="Normal 6 8 2 2 3 6" xfId="11522"/>
    <cellStyle name="Normal 6 8 2 2 3 7" xfId="11523"/>
    <cellStyle name="Normal 6 8 2 2 3 8" xfId="11524"/>
    <cellStyle name="Normal 6 8 2 2 4" xfId="11525"/>
    <cellStyle name="Normal 6 8 2 2 4 2" xfId="11526"/>
    <cellStyle name="Normal 6 8 2 2 4 2 2" xfId="11527"/>
    <cellStyle name="Normal 6 8 2 2 4 3" xfId="11528"/>
    <cellStyle name="Normal 6 8 2 2 4 4" xfId="11529"/>
    <cellStyle name="Normal 6 8 2 2 5" xfId="11530"/>
    <cellStyle name="Normal 6 8 2 2 5 2" xfId="11531"/>
    <cellStyle name="Normal 6 8 2 2 6" xfId="11532"/>
    <cellStyle name="Normal 6 8 2 2 6 2" xfId="11533"/>
    <cellStyle name="Normal 6 8 2 2 7" xfId="11534"/>
    <cellStyle name="Normal 6 8 2 2 7 2" xfId="11535"/>
    <cellStyle name="Normal 6 8 2 2 8" xfId="11536"/>
    <cellStyle name="Normal 6 8 2 2 9" xfId="11537"/>
    <cellStyle name="Normal 6 8 2 3" xfId="11538"/>
    <cellStyle name="Normal 6 8 2 3 10" xfId="11539"/>
    <cellStyle name="Normal 6 8 2 3 11" xfId="11540"/>
    <cellStyle name="Normal 6 8 2 3 2" xfId="11541"/>
    <cellStyle name="Normal 6 8 2 3 2 2" xfId="11542"/>
    <cellStyle name="Normal 6 8 2 3 2 2 2" xfId="11543"/>
    <cellStyle name="Normal 6 8 2 3 2 2 3" xfId="11544"/>
    <cellStyle name="Normal 6 8 2 3 2 3" xfId="11545"/>
    <cellStyle name="Normal 6 8 2 3 2 3 2" xfId="11546"/>
    <cellStyle name="Normal 6 8 2 3 2 4" xfId="11547"/>
    <cellStyle name="Normal 6 8 2 3 2 5" xfId="11548"/>
    <cellStyle name="Normal 6 8 2 3 2 6" xfId="11549"/>
    <cellStyle name="Normal 6 8 2 3 2 7" xfId="11550"/>
    <cellStyle name="Normal 6 8 2 3 2 8" xfId="11551"/>
    <cellStyle name="Normal 6 8 2 3 3" xfId="11552"/>
    <cellStyle name="Normal 6 8 2 3 3 2" xfId="11553"/>
    <cellStyle name="Normal 6 8 2 3 3 2 2" xfId="11554"/>
    <cellStyle name="Normal 6 8 2 3 3 3" xfId="11555"/>
    <cellStyle name="Normal 6 8 2 3 3 4" xfId="11556"/>
    <cellStyle name="Normal 6 8 2 3 4" xfId="11557"/>
    <cellStyle name="Normal 6 8 2 3 4 2" xfId="11558"/>
    <cellStyle name="Normal 6 8 2 3 5" xfId="11559"/>
    <cellStyle name="Normal 6 8 2 3 5 2" xfId="11560"/>
    <cellStyle name="Normal 6 8 2 3 6" xfId="11561"/>
    <cellStyle name="Normal 6 8 2 3 6 2" xfId="11562"/>
    <cellStyle name="Normal 6 8 2 3 7" xfId="11563"/>
    <cellStyle name="Normal 6 8 2 3 8" xfId="11564"/>
    <cellStyle name="Normal 6 8 2 3 9" xfId="11565"/>
    <cellStyle name="Normal 6 8 2 4" xfId="11566"/>
    <cellStyle name="Normal 6 8 2 4 2" xfId="11567"/>
    <cellStyle name="Normal 6 8 2 4 2 2" xfId="11568"/>
    <cellStyle name="Normal 6 8 2 4 2 3" xfId="11569"/>
    <cellStyle name="Normal 6 8 2 4 3" xfId="11570"/>
    <cellStyle name="Normal 6 8 2 4 3 2" xfId="11571"/>
    <cellStyle name="Normal 6 8 2 4 4" xfId="11572"/>
    <cellStyle name="Normal 6 8 2 4 5" xfId="11573"/>
    <cellStyle name="Normal 6 8 2 4 6" xfId="11574"/>
    <cellStyle name="Normal 6 8 2 4 7" xfId="11575"/>
    <cellStyle name="Normal 6 8 2 4 8" xfId="11576"/>
    <cellStyle name="Normal 6 8 2 5" xfId="11577"/>
    <cellStyle name="Normal 6 8 2 5 2" xfId="11578"/>
    <cellStyle name="Normal 6 8 2 5 2 2" xfId="11579"/>
    <cellStyle name="Normal 6 8 2 5 3" xfId="11580"/>
    <cellStyle name="Normal 6 8 2 5 4" xfId="11581"/>
    <cellStyle name="Normal 6 8 2 6" xfId="11582"/>
    <cellStyle name="Normal 6 8 2 6 2" xfId="11583"/>
    <cellStyle name="Normal 6 8 2 7" xfId="11584"/>
    <cellStyle name="Normal 6 8 2 7 2" xfId="11585"/>
    <cellStyle name="Normal 6 8 2 8" xfId="11586"/>
    <cellStyle name="Normal 6 8 2 8 2" xfId="11587"/>
    <cellStyle name="Normal 6 8 2 9" xfId="11588"/>
    <cellStyle name="Normal 6 8 3" xfId="11589"/>
    <cellStyle name="Normal 6 8 3 10" xfId="11590"/>
    <cellStyle name="Normal 6 8 3 11" xfId="11591"/>
    <cellStyle name="Normal 6 8 3 12" xfId="11592"/>
    <cellStyle name="Normal 6 8 3 2" xfId="11593"/>
    <cellStyle name="Normal 6 8 3 2 10" xfId="11594"/>
    <cellStyle name="Normal 6 8 3 2 11" xfId="11595"/>
    <cellStyle name="Normal 6 8 3 2 2" xfId="11596"/>
    <cellStyle name="Normal 6 8 3 2 2 2" xfId="11597"/>
    <cellStyle name="Normal 6 8 3 2 2 2 2" xfId="11598"/>
    <cellStyle name="Normal 6 8 3 2 2 2 3" xfId="11599"/>
    <cellStyle name="Normal 6 8 3 2 2 3" xfId="11600"/>
    <cellStyle name="Normal 6 8 3 2 2 3 2" xfId="11601"/>
    <cellStyle name="Normal 6 8 3 2 2 4" xfId="11602"/>
    <cellStyle name="Normal 6 8 3 2 2 5" xfId="11603"/>
    <cellStyle name="Normal 6 8 3 2 2 6" xfId="11604"/>
    <cellStyle name="Normal 6 8 3 2 2 7" xfId="11605"/>
    <cellStyle name="Normal 6 8 3 2 2 8" xfId="11606"/>
    <cellStyle name="Normal 6 8 3 2 3" xfId="11607"/>
    <cellStyle name="Normal 6 8 3 2 3 2" xfId="11608"/>
    <cellStyle name="Normal 6 8 3 2 3 2 2" xfId="11609"/>
    <cellStyle name="Normal 6 8 3 2 3 3" xfId="11610"/>
    <cellStyle name="Normal 6 8 3 2 3 4" xfId="11611"/>
    <cellStyle name="Normal 6 8 3 2 4" xfId="11612"/>
    <cellStyle name="Normal 6 8 3 2 4 2" xfId="11613"/>
    <cellStyle name="Normal 6 8 3 2 5" xfId="11614"/>
    <cellStyle name="Normal 6 8 3 2 5 2" xfId="11615"/>
    <cellStyle name="Normal 6 8 3 2 6" xfId="11616"/>
    <cellStyle name="Normal 6 8 3 2 6 2" xfId="11617"/>
    <cellStyle name="Normal 6 8 3 2 7" xfId="11618"/>
    <cellStyle name="Normal 6 8 3 2 8" xfId="11619"/>
    <cellStyle name="Normal 6 8 3 2 9" xfId="11620"/>
    <cellStyle name="Normal 6 8 3 3" xfId="11621"/>
    <cellStyle name="Normal 6 8 3 3 2" xfId="11622"/>
    <cellStyle name="Normal 6 8 3 3 2 2" xfId="11623"/>
    <cellStyle name="Normal 6 8 3 3 2 3" xfId="11624"/>
    <cellStyle name="Normal 6 8 3 3 3" xfId="11625"/>
    <cellStyle name="Normal 6 8 3 3 3 2" xfId="11626"/>
    <cellStyle name="Normal 6 8 3 3 4" xfId="11627"/>
    <cellStyle name="Normal 6 8 3 3 5" xfId="11628"/>
    <cellStyle name="Normal 6 8 3 3 6" xfId="11629"/>
    <cellStyle name="Normal 6 8 3 3 7" xfId="11630"/>
    <cellStyle name="Normal 6 8 3 3 8" xfId="11631"/>
    <cellStyle name="Normal 6 8 3 4" xfId="11632"/>
    <cellStyle name="Normal 6 8 3 4 2" xfId="11633"/>
    <cellStyle name="Normal 6 8 3 4 2 2" xfId="11634"/>
    <cellStyle name="Normal 6 8 3 4 3" xfId="11635"/>
    <cellStyle name="Normal 6 8 3 4 4" xfId="11636"/>
    <cellStyle name="Normal 6 8 3 5" xfId="11637"/>
    <cellStyle name="Normal 6 8 3 5 2" xfId="11638"/>
    <cellStyle name="Normal 6 8 3 6" xfId="11639"/>
    <cellStyle name="Normal 6 8 3 6 2" xfId="11640"/>
    <cellStyle name="Normal 6 8 3 7" xfId="11641"/>
    <cellStyle name="Normal 6 8 3 7 2" xfId="11642"/>
    <cellStyle name="Normal 6 8 3 8" xfId="11643"/>
    <cellStyle name="Normal 6 8 3 9" xfId="11644"/>
    <cellStyle name="Normal 6 8 4" xfId="11645"/>
    <cellStyle name="Normal 6 8 4 10" xfId="11646"/>
    <cellStyle name="Normal 6 8 4 11" xfId="11647"/>
    <cellStyle name="Normal 6 8 4 2" xfId="11648"/>
    <cellStyle name="Normal 6 8 4 2 2" xfId="11649"/>
    <cellStyle name="Normal 6 8 4 2 2 2" xfId="11650"/>
    <cellStyle name="Normal 6 8 4 2 2 3" xfId="11651"/>
    <cellStyle name="Normal 6 8 4 2 3" xfId="11652"/>
    <cellStyle name="Normal 6 8 4 2 3 2" xfId="11653"/>
    <cellStyle name="Normal 6 8 4 2 4" xfId="11654"/>
    <cellStyle name="Normal 6 8 4 2 5" xfId="11655"/>
    <cellStyle name="Normal 6 8 4 2 6" xfId="11656"/>
    <cellStyle name="Normal 6 8 4 2 7" xfId="11657"/>
    <cellStyle name="Normal 6 8 4 2 8" xfId="11658"/>
    <cellStyle name="Normal 6 8 4 3" xfId="11659"/>
    <cellStyle name="Normal 6 8 4 3 2" xfId="11660"/>
    <cellStyle name="Normal 6 8 4 3 2 2" xfId="11661"/>
    <cellStyle name="Normal 6 8 4 3 3" xfId="11662"/>
    <cellStyle name="Normal 6 8 4 3 4" xfId="11663"/>
    <cellStyle name="Normal 6 8 4 4" xfId="11664"/>
    <cellStyle name="Normal 6 8 4 4 2" xfId="11665"/>
    <cellStyle name="Normal 6 8 4 5" xfId="11666"/>
    <cellStyle name="Normal 6 8 4 5 2" xfId="11667"/>
    <cellStyle name="Normal 6 8 4 6" xfId="11668"/>
    <cellStyle name="Normal 6 8 4 6 2" xfId="11669"/>
    <cellStyle name="Normal 6 8 4 7" xfId="11670"/>
    <cellStyle name="Normal 6 8 4 8" xfId="11671"/>
    <cellStyle name="Normal 6 8 4 9" xfId="11672"/>
    <cellStyle name="Normal 6 8 5" xfId="11673"/>
    <cellStyle name="Normal 6 8 5 2" xfId="11674"/>
    <cellStyle name="Normal 6 8 5 2 2" xfId="11675"/>
    <cellStyle name="Normal 6 8 5 2 3" xfId="11676"/>
    <cellStyle name="Normal 6 8 5 3" xfId="11677"/>
    <cellStyle name="Normal 6 8 5 3 2" xfId="11678"/>
    <cellStyle name="Normal 6 8 5 4" xfId="11679"/>
    <cellStyle name="Normal 6 8 5 5" xfId="11680"/>
    <cellStyle name="Normal 6 8 5 6" xfId="11681"/>
    <cellStyle name="Normal 6 8 5 7" xfId="11682"/>
    <cellStyle name="Normal 6 8 5 8" xfId="11683"/>
    <cellStyle name="Normal 6 8 6" xfId="11684"/>
    <cellStyle name="Normal 6 8 6 2" xfId="11685"/>
    <cellStyle name="Normal 6 8 6 2 2" xfId="11686"/>
    <cellStyle name="Normal 6 8 6 3" xfId="11687"/>
    <cellStyle name="Normal 6 8 6 4" xfId="11688"/>
    <cellStyle name="Normal 6 8 7" xfId="11689"/>
    <cellStyle name="Normal 6 8 7 2" xfId="11690"/>
    <cellStyle name="Normal 6 8 8" xfId="11691"/>
    <cellStyle name="Normal 6 8 8 2" xfId="11692"/>
    <cellStyle name="Normal 6 8 9" xfId="11693"/>
    <cellStyle name="Normal 6 8 9 2" xfId="11694"/>
    <cellStyle name="Normal 6 9" xfId="2219"/>
    <cellStyle name="Normal 6_Book3" xfId="11695"/>
    <cellStyle name="Normal 60" xfId="11696"/>
    <cellStyle name="Normal 60 2" xfId="11697"/>
    <cellStyle name="Normal 61" xfId="11698"/>
    <cellStyle name="Normal 61 2" xfId="11699"/>
    <cellStyle name="Normal 62" xfId="11700"/>
    <cellStyle name="Normal 62 2" xfId="11701"/>
    <cellStyle name="Normal 63" xfId="11702"/>
    <cellStyle name="Normal 63 2" xfId="11703"/>
    <cellStyle name="Normal 64" xfId="11704"/>
    <cellStyle name="Normal 64 2" xfId="11705"/>
    <cellStyle name="Normal 64 3" xfId="11706"/>
    <cellStyle name="Normal 65" xfId="11707"/>
    <cellStyle name="Normal 65 2" xfId="11708"/>
    <cellStyle name="Normal 66" xfId="11709"/>
    <cellStyle name="Normal 67" xfId="11710"/>
    <cellStyle name="Normal 67 2" xfId="11711"/>
    <cellStyle name="Normal 68" xfId="11712"/>
    <cellStyle name="Normal 68 2" xfId="11713"/>
    <cellStyle name="Normal 69" xfId="11714"/>
    <cellStyle name="Normal 7" xfId="2220"/>
    <cellStyle name="Normal 7 10" xfId="11715"/>
    <cellStyle name="Normal 7 10 10" xfId="11716"/>
    <cellStyle name="Normal 7 10 11" xfId="11717"/>
    <cellStyle name="Normal 7 10 12" xfId="11718"/>
    <cellStyle name="Normal 7 10 13" xfId="11719"/>
    <cellStyle name="Normal 7 10 2" xfId="11720"/>
    <cellStyle name="Normal 7 10 2 10" xfId="11721"/>
    <cellStyle name="Normal 7 10 2 11" xfId="11722"/>
    <cellStyle name="Normal 7 10 2 12" xfId="11723"/>
    <cellStyle name="Normal 7 10 2 2" xfId="11724"/>
    <cellStyle name="Normal 7 10 2 2 10" xfId="11725"/>
    <cellStyle name="Normal 7 10 2 2 11" xfId="11726"/>
    <cellStyle name="Normal 7 10 2 2 2" xfId="11727"/>
    <cellStyle name="Normal 7 10 2 2 2 2" xfId="11728"/>
    <cellStyle name="Normal 7 10 2 2 2 2 2" xfId="11729"/>
    <cellStyle name="Normal 7 10 2 2 2 2 3" xfId="11730"/>
    <cellStyle name="Normal 7 10 2 2 2 3" xfId="11731"/>
    <cellStyle name="Normal 7 10 2 2 2 3 2" xfId="11732"/>
    <cellStyle name="Normal 7 10 2 2 2 4" xfId="11733"/>
    <cellStyle name="Normal 7 10 2 2 2 5" xfId="11734"/>
    <cellStyle name="Normal 7 10 2 2 2 6" xfId="11735"/>
    <cellStyle name="Normal 7 10 2 2 2 7" xfId="11736"/>
    <cellStyle name="Normal 7 10 2 2 2 8" xfId="11737"/>
    <cellStyle name="Normal 7 10 2 2 3" xfId="11738"/>
    <cellStyle name="Normal 7 10 2 2 3 2" xfId="11739"/>
    <cellStyle name="Normal 7 10 2 2 3 2 2" xfId="11740"/>
    <cellStyle name="Normal 7 10 2 2 3 3" xfId="11741"/>
    <cellStyle name="Normal 7 10 2 2 3 4" xfId="11742"/>
    <cellStyle name="Normal 7 10 2 2 4" xfId="11743"/>
    <cellStyle name="Normal 7 10 2 2 4 2" xfId="11744"/>
    <cellStyle name="Normal 7 10 2 2 5" xfId="11745"/>
    <cellStyle name="Normal 7 10 2 2 5 2" xfId="11746"/>
    <cellStyle name="Normal 7 10 2 2 6" xfId="11747"/>
    <cellStyle name="Normal 7 10 2 2 6 2" xfId="11748"/>
    <cellStyle name="Normal 7 10 2 2 7" xfId="11749"/>
    <cellStyle name="Normal 7 10 2 2 8" xfId="11750"/>
    <cellStyle name="Normal 7 10 2 2 9" xfId="11751"/>
    <cellStyle name="Normal 7 10 2 3" xfId="11752"/>
    <cellStyle name="Normal 7 10 2 3 2" xfId="11753"/>
    <cellStyle name="Normal 7 10 2 3 2 2" xfId="11754"/>
    <cellStyle name="Normal 7 10 2 3 2 3" xfId="11755"/>
    <cellStyle name="Normal 7 10 2 3 3" xfId="11756"/>
    <cellStyle name="Normal 7 10 2 3 3 2" xfId="11757"/>
    <cellStyle name="Normal 7 10 2 3 4" xfId="11758"/>
    <cellStyle name="Normal 7 10 2 3 5" xfId="11759"/>
    <cellStyle name="Normal 7 10 2 3 6" xfId="11760"/>
    <cellStyle name="Normal 7 10 2 3 7" xfId="11761"/>
    <cellStyle name="Normal 7 10 2 3 8" xfId="11762"/>
    <cellStyle name="Normal 7 10 2 4" xfId="11763"/>
    <cellStyle name="Normal 7 10 2 4 2" xfId="11764"/>
    <cellStyle name="Normal 7 10 2 4 2 2" xfId="11765"/>
    <cellStyle name="Normal 7 10 2 4 3" xfId="11766"/>
    <cellStyle name="Normal 7 10 2 4 4" xfId="11767"/>
    <cellStyle name="Normal 7 10 2 5" xfId="11768"/>
    <cellStyle name="Normal 7 10 2 5 2" xfId="11769"/>
    <cellStyle name="Normal 7 10 2 6" xfId="11770"/>
    <cellStyle name="Normal 7 10 2 6 2" xfId="11771"/>
    <cellStyle name="Normal 7 10 2 7" xfId="11772"/>
    <cellStyle name="Normal 7 10 2 7 2" xfId="11773"/>
    <cellStyle name="Normal 7 10 2 8" xfId="11774"/>
    <cellStyle name="Normal 7 10 2 9" xfId="11775"/>
    <cellStyle name="Normal 7 10 3" xfId="11776"/>
    <cellStyle name="Normal 7 10 3 10" xfId="11777"/>
    <cellStyle name="Normal 7 10 3 11" xfId="11778"/>
    <cellStyle name="Normal 7 10 3 2" xfId="11779"/>
    <cellStyle name="Normal 7 10 3 2 2" xfId="11780"/>
    <cellStyle name="Normal 7 10 3 2 2 2" xfId="11781"/>
    <cellStyle name="Normal 7 10 3 2 2 3" xfId="11782"/>
    <cellStyle name="Normal 7 10 3 2 3" xfId="11783"/>
    <cellStyle name="Normal 7 10 3 2 3 2" xfId="11784"/>
    <cellStyle name="Normal 7 10 3 2 4" xfId="11785"/>
    <cellStyle name="Normal 7 10 3 2 5" xfId="11786"/>
    <cellStyle name="Normal 7 10 3 2 6" xfId="11787"/>
    <cellStyle name="Normal 7 10 3 2 7" xfId="11788"/>
    <cellStyle name="Normal 7 10 3 2 8" xfId="11789"/>
    <cellStyle name="Normal 7 10 3 3" xfId="11790"/>
    <cellStyle name="Normal 7 10 3 3 2" xfId="11791"/>
    <cellStyle name="Normal 7 10 3 3 2 2" xfId="11792"/>
    <cellStyle name="Normal 7 10 3 3 3" xfId="11793"/>
    <cellStyle name="Normal 7 10 3 3 4" xfId="11794"/>
    <cellStyle name="Normal 7 10 3 4" xfId="11795"/>
    <cellStyle name="Normal 7 10 3 4 2" xfId="11796"/>
    <cellStyle name="Normal 7 10 3 5" xfId="11797"/>
    <cellStyle name="Normal 7 10 3 5 2" xfId="11798"/>
    <cellStyle name="Normal 7 10 3 6" xfId="11799"/>
    <cellStyle name="Normal 7 10 3 6 2" xfId="11800"/>
    <cellStyle name="Normal 7 10 3 7" xfId="11801"/>
    <cellStyle name="Normal 7 10 3 8" xfId="11802"/>
    <cellStyle name="Normal 7 10 3 9" xfId="11803"/>
    <cellStyle name="Normal 7 10 4" xfId="11804"/>
    <cellStyle name="Normal 7 10 4 2" xfId="11805"/>
    <cellStyle name="Normal 7 10 4 2 2" xfId="11806"/>
    <cellStyle name="Normal 7 10 4 2 3" xfId="11807"/>
    <cellStyle name="Normal 7 10 4 3" xfId="11808"/>
    <cellStyle name="Normal 7 10 4 3 2" xfId="11809"/>
    <cellStyle name="Normal 7 10 4 4" xfId="11810"/>
    <cellStyle name="Normal 7 10 4 5" xfId="11811"/>
    <cellStyle name="Normal 7 10 4 6" xfId="11812"/>
    <cellStyle name="Normal 7 10 4 7" xfId="11813"/>
    <cellStyle name="Normal 7 10 4 8" xfId="11814"/>
    <cellStyle name="Normal 7 10 5" xfId="11815"/>
    <cellStyle name="Normal 7 10 5 2" xfId="11816"/>
    <cellStyle name="Normal 7 10 5 2 2" xfId="11817"/>
    <cellStyle name="Normal 7 10 5 3" xfId="11818"/>
    <cellStyle name="Normal 7 10 5 4" xfId="11819"/>
    <cellStyle name="Normal 7 10 6" xfId="11820"/>
    <cellStyle name="Normal 7 10 6 2" xfId="11821"/>
    <cellStyle name="Normal 7 10 7" xfId="11822"/>
    <cellStyle name="Normal 7 10 7 2" xfId="11823"/>
    <cellStyle name="Normal 7 10 8" xfId="11824"/>
    <cellStyle name="Normal 7 10 8 2" xfId="11825"/>
    <cellStyle name="Normal 7 10 9" xfId="11826"/>
    <cellStyle name="Normal 7 11" xfId="11827"/>
    <cellStyle name="Normal 7 11 10" xfId="11828"/>
    <cellStyle name="Normal 7 11 11" xfId="11829"/>
    <cellStyle name="Normal 7 11 12" xfId="11830"/>
    <cellStyle name="Normal 7 11 2" xfId="11831"/>
    <cellStyle name="Normal 7 11 2 10" xfId="11832"/>
    <cellStyle name="Normal 7 11 2 11" xfId="11833"/>
    <cellStyle name="Normal 7 11 2 2" xfId="11834"/>
    <cellStyle name="Normal 7 11 2 2 2" xfId="11835"/>
    <cellStyle name="Normal 7 11 2 2 2 2" xfId="11836"/>
    <cellStyle name="Normal 7 11 2 2 2 3" xfId="11837"/>
    <cellStyle name="Normal 7 11 2 2 3" xfId="11838"/>
    <cellStyle name="Normal 7 11 2 2 3 2" xfId="11839"/>
    <cellStyle name="Normal 7 11 2 2 4" xfId="11840"/>
    <cellStyle name="Normal 7 11 2 2 5" xfId="11841"/>
    <cellStyle name="Normal 7 11 2 2 6" xfId="11842"/>
    <cellStyle name="Normal 7 11 2 2 7" xfId="11843"/>
    <cellStyle name="Normal 7 11 2 2 8" xfId="11844"/>
    <cellStyle name="Normal 7 11 2 3" xfId="11845"/>
    <cellStyle name="Normal 7 11 2 3 2" xfId="11846"/>
    <cellStyle name="Normal 7 11 2 3 2 2" xfId="11847"/>
    <cellStyle name="Normal 7 11 2 3 3" xfId="11848"/>
    <cellStyle name="Normal 7 11 2 3 4" xfId="11849"/>
    <cellStyle name="Normal 7 11 2 4" xfId="11850"/>
    <cellStyle name="Normal 7 11 2 4 2" xfId="11851"/>
    <cellStyle name="Normal 7 11 2 5" xfId="11852"/>
    <cellStyle name="Normal 7 11 2 5 2" xfId="11853"/>
    <cellStyle name="Normal 7 11 2 6" xfId="11854"/>
    <cellStyle name="Normal 7 11 2 6 2" xfId="11855"/>
    <cellStyle name="Normal 7 11 2 7" xfId="11856"/>
    <cellStyle name="Normal 7 11 2 8" xfId="11857"/>
    <cellStyle name="Normal 7 11 2 9" xfId="11858"/>
    <cellStyle name="Normal 7 11 3" xfId="11859"/>
    <cellStyle name="Normal 7 11 3 2" xfId="11860"/>
    <cellStyle name="Normal 7 11 3 2 2" xfId="11861"/>
    <cellStyle name="Normal 7 11 3 2 3" xfId="11862"/>
    <cellStyle name="Normal 7 11 3 3" xfId="11863"/>
    <cellStyle name="Normal 7 11 3 3 2" xfId="11864"/>
    <cellStyle name="Normal 7 11 3 4" xfId="11865"/>
    <cellStyle name="Normal 7 11 3 5" xfId="11866"/>
    <cellStyle name="Normal 7 11 3 6" xfId="11867"/>
    <cellStyle name="Normal 7 11 3 7" xfId="11868"/>
    <cellStyle name="Normal 7 11 3 8" xfId="11869"/>
    <cellStyle name="Normal 7 11 4" xfId="11870"/>
    <cellStyle name="Normal 7 11 4 2" xfId="11871"/>
    <cellStyle name="Normal 7 11 4 2 2" xfId="11872"/>
    <cellStyle name="Normal 7 11 4 3" xfId="11873"/>
    <cellStyle name="Normal 7 11 4 4" xfId="11874"/>
    <cellStyle name="Normal 7 11 5" xfId="11875"/>
    <cellStyle name="Normal 7 11 5 2" xfId="11876"/>
    <cellStyle name="Normal 7 11 6" xfId="11877"/>
    <cellStyle name="Normal 7 11 6 2" xfId="11878"/>
    <cellStyle name="Normal 7 11 7" xfId="11879"/>
    <cellStyle name="Normal 7 11 7 2" xfId="11880"/>
    <cellStyle name="Normal 7 11 8" xfId="11881"/>
    <cellStyle name="Normal 7 11 9" xfId="11882"/>
    <cellStyle name="Normal 7 12" xfId="11883"/>
    <cellStyle name="Normal 7 12 10" xfId="11884"/>
    <cellStyle name="Normal 7 12 11" xfId="11885"/>
    <cellStyle name="Normal 7 12 2" xfId="11886"/>
    <cellStyle name="Normal 7 12 2 2" xfId="11887"/>
    <cellStyle name="Normal 7 12 2 2 2" xfId="11888"/>
    <cellStyle name="Normal 7 12 2 2 3" xfId="11889"/>
    <cellStyle name="Normal 7 12 2 3" xfId="11890"/>
    <cellStyle name="Normal 7 12 2 3 2" xfId="11891"/>
    <cellStyle name="Normal 7 12 2 4" xfId="11892"/>
    <cellStyle name="Normal 7 12 2 5" xfId="11893"/>
    <cellStyle name="Normal 7 12 2 6" xfId="11894"/>
    <cellStyle name="Normal 7 12 2 7" xfId="11895"/>
    <cellStyle name="Normal 7 12 2 8" xfId="11896"/>
    <cellStyle name="Normal 7 12 3" xfId="11897"/>
    <cellStyle name="Normal 7 12 3 2" xfId="11898"/>
    <cellStyle name="Normal 7 12 3 2 2" xfId="11899"/>
    <cellStyle name="Normal 7 12 3 3" xfId="11900"/>
    <cellStyle name="Normal 7 12 3 4" xfId="11901"/>
    <cellStyle name="Normal 7 12 4" xfId="11902"/>
    <cellStyle name="Normal 7 12 4 2" xfId="11903"/>
    <cellStyle name="Normal 7 12 5" xfId="11904"/>
    <cellStyle name="Normal 7 12 5 2" xfId="11905"/>
    <cellStyle name="Normal 7 12 6" xfId="11906"/>
    <cellStyle name="Normal 7 12 6 2" xfId="11907"/>
    <cellStyle name="Normal 7 12 7" xfId="11908"/>
    <cellStyle name="Normal 7 12 8" xfId="11909"/>
    <cellStyle name="Normal 7 12 9" xfId="11910"/>
    <cellStyle name="Normal 7 13" xfId="11911"/>
    <cellStyle name="Normal 7 13 2" xfId="11912"/>
    <cellStyle name="Normal 7 13 2 2" xfId="11913"/>
    <cellStyle name="Normal 7 13 3" xfId="11914"/>
    <cellStyle name="Normal 7 13 4" xfId="11915"/>
    <cellStyle name="Normal 7 13 5" xfId="11916"/>
    <cellStyle name="Normal 7 14" xfId="11917"/>
    <cellStyle name="Normal 7 14 2" xfId="11918"/>
    <cellStyle name="Normal 7 14 2 2" xfId="11919"/>
    <cellStyle name="Normal 7 14 2 3" xfId="11920"/>
    <cellStyle name="Normal 7 14 3" xfId="11921"/>
    <cellStyle name="Normal 7 14 3 2" xfId="11922"/>
    <cellStyle name="Normal 7 14 4" xfId="11923"/>
    <cellStyle name="Normal 7 14 5" xfId="11924"/>
    <cellStyle name="Normal 7 14 6" xfId="11925"/>
    <cellStyle name="Normal 7 14 7" xfId="11926"/>
    <cellStyle name="Normal 7 14 8" xfId="11927"/>
    <cellStyle name="Normal 7 15" xfId="11928"/>
    <cellStyle name="Normal 7 15 2" xfId="11929"/>
    <cellStyle name="Normal 7 15 3" xfId="11930"/>
    <cellStyle name="Normal 7 16" xfId="11931"/>
    <cellStyle name="Normal 7 16 2" xfId="11932"/>
    <cellStyle name="Normal 7 17" xfId="11933"/>
    <cellStyle name="Normal 7 17 2" xfId="11934"/>
    <cellStyle name="Normal 7 18" xfId="11935"/>
    <cellStyle name="Normal 7 19" xfId="11936"/>
    <cellStyle name="Normal 7 2" xfId="2221"/>
    <cellStyle name="Normal 7 2 2" xfId="2222"/>
    <cellStyle name="Normal 7 2 2 2" xfId="2223"/>
    <cellStyle name="Normal 7 2 2 2 2" xfId="2224"/>
    <cellStyle name="Normal 7 2 2 2 2 2" xfId="2225"/>
    <cellStyle name="Normal 7 2 2 2 2 2 2" xfId="2226"/>
    <cellStyle name="Normal 7 2 2 2 2 2 2 2" xfId="2227"/>
    <cellStyle name="Normal 7 2 2 2 2 2 2 2 2" xfId="2228"/>
    <cellStyle name="Normal 7 2 2 2 2 2 2 3" xfId="2229"/>
    <cellStyle name="Normal 7 2 2 2 2 2 3" xfId="2230"/>
    <cellStyle name="Normal 7 2 2 2 2 2 3 2" xfId="2231"/>
    <cellStyle name="Normal 7 2 2 2 2 2 4" xfId="2232"/>
    <cellStyle name="Normal 7 2 2 2 2 3" xfId="2233"/>
    <cellStyle name="Normal 7 2 2 2 2 3 2" xfId="2234"/>
    <cellStyle name="Normal 7 2 2 2 2 3 2 2" xfId="2235"/>
    <cellStyle name="Normal 7 2 2 2 2 3 3" xfId="2236"/>
    <cellStyle name="Normal 7 2 2 2 2 4" xfId="2237"/>
    <cellStyle name="Normal 7 2 2 2 2 4 2" xfId="2238"/>
    <cellStyle name="Normal 7 2 2 2 2 5" xfId="2239"/>
    <cellStyle name="Normal 7 2 2 2 3" xfId="2240"/>
    <cellStyle name="Normal 7 2 2 2 3 2" xfId="2241"/>
    <cellStyle name="Normal 7 2 2 2 3 2 2" xfId="2242"/>
    <cellStyle name="Normal 7 2 2 2 3 2 2 2" xfId="2243"/>
    <cellStyle name="Normal 7 2 2 2 3 2 3" xfId="2244"/>
    <cellStyle name="Normal 7 2 2 2 3 3" xfId="2245"/>
    <cellStyle name="Normal 7 2 2 2 3 3 2" xfId="2246"/>
    <cellStyle name="Normal 7 2 2 2 3 4" xfId="2247"/>
    <cellStyle name="Normal 7 2 2 2 4" xfId="2248"/>
    <cellStyle name="Normal 7 2 2 2 4 2" xfId="2249"/>
    <cellStyle name="Normal 7 2 2 2 4 2 2" xfId="2250"/>
    <cellStyle name="Normal 7 2 2 2 4 3" xfId="2251"/>
    <cellStyle name="Normal 7 2 2 2 5" xfId="2252"/>
    <cellStyle name="Normal 7 2 2 2 5 2" xfId="2253"/>
    <cellStyle name="Normal 7 2 2 2 6" xfId="2254"/>
    <cellStyle name="Normal 7 2 2 3" xfId="2255"/>
    <cellStyle name="Normal 7 2 2 3 2" xfId="2256"/>
    <cellStyle name="Normal 7 2 2 3 2 2" xfId="2257"/>
    <cellStyle name="Normal 7 2 2 3 2 2 2" xfId="2258"/>
    <cellStyle name="Normal 7 2 2 3 2 2 2 2" xfId="2259"/>
    <cellStyle name="Normal 7 2 2 3 2 2 3" xfId="2260"/>
    <cellStyle name="Normal 7 2 2 3 2 3" xfId="2261"/>
    <cellStyle name="Normal 7 2 2 3 2 3 2" xfId="2262"/>
    <cellStyle name="Normal 7 2 2 3 2 4" xfId="2263"/>
    <cellStyle name="Normal 7 2 2 3 3" xfId="2264"/>
    <cellStyle name="Normal 7 2 2 3 3 2" xfId="2265"/>
    <cellStyle name="Normal 7 2 2 3 3 2 2" xfId="2266"/>
    <cellStyle name="Normal 7 2 2 3 3 3" xfId="2267"/>
    <cellStyle name="Normal 7 2 2 3 4" xfId="2268"/>
    <cellStyle name="Normal 7 2 2 3 4 2" xfId="2269"/>
    <cellStyle name="Normal 7 2 2 3 5" xfId="2270"/>
    <cellStyle name="Normal 7 2 2 4" xfId="2271"/>
    <cellStyle name="Normal 7 2 2 4 2" xfId="2272"/>
    <cellStyle name="Normal 7 2 2 4 2 2" xfId="2273"/>
    <cellStyle name="Normal 7 2 2 4 2 2 2" xfId="2274"/>
    <cellStyle name="Normal 7 2 2 4 2 3" xfId="2275"/>
    <cellStyle name="Normal 7 2 2 4 3" xfId="2276"/>
    <cellStyle name="Normal 7 2 2 4 3 2" xfId="2277"/>
    <cellStyle name="Normal 7 2 2 4 4" xfId="2278"/>
    <cellStyle name="Normal 7 2 2 5" xfId="2279"/>
    <cellStyle name="Normal 7 2 2 5 2" xfId="2280"/>
    <cellStyle name="Normal 7 2 2 5 2 2" xfId="2281"/>
    <cellStyle name="Normal 7 2 2 5 3" xfId="2282"/>
    <cellStyle name="Normal 7 2 2 6" xfId="2283"/>
    <cellStyle name="Normal 7 2 2 6 2" xfId="2284"/>
    <cellStyle name="Normal 7 2 2 7" xfId="2285"/>
    <cellStyle name="Normal 7 2 3" xfId="2286"/>
    <cellStyle name="Normal 7 2 3 2" xfId="2287"/>
    <cellStyle name="Normal 7 2 3 2 2" xfId="2288"/>
    <cellStyle name="Normal 7 2 3 2 2 2" xfId="2289"/>
    <cellStyle name="Normal 7 2 3 2 2 2 2" xfId="2290"/>
    <cellStyle name="Normal 7 2 3 2 2 2 2 2" xfId="2291"/>
    <cellStyle name="Normal 7 2 3 2 2 2 3" xfId="2292"/>
    <cellStyle name="Normal 7 2 3 2 2 3" xfId="2293"/>
    <cellStyle name="Normal 7 2 3 2 2 3 2" xfId="2294"/>
    <cellStyle name="Normal 7 2 3 2 2 4" xfId="2295"/>
    <cellStyle name="Normal 7 2 3 2 3" xfId="2296"/>
    <cellStyle name="Normal 7 2 3 2 3 2" xfId="2297"/>
    <cellStyle name="Normal 7 2 3 2 3 2 2" xfId="2298"/>
    <cellStyle name="Normal 7 2 3 2 3 3" xfId="2299"/>
    <cellStyle name="Normal 7 2 3 2 4" xfId="2300"/>
    <cellStyle name="Normal 7 2 3 2 4 2" xfId="2301"/>
    <cellStyle name="Normal 7 2 3 2 5" xfId="2302"/>
    <cellStyle name="Normal 7 2 3 3" xfId="2303"/>
    <cellStyle name="Normal 7 2 3 3 2" xfId="2304"/>
    <cellStyle name="Normal 7 2 3 3 2 2" xfId="2305"/>
    <cellStyle name="Normal 7 2 3 3 2 2 2" xfId="2306"/>
    <cellStyle name="Normal 7 2 3 3 2 3" xfId="2307"/>
    <cellStyle name="Normal 7 2 3 3 3" xfId="2308"/>
    <cellStyle name="Normal 7 2 3 3 3 2" xfId="2309"/>
    <cellStyle name="Normal 7 2 3 3 4" xfId="2310"/>
    <cellStyle name="Normal 7 2 3 4" xfId="2311"/>
    <cellStyle name="Normal 7 2 3 4 2" xfId="2312"/>
    <cellStyle name="Normal 7 2 3 4 2 2" xfId="2313"/>
    <cellStyle name="Normal 7 2 3 4 3" xfId="2314"/>
    <cellStyle name="Normal 7 2 3 5" xfId="2315"/>
    <cellStyle name="Normal 7 2 3 5 2" xfId="2316"/>
    <cellStyle name="Normal 7 2 3 6" xfId="2317"/>
    <cellStyle name="Normal 7 2 4" xfId="2318"/>
    <cellStyle name="Normal 7 2 4 2" xfId="2319"/>
    <cellStyle name="Normal 7 2 4 2 2" xfId="2320"/>
    <cellStyle name="Normal 7 2 4 2 2 2" xfId="2321"/>
    <cellStyle name="Normal 7 2 4 2 2 2 2" xfId="2322"/>
    <cellStyle name="Normal 7 2 4 2 2 3" xfId="2323"/>
    <cellStyle name="Normal 7 2 4 2 3" xfId="2324"/>
    <cellStyle name="Normal 7 2 4 2 3 2" xfId="2325"/>
    <cellStyle name="Normal 7 2 4 2 4" xfId="2326"/>
    <cellStyle name="Normal 7 2 4 3" xfId="2327"/>
    <cellStyle name="Normal 7 2 4 3 2" xfId="2328"/>
    <cellStyle name="Normal 7 2 4 3 2 2" xfId="2329"/>
    <cellStyle name="Normal 7 2 4 3 3" xfId="2330"/>
    <cellStyle name="Normal 7 2 4 4" xfId="2331"/>
    <cellStyle name="Normal 7 2 4 4 2" xfId="2332"/>
    <cellStyle name="Normal 7 2 4 5" xfId="2333"/>
    <cellStyle name="Normal 7 2 5" xfId="2334"/>
    <cellStyle name="Normal 7 2 5 2" xfId="2335"/>
    <cellStyle name="Normal 7 2 5 2 2" xfId="2336"/>
    <cellStyle name="Normal 7 2 5 2 2 2" xfId="2337"/>
    <cellStyle name="Normal 7 2 5 2 3" xfId="2338"/>
    <cellStyle name="Normal 7 2 5 3" xfId="2339"/>
    <cellStyle name="Normal 7 2 5 3 2" xfId="2340"/>
    <cellStyle name="Normal 7 2 5 4" xfId="2341"/>
    <cellStyle name="Normal 7 2 6" xfId="2342"/>
    <cellStyle name="Normal 7 2 6 2" xfId="2343"/>
    <cellStyle name="Normal 7 2 6 2 2" xfId="2344"/>
    <cellStyle name="Normal 7 2 6 3" xfId="2345"/>
    <cellStyle name="Normal 7 2 7" xfId="2346"/>
    <cellStyle name="Normal 7 2 7 2" xfId="2347"/>
    <cellStyle name="Normal 7 2 8" xfId="2348"/>
    <cellStyle name="Normal 7 20" xfId="11937"/>
    <cellStyle name="Normal 7 21" xfId="11938"/>
    <cellStyle name="Normal 7 22" xfId="11939"/>
    <cellStyle name="Normal 7 23" xfId="11940"/>
    <cellStyle name="Normal 7 3" xfId="2349"/>
    <cellStyle name="Normal 7 3 2" xfId="2350"/>
    <cellStyle name="Normal 7 3 2 2" xfId="2351"/>
    <cellStyle name="Normal 7 3 2 2 2" xfId="2352"/>
    <cellStyle name="Normal 7 3 2 2 2 2" xfId="2353"/>
    <cellStyle name="Normal 7 3 2 2 2 2 2" xfId="2354"/>
    <cellStyle name="Normal 7 3 2 2 2 2 2 2" xfId="2355"/>
    <cellStyle name="Normal 7 3 2 2 2 2 3" xfId="2356"/>
    <cellStyle name="Normal 7 3 2 2 2 3" xfId="2357"/>
    <cellStyle name="Normal 7 3 2 2 2 3 2" xfId="2358"/>
    <cellStyle name="Normal 7 3 2 2 2 4" xfId="2359"/>
    <cellStyle name="Normal 7 3 2 2 3" xfId="2360"/>
    <cellStyle name="Normal 7 3 2 2 3 2" xfId="2361"/>
    <cellStyle name="Normal 7 3 2 2 3 2 2" xfId="2362"/>
    <cellStyle name="Normal 7 3 2 2 3 3" xfId="2363"/>
    <cellStyle name="Normal 7 3 2 2 4" xfId="2364"/>
    <cellStyle name="Normal 7 3 2 2 4 2" xfId="2365"/>
    <cellStyle name="Normal 7 3 2 2 5" xfId="2366"/>
    <cellStyle name="Normal 7 3 2 3" xfId="2367"/>
    <cellStyle name="Normal 7 3 2 3 2" xfId="2368"/>
    <cellStyle name="Normal 7 3 2 3 2 2" xfId="2369"/>
    <cellStyle name="Normal 7 3 2 3 2 2 2" xfId="2370"/>
    <cellStyle name="Normal 7 3 2 3 2 3" xfId="2371"/>
    <cellStyle name="Normal 7 3 2 3 3" xfId="2372"/>
    <cellStyle name="Normal 7 3 2 3 3 2" xfId="2373"/>
    <cellStyle name="Normal 7 3 2 3 4" xfId="2374"/>
    <cellStyle name="Normal 7 3 2 4" xfId="2375"/>
    <cellStyle name="Normal 7 3 2 4 2" xfId="2376"/>
    <cellStyle name="Normal 7 3 2 4 2 2" xfId="2377"/>
    <cellStyle name="Normal 7 3 2 4 3" xfId="2378"/>
    <cellStyle name="Normal 7 3 2 5" xfId="2379"/>
    <cellStyle name="Normal 7 3 2 5 2" xfId="2380"/>
    <cellStyle name="Normal 7 3 2 6" xfId="2381"/>
    <cellStyle name="Normal 7 3 3" xfId="2382"/>
    <cellStyle name="Normal 7 3 3 2" xfId="2383"/>
    <cellStyle name="Normal 7 3 3 2 2" xfId="2384"/>
    <cellStyle name="Normal 7 3 3 2 2 2" xfId="2385"/>
    <cellStyle name="Normal 7 3 3 2 2 2 2" xfId="2386"/>
    <cellStyle name="Normal 7 3 3 2 2 3" xfId="2387"/>
    <cellStyle name="Normal 7 3 3 2 3" xfId="2388"/>
    <cellStyle name="Normal 7 3 3 2 3 2" xfId="2389"/>
    <cellStyle name="Normal 7 3 3 2 4" xfId="2390"/>
    <cellStyle name="Normal 7 3 3 3" xfId="2391"/>
    <cellStyle name="Normal 7 3 3 3 2" xfId="2392"/>
    <cellStyle name="Normal 7 3 3 3 2 2" xfId="2393"/>
    <cellStyle name="Normal 7 3 3 3 3" xfId="2394"/>
    <cellStyle name="Normal 7 3 3 4" xfId="2395"/>
    <cellStyle name="Normal 7 3 3 4 2" xfId="2396"/>
    <cellStyle name="Normal 7 3 3 5" xfId="2397"/>
    <cellStyle name="Normal 7 3 4" xfId="2398"/>
    <cellStyle name="Normal 7 3 4 2" xfId="2399"/>
    <cellStyle name="Normal 7 3 4 2 2" xfId="2400"/>
    <cellStyle name="Normal 7 3 4 2 2 2" xfId="2401"/>
    <cellStyle name="Normal 7 3 4 2 3" xfId="2402"/>
    <cellStyle name="Normal 7 3 4 3" xfId="2403"/>
    <cellStyle name="Normal 7 3 4 3 2" xfId="2404"/>
    <cellStyle name="Normal 7 3 4 4" xfId="2405"/>
    <cellStyle name="Normal 7 3 5" xfId="2406"/>
    <cellStyle name="Normal 7 3 5 2" xfId="2407"/>
    <cellStyle name="Normal 7 3 5 2 2" xfId="2408"/>
    <cellStyle name="Normal 7 3 5 3" xfId="2409"/>
    <cellStyle name="Normal 7 3 6" xfId="2410"/>
    <cellStyle name="Normal 7 3 6 2" xfId="2411"/>
    <cellStyle name="Normal 7 3 7" xfId="2412"/>
    <cellStyle name="Normal 7 4" xfId="2413"/>
    <cellStyle name="Normal 7 4 2" xfId="2414"/>
    <cellStyle name="Normal 7 4 2 2" xfId="2415"/>
    <cellStyle name="Normal 7 4 2 2 2" xfId="2416"/>
    <cellStyle name="Normal 7 4 2 2 2 2" xfId="2417"/>
    <cellStyle name="Normal 7 4 2 2 2 2 2" xfId="2418"/>
    <cellStyle name="Normal 7 4 2 2 2 3" xfId="2419"/>
    <cellStyle name="Normal 7 4 2 2 3" xfId="2420"/>
    <cellStyle name="Normal 7 4 2 2 3 2" xfId="2421"/>
    <cellStyle name="Normal 7 4 2 2 4" xfId="2422"/>
    <cellStyle name="Normal 7 4 2 3" xfId="2423"/>
    <cellStyle name="Normal 7 4 2 3 2" xfId="2424"/>
    <cellStyle name="Normal 7 4 2 3 2 2" xfId="2425"/>
    <cellStyle name="Normal 7 4 2 3 3" xfId="2426"/>
    <cellStyle name="Normal 7 4 2 4" xfId="2427"/>
    <cellStyle name="Normal 7 4 2 4 2" xfId="2428"/>
    <cellStyle name="Normal 7 4 2 5" xfId="2429"/>
    <cellStyle name="Normal 7 4 3" xfId="2430"/>
    <cellStyle name="Normal 7 4 3 2" xfId="2431"/>
    <cellStyle name="Normal 7 4 3 2 2" xfId="2432"/>
    <cellStyle name="Normal 7 4 3 2 2 2" xfId="2433"/>
    <cellStyle name="Normal 7 4 3 2 3" xfId="2434"/>
    <cellStyle name="Normal 7 4 3 3" xfId="2435"/>
    <cellStyle name="Normal 7 4 3 3 2" xfId="2436"/>
    <cellStyle name="Normal 7 4 3 4" xfId="2437"/>
    <cellStyle name="Normal 7 4 4" xfId="2438"/>
    <cellStyle name="Normal 7 4 4 2" xfId="2439"/>
    <cellStyle name="Normal 7 4 4 2 2" xfId="2440"/>
    <cellStyle name="Normal 7 4 4 3" xfId="2441"/>
    <cellStyle name="Normal 7 4 5" xfId="2442"/>
    <cellStyle name="Normal 7 4 5 2" xfId="2443"/>
    <cellStyle name="Normal 7 4 6" xfId="2444"/>
    <cellStyle name="Normal 7 5" xfId="2445"/>
    <cellStyle name="Normal 7 5 2" xfId="2446"/>
    <cellStyle name="Normal 7 5 2 2" xfId="2447"/>
    <cellStyle name="Normal 7 5 2 2 2" xfId="2448"/>
    <cellStyle name="Normal 7 5 2 2 2 2" xfId="2449"/>
    <cellStyle name="Normal 7 5 2 2 3" xfId="2450"/>
    <cellStyle name="Normal 7 5 2 3" xfId="2451"/>
    <cellStyle name="Normal 7 5 2 3 2" xfId="2452"/>
    <cellStyle name="Normal 7 5 2 4" xfId="2453"/>
    <cellStyle name="Normal 7 5 3" xfId="2454"/>
    <cellStyle name="Normal 7 5 3 2" xfId="2455"/>
    <cellStyle name="Normal 7 5 3 2 2" xfId="2456"/>
    <cellStyle name="Normal 7 5 3 3" xfId="2457"/>
    <cellStyle name="Normal 7 5 4" xfId="2458"/>
    <cellStyle name="Normal 7 5 4 2" xfId="2459"/>
    <cellStyle name="Normal 7 5 5" xfId="2460"/>
    <cellStyle name="Normal 7 6" xfId="2461"/>
    <cellStyle name="Normal 7 6 2" xfId="2462"/>
    <cellStyle name="Normal 7 6 2 2" xfId="2463"/>
    <cellStyle name="Normal 7 6 2 2 2" xfId="2464"/>
    <cellStyle name="Normal 7 6 2 3" xfId="2465"/>
    <cellStyle name="Normal 7 6 3" xfId="2466"/>
    <cellStyle name="Normal 7 6 3 2" xfId="2467"/>
    <cellStyle name="Normal 7 6 4" xfId="2468"/>
    <cellStyle name="Normal 7 7" xfId="2469"/>
    <cellStyle name="Normal 7 7 10" xfId="11941"/>
    <cellStyle name="Normal 7 7 11" xfId="11942"/>
    <cellStyle name="Normal 7 7 12" xfId="11943"/>
    <cellStyle name="Normal 7 7 13" xfId="11944"/>
    <cellStyle name="Normal 7 7 14" xfId="11945"/>
    <cellStyle name="Normal 7 7 15" xfId="11946"/>
    <cellStyle name="Normal 7 7 2" xfId="2470"/>
    <cellStyle name="Normal 7 7 2 10" xfId="11947"/>
    <cellStyle name="Normal 7 7 2 11" xfId="11948"/>
    <cellStyle name="Normal 7 7 2 12" xfId="11949"/>
    <cellStyle name="Normal 7 7 2 13" xfId="11950"/>
    <cellStyle name="Normal 7 7 2 2" xfId="2471"/>
    <cellStyle name="Normal 7 7 2 2 10" xfId="11951"/>
    <cellStyle name="Normal 7 7 2 2 11" xfId="11952"/>
    <cellStyle name="Normal 7 7 2 2 12" xfId="11953"/>
    <cellStyle name="Normal 7 7 2 2 2" xfId="11954"/>
    <cellStyle name="Normal 7 7 2 2 2 10" xfId="11955"/>
    <cellStyle name="Normal 7 7 2 2 2 11" xfId="11956"/>
    <cellStyle name="Normal 7 7 2 2 2 2" xfId="11957"/>
    <cellStyle name="Normal 7 7 2 2 2 2 2" xfId="11958"/>
    <cellStyle name="Normal 7 7 2 2 2 2 2 2" xfId="11959"/>
    <cellStyle name="Normal 7 7 2 2 2 2 2 3" xfId="11960"/>
    <cellStyle name="Normal 7 7 2 2 2 2 3" xfId="11961"/>
    <cellStyle name="Normal 7 7 2 2 2 2 3 2" xfId="11962"/>
    <cellStyle name="Normal 7 7 2 2 2 2 4" xfId="11963"/>
    <cellStyle name="Normal 7 7 2 2 2 2 5" xfId="11964"/>
    <cellStyle name="Normal 7 7 2 2 2 2 6" xfId="11965"/>
    <cellStyle name="Normal 7 7 2 2 2 2 7" xfId="11966"/>
    <cellStyle name="Normal 7 7 2 2 2 2 8" xfId="11967"/>
    <cellStyle name="Normal 7 7 2 2 2 3" xfId="11968"/>
    <cellStyle name="Normal 7 7 2 2 2 3 2" xfId="11969"/>
    <cellStyle name="Normal 7 7 2 2 2 3 2 2" xfId="11970"/>
    <cellStyle name="Normal 7 7 2 2 2 3 3" xfId="11971"/>
    <cellStyle name="Normal 7 7 2 2 2 3 4" xfId="11972"/>
    <cellStyle name="Normal 7 7 2 2 2 4" xfId="11973"/>
    <cellStyle name="Normal 7 7 2 2 2 4 2" xfId="11974"/>
    <cellStyle name="Normal 7 7 2 2 2 5" xfId="11975"/>
    <cellStyle name="Normal 7 7 2 2 2 5 2" xfId="11976"/>
    <cellStyle name="Normal 7 7 2 2 2 6" xfId="11977"/>
    <cellStyle name="Normal 7 7 2 2 2 6 2" xfId="11978"/>
    <cellStyle name="Normal 7 7 2 2 2 7" xfId="11979"/>
    <cellStyle name="Normal 7 7 2 2 2 8" xfId="11980"/>
    <cellStyle name="Normal 7 7 2 2 2 9" xfId="11981"/>
    <cellStyle name="Normal 7 7 2 2 3" xfId="11982"/>
    <cellStyle name="Normal 7 7 2 2 3 2" xfId="11983"/>
    <cellStyle name="Normal 7 7 2 2 3 2 2" xfId="11984"/>
    <cellStyle name="Normal 7 7 2 2 3 2 3" xfId="11985"/>
    <cellStyle name="Normal 7 7 2 2 3 3" xfId="11986"/>
    <cellStyle name="Normal 7 7 2 2 3 3 2" xfId="11987"/>
    <cellStyle name="Normal 7 7 2 2 3 4" xfId="11988"/>
    <cellStyle name="Normal 7 7 2 2 3 5" xfId="11989"/>
    <cellStyle name="Normal 7 7 2 2 3 6" xfId="11990"/>
    <cellStyle name="Normal 7 7 2 2 3 7" xfId="11991"/>
    <cellStyle name="Normal 7 7 2 2 3 8" xfId="11992"/>
    <cellStyle name="Normal 7 7 2 2 4" xfId="11993"/>
    <cellStyle name="Normal 7 7 2 2 4 2" xfId="11994"/>
    <cellStyle name="Normal 7 7 2 2 4 2 2" xfId="11995"/>
    <cellStyle name="Normal 7 7 2 2 4 3" xfId="11996"/>
    <cellStyle name="Normal 7 7 2 2 4 4" xfId="11997"/>
    <cellStyle name="Normal 7 7 2 2 5" xfId="11998"/>
    <cellStyle name="Normal 7 7 2 2 5 2" xfId="11999"/>
    <cellStyle name="Normal 7 7 2 2 6" xfId="12000"/>
    <cellStyle name="Normal 7 7 2 2 6 2" xfId="12001"/>
    <cellStyle name="Normal 7 7 2 2 7" xfId="12002"/>
    <cellStyle name="Normal 7 7 2 2 7 2" xfId="12003"/>
    <cellStyle name="Normal 7 7 2 2 8" xfId="12004"/>
    <cellStyle name="Normal 7 7 2 2 9" xfId="12005"/>
    <cellStyle name="Normal 7 7 2 3" xfId="12006"/>
    <cellStyle name="Normal 7 7 2 3 10" xfId="12007"/>
    <cellStyle name="Normal 7 7 2 3 11" xfId="12008"/>
    <cellStyle name="Normal 7 7 2 3 2" xfId="12009"/>
    <cellStyle name="Normal 7 7 2 3 2 2" xfId="12010"/>
    <cellStyle name="Normal 7 7 2 3 2 2 2" xfId="12011"/>
    <cellStyle name="Normal 7 7 2 3 2 2 3" xfId="12012"/>
    <cellStyle name="Normal 7 7 2 3 2 3" xfId="12013"/>
    <cellStyle name="Normal 7 7 2 3 2 3 2" xfId="12014"/>
    <cellStyle name="Normal 7 7 2 3 2 4" xfId="12015"/>
    <cellStyle name="Normal 7 7 2 3 2 5" xfId="12016"/>
    <cellStyle name="Normal 7 7 2 3 2 6" xfId="12017"/>
    <cellStyle name="Normal 7 7 2 3 2 7" xfId="12018"/>
    <cellStyle name="Normal 7 7 2 3 2 8" xfId="12019"/>
    <cellStyle name="Normal 7 7 2 3 3" xfId="12020"/>
    <cellStyle name="Normal 7 7 2 3 3 2" xfId="12021"/>
    <cellStyle name="Normal 7 7 2 3 3 2 2" xfId="12022"/>
    <cellStyle name="Normal 7 7 2 3 3 3" xfId="12023"/>
    <cellStyle name="Normal 7 7 2 3 3 4" xfId="12024"/>
    <cellStyle name="Normal 7 7 2 3 4" xfId="12025"/>
    <cellStyle name="Normal 7 7 2 3 4 2" xfId="12026"/>
    <cellStyle name="Normal 7 7 2 3 5" xfId="12027"/>
    <cellStyle name="Normal 7 7 2 3 5 2" xfId="12028"/>
    <cellStyle name="Normal 7 7 2 3 6" xfId="12029"/>
    <cellStyle name="Normal 7 7 2 3 6 2" xfId="12030"/>
    <cellStyle name="Normal 7 7 2 3 7" xfId="12031"/>
    <cellStyle name="Normal 7 7 2 3 8" xfId="12032"/>
    <cellStyle name="Normal 7 7 2 3 9" xfId="12033"/>
    <cellStyle name="Normal 7 7 2 4" xfId="12034"/>
    <cellStyle name="Normal 7 7 2 4 2" xfId="12035"/>
    <cellStyle name="Normal 7 7 2 4 2 2" xfId="12036"/>
    <cellStyle name="Normal 7 7 2 4 2 3" xfId="12037"/>
    <cellStyle name="Normal 7 7 2 4 3" xfId="12038"/>
    <cellStyle name="Normal 7 7 2 4 3 2" xfId="12039"/>
    <cellStyle name="Normal 7 7 2 4 4" xfId="12040"/>
    <cellStyle name="Normal 7 7 2 4 5" xfId="12041"/>
    <cellStyle name="Normal 7 7 2 4 6" xfId="12042"/>
    <cellStyle name="Normal 7 7 2 4 7" xfId="12043"/>
    <cellStyle name="Normal 7 7 2 4 8" xfId="12044"/>
    <cellStyle name="Normal 7 7 2 5" xfId="12045"/>
    <cellStyle name="Normal 7 7 2 5 2" xfId="12046"/>
    <cellStyle name="Normal 7 7 2 5 2 2" xfId="12047"/>
    <cellStyle name="Normal 7 7 2 5 3" xfId="12048"/>
    <cellStyle name="Normal 7 7 2 5 4" xfId="12049"/>
    <cellStyle name="Normal 7 7 2 6" xfId="12050"/>
    <cellStyle name="Normal 7 7 2 6 2" xfId="12051"/>
    <cellStyle name="Normal 7 7 2 7" xfId="12052"/>
    <cellStyle name="Normal 7 7 2 7 2" xfId="12053"/>
    <cellStyle name="Normal 7 7 2 8" xfId="12054"/>
    <cellStyle name="Normal 7 7 2 8 2" xfId="12055"/>
    <cellStyle name="Normal 7 7 2 9" xfId="12056"/>
    <cellStyle name="Normal 7 7 3" xfId="2472"/>
    <cellStyle name="Normal 7 7 3 10" xfId="12057"/>
    <cellStyle name="Normal 7 7 3 11" xfId="12058"/>
    <cellStyle name="Normal 7 7 3 12" xfId="12059"/>
    <cellStyle name="Normal 7 7 3 2" xfId="12060"/>
    <cellStyle name="Normal 7 7 3 2 10" xfId="12061"/>
    <cellStyle name="Normal 7 7 3 2 11" xfId="12062"/>
    <cellStyle name="Normal 7 7 3 2 2" xfId="12063"/>
    <cellStyle name="Normal 7 7 3 2 2 2" xfId="12064"/>
    <cellStyle name="Normal 7 7 3 2 2 2 2" xfId="12065"/>
    <cellStyle name="Normal 7 7 3 2 2 2 3" xfId="12066"/>
    <cellStyle name="Normal 7 7 3 2 2 3" xfId="12067"/>
    <cellStyle name="Normal 7 7 3 2 2 3 2" xfId="12068"/>
    <cellStyle name="Normal 7 7 3 2 2 4" xfId="12069"/>
    <cellStyle name="Normal 7 7 3 2 2 5" xfId="12070"/>
    <cellStyle name="Normal 7 7 3 2 2 6" xfId="12071"/>
    <cellStyle name="Normal 7 7 3 2 2 7" xfId="12072"/>
    <cellStyle name="Normal 7 7 3 2 2 8" xfId="12073"/>
    <cellStyle name="Normal 7 7 3 2 3" xfId="12074"/>
    <cellStyle name="Normal 7 7 3 2 3 2" xfId="12075"/>
    <cellStyle name="Normal 7 7 3 2 3 2 2" xfId="12076"/>
    <cellStyle name="Normal 7 7 3 2 3 3" xfId="12077"/>
    <cellStyle name="Normal 7 7 3 2 3 4" xfId="12078"/>
    <cellStyle name="Normal 7 7 3 2 4" xfId="12079"/>
    <cellStyle name="Normal 7 7 3 2 4 2" xfId="12080"/>
    <cellStyle name="Normal 7 7 3 2 5" xfId="12081"/>
    <cellStyle name="Normal 7 7 3 2 5 2" xfId="12082"/>
    <cellStyle name="Normal 7 7 3 2 6" xfId="12083"/>
    <cellStyle name="Normal 7 7 3 2 6 2" xfId="12084"/>
    <cellStyle name="Normal 7 7 3 2 7" xfId="12085"/>
    <cellStyle name="Normal 7 7 3 2 8" xfId="12086"/>
    <cellStyle name="Normal 7 7 3 2 9" xfId="12087"/>
    <cellStyle name="Normal 7 7 3 3" xfId="12088"/>
    <cellStyle name="Normal 7 7 3 3 2" xfId="12089"/>
    <cellStyle name="Normal 7 7 3 3 2 2" xfId="12090"/>
    <cellStyle name="Normal 7 7 3 3 2 3" xfId="12091"/>
    <cellStyle name="Normal 7 7 3 3 3" xfId="12092"/>
    <cellStyle name="Normal 7 7 3 3 3 2" xfId="12093"/>
    <cellStyle name="Normal 7 7 3 3 4" xfId="12094"/>
    <cellStyle name="Normal 7 7 3 3 5" xfId="12095"/>
    <cellStyle name="Normal 7 7 3 3 6" xfId="12096"/>
    <cellStyle name="Normal 7 7 3 3 7" xfId="12097"/>
    <cellStyle name="Normal 7 7 3 3 8" xfId="12098"/>
    <cellStyle name="Normal 7 7 3 4" xfId="12099"/>
    <cellStyle name="Normal 7 7 3 4 2" xfId="12100"/>
    <cellStyle name="Normal 7 7 3 4 2 2" xfId="12101"/>
    <cellStyle name="Normal 7 7 3 4 3" xfId="12102"/>
    <cellStyle name="Normal 7 7 3 4 4" xfId="12103"/>
    <cellStyle name="Normal 7 7 3 5" xfId="12104"/>
    <cellStyle name="Normal 7 7 3 5 2" xfId="12105"/>
    <cellStyle name="Normal 7 7 3 6" xfId="12106"/>
    <cellStyle name="Normal 7 7 3 6 2" xfId="12107"/>
    <cellStyle name="Normal 7 7 3 7" xfId="12108"/>
    <cellStyle name="Normal 7 7 3 7 2" xfId="12109"/>
    <cellStyle name="Normal 7 7 3 8" xfId="12110"/>
    <cellStyle name="Normal 7 7 3 9" xfId="12111"/>
    <cellStyle name="Normal 7 7 4" xfId="12112"/>
    <cellStyle name="Normal 7 7 4 10" xfId="12113"/>
    <cellStyle name="Normal 7 7 4 11" xfId="12114"/>
    <cellStyle name="Normal 7 7 4 2" xfId="12115"/>
    <cellStyle name="Normal 7 7 4 2 2" xfId="12116"/>
    <cellStyle name="Normal 7 7 4 2 2 2" xfId="12117"/>
    <cellStyle name="Normal 7 7 4 2 2 3" xfId="12118"/>
    <cellStyle name="Normal 7 7 4 2 3" xfId="12119"/>
    <cellStyle name="Normal 7 7 4 2 3 2" xfId="12120"/>
    <cellStyle name="Normal 7 7 4 2 4" xfId="12121"/>
    <cellStyle name="Normal 7 7 4 2 5" xfId="12122"/>
    <cellStyle name="Normal 7 7 4 2 6" xfId="12123"/>
    <cellStyle name="Normal 7 7 4 2 7" xfId="12124"/>
    <cellStyle name="Normal 7 7 4 2 8" xfId="12125"/>
    <cellStyle name="Normal 7 7 4 3" xfId="12126"/>
    <cellStyle name="Normal 7 7 4 3 2" xfId="12127"/>
    <cellStyle name="Normal 7 7 4 3 2 2" xfId="12128"/>
    <cellStyle name="Normal 7 7 4 3 3" xfId="12129"/>
    <cellStyle name="Normal 7 7 4 3 4" xfId="12130"/>
    <cellStyle name="Normal 7 7 4 4" xfId="12131"/>
    <cellStyle name="Normal 7 7 4 4 2" xfId="12132"/>
    <cellStyle name="Normal 7 7 4 5" xfId="12133"/>
    <cellStyle name="Normal 7 7 4 5 2" xfId="12134"/>
    <cellStyle name="Normal 7 7 4 6" xfId="12135"/>
    <cellStyle name="Normal 7 7 4 6 2" xfId="12136"/>
    <cellStyle name="Normal 7 7 4 7" xfId="12137"/>
    <cellStyle name="Normal 7 7 4 8" xfId="12138"/>
    <cellStyle name="Normal 7 7 4 9" xfId="12139"/>
    <cellStyle name="Normal 7 7 5" xfId="12140"/>
    <cellStyle name="Normal 7 7 5 2" xfId="12141"/>
    <cellStyle name="Normal 7 7 5 2 2" xfId="12142"/>
    <cellStyle name="Normal 7 7 5 2 3" xfId="12143"/>
    <cellStyle name="Normal 7 7 5 3" xfId="12144"/>
    <cellStyle name="Normal 7 7 5 3 2" xfId="12145"/>
    <cellStyle name="Normal 7 7 5 4" xfId="12146"/>
    <cellStyle name="Normal 7 7 5 5" xfId="12147"/>
    <cellStyle name="Normal 7 7 5 6" xfId="12148"/>
    <cellStyle name="Normal 7 7 5 7" xfId="12149"/>
    <cellStyle name="Normal 7 7 5 8" xfId="12150"/>
    <cellStyle name="Normal 7 7 6" xfId="12151"/>
    <cellStyle name="Normal 7 7 6 2" xfId="12152"/>
    <cellStyle name="Normal 7 7 6 2 2" xfId="12153"/>
    <cellStyle name="Normal 7 7 6 3" xfId="12154"/>
    <cellStyle name="Normal 7 7 6 4" xfId="12155"/>
    <cellStyle name="Normal 7 7 7" xfId="12156"/>
    <cellStyle name="Normal 7 7 7 2" xfId="12157"/>
    <cellStyle name="Normal 7 7 8" xfId="12158"/>
    <cellStyle name="Normal 7 7 8 2" xfId="12159"/>
    <cellStyle name="Normal 7 7 9" xfId="12160"/>
    <cellStyle name="Normal 7 7 9 2" xfId="12161"/>
    <cellStyle name="Normal 7 8" xfId="2473"/>
    <cellStyle name="Normal 7 8 2" xfId="2474"/>
    <cellStyle name="Normal 7 9" xfId="2475"/>
    <cellStyle name="Normal 70" xfId="12162"/>
    <cellStyle name="Normal 71" xfId="12163"/>
    <cellStyle name="Normal 72" xfId="12164"/>
    <cellStyle name="Normal 72 2" xfId="12165"/>
    <cellStyle name="Normal 73" xfId="12166"/>
    <cellStyle name="Normal 73 2" xfId="12167"/>
    <cellStyle name="Normal 74" xfId="12168"/>
    <cellStyle name="Normal 75" xfId="12169"/>
    <cellStyle name="Normal 76" xfId="12170"/>
    <cellStyle name="Normal 77" xfId="12171"/>
    <cellStyle name="Normal 78" xfId="12172"/>
    <cellStyle name="Normal 79" xfId="12173"/>
    <cellStyle name="Normal 8" xfId="2476"/>
    <cellStyle name="Normal 8 10" xfId="12174"/>
    <cellStyle name="Normal 8 11" xfId="12175"/>
    <cellStyle name="Normal 8 2" xfId="2477"/>
    <cellStyle name="Normal 8 2 10" xfId="12176"/>
    <cellStyle name="Normal 8 2 11" xfId="12177"/>
    <cellStyle name="Normal 8 2 12" xfId="12178"/>
    <cellStyle name="Normal 8 2 13" xfId="12179"/>
    <cellStyle name="Normal 8 2 14" xfId="12180"/>
    <cellStyle name="Normal 8 2 15" xfId="12181"/>
    <cellStyle name="Normal 8 2 2" xfId="2478"/>
    <cellStyle name="Normal 8 2 2 10" xfId="12182"/>
    <cellStyle name="Normal 8 2 2 11" xfId="12183"/>
    <cellStyle name="Normal 8 2 2 12" xfId="12184"/>
    <cellStyle name="Normal 8 2 2 13" xfId="12185"/>
    <cellStyle name="Normal 8 2 2 14" xfId="12186"/>
    <cellStyle name="Normal 8 2 2 2" xfId="2479"/>
    <cellStyle name="Normal 8 2 2 2 10" xfId="12187"/>
    <cellStyle name="Normal 8 2 2 2 11" xfId="12188"/>
    <cellStyle name="Normal 8 2 2 2 12" xfId="12189"/>
    <cellStyle name="Normal 8 2 2 2 13" xfId="12190"/>
    <cellStyle name="Normal 8 2 2 2 2" xfId="2480"/>
    <cellStyle name="Normal 8 2 2 2 2 10" xfId="12191"/>
    <cellStyle name="Normal 8 2 2 2 2 11" xfId="12192"/>
    <cellStyle name="Normal 8 2 2 2 2 12" xfId="12193"/>
    <cellStyle name="Normal 8 2 2 2 2 2" xfId="2481"/>
    <cellStyle name="Normal 8 2 2 2 2 2 2" xfId="2482"/>
    <cellStyle name="Normal 8 2 2 2 2 2 2 2" xfId="2483"/>
    <cellStyle name="Normal 8 2 2 2 2 2 2 2 2" xfId="2484"/>
    <cellStyle name="Normal 8 2 2 2 2 2 2 3" xfId="2485"/>
    <cellStyle name="Normal 8 2 2 2 2 2 3" xfId="2486"/>
    <cellStyle name="Normal 8 2 2 2 2 2 3 2" xfId="2487"/>
    <cellStyle name="Normal 8 2 2 2 2 2 4" xfId="2488"/>
    <cellStyle name="Normal 8 2 2 2 2 2 5" xfId="12194"/>
    <cellStyle name="Normal 8 2 2 2 2 2 6" xfId="12195"/>
    <cellStyle name="Normal 8 2 2 2 2 2 7" xfId="12196"/>
    <cellStyle name="Normal 8 2 2 2 2 2 8" xfId="12197"/>
    <cellStyle name="Normal 8 2 2 2 2 2 9" xfId="12198"/>
    <cellStyle name="Normal 8 2 2 2 2 3" xfId="2489"/>
    <cellStyle name="Normal 8 2 2 2 2 3 2" xfId="2490"/>
    <cellStyle name="Normal 8 2 2 2 2 3 2 2" xfId="2491"/>
    <cellStyle name="Normal 8 2 2 2 2 3 3" xfId="2492"/>
    <cellStyle name="Normal 8 2 2 2 2 3 4" xfId="12199"/>
    <cellStyle name="Normal 8 2 2 2 2 4" xfId="2493"/>
    <cellStyle name="Normal 8 2 2 2 2 4 2" xfId="2494"/>
    <cellStyle name="Normal 8 2 2 2 2 5" xfId="2495"/>
    <cellStyle name="Normal 8 2 2 2 2 5 2" xfId="12200"/>
    <cellStyle name="Normal 8 2 2 2 2 6" xfId="12201"/>
    <cellStyle name="Normal 8 2 2 2 2 6 2" xfId="12202"/>
    <cellStyle name="Normal 8 2 2 2 2 7" xfId="12203"/>
    <cellStyle name="Normal 8 2 2 2 2 8" xfId="12204"/>
    <cellStyle name="Normal 8 2 2 2 2 9" xfId="12205"/>
    <cellStyle name="Normal 8 2 2 2 3" xfId="2496"/>
    <cellStyle name="Normal 8 2 2 2 3 2" xfId="2497"/>
    <cellStyle name="Normal 8 2 2 2 3 2 2" xfId="2498"/>
    <cellStyle name="Normal 8 2 2 2 3 2 2 2" xfId="2499"/>
    <cellStyle name="Normal 8 2 2 2 3 2 3" xfId="2500"/>
    <cellStyle name="Normal 8 2 2 2 3 3" xfId="2501"/>
    <cellStyle name="Normal 8 2 2 2 3 3 2" xfId="2502"/>
    <cellStyle name="Normal 8 2 2 2 3 4" xfId="2503"/>
    <cellStyle name="Normal 8 2 2 2 3 5" xfId="12206"/>
    <cellStyle name="Normal 8 2 2 2 3 6" xfId="12207"/>
    <cellStyle name="Normal 8 2 2 2 3 7" xfId="12208"/>
    <cellStyle name="Normal 8 2 2 2 3 8" xfId="12209"/>
    <cellStyle name="Normal 8 2 2 2 3 9" xfId="12210"/>
    <cellStyle name="Normal 8 2 2 2 4" xfId="2504"/>
    <cellStyle name="Normal 8 2 2 2 4 2" xfId="2505"/>
    <cellStyle name="Normal 8 2 2 2 4 2 2" xfId="2506"/>
    <cellStyle name="Normal 8 2 2 2 4 3" xfId="2507"/>
    <cellStyle name="Normal 8 2 2 2 4 4" xfId="12211"/>
    <cellStyle name="Normal 8 2 2 2 5" xfId="2508"/>
    <cellStyle name="Normal 8 2 2 2 5 2" xfId="2509"/>
    <cellStyle name="Normal 8 2 2 2 6" xfId="2510"/>
    <cellStyle name="Normal 8 2 2 2 6 2" xfId="12212"/>
    <cellStyle name="Normal 8 2 2 2 7" xfId="12213"/>
    <cellStyle name="Normal 8 2 2 2 7 2" xfId="12214"/>
    <cellStyle name="Normal 8 2 2 2 8" xfId="12215"/>
    <cellStyle name="Normal 8 2 2 2 9" xfId="12216"/>
    <cellStyle name="Normal 8 2 2 3" xfId="2511"/>
    <cellStyle name="Normal 8 2 2 3 10" xfId="12217"/>
    <cellStyle name="Normal 8 2 2 3 11" xfId="12218"/>
    <cellStyle name="Normal 8 2 2 3 12" xfId="12219"/>
    <cellStyle name="Normal 8 2 2 3 2" xfId="2512"/>
    <cellStyle name="Normal 8 2 2 3 2 2" xfId="2513"/>
    <cellStyle name="Normal 8 2 2 3 2 2 2" xfId="2514"/>
    <cellStyle name="Normal 8 2 2 3 2 2 2 2" xfId="2515"/>
    <cellStyle name="Normal 8 2 2 3 2 2 3" xfId="2516"/>
    <cellStyle name="Normal 8 2 2 3 2 3" xfId="2517"/>
    <cellStyle name="Normal 8 2 2 3 2 3 2" xfId="2518"/>
    <cellStyle name="Normal 8 2 2 3 2 4" xfId="2519"/>
    <cellStyle name="Normal 8 2 2 3 2 5" xfId="12220"/>
    <cellStyle name="Normal 8 2 2 3 2 6" xfId="12221"/>
    <cellStyle name="Normal 8 2 2 3 2 7" xfId="12222"/>
    <cellStyle name="Normal 8 2 2 3 2 8" xfId="12223"/>
    <cellStyle name="Normal 8 2 2 3 2 9" xfId="12224"/>
    <cellStyle name="Normal 8 2 2 3 3" xfId="2520"/>
    <cellStyle name="Normal 8 2 2 3 3 2" xfId="2521"/>
    <cellStyle name="Normal 8 2 2 3 3 2 2" xfId="2522"/>
    <cellStyle name="Normal 8 2 2 3 3 3" xfId="2523"/>
    <cellStyle name="Normal 8 2 2 3 3 4" xfId="12225"/>
    <cellStyle name="Normal 8 2 2 3 4" xfId="2524"/>
    <cellStyle name="Normal 8 2 2 3 4 2" xfId="2525"/>
    <cellStyle name="Normal 8 2 2 3 5" xfId="2526"/>
    <cellStyle name="Normal 8 2 2 3 5 2" xfId="12226"/>
    <cellStyle name="Normal 8 2 2 3 6" xfId="12227"/>
    <cellStyle name="Normal 8 2 2 3 6 2" xfId="12228"/>
    <cellStyle name="Normal 8 2 2 3 7" xfId="12229"/>
    <cellStyle name="Normal 8 2 2 3 8" xfId="12230"/>
    <cellStyle name="Normal 8 2 2 3 9" xfId="12231"/>
    <cellStyle name="Normal 8 2 2 4" xfId="2527"/>
    <cellStyle name="Normal 8 2 2 4 2" xfId="2528"/>
    <cellStyle name="Normal 8 2 2 4 2 2" xfId="2529"/>
    <cellStyle name="Normal 8 2 2 4 2 2 2" xfId="2530"/>
    <cellStyle name="Normal 8 2 2 4 2 3" xfId="2531"/>
    <cellStyle name="Normal 8 2 2 4 3" xfId="2532"/>
    <cellStyle name="Normal 8 2 2 4 3 2" xfId="2533"/>
    <cellStyle name="Normal 8 2 2 4 4" xfId="2534"/>
    <cellStyle name="Normal 8 2 2 4 5" xfId="12232"/>
    <cellStyle name="Normal 8 2 2 4 6" xfId="12233"/>
    <cellStyle name="Normal 8 2 2 4 7" xfId="12234"/>
    <cellStyle name="Normal 8 2 2 4 8" xfId="12235"/>
    <cellStyle name="Normal 8 2 2 4 9" xfId="12236"/>
    <cellStyle name="Normal 8 2 2 5" xfId="2535"/>
    <cellStyle name="Normal 8 2 2 5 2" xfId="2536"/>
    <cellStyle name="Normal 8 2 2 5 2 2" xfId="2537"/>
    <cellStyle name="Normal 8 2 2 5 3" xfId="2538"/>
    <cellStyle name="Normal 8 2 2 5 4" xfId="12237"/>
    <cellStyle name="Normal 8 2 2 6" xfId="2539"/>
    <cellStyle name="Normal 8 2 2 6 2" xfId="2540"/>
    <cellStyle name="Normal 8 2 2 7" xfId="2541"/>
    <cellStyle name="Normal 8 2 2 7 2" xfId="12238"/>
    <cellStyle name="Normal 8 2 2 8" xfId="12239"/>
    <cellStyle name="Normal 8 2 2 8 2" xfId="12240"/>
    <cellStyle name="Normal 8 2 2 9" xfId="12241"/>
    <cellStyle name="Normal 8 2 3" xfId="2542"/>
    <cellStyle name="Normal 8 2 3 10" xfId="12242"/>
    <cellStyle name="Normal 8 2 3 11" xfId="12243"/>
    <cellStyle name="Normal 8 2 3 12" xfId="12244"/>
    <cellStyle name="Normal 8 2 3 13" xfId="12245"/>
    <cellStyle name="Normal 8 2 3 2" xfId="2543"/>
    <cellStyle name="Normal 8 2 3 2 10" xfId="12246"/>
    <cellStyle name="Normal 8 2 3 2 11" xfId="12247"/>
    <cellStyle name="Normal 8 2 3 2 12" xfId="12248"/>
    <cellStyle name="Normal 8 2 3 2 2" xfId="2544"/>
    <cellStyle name="Normal 8 2 3 2 2 2" xfId="2545"/>
    <cellStyle name="Normal 8 2 3 2 2 2 2" xfId="2546"/>
    <cellStyle name="Normal 8 2 3 2 2 2 2 2" xfId="2547"/>
    <cellStyle name="Normal 8 2 3 2 2 2 3" xfId="2548"/>
    <cellStyle name="Normal 8 2 3 2 2 3" xfId="2549"/>
    <cellStyle name="Normal 8 2 3 2 2 3 2" xfId="2550"/>
    <cellStyle name="Normal 8 2 3 2 2 4" xfId="2551"/>
    <cellStyle name="Normal 8 2 3 2 2 5" xfId="12249"/>
    <cellStyle name="Normal 8 2 3 2 2 6" xfId="12250"/>
    <cellStyle name="Normal 8 2 3 2 2 7" xfId="12251"/>
    <cellStyle name="Normal 8 2 3 2 2 8" xfId="12252"/>
    <cellStyle name="Normal 8 2 3 2 2 9" xfId="12253"/>
    <cellStyle name="Normal 8 2 3 2 3" xfId="2552"/>
    <cellStyle name="Normal 8 2 3 2 3 2" xfId="2553"/>
    <cellStyle name="Normal 8 2 3 2 3 2 2" xfId="2554"/>
    <cellStyle name="Normal 8 2 3 2 3 3" xfId="2555"/>
    <cellStyle name="Normal 8 2 3 2 3 4" xfId="12254"/>
    <cellStyle name="Normal 8 2 3 2 4" xfId="2556"/>
    <cellStyle name="Normal 8 2 3 2 4 2" xfId="2557"/>
    <cellStyle name="Normal 8 2 3 2 5" xfId="2558"/>
    <cellStyle name="Normal 8 2 3 2 5 2" xfId="12255"/>
    <cellStyle name="Normal 8 2 3 2 6" xfId="12256"/>
    <cellStyle name="Normal 8 2 3 2 6 2" xfId="12257"/>
    <cellStyle name="Normal 8 2 3 2 7" xfId="12258"/>
    <cellStyle name="Normal 8 2 3 2 8" xfId="12259"/>
    <cellStyle name="Normal 8 2 3 2 9" xfId="12260"/>
    <cellStyle name="Normal 8 2 3 3" xfId="2559"/>
    <cellStyle name="Normal 8 2 3 3 2" xfId="2560"/>
    <cellStyle name="Normal 8 2 3 3 2 2" xfId="2561"/>
    <cellStyle name="Normal 8 2 3 3 2 2 2" xfId="2562"/>
    <cellStyle name="Normal 8 2 3 3 2 3" xfId="2563"/>
    <cellStyle name="Normal 8 2 3 3 3" xfId="2564"/>
    <cellStyle name="Normal 8 2 3 3 3 2" xfId="2565"/>
    <cellStyle name="Normal 8 2 3 3 4" xfId="2566"/>
    <cellStyle name="Normal 8 2 3 3 5" xfId="12261"/>
    <cellStyle name="Normal 8 2 3 3 6" xfId="12262"/>
    <cellStyle name="Normal 8 2 3 3 7" xfId="12263"/>
    <cellStyle name="Normal 8 2 3 3 8" xfId="12264"/>
    <cellStyle name="Normal 8 2 3 3 9" xfId="12265"/>
    <cellStyle name="Normal 8 2 3 4" xfId="2567"/>
    <cellStyle name="Normal 8 2 3 4 2" xfId="2568"/>
    <cellStyle name="Normal 8 2 3 4 2 2" xfId="2569"/>
    <cellStyle name="Normal 8 2 3 4 3" xfId="2570"/>
    <cellStyle name="Normal 8 2 3 4 4" xfId="12266"/>
    <cellStyle name="Normal 8 2 3 5" xfId="2571"/>
    <cellStyle name="Normal 8 2 3 5 2" xfId="2572"/>
    <cellStyle name="Normal 8 2 3 6" xfId="2573"/>
    <cellStyle name="Normal 8 2 3 6 2" xfId="12267"/>
    <cellStyle name="Normal 8 2 3 7" xfId="12268"/>
    <cellStyle name="Normal 8 2 3 7 2" xfId="12269"/>
    <cellStyle name="Normal 8 2 3 8" xfId="12270"/>
    <cellStyle name="Normal 8 2 3 9" xfId="12271"/>
    <cellStyle name="Normal 8 2 4" xfId="2574"/>
    <cellStyle name="Normal 8 2 4 10" xfId="12272"/>
    <cellStyle name="Normal 8 2 4 11" xfId="12273"/>
    <cellStyle name="Normal 8 2 4 12" xfId="12274"/>
    <cellStyle name="Normal 8 2 4 2" xfId="2575"/>
    <cellStyle name="Normal 8 2 4 2 2" xfId="2576"/>
    <cellStyle name="Normal 8 2 4 2 2 2" xfId="2577"/>
    <cellStyle name="Normal 8 2 4 2 2 2 2" xfId="2578"/>
    <cellStyle name="Normal 8 2 4 2 2 3" xfId="2579"/>
    <cellStyle name="Normal 8 2 4 2 3" xfId="2580"/>
    <cellStyle name="Normal 8 2 4 2 3 2" xfId="2581"/>
    <cellStyle name="Normal 8 2 4 2 4" xfId="2582"/>
    <cellStyle name="Normal 8 2 4 2 5" xfId="12275"/>
    <cellStyle name="Normal 8 2 4 2 6" xfId="12276"/>
    <cellStyle name="Normal 8 2 4 2 7" xfId="12277"/>
    <cellStyle name="Normal 8 2 4 2 8" xfId="12278"/>
    <cellStyle name="Normal 8 2 4 2 9" xfId="12279"/>
    <cellStyle name="Normal 8 2 4 3" xfId="2583"/>
    <cellStyle name="Normal 8 2 4 3 2" xfId="2584"/>
    <cellStyle name="Normal 8 2 4 3 2 2" xfId="2585"/>
    <cellStyle name="Normal 8 2 4 3 3" xfId="2586"/>
    <cellStyle name="Normal 8 2 4 3 4" xfId="12280"/>
    <cellStyle name="Normal 8 2 4 4" xfId="2587"/>
    <cellStyle name="Normal 8 2 4 4 2" xfId="2588"/>
    <cellStyle name="Normal 8 2 4 5" xfId="2589"/>
    <cellStyle name="Normal 8 2 4 5 2" xfId="12281"/>
    <cellStyle name="Normal 8 2 4 6" xfId="12282"/>
    <cellStyle name="Normal 8 2 4 6 2" xfId="12283"/>
    <cellStyle name="Normal 8 2 4 7" xfId="12284"/>
    <cellStyle name="Normal 8 2 4 8" xfId="12285"/>
    <cellStyle name="Normal 8 2 4 9" xfId="12286"/>
    <cellStyle name="Normal 8 2 5" xfId="2590"/>
    <cellStyle name="Normal 8 2 5 2" xfId="2591"/>
    <cellStyle name="Normal 8 2 5 2 2" xfId="2592"/>
    <cellStyle name="Normal 8 2 5 2 2 2" xfId="2593"/>
    <cellStyle name="Normal 8 2 5 2 3" xfId="2594"/>
    <cellStyle name="Normal 8 2 5 3" xfId="2595"/>
    <cellStyle name="Normal 8 2 5 3 2" xfId="2596"/>
    <cellStyle name="Normal 8 2 5 4" xfId="2597"/>
    <cellStyle name="Normal 8 2 5 5" xfId="12287"/>
    <cellStyle name="Normal 8 2 5 6" xfId="12288"/>
    <cellStyle name="Normal 8 2 5 7" xfId="12289"/>
    <cellStyle name="Normal 8 2 5 8" xfId="12290"/>
    <cellStyle name="Normal 8 2 5 9" xfId="12291"/>
    <cellStyle name="Normal 8 2 6" xfId="2598"/>
    <cellStyle name="Normal 8 2 6 2" xfId="2599"/>
    <cellStyle name="Normal 8 2 6 2 2" xfId="2600"/>
    <cellStyle name="Normal 8 2 6 3" xfId="2601"/>
    <cellStyle name="Normal 8 2 6 4" xfId="12292"/>
    <cellStyle name="Normal 8 2 7" xfId="2602"/>
    <cellStyle name="Normal 8 2 7 2" xfId="2603"/>
    <cellStyle name="Normal 8 2 8" xfId="2604"/>
    <cellStyle name="Normal 8 2 8 2" xfId="12293"/>
    <cellStyle name="Normal 8 2 9" xfId="12294"/>
    <cellStyle name="Normal 8 2 9 2" xfId="12295"/>
    <cellStyle name="Normal 8 3" xfId="2605"/>
    <cellStyle name="Normal 8 3 2" xfId="2606"/>
    <cellStyle name="Normal 8 3 2 2" xfId="2607"/>
    <cellStyle name="Normal 8 3 2 2 2" xfId="2608"/>
    <cellStyle name="Normal 8 3 2 2 2 2" xfId="2609"/>
    <cellStyle name="Normal 8 3 2 2 2 2 2" xfId="2610"/>
    <cellStyle name="Normal 8 3 2 2 2 2 2 2" xfId="2611"/>
    <cellStyle name="Normal 8 3 2 2 2 2 3" xfId="2612"/>
    <cellStyle name="Normal 8 3 2 2 2 3" xfId="2613"/>
    <cellStyle name="Normal 8 3 2 2 2 3 2" xfId="2614"/>
    <cellStyle name="Normal 8 3 2 2 2 4" xfId="2615"/>
    <cellStyle name="Normal 8 3 2 2 3" xfId="2616"/>
    <cellStyle name="Normal 8 3 2 2 3 2" xfId="2617"/>
    <cellStyle name="Normal 8 3 2 2 3 2 2" xfId="2618"/>
    <cellStyle name="Normal 8 3 2 2 3 3" xfId="2619"/>
    <cellStyle name="Normal 8 3 2 2 4" xfId="2620"/>
    <cellStyle name="Normal 8 3 2 2 4 2" xfId="2621"/>
    <cellStyle name="Normal 8 3 2 2 5" xfId="2622"/>
    <cellStyle name="Normal 8 3 2 3" xfId="2623"/>
    <cellStyle name="Normal 8 3 2 3 2" xfId="2624"/>
    <cellStyle name="Normal 8 3 2 3 2 2" xfId="2625"/>
    <cellStyle name="Normal 8 3 2 3 2 2 2" xfId="2626"/>
    <cellStyle name="Normal 8 3 2 3 2 3" xfId="2627"/>
    <cellStyle name="Normal 8 3 2 3 3" xfId="2628"/>
    <cellStyle name="Normal 8 3 2 3 3 2" xfId="2629"/>
    <cellStyle name="Normal 8 3 2 3 4" xfId="2630"/>
    <cellStyle name="Normal 8 3 2 4" xfId="2631"/>
    <cellStyle name="Normal 8 3 2 4 2" xfId="2632"/>
    <cellStyle name="Normal 8 3 2 4 2 2" xfId="2633"/>
    <cellStyle name="Normal 8 3 2 4 3" xfId="2634"/>
    <cellStyle name="Normal 8 3 2 5" xfId="2635"/>
    <cellStyle name="Normal 8 3 2 5 2" xfId="2636"/>
    <cellStyle name="Normal 8 3 2 6" xfId="2637"/>
    <cellStyle name="Normal 8 3 3" xfId="2638"/>
    <cellStyle name="Normal 8 3 3 2" xfId="2639"/>
    <cellStyle name="Normal 8 3 3 2 2" xfId="2640"/>
    <cellStyle name="Normal 8 3 3 2 2 2" xfId="2641"/>
    <cellStyle name="Normal 8 3 3 2 2 2 2" xfId="2642"/>
    <cellStyle name="Normal 8 3 3 2 2 3" xfId="2643"/>
    <cellStyle name="Normal 8 3 3 2 3" xfId="2644"/>
    <cellStyle name="Normal 8 3 3 2 3 2" xfId="2645"/>
    <cellStyle name="Normal 8 3 3 2 4" xfId="2646"/>
    <cellStyle name="Normal 8 3 3 3" xfId="2647"/>
    <cellStyle name="Normal 8 3 3 3 2" xfId="2648"/>
    <cellStyle name="Normal 8 3 3 3 2 2" xfId="2649"/>
    <cellStyle name="Normal 8 3 3 3 3" xfId="2650"/>
    <cellStyle name="Normal 8 3 3 4" xfId="2651"/>
    <cellStyle name="Normal 8 3 3 4 2" xfId="2652"/>
    <cellStyle name="Normal 8 3 3 5" xfId="2653"/>
    <cellStyle name="Normal 8 3 4" xfId="2654"/>
    <cellStyle name="Normal 8 3 4 2" xfId="2655"/>
    <cellStyle name="Normal 8 3 4 2 2" xfId="2656"/>
    <cellStyle name="Normal 8 3 4 2 2 2" xfId="2657"/>
    <cellStyle name="Normal 8 3 4 2 3" xfId="2658"/>
    <cellStyle name="Normal 8 3 4 3" xfId="2659"/>
    <cellStyle name="Normal 8 3 4 3 2" xfId="2660"/>
    <cellStyle name="Normal 8 3 4 4" xfId="2661"/>
    <cellStyle name="Normal 8 3 5" xfId="2662"/>
    <cellStyle name="Normal 8 3 5 2" xfId="2663"/>
    <cellStyle name="Normal 8 3 5 2 2" xfId="2664"/>
    <cellStyle name="Normal 8 3 5 3" xfId="2665"/>
    <cellStyle name="Normal 8 3 6" xfId="2666"/>
    <cellStyle name="Normal 8 3 6 2" xfId="2667"/>
    <cellStyle name="Normal 8 3 7" xfId="2668"/>
    <cellStyle name="Normal 8 4" xfId="2669"/>
    <cellStyle name="Normal 8 4 2" xfId="2670"/>
    <cellStyle name="Normal 8 4 2 2" xfId="2671"/>
    <cellStyle name="Normal 8 4 2 2 2" xfId="2672"/>
    <cellStyle name="Normal 8 4 2 2 2 2" xfId="2673"/>
    <cellStyle name="Normal 8 4 2 2 2 2 2" xfId="2674"/>
    <cellStyle name="Normal 8 4 2 2 2 3" xfId="2675"/>
    <cellStyle name="Normal 8 4 2 2 3" xfId="2676"/>
    <cellStyle name="Normal 8 4 2 2 3 2" xfId="2677"/>
    <cellStyle name="Normal 8 4 2 2 4" xfId="2678"/>
    <cellStyle name="Normal 8 4 2 3" xfId="2679"/>
    <cellStyle name="Normal 8 4 2 3 2" xfId="2680"/>
    <cellStyle name="Normal 8 4 2 3 2 2" xfId="2681"/>
    <cellStyle name="Normal 8 4 2 3 3" xfId="2682"/>
    <cellStyle name="Normal 8 4 2 4" xfId="2683"/>
    <cellStyle name="Normal 8 4 2 4 2" xfId="2684"/>
    <cellStyle name="Normal 8 4 2 5" xfId="2685"/>
    <cellStyle name="Normal 8 4 3" xfId="2686"/>
    <cellStyle name="Normal 8 4 3 2" xfId="2687"/>
    <cellStyle name="Normal 8 4 3 2 2" xfId="2688"/>
    <cellStyle name="Normal 8 4 3 2 2 2" xfId="2689"/>
    <cellStyle name="Normal 8 4 3 2 3" xfId="2690"/>
    <cellStyle name="Normal 8 4 3 3" xfId="2691"/>
    <cellStyle name="Normal 8 4 3 3 2" xfId="2692"/>
    <cellStyle name="Normal 8 4 3 4" xfId="2693"/>
    <cellStyle name="Normal 8 4 4" xfId="2694"/>
    <cellStyle name="Normal 8 4 4 2" xfId="2695"/>
    <cellStyle name="Normal 8 4 4 2 2" xfId="2696"/>
    <cellStyle name="Normal 8 4 4 3" xfId="2697"/>
    <cellStyle name="Normal 8 4 5" xfId="2698"/>
    <cellStyle name="Normal 8 4 5 2" xfId="2699"/>
    <cellStyle name="Normal 8 4 6" xfId="2700"/>
    <cellStyle name="Normal 8 5" xfId="2701"/>
    <cellStyle name="Normal 8 5 2" xfId="2702"/>
    <cellStyle name="Normal 8 5 2 2" xfId="2703"/>
    <cellStyle name="Normal 8 5 2 2 2" xfId="2704"/>
    <cellStyle name="Normal 8 5 2 2 2 2" xfId="2705"/>
    <cellStyle name="Normal 8 5 2 2 3" xfId="2706"/>
    <cellStyle name="Normal 8 5 2 3" xfId="2707"/>
    <cellStyle name="Normal 8 5 2 3 2" xfId="2708"/>
    <cellStyle name="Normal 8 5 2 4" xfId="2709"/>
    <cellStyle name="Normal 8 5 3" xfId="2710"/>
    <cellStyle name="Normal 8 5 3 2" xfId="2711"/>
    <cellStyle name="Normal 8 5 3 2 2" xfId="2712"/>
    <cellStyle name="Normal 8 5 3 3" xfId="2713"/>
    <cellStyle name="Normal 8 5 4" xfId="2714"/>
    <cellStyle name="Normal 8 5 4 2" xfId="2715"/>
    <cellStyle name="Normal 8 5 5" xfId="2716"/>
    <cellStyle name="Normal 8 6" xfId="2717"/>
    <cellStyle name="Normal 8 6 2" xfId="2718"/>
    <cellStyle name="Normal 8 6 2 2" xfId="2719"/>
    <cellStyle name="Normal 8 6 2 2 2" xfId="2720"/>
    <cellStyle name="Normal 8 6 2 3" xfId="2721"/>
    <cellStyle name="Normal 8 6 3" xfId="2722"/>
    <cellStyle name="Normal 8 6 3 2" xfId="2723"/>
    <cellStyle name="Normal 8 6 4" xfId="2724"/>
    <cellStyle name="Normal 8 7" xfId="2725"/>
    <cellStyle name="Normal 8 7 2" xfId="2726"/>
    <cellStyle name="Normal 8 7 2 2" xfId="2727"/>
    <cellStyle name="Normal 8 7 3" xfId="2728"/>
    <cellStyle name="Normal 8 8" xfId="2729"/>
    <cellStyle name="Normal 8 8 2" xfId="2730"/>
    <cellStyle name="Normal 8 9" xfId="2731"/>
    <cellStyle name="Normal 8_COST OF SERVICE" xfId="12296"/>
    <cellStyle name="Normal 80" xfId="12297"/>
    <cellStyle name="Normal 81" xfId="12298"/>
    <cellStyle name="Normal 82" xfId="12299"/>
    <cellStyle name="Normal 83" xfId="12300"/>
    <cellStyle name="Normal 84" xfId="12301"/>
    <cellStyle name="Normal 85" xfId="12302"/>
    <cellStyle name="Normal 86" xfId="12303"/>
    <cellStyle name="Normal 87" xfId="12304"/>
    <cellStyle name="Normal 88" xfId="12305"/>
    <cellStyle name="Normal 89" xfId="12306"/>
    <cellStyle name="Normal 9" xfId="58"/>
    <cellStyle name="Normal 9 10" xfId="12307"/>
    <cellStyle name="Normal 9 11" xfId="12308"/>
    <cellStyle name="Normal 9 12" xfId="12309"/>
    <cellStyle name="Normal 9 13" xfId="12310"/>
    <cellStyle name="Normal 9 14" xfId="12311"/>
    <cellStyle name="Normal 9 15" xfId="12312"/>
    <cellStyle name="Normal 9 2" xfId="2732"/>
    <cellStyle name="Normal 9 2 2" xfId="2733"/>
    <cellStyle name="Normal 9 2 2 2" xfId="2734"/>
    <cellStyle name="Normal 9 2 2 2 2" xfId="2735"/>
    <cellStyle name="Normal 9 2 2 2 2 2" xfId="2736"/>
    <cellStyle name="Normal 9 2 2 2 2 2 2" xfId="2737"/>
    <cellStyle name="Normal 9 2 2 2 2 2 2 2" xfId="2738"/>
    <cellStyle name="Normal 9 2 2 2 2 2 2 2 2" xfId="2739"/>
    <cellStyle name="Normal 9 2 2 2 2 2 2 3" xfId="2740"/>
    <cellStyle name="Normal 9 2 2 2 2 2 3" xfId="2741"/>
    <cellStyle name="Normal 9 2 2 2 2 2 3 2" xfId="2742"/>
    <cellStyle name="Normal 9 2 2 2 2 2 4" xfId="2743"/>
    <cellStyle name="Normal 9 2 2 2 2 3" xfId="2744"/>
    <cellStyle name="Normal 9 2 2 2 2 3 2" xfId="2745"/>
    <cellStyle name="Normal 9 2 2 2 2 3 2 2" xfId="2746"/>
    <cellStyle name="Normal 9 2 2 2 2 3 3" xfId="2747"/>
    <cellStyle name="Normal 9 2 2 2 2 4" xfId="2748"/>
    <cellStyle name="Normal 9 2 2 2 2 4 2" xfId="2749"/>
    <cellStyle name="Normal 9 2 2 2 2 5" xfId="2750"/>
    <cellStyle name="Normal 9 2 2 2 3" xfId="2751"/>
    <cellStyle name="Normal 9 2 2 2 3 2" xfId="2752"/>
    <cellStyle name="Normal 9 2 2 2 3 2 2" xfId="2753"/>
    <cellStyle name="Normal 9 2 2 2 3 2 2 2" xfId="2754"/>
    <cellStyle name="Normal 9 2 2 2 3 2 3" xfId="2755"/>
    <cellStyle name="Normal 9 2 2 2 3 3" xfId="2756"/>
    <cellStyle name="Normal 9 2 2 2 3 3 2" xfId="2757"/>
    <cellStyle name="Normal 9 2 2 2 3 4" xfId="2758"/>
    <cellStyle name="Normal 9 2 2 2 4" xfId="2759"/>
    <cellStyle name="Normal 9 2 2 2 4 2" xfId="2760"/>
    <cellStyle name="Normal 9 2 2 2 4 2 2" xfId="2761"/>
    <cellStyle name="Normal 9 2 2 2 4 3" xfId="2762"/>
    <cellStyle name="Normal 9 2 2 2 5" xfId="2763"/>
    <cellStyle name="Normal 9 2 2 2 5 2" xfId="2764"/>
    <cellStyle name="Normal 9 2 2 2 6" xfId="2765"/>
    <cellStyle name="Normal 9 2 2 3" xfId="2766"/>
    <cellStyle name="Normal 9 2 2 3 2" xfId="2767"/>
    <cellStyle name="Normal 9 2 2 3 2 2" xfId="2768"/>
    <cellStyle name="Normal 9 2 2 3 2 2 2" xfId="2769"/>
    <cellStyle name="Normal 9 2 2 3 2 2 2 2" xfId="2770"/>
    <cellStyle name="Normal 9 2 2 3 2 2 3" xfId="2771"/>
    <cellStyle name="Normal 9 2 2 3 2 3" xfId="2772"/>
    <cellStyle name="Normal 9 2 2 3 2 3 2" xfId="2773"/>
    <cellStyle name="Normal 9 2 2 3 2 4" xfId="2774"/>
    <cellStyle name="Normal 9 2 2 3 3" xfId="2775"/>
    <cellStyle name="Normal 9 2 2 3 3 2" xfId="2776"/>
    <cellStyle name="Normal 9 2 2 3 3 2 2" xfId="2777"/>
    <cellStyle name="Normal 9 2 2 3 3 3" xfId="2778"/>
    <cellStyle name="Normal 9 2 2 3 4" xfId="2779"/>
    <cellStyle name="Normal 9 2 2 3 4 2" xfId="2780"/>
    <cellStyle name="Normal 9 2 2 3 5" xfId="2781"/>
    <cellStyle name="Normal 9 2 2 4" xfId="2782"/>
    <cellStyle name="Normal 9 2 2 4 2" xfId="2783"/>
    <cellStyle name="Normal 9 2 2 4 2 2" xfId="2784"/>
    <cellStyle name="Normal 9 2 2 4 2 2 2" xfId="2785"/>
    <cellStyle name="Normal 9 2 2 4 2 3" xfId="2786"/>
    <cellStyle name="Normal 9 2 2 4 3" xfId="2787"/>
    <cellStyle name="Normal 9 2 2 4 3 2" xfId="2788"/>
    <cellStyle name="Normal 9 2 2 4 4" xfId="2789"/>
    <cellStyle name="Normal 9 2 2 5" xfId="2790"/>
    <cellStyle name="Normal 9 2 2 5 2" xfId="2791"/>
    <cellStyle name="Normal 9 2 2 5 2 2" xfId="2792"/>
    <cellStyle name="Normal 9 2 2 5 3" xfId="2793"/>
    <cellStyle name="Normal 9 2 2 6" xfId="2794"/>
    <cellStyle name="Normal 9 2 2 6 2" xfId="2795"/>
    <cellStyle name="Normal 9 2 2 7" xfId="2796"/>
    <cellStyle name="Normal 9 2 3" xfId="2797"/>
    <cellStyle name="Normal 9 2 3 2" xfId="2798"/>
    <cellStyle name="Normal 9 2 3 2 2" xfId="2799"/>
    <cellStyle name="Normal 9 2 3 2 2 2" xfId="2800"/>
    <cellStyle name="Normal 9 2 3 2 2 2 2" xfId="2801"/>
    <cellStyle name="Normal 9 2 3 2 2 2 2 2" xfId="2802"/>
    <cellStyle name="Normal 9 2 3 2 2 2 3" xfId="2803"/>
    <cellStyle name="Normal 9 2 3 2 2 3" xfId="2804"/>
    <cellStyle name="Normal 9 2 3 2 2 3 2" xfId="2805"/>
    <cellStyle name="Normal 9 2 3 2 2 4" xfId="2806"/>
    <cellStyle name="Normal 9 2 3 2 3" xfId="2807"/>
    <cellStyle name="Normal 9 2 3 2 3 2" xfId="2808"/>
    <cellStyle name="Normal 9 2 3 2 3 2 2" xfId="2809"/>
    <cellStyle name="Normal 9 2 3 2 3 3" xfId="2810"/>
    <cellStyle name="Normal 9 2 3 2 4" xfId="2811"/>
    <cellStyle name="Normal 9 2 3 2 4 2" xfId="2812"/>
    <cellStyle name="Normal 9 2 3 2 5" xfId="2813"/>
    <cellStyle name="Normal 9 2 3 3" xfId="2814"/>
    <cellStyle name="Normal 9 2 3 3 2" xfId="2815"/>
    <cellStyle name="Normal 9 2 3 3 2 2" xfId="2816"/>
    <cellStyle name="Normal 9 2 3 3 2 2 2" xfId="2817"/>
    <cellStyle name="Normal 9 2 3 3 2 3" xfId="2818"/>
    <cellStyle name="Normal 9 2 3 3 3" xfId="2819"/>
    <cellStyle name="Normal 9 2 3 3 3 2" xfId="2820"/>
    <cellStyle name="Normal 9 2 3 3 4" xfId="2821"/>
    <cellStyle name="Normal 9 2 3 4" xfId="2822"/>
    <cellStyle name="Normal 9 2 3 4 2" xfId="2823"/>
    <cellStyle name="Normal 9 2 3 4 2 2" xfId="2824"/>
    <cellStyle name="Normal 9 2 3 4 3" xfId="2825"/>
    <cellStyle name="Normal 9 2 3 5" xfId="2826"/>
    <cellStyle name="Normal 9 2 3 5 2" xfId="2827"/>
    <cellStyle name="Normal 9 2 3 6" xfId="2828"/>
    <cellStyle name="Normal 9 2 4" xfId="2829"/>
    <cellStyle name="Normal 9 2 4 2" xfId="2830"/>
    <cellStyle name="Normal 9 2 4 2 2" xfId="2831"/>
    <cellStyle name="Normal 9 2 4 2 2 2" xfId="2832"/>
    <cellStyle name="Normal 9 2 4 2 2 2 2" xfId="2833"/>
    <cellStyle name="Normal 9 2 4 2 2 3" xfId="2834"/>
    <cellStyle name="Normal 9 2 4 2 3" xfId="2835"/>
    <cellStyle name="Normal 9 2 4 2 3 2" xfId="2836"/>
    <cellStyle name="Normal 9 2 4 2 4" xfId="2837"/>
    <cellStyle name="Normal 9 2 4 3" xfId="2838"/>
    <cellStyle name="Normal 9 2 4 3 2" xfId="2839"/>
    <cellStyle name="Normal 9 2 4 3 2 2" xfId="2840"/>
    <cellStyle name="Normal 9 2 4 3 3" xfId="2841"/>
    <cellStyle name="Normal 9 2 4 4" xfId="2842"/>
    <cellStyle name="Normal 9 2 4 4 2" xfId="2843"/>
    <cellStyle name="Normal 9 2 4 5" xfId="2844"/>
    <cellStyle name="Normal 9 2 5" xfId="2845"/>
    <cellStyle name="Normal 9 2 5 2" xfId="2846"/>
    <cellStyle name="Normal 9 2 5 2 2" xfId="2847"/>
    <cellStyle name="Normal 9 2 5 2 2 2" xfId="2848"/>
    <cellStyle name="Normal 9 2 5 2 3" xfId="2849"/>
    <cellStyle name="Normal 9 2 5 3" xfId="2850"/>
    <cellStyle name="Normal 9 2 5 3 2" xfId="2851"/>
    <cellStyle name="Normal 9 2 5 4" xfId="2852"/>
    <cellStyle name="Normal 9 2 6" xfId="2853"/>
    <cellStyle name="Normal 9 2 6 2" xfId="2854"/>
    <cellStyle name="Normal 9 2 6 2 2" xfId="2855"/>
    <cellStyle name="Normal 9 2 6 3" xfId="2856"/>
    <cellStyle name="Normal 9 2 7" xfId="2857"/>
    <cellStyle name="Normal 9 2 7 2" xfId="2858"/>
    <cellStyle name="Normal 9 2 8" xfId="2859"/>
    <cellStyle name="Normal 9 3" xfId="2860"/>
    <cellStyle name="Normal 9 3 10" xfId="12313"/>
    <cellStyle name="Normal 9 3 11" xfId="12314"/>
    <cellStyle name="Normal 9 3 12" xfId="12315"/>
    <cellStyle name="Normal 9 3 13" xfId="12316"/>
    <cellStyle name="Normal 9 3 2" xfId="2861"/>
    <cellStyle name="Normal 9 3 2 10" xfId="12317"/>
    <cellStyle name="Normal 9 3 2 11" xfId="12318"/>
    <cellStyle name="Normal 9 3 2 12" xfId="12319"/>
    <cellStyle name="Normal 9 3 2 2" xfId="2862"/>
    <cellStyle name="Normal 9 3 2 2 2" xfId="2863"/>
    <cellStyle name="Normal 9 3 2 2 2 2" xfId="2864"/>
    <cellStyle name="Normal 9 3 2 2 2 2 2" xfId="2865"/>
    <cellStyle name="Normal 9 3 2 2 2 2 2 2" xfId="2866"/>
    <cellStyle name="Normal 9 3 2 2 2 2 3" xfId="2867"/>
    <cellStyle name="Normal 9 3 2 2 2 3" xfId="2868"/>
    <cellStyle name="Normal 9 3 2 2 2 3 2" xfId="2869"/>
    <cellStyle name="Normal 9 3 2 2 2 4" xfId="2870"/>
    <cellStyle name="Normal 9 3 2 2 3" xfId="2871"/>
    <cellStyle name="Normal 9 3 2 2 3 2" xfId="2872"/>
    <cellStyle name="Normal 9 3 2 2 3 2 2" xfId="2873"/>
    <cellStyle name="Normal 9 3 2 2 3 3" xfId="2874"/>
    <cellStyle name="Normal 9 3 2 2 4" xfId="2875"/>
    <cellStyle name="Normal 9 3 2 2 4 2" xfId="2876"/>
    <cellStyle name="Normal 9 3 2 2 5" xfId="2877"/>
    <cellStyle name="Normal 9 3 2 2 6" xfId="12320"/>
    <cellStyle name="Normal 9 3 2 2 7" xfId="12321"/>
    <cellStyle name="Normal 9 3 2 2 8" xfId="12322"/>
    <cellStyle name="Normal 9 3 2 2 9" xfId="12323"/>
    <cellStyle name="Normal 9 3 2 3" xfId="2878"/>
    <cellStyle name="Normal 9 3 2 3 2" xfId="2879"/>
    <cellStyle name="Normal 9 3 2 3 2 2" xfId="2880"/>
    <cellStyle name="Normal 9 3 2 3 2 2 2" xfId="2881"/>
    <cellStyle name="Normal 9 3 2 3 2 3" xfId="2882"/>
    <cellStyle name="Normal 9 3 2 3 3" xfId="2883"/>
    <cellStyle name="Normal 9 3 2 3 3 2" xfId="2884"/>
    <cellStyle name="Normal 9 3 2 3 4" xfId="2885"/>
    <cellStyle name="Normal 9 3 2 3 5" xfId="12324"/>
    <cellStyle name="Normal 9 3 2 4" xfId="2886"/>
    <cellStyle name="Normal 9 3 2 4 2" xfId="2887"/>
    <cellStyle name="Normal 9 3 2 4 2 2" xfId="2888"/>
    <cellStyle name="Normal 9 3 2 4 3" xfId="2889"/>
    <cellStyle name="Normal 9 3 2 5" xfId="2890"/>
    <cellStyle name="Normal 9 3 2 5 2" xfId="2891"/>
    <cellStyle name="Normal 9 3 2 6" xfId="2892"/>
    <cellStyle name="Normal 9 3 2 6 2" xfId="12325"/>
    <cellStyle name="Normal 9 3 2 7" xfId="12326"/>
    <cellStyle name="Normal 9 3 2 8" xfId="12327"/>
    <cellStyle name="Normal 9 3 2 9" xfId="12328"/>
    <cellStyle name="Normal 9 3 3" xfId="2893"/>
    <cellStyle name="Normal 9 3 3 2" xfId="2894"/>
    <cellStyle name="Normal 9 3 3 2 2" xfId="2895"/>
    <cellStyle name="Normal 9 3 3 2 2 2" xfId="2896"/>
    <cellStyle name="Normal 9 3 3 2 2 2 2" xfId="2897"/>
    <cellStyle name="Normal 9 3 3 2 2 3" xfId="2898"/>
    <cellStyle name="Normal 9 3 3 2 3" xfId="2899"/>
    <cellStyle name="Normal 9 3 3 2 3 2" xfId="2900"/>
    <cellStyle name="Normal 9 3 3 2 4" xfId="2901"/>
    <cellStyle name="Normal 9 3 3 3" xfId="2902"/>
    <cellStyle name="Normal 9 3 3 3 2" xfId="2903"/>
    <cellStyle name="Normal 9 3 3 3 2 2" xfId="2904"/>
    <cellStyle name="Normal 9 3 3 3 3" xfId="2905"/>
    <cellStyle name="Normal 9 3 3 4" xfId="2906"/>
    <cellStyle name="Normal 9 3 3 4 2" xfId="2907"/>
    <cellStyle name="Normal 9 3 3 5" xfId="2908"/>
    <cellStyle name="Normal 9 3 3 6" xfId="12329"/>
    <cellStyle name="Normal 9 3 3 7" xfId="12330"/>
    <cellStyle name="Normal 9 3 3 8" xfId="12331"/>
    <cellStyle name="Normal 9 3 3 9" xfId="12332"/>
    <cellStyle name="Normal 9 3 4" xfId="2909"/>
    <cellStyle name="Normal 9 3 4 2" xfId="2910"/>
    <cellStyle name="Normal 9 3 4 2 2" xfId="2911"/>
    <cellStyle name="Normal 9 3 4 2 2 2" xfId="2912"/>
    <cellStyle name="Normal 9 3 4 2 3" xfId="2913"/>
    <cellStyle name="Normal 9 3 4 3" xfId="2914"/>
    <cellStyle name="Normal 9 3 4 3 2" xfId="2915"/>
    <cellStyle name="Normal 9 3 4 4" xfId="2916"/>
    <cellStyle name="Normal 9 3 4 5" xfId="12333"/>
    <cellStyle name="Normal 9 3 5" xfId="2917"/>
    <cellStyle name="Normal 9 3 5 2" xfId="2918"/>
    <cellStyle name="Normal 9 3 5 2 2" xfId="2919"/>
    <cellStyle name="Normal 9 3 5 3" xfId="2920"/>
    <cellStyle name="Normal 9 3 6" xfId="2921"/>
    <cellStyle name="Normal 9 3 6 2" xfId="2922"/>
    <cellStyle name="Normal 9 3 7" xfId="2923"/>
    <cellStyle name="Normal 9 3 7 2" xfId="12334"/>
    <cellStyle name="Normal 9 3 8" xfId="12335"/>
    <cellStyle name="Normal 9 3 9" xfId="12336"/>
    <cellStyle name="Normal 9 4" xfId="2924"/>
    <cellStyle name="Normal 9 4 10" xfId="12337"/>
    <cellStyle name="Normal 9 4 11" xfId="12338"/>
    <cellStyle name="Normal 9 4 12" xfId="12339"/>
    <cellStyle name="Normal 9 4 2" xfId="2925"/>
    <cellStyle name="Normal 9 4 2 2" xfId="2926"/>
    <cellStyle name="Normal 9 4 2 2 2" xfId="2927"/>
    <cellStyle name="Normal 9 4 2 2 2 2" xfId="2928"/>
    <cellStyle name="Normal 9 4 2 2 2 2 2" xfId="2929"/>
    <cellStyle name="Normal 9 4 2 2 2 3" xfId="2930"/>
    <cellStyle name="Normal 9 4 2 2 3" xfId="2931"/>
    <cellStyle name="Normal 9 4 2 2 3 2" xfId="2932"/>
    <cellStyle name="Normal 9 4 2 2 4" xfId="2933"/>
    <cellStyle name="Normal 9 4 2 3" xfId="2934"/>
    <cellStyle name="Normal 9 4 2 3 2" xfId="2935"/>
    <cellStyle name="Normal 9 4 2 3 2 2" xfId="2936"/>
    <cellStyle name="Normal 9 4 2 3 3" xfId="2937"/>
    <cellStyle name="Normal 9 4 2 4" xfId="2938"/>
    <cellStyle name="Normal 9 4 2 4 2" xfId="2939"/>
    <cellStyle name="Normal 9 4 2 5" xfId="2940"/>
    <cellStyle name="Normal 9 4 2 6" xfId="12340"/>
    <cellStyle name="Normal 9 4 2 7" xfId="12341"/>
    <cellStyle name="Normal 9 4 2 8" xfId="12342"/>
    <cellStyle name="Normal 9 4 2 9" xfId="12343"/>
    <cellStyle name="Normal 9 4 3" xfId="2941"/>
    <cellStyle name="Normal 9 4 3 2" xfId="2942"/>
    <cellStyle name="Normal 9 4 3 2 2" xfId="2943"/>
    <cellStyle name="Normal 9 4 3 2 2 2" xfId="2944"/>
    <cellStyle name="Normal 9 4 3 2 3" xfId="2945"/>
    <cellStyle name="Normal 9 4 3 3" xfId="2946"/>
    <cellStyle name="Normal 9 4 3 3 2" xfId="2947"/>
    <cellStyle name="Normal 9 4 3 4" xfId="2948"/>
    <cellStyle name="Normal 9 4 3 5" xfId="12344"/>
    <cellStyle name="Normal 9 4 4" xfId="2949"/>
    <cellStyle name="Normal 9 4 4 2" xfId="2950"/>
    <cellStyle name="Normal 9 4 4 2 2" xfId="2951"/>
    <cellStyle name="Normal 9 4 4 3" xfId="2952"/>
    <cellStyle name="Normal 9 4 5" xfId="2953"/>
    <cellStyle name="Normal 9 4 5 2" xfId="2954"/>
    <cellStyle name="Normal 9 4 6" xfId="2955"/>
    <cellStyle name="Normal 9 4 6 2" xfId="12345"/>
    <cellStyle name="Normal 9 4 7" xfId="12346"/>
    <cellStyle name="Normal 9 4 8" xfId="12347"/>
    <cellStyle name="Normal 9 4 9" xfId="12348"/>
    <cellStyle name="Normal 9 5" xfId="2956"/>
    <cellStyle name="Normal 9 5 2" xfId="2957"/>
    <cellStyle name="Normal 9 5 2 2" xfId="2958"/>
    <cellStyle name="Normal 9 5 2 2 2" xfId="2959"/>
    <cellStyle name="Normal 9 5 2 2 2 2" xfId="2960"/>
    <cellStyle name="Normal 9 5 2 2 3" xfId="2961"/>
    <cellStyle name="Normal 9 5 2 3" xfId="2962"/>
    <cellStyle name="Normal 9 5 2 3 2" xfId="2963"/>
    <cellStyle name="Normal 9 5 2 4" xfId="2964"/>
    <cellStyle name="Normal 9 5 3" xfId="2965"/>
    <cellStyle name="Normal 9 5 3 2" xfId="2966"/>
    <cellStyle name="Normal 9 5 3 2 2" xfId="2967"/>
    <cellStyle name="Normal 9 5 3 3" xfId="2968"/>
    <cellStyle name="Normal 9 5 4" xfId="2969"/>
    <cellStyle name="Normal 9 5 4 2" xfId="2970"/>
    <cellStyle name="Normal 9 5 5" xfId="2971"/>
    <cellStyle name="Normal 9 5 6" xfId="12349"/>
    <cellStyle name="Normal 9 6" xfId="2972"/>
    <cellStyle name="Normal 9 6 2" xfId="2973"/>
    <cellStyle name="Normal 9 6 2 2" xfId="2974"/>
    <cellStyle name="Normal 9 6 2 2 2" xfId="2975"/>
    <cellStyle name="Normal 9 6 2 3" xfId="2976"/>
    <cellStyle name="Normal 9 6 3" xfId="2977"/>
    <cellStyle name="Normal 9 6 3 2" xfId="2978"/>
    <cellStyle name="Normal 9 6 4" xfId="2979"/>
    <cellStyle name="Normal 9 6 5" xfId="12350"/>
    <cellStyle name="Normal 9 6 6" xfId="12351"/>
    <cellStyle name="Normal 9 6 7" xfId="12352"/>
    <cellStyle name="Normal 9 6 8" xfId="12353"/>
    <cellStyle name="Normal 9 6 9" xfId="12354"/>
    <cellStyle name="Normal 9 7" xfId="2980"/>
    <cellStyle name="Normal 9 7 2" xfId="2981"/>
    <cellStyle name="Normal 9 7 2 2" xfId="2982"/>
    <cellStyle name="Normal 9 7 3" xfId="2983"/>
    <cellStyle name="Normal 9 8" xfId="2984"/>
    <cellStyle name="Normal 9 8 2" xfId="2985"/>
    <cellStyle name="Normal 9 9" xfId="2986"/>
    <cellStyle name="Normal 9 9 2" xfId="12355"/>
    <cellStyle name="Normal 9_Actual" xfId="12356"/>
    <cellStyle name="Normal 90" xfId="12357"/>
    <cellStyle name="Normal 91" xfId="12358"/>
    <cellStyle name="Normal 92" xfId="12359"/>
    <cellStyle name="Normal 93" xfId="12360"/>
    <cellStyle name="Normal 94" xfId="12361"/>
    <cellStyle name="Normal 95" xfId="12362"/>
    <cellStyle name="Normal 95 2" xfId="16887"/>
    <cellStyle name="Normal 96" xfId="12363"/>
    <cellStyle name="Normal 97" xfId="12364"/>
    <cellStyle name="Normal 98" xfId="12365"/>
    <cellStyle name="Normal 99" xfId="12366"/>
    <cellStyle name="Normal_System Average Rate_version2" xfId="35"/>
    <cellStyle name="Note 10" xfId="12367"/>
    <cellStyle name="Note 10 2" xfId="12368"/>
    <cellStyle name="Note 10 2 2" xfId="12369"/>
    <cellStyle name="Note 10 3" xfId="12370"/>
    <cellStyle name="Note 10 4" xfId="12371"/>
    <cellStyle name="Note 10 5" xfId="12372"/>
    <cellStyle name="Note 11" xfId="12373"/>
    <cellStyle name="Note 11 2" xfId="12374"/>
    <cellStyle name="Note 11 3" xfId="12375"/>
    <cellStyle name="Note 12" xfId="12376"/>
    <cellStyle name="Note 12 2" xfId="12377"/>
    <cellStyle name="Note 12 3" xfId="12378"/>
    <cellStyle name="Note 13" xfId="12379"/>
    <cellStyle name="Note 13 2" xfId="12380"/>
    <cellStyle name="Note 13 3" xfId="12381"/>
    <cellStyle name="Note 14" xfId="12382"/>
    <cellStyle name="Note 15" xfId="12383"/>
    <cellStyle name="Note 15 2" xfId="12384"/>
    <cellStyle name="Note 15 3" xfId="12385"/>
    <cellStyle name="Note 16" xfId="12386"/>
    <cellStyle name="Note 17" xfId="12387"/>
    <cellStyle name="Note 2" xfId="3110"/>
    <cellStyle name="Note 2 10" xfId="12388"/>
    <cellStyle name="Note 2 11" xfId="12389"/>
    <cellStyle name="Note 2 12" xfId="12390"/>
    <cellStyle name="Note 2 12 10" xfId="12391"/>
    <cellStyle name="Note 2 12 11" xfId="12392"/>
    <cellStyle name="Note 2 12 12" xfId="12393"/>
    <cellStyle name="Note 2 12 13" xfId="12394"/>
    <cellStyle name="Note 2 12 14" xfId="12395"/>
    <cellStyle name="Note 2 12 2" xfId="12396"/>
    <cellStyle name="Note 2 12 2 10" xfId="12397"/>
    <cellStyle name="Note 2 12 2 11" xfId="12398"/>
    <cellStyle name="Note 2 12 2 12" xfId="12399"/>
    <cellStyle name="Note 2 12 2 13" xfId="12400"/>
    <cellStyle name="Note 2 12 2 2" xfId="12401"/>
    <cellStyle name="Note 2 12 2 2 10" xfId="12402"/>
    <cellStyle name="Note 2 12 2 2 11" xfId="12403"/>
    <cellStyle name="Note 2 12 2 2 12" xfId="12404"/>
    <cellStyle name="Note 2 12 2 2 2" xfId="12405"/>
    <cellStyle name="Note 2 12 2 2 2 10" xfId="12406"/>
    <cellStyle name="Note 2 12 2 2 2 11" xfId="12407"/>
    <cellStyle name="Note 2 12 2 2 2 2" xfId="12408"/>
    <cellStyle name="Note 2 12 2 2 2 2 2" xfId="12409"/>
    <cellStyle name="Note 2 12 2 2 2 2 2 2" xfId="12410"/>
    <cellStyle name="Note 2 12 2 2 2 2 2 3" xfId="12411"/>
    <cellStyle name="Note 2 12 2 2 2 2 3" xfId="12412"/>
    <cellStyle name="Note 2 12 2 2 2 2 3 2" xfId="12413"/>
    <cellStyle name="Note 2 12 2 2 2 2 4" xfId="12414"/>
    <cellStyle name="Note 2 12 2 2 2 2 5" xfId="12415"/>
    <cellStyle name="Note 2 12 2 2 2 2 6" xfId="12416"/>
    <cellStyle name="Note 2 12 2 2 2 2 7" xfId="12417"/>
    <cellStyle name="Note 2 12 2 2 2 2 8" xfId="12418"/>
    <cellStyle name="Note 2 12 2 2 2 3" xfId="12419"/>
    <cellStyle name="Note 2 12 2 2 2 3 2" xfId="12420"/>
    <cellStyle name="Note 2 12 2 2 2 3 2 2" xfId="12421"/>
    <cellStyle name="Note 2 12 2 2 2 3 3" xfId="12422"/>
    <cellStyle name="Note 2 12 2 2 2 3 4" xfId="12423"/>
    <cellStyle name="Note 2 12 2 2 2 4" xfId="12424"/>
    <cellStyle name="Note 2 12 2 2 2 4 2" xfId="12425"/>
    <cellStyle name="Note 2 12 2 2 2 5" xfId="12426"/>
    <cellStyle name="Note 2 12 2 2 2 5 2" xfId="12427"/>
    <cellStyle name="Note 2 12 2 2 2 6" xfId="12428"/>
    <cellStyle name="Note 2 12 2 2 2 6 2" xfId="12429"/>
    <cellStyle name="Note 2 12 2 2 2 7" xfId="12430"/>
    <cellStyle name="Note 2 12 2 2 2 8" xfId="12431"/>
    <cellStyle name="Note 2 12 2 2 2 9" xfId="12432"/>
    <cellStyle name="Note 2 12 2 2 3" xfId="12433"/>
    <cellStyle name="Note 2 12 2 2 3 2" xfId="12434"/>
    <cellStyle name="Note 2 12 2 2 3 2 2" xfId="12435"/>
    <cellStyle name="Note 2 12 2 2 3 2 3" xfId="12436"/>
    <cellStyle name="Note 2 12 2 2 3 3" xfId="12437"/>
    <cellStyle name="Note 2 12 2 2 3 3 2" xfId="12438"/>
    <cellStyle name="Note 2 12 2 2 3 4" xfId="12439"/>
    <cellStyle name="Note 2 12 2 2 3 5" xfId="12440"/>
    <cellStyle name="Note 2 12 2 2 3 6" xfId="12441"/>
    <cellStyle name="Note 2 12 2 2 3 7" xfId="12442"/>
    <cellStyle name="Note 2 12 2 2 3 8" xfId="12443"/>
    <cellStyle name="Note 2 12 2 2 4" xfId="12444"/>
    <cellStyle name="Note 2 12 2 2 4 2" xfId="12445"/>
    <cellStyle name="Note 2 12 2 2 4 2 2" xfId="12446"/>
    <cellStyle name="Note 2 12 2 2 4 3" xfId="12447"/>
    <cellStyle name="Note 2 12 2 2 4 4" xfId="12448"/>
    <cellStyle name="Note 2 12 2 2 5" xfId="12449"/>
    <cellStyle name="Note 2 12 2 2 5 2" xfId="12450"/>
    <cellStyle name="Note 2 12 2 2 6" xfId="12451"/>
    <cellStyle name="Note 2 12 2 2 6 2" xfId="12452"/>
    <cellStyle name="Note 2 12 2 2 7" xfId="12453"/>
    <cellStyle name="Note 2 12 2 2 7 2" xfId="12454"/>
    <cellStyle name="Note 2 12 2 2 8" xfId="12455"/>
    <cellStyle name="Note 2 12 2 2 9" xfId="12456"/>
    <cellStyle name="Note 2 12 2 3" xfId="12457"/>
    <cellStyle name="Note 2 12 2 3 10" xfId="12458"/>
    <cellStyle name="Note 2 12 2 3 11" xfId="12459"/>
    <cellStyle name="Note 2 12 2 3 2" xfId="12460"/>
    <cellStyle name="Note 2 12 2 3 2 2" xfId="12461"/>
    <cellStyle name="Note 2 12 2 3 2 2 2" xfId="12462"/>
    <cellStyle name="Note 2 12 2 3 2 2 3" xfId="12463"/>
    <cellStyle name="Note 2 12 2 3 2 3" xfId="12464"/>
    <cellStyle name="Note 2 12 2 3 2 3 2" xfId="12465"/>
    <cellStyle name="Note 2 12 2 3 2 4" xfId="12466"/>
    <cellStyle name="Note 2 12 2 3 2 5" xfId="12467"/>
    <cellStyle name="Note 2 12 2 3 2 6" xfId="12468"/>
    <cellStyle name="Note 2 12 2 3 2 7" xfId="12469"/>
    <cellStyle name="Note 2 12 2 3 2 8" xfId="12470"/>
    <cellStyle name="Note 2 12 2 3 3" xfId="12471"/>
    <cellStyle name="Note 2 12 2 3 3 2" xfId="12472"/>
    <cellStyle name="Note 2 12 2 3 3 2 2" xfId="12473"/>
    <cellStyle name="Note 2 12 2 3 3 3" xfId="12474"/>
    <cellStyle name="Note 2 12 2 3 3 4" xfId="12475"/>
    <cellStyle name="Note 2 12 2 3 4" xfId="12476"/>
    <cellStyle name="Note 2 12 2 3 4 2" xfId="12477"/>
    <cellStyle name="Note 2 12 2 3 5" xfId="12478"/>
    <cellStyle name="Note 2 12 2 3 5 2" xfId="12479"/>
    <cellStyle name="Note 2 12 2 3 6" xfId="12480"/>
    <cellStyle name="Note 2 12 2 3 6 2" xfId="12481"/>
    <cellStyle name="Note 2 12 2 3 7" xfId="12482"/>
    <cellStyle name="Note 2 12 2 3 8" xfId="12483"/>
    <cellStyle name="Note 2 12 2 3 9" xfId="12484"/>
    <cellStyle name="Note 2 12 2 4" xfId="12485"/>
    <cellStyle name="Note 2 12 2 4 2" xfId="12486"/>
    <cellStyle name="Note 2 12 2 4 2 2" xfId="12487"/>
    <cellStyle name="Note 2 12 2 4 2 3" xfId="12488"/>
    <cellStyle name="Note 2 12 2 4 3" xfId="12489"/>
    <cellStyle name="Note 2 12 2 4 3 2" xfId="12490"/>
    <cellStyle name="Note 2 12 2 4 4" xfId="12491"/>
    <cellStyle name="Note 2 12 2 4 5" xfId="12492"/>
    <cellStyle name="Note 2 12 2 4 6" xfId="12493"/>
    <cellStyle name="Note 2 12 2 4 7" xfId="12494"/>
    <cellStyle name="Note 2 12 2 4 8" xfId="12495"/>
    <cellStyle name="Note 2 12 2 5" xfId="12496"/>
    <cellStyle name="Note 2 12 2 5 2" xfId="12497"/>
    <cellStyle name="Note 2 12 2 5 2 2" xfId="12498"/>
    <cellStyle name="Note 2 12 2 5 3" xfId="12499"/>
    <cellStyle name="Note 2 12 2 5 4" xfId="12500"/>
    <cellStyle name="Note 2 12 2 6" xfId="12501"/>
    <cellStyle name="Note 2 12 2 6 2" xfId="12502"/>
    <cellStyle name="Note 2 12 2 7" xfId="12503"/>
    <cellStyle name="Note 2 12 2 7 2" xfId="12504"/>
    <cellStyle name="Note 2 12 2 8" xfId="12505"/>
    <cellStyle name="Note 2 12 2 8 2" xfId="12506"/>
    <cellStyle name="Note 2 12 2 9" xfId="12507"/>
    <cellStyle name="Note 2 12 3" xfId="12508"/>
    <cellStyle name="Note 2 12 3 10" xfId="12509"/>
    <cellStyle name="Note 2 12 3 11" xfId="12510"/>
    <cellStyle name="Note 2 12 3 12" xfId="12511"/>
    <cellStyle name="Note 2 12 3 2" xfId="12512"/>
    <cellStyle name="Note 2 12 3 2 10" xfId="12513"/>
    <cellStyle name="Note 2 12 3 2 11" xfId="12514"/>
    <cellStyle name="Note 2 12 3 2 2" xfId="12515"/>
    <cellStyle name="Note 2 12 3 2 2 2" xfId="12516"/>
    <cellStyle name="Note 2 12 3 2 2 2 2" xfId="12517"/>
    <cellStyle name="Note 2 12 3 2 2 2 3" xfId="12518"/>
    <cellStyle name="Note 2 12 3 2 2 3" xfId="12519"/>
    <cellStyle name="Note 2 12 3 2 2 3 2" xfId="12520"/>
    <cellStyle name="Note 2 12 3 2 2 4" xfId="12521"/>
    <cellStyle name="Note 2 12 3 2 2 5" xfId="12522"/>
    <cellStyle name="Note 2 12 3 2 2 6" xfId="12523"/>
    <cellStyle name="Note 2 12 3 2 2 7" xfId="12524"/>
    <cellStyle name="Note 2 12 3 2 2 8" xfId="12525"/>
    <cellStyle name="Note 2 12 3 2 3" xfId="12526"/>
    <cellStyle name="Note 2 12 3 2 3 2" xfId="12527"/>
    <cellStyle name="Note 2 12 3 2 3 2 2" xfId="12528"/>
    <cellStyle name="Note 2 12 3 2 3 3" xfId="12529"/>
    <cellStyle name="Note 2 12 3 2 3 4" xfId="12530"/>
    <cellStyle name="Note 2 12 3 2 4" xfId="12531"/>
    <cellStyle name="Note 2 12 3 2 4 2" xfId="12532"/>
    <cellStyle name="Note 2 12 3 2 5" xfId="12533"/>
    <cellStyle name="Note 2 12 3 2 5 2" xfId="12534"/>
    <cellStyle name="Note 2 12 3 2 6" xfId="12535"/>
    <cellStyle name="Note 2 12 3 2 6 2" xfId="12536"/>
    <cellStyle name="Note 2 12 3 2 7" xfId="12537"/>
    <cellStyle name="Note 2 12 3 2 8" xfId="12538"/>
    <cellStyle name="Note 2 12 3 2 9" xfId="12539"/>
    <cellStyle name="Note 2 12 3 3" xfId="12540"/>
    <cellStyle name="Note 2 12 3 3 2" xfId="12541"/>
    <cellStyle name="Note 2 12 3 3 2 2" xfId="12542"/>
    <cellStyle name="Note 2 12 3 3 2 3" xfId="12543"/>
    <cellStyle name="Note 2 12 3 3 3" xfId="12544"/>
    <cellStyle name="Note 2 12 3 3 3 2" xfId="12545"/>
    <cellStyle name="Note 2 12 3 3 4" xfId="12546"/>
    <cellStyle name="Note 2 12 3 3 5" xfId="12547"/>
    <cellStyle name="Note 2 12 3 3 6" xfId="12548"/>
    <cellStyle name="Note 2 12 3 3 7" xfId="12549"/>
    <cellStyle name="Note 2 12 3 3 8" xfId="12550"/>
    <cellStyle name="Note 2 12 3 4" xfId="12551"/>
    <cellStyle name="Note 2 12 3 4 2" xfId="12552"/>
    <cellStyle name="Note 2 12 3 4 2 2" xfId="12553"/>
    <cellStyle name="Note 2 12 3 4 3" xfId="12554"/>
    <cellStyle name="Note 2 12 3 4 4" xfId="12555"/>
    <cellStyle name="Note 2 12 3 5" xfId="12556"/>
    <cellStyle name="Note 2 12 3 5 2" xfId="12557"/>
    <cellStyle name="Note 2 12 3 6" xfId="12558"/>
    <cellStyle name="Note 2 12 3 6 2" xfId="12559"/>
    <cellStyle name="Note 2 12 3 7" xfId="12560"/>
    <cellStyle name="Note 2 12 3 7 2" xfId="12561"/>
    <cellStyle name="Note 2 12 3 8" xfId="12562"/>
    <cellStyle name="Note 2 12 3 9" xfId="12563"/>
    <cellStyle name="Note 2 12 4" xfId="12564"/>
    <cellStyle name="Note 2 12 4 10" xfId="12565"/>
    <cellStyle name="Note 2 12 4 11" xfId="12566"/>
    <cellStyle name="Note 2 12 4 2" xfId="12567"/>
    <cellStyle name="Note 2 12 4 2 2" xfId="12568"/>
    <cellStyle name="Note 2 12 4 2 2 2" xfId="12569"/>
    <cellStyle name="Note 2 12 4 2 2 3" xfId="12570"/>
    <cellStyle name="Note 2 12 4 2 3" xfId="12571"/>
    <cellStyle name="Note 2 12 4 2 3 2" xfId="12572"/>
    <cellStyle name="Note 2 12 4 2 4" xfId="12573"/>
    <cellStyle name="Note 2 12 4 2 5" xfId="12574"/>
    <cellStyle name="Note 2 12 4 2 6" xfId="12575"/>
    <cellStyle name="Note 2 12 4 2 7" xfId="12576"/>
    <cellStyle name="Note 2 12 4 2 8" xfId="12577"/>
    <cellStyle name="Note 2 12 4 3" xfId="12578"/>
    <cellStyle name="Note 2 12 4 3 2" xfId="12579"/>
    <cellStyle name="Note 2 12 4 3 2 2" xfId="12580"/>
    <cellStyle name="Note 2 12 4 3 3" xfId="12581"/>
    <cellStyle name="Note 2 12 4 3 4" xfId="12582"/>
    <cellStyle name="Note 2 12 4 4" xfId="12583"/>
    <cellStyle name="Note 2 12 4 4 2" xfId="12584"/>
    <cellStyle name="Note 2 12 4 5" xfId="12585"/>
    <cellStyle name="Note 2 12 4 5 2" xfId="12586"/>
    <cellStyle name="Note 2 12 4 6" xfId="12587"/>
    <cellStyle name="Note 2 12 4 6 2" xfId="12588"/>
    <cellStyle name="Note 2 12 4 7" xfId="12589"/>
    <cellStyle name="Note 2 12 4 8" xfId="12590"/>
    <cellStyle name="Note 2 12 4 9" xfId="12591"/>
    <cellStyle name="Note 2 12 5" xfId="12592"/>
    <cellStyle name="Note 2 12 5 2" xfId="12593"/>
    <cellStyle name="Note 2 12 5 2 2" xfId="12594"/>
    <cellStyle name="Note 2 12 5 2 3" xfId="12595"/>
    <cellStyle name="Note 2 12 5 3" xfId="12596"/>
    <cellStyle name="Note 2 12 5 3 2" xfId="12597"/>
    <cellStyle name="Note 2 12 5 4" xfId="12598"/>
    <cellStyle name="Note 2 12 5 5" xfId="12599"/>
    <cellStyle name="Note 2 12 5 6" xfId="12600"/>
    <cellStyle name="Note 2 12 5 7" xfId="12601"/>
    <cellStyle name="Note 2 12 5 8" xfId="12602"/>
    <cellStyle name="Note 2 12 6" xfId="12603"/>
    <cellStyle name="Note 2 12 6 2" xfId="12604"/>
    <cellStyle name="Note 2 12 6 2 2" xfId="12605"/>
    <cellStyle name="Note 2 12 6 3" xfId="12606"/>
    <cellStyle name="Note 2 12 6 4" xfId="12607"/>
    <cellStyle name="Note 2 12 7" xfId="12608"/>
    <cellStyle name="Note 2 12 7 2" xfId="12609"/>
    <cellStyle name="Note 2 12 8" xfId="12610"/>
    <cellStyle name="Note 2 12 8 2" xfId="12611"/>
    <cellStyle name="Note 2 12 9" xfId="12612"/>
    <cellStyle name="Note 2 12 9 2" xfId="12613"/>
    <cellStyle name="Note 2 13" xfId="12614"/>
    <cellStyle name="Note 2 14" xfId="12615"/>
    <cellStyle name="Note 2 15" xfId="12616"/>
    <cellStyle name="Note 2 15 10" xfId="12617"/>
    <cellStyle name="Note 2 15 11" xfId="12618"/>
    <cellStyle name="Note 2 15 12" xfId="12619"/>
    <cellStyle name="Note 2 15 13" xfId="12620"/>
    <cellStyle name="Note 2 15 2" xfId="12621"/>
    <cellStyle name="Note 2 15 2 10" xfId="12622"/>
    <cellStyle name="Note 2 15 2 11" xfId="12623"/>
    <cellStyle name="Note 2 15 2 12" xfId="12624"/>
    <cellStyle name="Note 2 15 2 2" xfId="12625"/>
    <cellStyle name="Note 2 15 2 2 10" xfId="12626"/>
    <cellStyle name="Note 2 15 2 2 11" xfId="12627"/>
    <cellStyle name="Note 2 15 2 2 2" xfId="12628"/>
    <cellStyle name="Note 2 15 2 2 2 2" xfId="12629"/>
    <cellStyle name="Note 2 15 2 2 2 2 2" xfId="12630"/>
    <cellStyle name="Note 2 15 2 2 2 2 3" xfId="12631"/>
    <cellStyle name="Note 2 15 2 2 2 3" xfId="12632"/>
    <cellStyle name="Note 2 15 2 2 2 3 2" xfId="12633"/>
    <cellStyle name="Note 2 15 2 2 2 4" xfId="12634"/>
    <cellStyle name="Note 2 15 2 2 2 5" xfId="12635"/>
    <cellStyle name="Note 2 15 2 2 2 6" xfId="12636"/>
    <cellStyle name="Note 2 15 2 2 2 7" xfId="12637"/>
    <cellStyle name="Note 2 15 2 2 2 8" xfId="12638"/>
    <cellStyle name="Note 2 15 2 2 3" xfId="12639"/>
    <cellStyle name="Note 2 15 2 2 3 2" xfId="12640"/>
    <cellStyle name="Note 2 15 2 2 3 2 2" xfId="12641"/>
    <cellStyle name="Note 2 15 2 2 3 3" xfId="12642"/>
    <cellStyle name="Note 2 15 2 2 3 4" xfId="12643"/>
    <cellStyle name="Note 2 15 2 2 4" xfId="12644"/>
    <cellStyle name="Note 2 15 2 2 4 2" xfId="12645"/>
    <cellStyle name="Note 2 15 2 2 5" xfId="12646"/>
    <cellStyle name="Note 2 15 2 2 5 2" xfId="12647"/>
    <cellStyle name="Note 2 15 2 2 6" xfId="12648"/>
    <cellStyle name="Note 2 15 2 2 6 2" xfId="12649"/>
    <cellStyle name="Note 2 15 2 2 7" xfId="12650"/>
    <cellStyle name="Note 2 15 2 2 8" xfId="12651"/>
    <cellStyle name="Note 2 15 2 2 9" xfId="12652"/>
    <cellStyle name="Note 2 15 2 3" xfId="12653"/>
    <cellStyle name="Note 2 15 2 3 2" xfId="12654"/>
    <cellStyle name="Note 2 15 2 3 2 2" xfId="12655"/>
    <cellStyle name="Note 2 15 2 3 2 3" xfId="12656"/>
    <cellStyle name="Note 2 15 2 3 3" xfId="12657"/>
    <cellStyle name="Note 2 15 2 3 3 2" xfId="12658"/>
    <cellStyle name="Note 2 15 2 3 4" xfId="12659"/>
    <cellStyle name="Note 2 15 2 3 5" xfId="12660"/>
    <cellStyle name="Note 2 15 2 3 6" xfId="12661"/>
    <cellStyle name="Note 2 15 2 3 7" xfId="12662"/>
    <cellStyle name="Note 2 15 2 3 8" xfId="12663"/>
    <cellStyle name="Note 2 15 2 4" xfId="12664"/>
    <cellStyle name="Note 2 15 2 4 2" xfId="12665"/>
    <cellStyle name="Note 2 15 2 4 2 2" xfId="12666"/>
    <cellStyle name="Note 2 15 2 4 3" xfId="12667"/>
    <cellStyle name="Note 2 15 2 4 4" xfId="12668"/>
    <cellStyle name="Note 2 15 2 5" xfId="12669"/>
    <cellStyle name="Note 2 15 2 5 2" xfId="12670"/>
    <cellStyle name="Note 2 15 2 6" xfId="12671"/>
    <cellStyle name="Note 2 15 2 6 2" xfId="12672"/>
    <cellStyle name="Note 2 15 2 7" xfId="12673"/>
    <cellStyle name="Note 2 15 2 7 2" xfId="12674"/>
    <cellStyle name="Note 2 15 2 8" xfId="12675"/>
    <cellStyle name="Note 2 15 2 9" xfId="12676"/>
    <cellStyle name="Note 2 15 3" xfId="12677"/>
    <cellStyle name="Note 2 15 3 10" xfId="12678"/>
    <cellStyle name="Note 2 15 3 11" xfId="12679"/>
    <cellStyle name="Note 2 15 3 2" xfId="12680"/>
    <cellStyle name="Note 2 15 3 2 2" xfId="12681"/>
    <cellStyle name="Note 2 15 3 2 2 2" xfId="12682"/>
    <cellStyle name="Note 2 15 3 2 2 3" xfId="12683"/>
    <cellStyle name="Note 2 15 3 2 3" xfId="12684"/>
    <cellStyle name="Note 2 15 3 2 3 2" xfId="12685"/>
    <cellStyle name="Note 2 15 3 2 4" xfId="12686"/>
    <cellStyle name="Note 2 15 3 2 5" xfId="12687"/>
    <cellStyle name="Note 2 15 3 2 6" xfId="12688"/>
    <cellStyle name="Note 2 15 3 2 7" xfId="12689"/>
    <cellStyle name="Note 2 15 3 2 8" xfId="12690"/>
    <cellStyle name="Note 2 15 3 3" xfId="12691"/>
    <cellStyle name="Note 2 15 3 3 2" xfId="12692"/>
    <cellStyle name="Note 2 15 3 3 2 2" xfId="12693"/>
    <cellStyle name="Note 2 15 3 3 3" xfId="12694"/>
    <cellStyle name="Note 2 15 3 3 4" xfId="12695"/>
    <cellStyle name="Note 2 15 3 4" xfId="12696"/>
    <cellStyle name="Note 2 15 3 4 2" xfId="12697"/>
    <cellStyle name="Note 2 15 3 5" xfId="12698"/>
    <cellStyle name="Note 2 15 3 5 2" xfId="12699"/>
    <cellStyle name="Note 2 15 3 6" xfId="12700"/>
    <cellStyle name="Note 2 15 3 6 2" xfId="12701"/>
    <cellStyle name="Note 2 15 3 7" xfId="12702"/>
    <cellStyle name="Note 2 15 3 8" xfId="12703"/>
    <cellStyle name="Note 2 15 3 9" xfId="12704"/>
    <cellStyle name="Note 2 15 4" xfId="12705"/>
    <cellStyle name="Note 2 15 4 2" xfId="12706"/>
    <cellStyle name="Note 2 15 4 2 2" xfId="12707"/>
    <cellStyle name="Note 2 15 4 2 3" xfId="12708"/>
    <cellStyle name="Note 2 15 4 3" xfId="12709"/>
    <cellStyle name="Note 2 15 4 3 2" xfId="12710"/>
    <cellStyle name="Note 2 15 4 4" xfId="12711"/>
    <cellStyle name="Note 2 15 4 5" xfId="12712"/>
    <cellStyle name="Note 2 15 4 6" xfId="12713"/>
    <cellStyle name="Note 2 15 4 7" xfId="12714"/>
    <cellStyle name="Note 2 15 4 8" xfId="12715"/>
    <cellStyle name="Note 2 15 5" xfId="12716"/>
    <cellStyle name="Note 2 15 5 2" xfId="12717"/>
    <cellStyle name="Note 2 15 5 2 2" xfId="12718"/>
    <cellStyle name="Note 2 15 5 3" xfId="12719"/>
    <cellStyle name="Note 2 15 5 4" xfId="12720"/>
    <cellStyle name="Note 2 15 6" xfId="12721"/>
    <cellStyle name="Note 2 15 6 2" xfId="12722"/>
    <cellStyle name="Note 2 15 7" xfId="12723"/>
    <cellStyle name="Note 2 15 7 2" xfId="12724"/>
    <cellStyle name="Note 2 15 8" xfId="12725"/>
    <cellStyle name="Note 2 15 8 2" xfId="12726"/>
    <cellStyle name="Note 2 15 9" xfId="12727"/>
    <cellStyle name="Note 2 16" xfId="12728"/>
    <cellStyle name="Note 2 17" xfId="12729"/>
    <cellStyle name="Note 2 18" xfId="12730"/>
    <cellStyle name="Note 2 2" xfId="3111"/>
    <cellStyle name="Note 2 2 2" xfId="12731"/>
    <cellStyle name="Note 2 3" xfId="3112"/>
    <cellStyle name="Note 2 3 2" xfId="12732"/>
    <cellStyle name="Note 2 4" xfId="3113"/>
    <cellStyle name="Note 2 4 2" xfId="12733"/>
    <cellStyle name="Note 2 5" xfId="3114"/>
    <cellStyle name="Note 2 5 2" xfId="12734"/>
    <cellStyle name="Note 2 6" xfId="12735"/>
    <cellStyle name="Note 2 6 2" xfId="12736"/>
    <cellStyle name="Note 2 7" xfId="12737"/>
    <cellStyle name="Note 2 7 2" xfId="12738"/>
    <cellStyle name="Note 2 8" xfId="12739"/>
    <cellStyle name="Note 2 8 2" xfId="12740"/>
    <cellStyle name="Note 2 9" xfId="12741"/>
    <cellStyle name="Note 3" xfId="3115"/>
    <cellStyle name="Note 3 10" xfId="12742"/>
    <cellStyle name="Note 3 11" xfId="12743"/>
    <cellStyle name="Note 3 12" xfId="12744"/>
    <cellStyle name="Note 3 12 10" xfId="12745"/>
    <cellStyle name="Note 3 12 11" xfId="12746"/>
    <cellStyle name="Note 3 12 12" xfId="12747"/>
    <cellStyle name="Note 3 12 13" xfId="12748"/>
    <cellStyle name="Note 3 12 14" xfId="12749"/>
    <cellStyle name="Note 3 12 2" xfId="12750"/>
    <cellStyle name="Note 3 12 2 10" xfId="12751"/>
    <cellStyle name="Note 3 12 2 11" xfId="12752"/>
    <cellStyle name="Note 3 12 2 12" xfId="12753"/>
    <cellStyle name="Note 3 12 2 13" xfId="12754"/>
    <cellStyle name="Note 3 12 2 2" xfId="12755"/>
    <cellStyle name="Note 3 12 2 2 10" xfId="12756"/>
    <cellStyle name="Note 3 12 2 2 11" xfId="12757"/>
    <cellStyle name="Note 3 12 2 2 12" xfId="12758"/>
    <cellStyle name="Note 3 12 2 2 2" xfId="12759"/>
    <cellStyle name="Note 3 12 2 2 2 10" xfId="12760"/>
    <cellStyle name="Note 3 12 2 2 2 11" xfId="12761"/>
    <cellStyle name="Note 3 12 2 2 2 2" xfId="12762"/>
    <cellStyle name="Note 3 12 2 2 2 2 2" xfId="12763"/>
    <cellStyle name="Note 3 12 2 2 2 2 2 2" xfId="12764"/>
    <cellStyle name="Note 3 12 2 2 2 2 2 3" xfId="12765"/>
    <cellStyle name="Note 3 12 2 2 2 2 3" xfId="12766"/>
    <cellStyle name="Note 3 12 2 2 2 2 3 2" xfId="12767"/>
    <cellStyle name="Note 3 12 2 2 2 2 4" xfId="12768"/>
    <cellStyle name="Note 3 12 2 2 2 2 5" xfId="12769"/>
    <cellStyle name="Note 3 12 2 2 2 2 6" xfId="12770"/>
    <cellStyle name="Note 3 12 2 2 2 2 7" xfId="12771"/>
    <cellStyle name="Note 3 12 2 2 2 2 8" xfId="12772"/>
    <cellStyle name="Note 3 12 2 2 2 3" xfId="12773"/>
    <cellStyle name="Note 3 12 2 2 2 3 2" xfId="12774"/>
    <cellStyle name="Note 3 12 2 2 2 3 2 2" xfId="12775"/>
    <cellStyle name="Note 3 12 2 2 2 3 3" xfId="12776"/>
    <cellStyle name="Note 3 12 2 2 2 3 4" xfId="12777"/>
    <cellStyle name="Note 3 12 2 2 2 4" xfId="12778"/>
    <cellStyle name="Note 3 12 2 2 2 4 2" xfId="12779"/>
    <cellStyle name="Note 3 12 2 2 2 5" xfId="12780"/>
    <cellStyle name="Note 3 12 2 2 2 5 2" xfId="12781"/>
    <cellStyle name="Note 3 12 2 2 2 6" xfId="12782"/>
    <cellStyle name="Note 3 12 2 2 2 6 2" xfId="12783"/>
    <cellStyle name="Note 3 12 2 2 2 7" xfId="12784"/>
    <cellStyle name="Note 3 12 2 2 2 8" xfId="12785"/>
    <cellStyle name="Note 3 12 2 2 2 9" xfId="12786"/>
    <cellStyle name="Note 3 12 2 2 3" xfId="12787"/>
    <cellStyle name="Note 3 12 2 2 3 2" xfId="12788"/>
    <cellStyle name="Note 3 12 2 2 3 2 2" xfId="12789"/>
    <cellStyle name="Note 3 12 2 2 3 2 3" xfId="12790"/>
    <cellStyle name="Note 3 12 2 2 3 3" xfId="12791"/>
    <cellStyle name="Note 3 12 2 2 3 3 2" xfId="12792"/>
    <cellStyle name="Note 3 12 2 2 3 4" xfId="12793"/>
    <cellStyle name="Note 3 12 2 2 3 5" xfId="12794"/>
    <cellStyle name="Note 3 12 2 2 3 6" xfId="12795"/>
    <cellStyle name="Note 3 12 2 2 3 7" xfId="12796"/>
    <cellStyle name="Note 3 12 2 2 3 8" xfId="12797"/>
    <cellStyle name="Note 3 12 2 2 4" xfId="12798"/>
    <cellStyle name="Note 3 12 2 2 4 2" xfId="12799"/>
    <cellStyle name="Note 3 12 2 2 4 2 2" xfId="12800"/>
    <cellStyle name="Note 3 12 2 2 4 3" xfId="12801"/>
    <cellStyle name="Note 3 12 2 2 4 4" xfId="12802"/>
    <cellStyle name="Note 3 12 2 2 5" xfId="12803"/>
    <cellStyle name="Note 3 12 2 2 5 2" xfId="12804"/>
    <cellStyle name="Note 3 12 2 2 6" xfId="12805"/>
    <cellStyle name="Note 3 12 2 2 6 2" xfId="12806"/>
    <cellStyle name="Note 3 12 2 2 7" xfId="12807"/>
    <cellStyle name="Note 3 12 2 2 7 2" xfId="12808"/>
    <cellStyle name="Note 3 12 2 2 8" xfId="12809"/>
    <cellStyle name="Note 3 12 2 2 9" xfId="12810"/>
    <cellStyle name="Note 3 12 2 3" xfId="12811"/>
    <cellStyle name="Note 3 12 2 3 10" xfId="12812"/>
    <cellStyle name="Note 3 12 2 3 11" xfId="12813"/>
    <cellStyle name="Note 3 12 2 3 2" xfId="12814"/>
    <cellStyle name="Note 3 12 2 3 2 2" xfId="12815"/>
    <cellStyle name="Note 3 12 2 3 2 2 2" xfId="12816"/>
    <cellStyle name="Note 3 12 2 3 2 2 3" xfId="12817"/>
    <cellStyle name="Note 3 12 2 3 2 3" xfId="12818"/>
    <cellStyle name="Note 3 12 2 3 2 3 2" xfId="12819"/>
    <cellStyle name="Note 3 12 2 3 2 4" xfId="12820"/>
    <cellStyle name="Note 3 12 2 3 2 5" xfId="12821"/>
    <cellStyle name="Note 3 12 2 3 2 6" xfId="12822"/>
    <cellStyle name="Note 3 12 2 3 2 7" xfId="12823"/>
    <cellStyle name="Note 3 12 2 3 2 8" xfId="12824"/>
    <cellStyle name="Note 3 12 2 3 3" xfId="12825"/>
    <cellStyle name="Note 3 12 2 3 3 2" xfId="12826"/>
    <cellStyle name="Note 3 12 2 3 3 2 2" xfId="12827"/>
    <cellStyle name="Note 3 12 2 3 3 3" xfId="12828"/>
    <cellStyle name="Note 3 12 2 3 3 4" xfId="12829"/>
    <cellStyle name="Note 3 12 2 3 4" xfId="12830"/>
    <cellStyle name="Note 3 12 2 3 4 2" xfId="12831"/>
    <cellStyle name="Note 3 12 2 3 5" xfId="12832"/>
    <cellStyle name="Note 3 12 2 3 5 2" xfId="12833"/>
    <cellStyle name="Note 3 12 2 3 6" xfId="12834"/>
    <cellStyle name="Note 3 12 2 3 6 2" xfId="12835"/>
    <cellStyle name="Note 3 12 2 3 7" xfId="12836"/>
    <cellStyle name="Note 3 12 2 3 8" xfId="12837"/>
    <cellStyle name="Note 3 12 2 3 9" xfId="12838"/>
    <cellStyle name="Note 3 12 2 4" xfId="12839"/>
    <cellStyle name="Note 3 12 2 4 2" xfId="12840"/>
    <cellStyle name="Note 3 12 2 4 2 2" xfId="12841"/>
    <cellStyle name="Note 3 12 2 4 2 3" xfId="12842"/>
    <cellStyle name="Note 3 12 2 4 3" xfId="12843"/>
    <cellStyle name="Note 3 12 2 4 3 2" xfId="12844"/>
    <cellStyle name="Note 3 12 2 4 4" xfId="12845"/>
    <cellStyle name="Note 3 12 2 4 5" xfId="12846"/>
    <cellStyle name="Note 3 12 2 4 6" xfId="12847"/>
    <cellStyle name="Note 3 12 2 4 7" xfId="12848"/>
    <cellStyle name="Note 3 12 2 4 8" xfId="12849"/>
    <cellStyle name="Note 3 12 2 5" xfId="12850"/>
    <cellStyle name="Note 3 12 2 5 2" xfId="12851"/>
    <cellStyle name="Note 3 12 2 5 2 2" xfId="12852"/>
    <cellStyle name="Note 3 12 2 5 3" xfId="12853"/>
    <cellStyle name="Note 3 12 2 5 4" xfId="12854"/>
    <cellStyle name="Note 3 12 2 6" xfId="12855"/>
    <cellStyle name="Note 3 12 2 6 2" xfId="12856"/>
    <cellStyle name="Note 3 12 2 7" xfId="12857"/>
    <cellStyle name="Note 3 12 2 7 2" xfId="12858"/>
    <cellStyle name="Note 3 12 2 8" xfId="12859"/>
    <cellStyle name="Note 3 12 2 8 2" xfId="12860"/>
    <cellStyle name="Note 3 12 2 9" xfId="12861"/>
    <cellStyle name="Note 3 12 3" xfId="12862"/>
    <cellStyle name="Note 3 12 3 10" xfId="12863"/>
    <cellStyle name="Note 3 12 3 11" xfId="12864"/>
    <cellStyle name="Note 3 12 3 12" xfId="12865"/>
    <cellStyle name="Note 3 12 3 2" xfId="12866"/>
    <cellStyle name="Note 3 12 3 2 10" xfId="12867"/>
    <cellStyle name="Note 3 12 3 2 11" xfId="12868"/>
    <cellStyle name="Note 3 12 3 2 2" xfId="12869"/>
    <cellStyle name="Note 3 12 3 2 2 2" xfId="12870"/>
    <cellStyle name="Note 3 12 3 2 2 2 2" xfId="12871"/>
    <cellStyle name="Note 3 12 3 2 2 2 3" xfId="12872"/>
    <cellStyle name="Note 3 12 3 2 2 3" xfId="12873"/>
    <cellStyle name="Note 3 12 3 2 2 3 2" xfId="12874"/>
    <cellStyle name="Note 3 12 3 2 2 4" xfId="12875"/>
    <cellStyle name="Note 3 12 3 2 2 5" xfId="12876"/>
    <cellStyle name="Note 3 12 3 2 2 6" xfId="12877"/>
    <cellStyle name="Note 3 12 3 2 2 7" xfId="12878"/>
    <cellStyle name="Note 3 12 3 2 2 8" xfId="12879"/>
    <cellStyle name="Note 3 12 3 2 3" xfId="12880"/>
    <cellStyle name="Note 3 12 3 2 3 2" xfId="12881"/>
    <cellStyle name="Note 3 12 3 2 3 2 2" xfId="12882"/>
    <cellStyle name="Note 3 12 3 2 3 3" xfId="12883"/>
    <cellStyle name="Note 3 12 3 2 3 4" xfId="12884"/>
    <cellStyle name="Note 3 12 3 2 4" xfId="12885"/>
    <cellStyle name="Note 3 12 3 2 4 2" xfId="12886"/>
    <cellStyle name="Note 3 12 3 2 5" xfId="12887"/>
    <cellStyle name="Note 3 12 3 2 5 2" xfId="12888"/>
    <cellStyle name="Note 3 12 3 2 6" xfId="12889"/>
    <cellStyle name="Note 3 12 3 2 6 2" xfId="12890"/>
    <cellStyle name="Note 3 12 3 2 7" xfId="12891"/>
    <cellStyle name="Note 3 12 3 2 8" xfId="12892"/>
    <cellStyle name="Note 3 12 3 2 9" xfId="12893"/>
    <cellStyle name="Note 3 12 3 3" xfId="12894"/>
    <cellStyle name="Note 3 12 3 3 2" xfId="12895"/>
    <cellStyle name="Note 3 12 3 3 2 2" xfId="12896"/>
    <cellStyle name="Note 3 12 3 3 2 3" xfId="12897"/>
    <cellStyle name="Note 3 12 3 3 3" xfId="12898"/>
    <cellStyle name="Note 3 12 3 3 3 2" xfId="12899"/>
    <cellStyle name="Note 3 12 3 3 4" xfId="12900"/>
    <cellStyle name="Note 3 12 3 3 5" xfId="12901"/>
    <cellStyle name="Note 3 12 3 3 6" xfId="12902"/>
    <cellStyle name="Note 3 12 3 3 7" xfId="12903"/>
    <cellStyle name="Note 3 12 3 3 8" xfId="12904"/>
    <cellStyle name="Note 3 12 3 4" xfId="12905"/>
    <cellStyle name="Note 3 12 3 4 2" xfId="12906"/>
    <cellStyle name="Note 3 12 3 4 2 2" xfId="12907"/>
    <cellStyle name="Note 3 12 3 4 3" xfId="12908"/>
    <cellStyle name="Note 3 12 3 4 4" xfId="12909"/>
    <cellStyle name="Note 3 12 3 5" xfId="12910"/>
    <cellStyle name="Note 3 12 3 5 2" xfId="12911"/>
    <cellStyle name="Note 3 12 3 6" xfId="12912"/>
    <cellStyle name="Note 3 12 3 6 2" xfId="12913"/>
    <cellStyle name="Note 3 12 3 7" xfId="12914"/>
    <cellStyle name="Note 3 12 3 7 2" xfId="12915"/>
    <cellStyle name="Note 3 12 3 8" xfId="12916"/>
    <cellStyle name="Note 3 12 3 9" xfId="12917"/>
    <cellStyle name="Note 3 12 4" xfId="12918"/>
    <cellStyle name="Note 3 12 4 10" xfId="12919"/>
    <cellStyle name="Note 3 12 4 11" xfId="12920"/>
    <cellStyle name="Note 3 12 4 2" xfId="12921"/>
    <cellStyle name="Note 3 12 4 2 2" xfId="12922"/>
    <cellStyle name="Note 3 12 4 2 2 2" xfId="12923"/>
    <cellStyle name="Note 3 12 4 2 2 3" xfId="12924"/>
    <cellStyle name="Note 3 12 4 2 3" xfId="12925"/>
    <cellStyle name="Note 3 12 4 2 3 2" xfId="12926"/>
    <cellStyle name="Note 3 12 4 2 4" xfId="12927"/>
    <cellStyle name="Note 3 12 4 2 5" xfId="12928"/>
    <cellStyle name="Note 3 12 4 2 6" xfId="12929"/>
    <cellStyle name="Note 3 12 4 2 7" xfId="12930"/>
    <cellStyle name="Note 3 12 4 2 8" xfId="12931"/>
    <cellStyle name="Note 3 12 4 3" xfId="12932"/>
    <cellStyle name="Note 3 12 4 3 2" xfId="12933"/>
    <cellStyle name="Note 3 12 4 3 2 2" xfId="12934"/>
    <cellStyle name="Note 3 12 4 3 3" xfId="12935"/>
    <cellStyle name="Note 3 12 4 3 4" xfId="12936"/>
    <cellStyle name="Note 3 12 4 4" xfId="12937"/>
    <cellStyle name="Note 3 12 4 4 2" xfId="12938"/>
    <cellStyle name="Note 3 12 4 5" xfId="12939"/>
    <cellStyle name="Note 3 12 4 5 2" xfId="12940"/>
    <cellStyle name="Note 3 12 4 6" xfId="12941"/>
    <cellStyle name="Note 3 12 4 6 2" xfId="12942"/>
    <cellStyle name="Note 3 12 4 7" xfId="12943"/>
    <cellStyle name="Note 3 12 4 8" xfId="12944"/>
    <cellStyle name="Note 3 12 4 9" xfId="12945"/>
    <cellStyle name="Note 3 12 5" xfId="12946"/>
    <cellStyle name="Note 3 12 5 2" xfId="12947"/>
    <cellStyle name="Note 3 12 5 2 2" xfId="12948"/>
    <cellStyle name="Note 3 12 5 2 3" xfId="12949"/>
    <cellStyle name="Note 3 12 5 3" xfId="12950"/>
    <cellStyle name="Note 3 12 5 3 2" xfId="12951"/>
    <cellStyle name="Note 3 12 5 4" xfId="12952"/>
    <cellStyle name="Note 3 12 5 5" xfId="12953"/>
    <cellStyle name="Note 3 12 5 6" xfId="12954"/>
    <cellStyle name="Note 3 12 5 7" xfId="12955"/>
    <cellStyle name="Note 3 12 5 8" xfId="12956"/>
    <cellStyle name="Note 3 12 6" xfId="12957"/>
    <cellStyle name="Note 3 12 6 2" xfId="12958"/>
    <cellStyle name="Note 3 12 6 2 2" xfId="12959"/>
    <cellStyle name="Note 3 12 6 3" xfId="12960"/>
    <cellStyle name="Note 3 12 6 4" xfId="12961"/>
    <cellStyle name="Note 3 12 7" xfId="12962"/>
    <cellStyle name="Note 3 12 7 2" xfId="12963"/>
    <cellStyle name="Note 3 12 8" xfId="12964"/>
    <cellStyle name="Note 3 12 8 2" xfId="12965"/>
    <cellStyle name="Note 3 12 9" xfId="12966"/>
    <cellStyle name="Note 3 12 9 2" xfId="12967"/>
    <cellStyle name="Note 3 13" xfId="12968"/>
    <cellStyle name="Note 3 14" xfId="12969"/>
    <cellStyle name="Note 3 15" xfId="12970"/>
    <cellStyle name="Note 3 15 10" xfId="12971"/>
    <cellStyle name="Note 3 15 11" xfId="12972"/>
    <cellStyle name="Note 3 15 12" xfId="12973"/>
    <cellStyle name="Note 3 15 13" xfId="12974"/>
    <cellStyle name="Note 3 15 2" xfId="12975"/>
    <cellStyle name="Note 3 15 2 10" xfId="12976"/>
    <cellStyle name="Note 3 15 2 11" xfId="12977"/>
    <cellStyle name="Note 3 15 2 12" xfId="12978"/>
    <cellStyle name="Note 3 15 2 2" xfId="12979"/>
    <cellStyle name="Note 3 15 2 2 10" xfId="12980"/>
    <cellStyle name="Note 3 15 2 2 11" xfId="12981"/>
    <cellStyle name="Note 3 15 2 2 2" xfId="12982"/>
    <cellStyle name="Note 3 15 2 2 2 2" xfId="12983"/>
    <cellStyle name="Note 3 15 2 2 2 2 2" xfId="12984"/>
    <cellStyle name="Note 3 15 2 2 2 2 3" xfId="12985"/>
    <cellStyle name="Note 3 15 2 2 2 3" xfId="12986"/>
    <cellStyle name="Note 3 15 2 2 2 3 2" xfId="12987"/>
    <cellStyle name="Note 3 15 2 2 2 4" xfId="12988"/>
    <cellStyle name="Note 3 15 2 2 2 5" xfId="12989"/>
    <cellStyle name="Note 3 15 2 2 2 6" xfId="12990"/>
    <cellStyle name="Note 3 15 2 2 2 7" xfId="12991"/>
    <cellStyle name="Note 3 15 2 2 2 8" xfId="12992"/>
    <cellStyle name="Note 3 15 2 2 3" xfId="12993"/>
    <cellStyle name="Note 3 15 2 2 3 2" xfId="12994"/>
    <cellStyle name="Note 3 15 2 2 3 2 2" xfId="12995"/>
    <cellStyle name="Note 3 15 2 2 3 3" xfId="12996"/>
    <cellStyle name="Note 3 15 2 2 3 4" xfId="12997"/>
    <cellStyle name="Note 3 15 2 2 4" xfId="12998"/>
    <cellStyle name="Note 3 15 2 2 4 2" xfId="12999"/>
    <cellStyle name="Note 3 15 2 2 5" xfId="13000"/>
    <cellStyle name="Note 3 15 2 2 5 2" xfId="13001"/>
    <cellStyle name="Note 3 15 2 2 6" xfId="13002"/>
    <cellStyle name="Note 3 15 2 2 6 2" xfId="13003"/>
    <cellStyle name="Note 3 15 2 2 7" xfId="13004"/>
    <cellStyle name="Note 3 15 2 2 8" xfId="13005"/>
    <cellStyle name="Note 3 15 2 2 9" xfId="13006"/>
    <cellStyle name="Note 3 15 2 3" xfId="13007"/>
    <cellStyle name="Note 3 15 2 3 2" xfId="13008"/>
    <cellStyle name="Note 3 15 2 3 2 2" xfId="13009"/>
    <cellStyle name="Note 3 15 2 3 2 3" xfId="13010"/>
    <cellStyle name="Note 3 15 2 3 3" xfId="13011"/>
    <cellStyle name="Note 3 15 2 3 3 2" xfId="13012"/>
    <cellStyle name="Note 3 15 2 3 4" xfId="13013"/>
    <cellStyle name="Note 3 15 2 3 5" xfId="13014"/>
    <cellStyle name="Note 3 15 2 3 6" xfId="13015"/>
    <cellStyle name="Note 3 15 2 3 7" xfId="13016"/>
    <cellStyle name="Note 3 15 2 3 8" xfId="13017"/>
    <cellStyle name="Note 3 15 2 4" xfId="13018"/>
    <cellStyle name="Note 3 15 2 4 2" xfId="13019"/>
    <cellStyle name="Note 3 15 2 4 2 2" xfId="13020"/>
    <cellStyle name="Note 3 15 2 4 3" xfId="13021"/>
    <cellStyle name="Note 3 15 2 4 4" xfId="13022"/>
    <cellStyle name="Note 3 15 2 5" xfId="13023"/>
    <cellStyle name="Note 3 15 2 5 2" xfId="13024"/>
    <cellStyle name="Note 3 15 2 6" xfId="13025"/>
    <cellStyle name="Note 3 15 2 6 2" xfId="13026"/>
    <cellStyle name="Note 3 15 2 7" xfId="13027"/>
    <cellStyle name="Note 3 15 2 7 2" xfId="13028"/>
    <cellStyle name="Note 3 15 2 8" xfId="13029"/>
    <cellStyle name="Note 3 15 2 9" xfId="13030"/>
    <cellStyle name="Note 3 15 3" xfId="13031"/>
    <cellStyle name="Note 3 15 3 10" xfId="13032"/>
    <cellStyle name="Note 3 15 3 11" xfId="13033"/>
    <cellStyle name="Note 3 15 3 2" xfId="13034"/>
    <cellStyle name="Note 3 15 3 2 2" xfId="13035"/>
    <cellStyle name="Note 3 15 3 2 2 2" xfId="13036"/>
    <cellStyle name="Note 3 15 3 2 2 3" xfId="13037"/>
    <cellStyle name="Note 3 15 3 2 3" xfId="13038"/>
    <cellStyle name="Note 3 15 3 2 3 2" xfId="13039"/>
    <cellStyle name="Note 3 15 3 2 4" xfId="13040"/>
    <cellStyle name="Note 3 15 3 2 5" xfId="13041"/>
    <cellStyle name="Note 3 15 3 2 6" xfId="13042"/>
    <cellStyle name="Note 3 15 3 2 7" xfId="13043"/>
    <cellStyle name="Note 3 15 3 2 8" xfId="13044"/>
    <cellStyle name="Note 3 15 3 3" xfId="13045"/>
    <cellStyle name="Note 3 15 3 3 2" xfId="13046"/>
    <cellStyle name="Note 3 15 3 3 2 2" xfId="13047"/>
    <cellStyle name="Note 3 15 3 3 3" xfId="13048"/>
    <cellStyle name="Note 3 15 3 3 4" xfId="13049"/>
    <cellStyle name="Note 3 15 3 4" xfId="13050"/>
    <cellStyle name="Note 3 15 3 4 2" xfId="13051"/>
    <cellStyle name="Note 3 15 3 5" xfId="13052"/>
    <cellStyle name="Note 3 15 3 5 2" xfId="13053"/>
    <cellStyle name="Note 3 15 3 6" xfId="13054"/>
    <cellStyle name="Note 3 15 3 6 2" xfId="13055"/>
    <cellStyle name="Note 3 15 3 7" xfId="13056"/>
    <cellStyle name="Note 3 15 3 8" xfId="13057"/>
    <cellStyle name="Note 3 15 3 9" xfId="13058"/>
    <cellStyle name="Note 3 15 4" xfId="13059"/>
    <cellStyle name="Note 3 15 4 2" xfId="13060"/>
    <cellStyle name="Note 3 15 4 2 2" xfId="13061"/>
    <cellStyle name="Note 3 15 4 2 3" xfId="13062"/>
    <cellStyle name="Note 3 15 4 3" xfId="13063"/>
    <cellStyle name="Note 3 15 4 3 2" xfId="13064"/>
    <cellStyle name="Note 3 15 4 4" xfId="13065"/>
    <cellStyle name="Note 3 15 4 5" xfId="13066"/>
    <cellStyle name="Note 3 15 4 6" xfId="13067"/>
    <cellStyle name="Note 3 15 4 7" xfId="13068"/>
    <cellStyle name="Note 3 15 4 8" xfId="13069"/>
    <cellStyle name="Note 3 15 5" xfId="13070"/>
    <cellStyle name="Note 3 15 5 2" xfId="13071"/>
    <cellStyle name="Note 3 15 5 2 2" xfId="13072"/>
    <cellStyle name="Note 3 15 5 3" xfId="13073"/>
    <cellStyle name="Note 3 15 5 4" xfId="13074"/>
    <cellStyle name="Note 3 15 6" xfId="13075"/>
    <cellStyle name="Note 3 15 6 2" xfId="13076"/>
    <cellStyle name="Note 3 15 7" xfId="13077"/>
    <cellStyle name="Note 3 15 7 2" xfId="13078"/>
    <cellStyle name="Note 3 15 8" xfId="13079"/>
    <cellStyle name="Note 3 15 8 2" xfId="13080"/>
    <cellStyle name="Note 3 15 9" xfId="13081"/>
    <cellStyle name="Note 3 16" xfId="13082"/>
    <cellStyle name="Note 3 16 10" xfId="13083"/>
    <cellStyle name="Note 3 16 11" xfId="13084"/>
    <cellStyle name="Note 3 16 12" xfId="13085"/>
    <cellStyle name="Note 3 16 2" xfId="13086"/>
    <cellStyle name="Note 3 16 2 10" xfId="13087"/>
    <cellStyle name="Note 3 16 2 11" xfId="13088"/>
    <cellStyle name="Note 3 16 2 2" xfId="13089"/>
    <cellStyle name="Note 3 16 2 2 2" xfId="13090"/>
    <cellStyle name="Note 3 16 2 2 2 2" xfId="13091"/>
    <cellStyle name="Note 3 16 2 2 2 3" xfId="13092"/>
    <cellStyle name="Note 3 16 2 2 3" xfId="13093"/>
    <cellStyle name="Note 3 16 2 2 3 2" xfId="13094"/>
    <cellStyle name="Note 3 16 2 2 4" xfId="13095"/>
    <cellStyle name="Note 3 16 2 2 5" xfId="13096"/>
    <cellStyle name="Note 3 16 2 2 6" xfId="13097"/>
    <cellStyle name="Note 3 16 2 2 7" xfId="13098"/>
    <cellStyle name="Note 3 16 2 2 8" xfId="13099"/>
    <cellStyle name="Note 3 16 2 3" xfId="13100"/>
    <cellStyle name="Note 3 16 2 3 2" xfId="13101"/>
    <cellStyle name="Note 3 16 2 3 2 2" xfId="13102"/>
    <cellStyle name="Note 3 16 2 3 3" xfId="13103"/>
    <cellStyle name="Note 3 16 2 3 4" xfId="13104"/>
    <cellStyle name="Note 3 16 2 4" xfId="13105"/>
    <cellStyle name="Note 3 16 2 4 2" xfId="13106"/>
    <cellStyle name="Note 3 16 2 5" xfId="13107"/>
    <cellStyle name="Note 3 16 2 5 2" xfId="13108"/>
    <cellStyle name="Note 3 16 2 6" xfId="13109"/>
    <cellStyle name="Note 3 16 2 6 2" xfId="13110"/>
    <cellStyle name="Note 3 16 2 7" xfId="13111"/>
    <cellStyle name="Note 3 16 2 8" xfId="13112"/>
    <cellStyle name="Note 3 16 2 9" xfId="13113"/>
    <cellStyle name="Note 3 16 3" xfId="13114"/>
    <cellStyle name="Note 3 16 3 2" xfId="13115"/>
    <cellStyle name="Note 3 16 3 2 2" xfId="13116"/>
    <cellStyle name="Note 3 16 3 2 3" xfId="13117"/>
    <cellStyle name="Note 3 16 3 3" xfId="13118"/>
    <cellStyle name="Note 3 16 3 3 2" xfId="13119"/>
    <cellStyle name="Note 3 16 3 4" xfId="13120"/>
    <cellStyle name="Note 3 16 3 5" xfId="13121"/>
    <cellStyle name="Note 3 16 3 6" xfId="13122"/>
    <cellStyle name="Note 3 16 3 7" xfId="13123"/>
    <cellStyle name="Note 3 16 3 8" xfId="13124"/>
    <cellStyle name="Note 3 16 4" xfId="13125"/>
    <cellStyle name="Note 3 16 4 2" xfId="13126"/>
    <cellStyle name="Note 3 16 4 2 2" xfId="13127"/>
    <cellStyle name="Note 3 16 4 3" xfId="13128"/>
    <cellStyle name="Note 3 16 4 4" xfId="13129"/>
    <cellStyle name="Note 3 16 5" xfId="13130"/>
    <cellStyle name="Note 3 16 5 2" xfId="13131"/>
    <cellStyle name="Note 3 16 6" xfId="13132"/>
    <cellStyle name="Note 3 16 6 2" xfId="13133"/>
    <cellStyle name="Note 3 16 7" xfId="13134"/>
    <cellStyle name="Note 3 16 7 2" xfId="13135"/>
    <cellStyle name="Note 3 16 8" xfId="13136"/>
    <cellStyle name="Note 3 16 9" xfId="13137"/>
    <cellStyle name="Note 3 17" xfId="13138"/>
    <cellStyle name="Note 3 17 10" xfId="13139"/>
    <cellStyle name="Note 3 17 11" xfId="13140"/>
    <cellStyle name="Note 3 17 2" xfId="13141"/>
    <cellStyle name="Note 3 17 2 2" xfId="13142"/>
    <cellStyle name="Note 3 17 2 2 2" xfId="13143"/>
    <cellStyle name="Note 3 17 2 2 3" xfId="13144"/>
    <cellStyle name="Note 3 17 2 3" xfId="13145"/>
    <cellStyle name="Note 3 17 2 3 2" xfId="13146"/>
    <cellStyle name="Note 3 17 2 4" xfId="13147"/>
    <cellStyle name="Note 3 17 2 5" xfId="13148"/>
    <cellStyle name="Note 3 17 2 6" xfId="13149"/>
    <cellStyle name="Note 3 17 2 7" xfId="13150"/>
    <cellStyle name="Note 3 17 2 8" xfId="13151"/>
    <cellStyle name="Note 3 17 3" xfId="13152"/>
    <cellStyle name="Note 3 17 3 2" xfId="13153"/>
    <cellStyle name="Note 3 17 3 2 2" xfId="13154"/>
    <cellStyle name="Note 3 17 3 3" xfId="13155"/>
    <cellStyle name="Note 3 17 3 4" xfId="13156"/>
    <cellStyle name="Note 3 17 4" xfId="13157"/>
    <cellStyle name="Note 3 17 4 2" xfId="13158"/>
    <cellStyle name="Note 3 17 5" xfId="13159"/>
    <cellStyle name="Note 3 17 5 2" xfId="13160"/>
    <cellStyle name="Note 3 17 6" xfId="13161"/>
    <cellStyle name="Note 3 17 6 2" xfId="13162"/>
    <cellStyle name="Note 3 17 7" xfId="13163"/>
    <cellStyle name="Note 3 17 8" xfId="13164"/>
    <cellStyle name="Note 3 17 9" xfId="13165"/>
    <cellStyle name="Note 3 18" xfId="13166"/>
    <cellStyle name="Note 3 18 2" xfId="13167"/>
    <cellStyle name="Note 3 18 2 2" xfId="13168"/>
    <cellStyle name="Note 3 18 2 3" xfId="13169"/>
    <cellStyle name="Note 3 18 3" xfId="13170"/>
    <cellStyle name="Note 3 18 3 2" xfId="13171"/>
    <cellStyle name="Note 3 18 4" xfId="13172"/>
    <cellStyle name="Note 3 18 5" xfId="13173"/>
    <cellStyle name="Note 3 18 6" xfId="13174"/>
    <cellStyle name="Note 3 18 7" xfId="13175"/>
    <cellStyle name="Note 3 18 8" xfId="13176"/>
    <cellStyle name="Note 3 19" xfId="13177"/>
    <cellStyle name="Note 3 19 2" xfId="13178"/>
    <cellStyle name="Note 3 19 2 2" xfId="13179"/>
    <cellStyle name="Note 3 19 3" xfId="13180"/>
    <cellStyle name="Note 3 19 4" xfId="13181"/>
    <cellStyle name="Note 3 2" xfId="3116"/>
    <cellStyle name="Note 3 2 2" xfId="13182"/>
    <cellStyle name="Note 3 2 3" xfId="13183"/>
    <cellStyle name="Note 3 2 4" xfId="13184"/>
    <cellStyle name="Note 3 2 5" xfId="13185"/>
    <cellStyle name="Note 3 2 6" xfId="13186"/>
    <cellStyle name="Note 3 20" xfId="13187"/>
    <cellStyle name="Note 3 20 2" xfId="13188"/>
    <cellStyle name="Note 3 21" xfId="13189"/>
    <cellStyle name="Note 3 21 2" xfId="13190"/>
    <cellStyle name="Note 3 22" xfId="13191"/>
    <cellStyle name="Note 3 22 2" xfId="13192"/>
    <cellStyle name="Note 3 23" xfId="13193"/>
    <cellStyle name="Note 3 24" xfId="13194"/>
    <cellStyle name="Note 3 25" xfId="13195"/>
    <cellStyle name="Note 3 26" xfId="13196"/>
    <cellStyle name="Note 3 27" xfId="13197"/>
    <cellStyle name="Note 3 28" xfId="13198"/>
    <cellStyle name="Note 3 3" xfId="3117"/>
    <cellStyle name="Note 3 3 2" xfId="13199"/>
    <cellStyle name="Note 3 4" xfId="3118"/>
    <cellStyle name="Note 3 4 2" xfId="13200"/>
    <cellStyle name="Note 3 5" xfId="3119"/>
    <cellStyle name="Note 3 5 2" xfId="13201"/>
    <cellStyle name="Note 3 6" xfId="13202"/>
    <cellStyle name="Note 3 6 2" xfId="13203"/>
    <cellStyle name="Note 3 7" xfId="13204"/>
    <cellStyle name="Note 3 7 2" xfId="13205"/>
    <cellStyle name="Note 3 8" xfId="13206"/>
    <cellStyle name="Note 3 8 2" xfId="13207"/>
    <cellStyle name="Note 3 9" xfId="13208"/>
    <cellStyle name="Note 4" xfId="3120"/>
    <cellStyle name="Note 4 10" xfId="13209"/>
    <cellStyle name="Note 4 11" xfId="13210"/>
    <cellStyle name="Note 4 11 10" xfId="13211"/>
    <cellStyle name="Note 4 11 11" xfId="13212"/>
    <cellStyle name="Note 4 11 12" xfId="13213"/>
    <cellStyle name="Note 4 11 13" xfId="13214"/>
    <cellStyle name="Note 4 11 2" xfId="13215"/>
    <cellStyle name="Note 4 11 2 10" xfId="13216"/>
    <cellStyle name="Note 4 11 2 11" xfId="13217"/>
    <cellStyle name="Note 4 11 2 12" xfId="13218"/>
    <cellStyle name="Note 4 11 2 2" xfId="13219"/>
    <cellStyle name="Note 4 11 2 2 10" xfId="13220"/>
    <cellStyle name="Note 4 11 2 2 11" xfId="13221"/>
    <cellStyle name="Note 4 11 2 2 2" xfId="13222"/>
    <cellStyle name="Note 4 11 2 2 2 2" xfId="13223"/>
    <cellStyle name="Note 4 11 2 2 2 2 2" xfId="13224"/>
    <cellStyle name="Note 4 11 2 2 2 2 3" xfId="13225"/>
    <cellStyle name="Note 4 11 2 2 2 3" xfId="13226"/>
    <cellStyle name="Note 4 11 2 2 2 3 2" xfId="13227"/>
    <cellStyle name="Note 4 11 2 2 2 4" xfId="13228"/>
    <cellStyle name="Note 4 11 2 2 2 5" xfId="13229"/>
    <cellStyle name="Note 4 11 2 2 2 6" xfId="13230"/>
    <cellStyle name="Note 4 11 2 2 2 7" xfId="13231"/>
    <cellStyle name="Note 4 11 2 2 2 8" xfId="13232"/>
    <cellStyle name="Note 4 11 2 2 3" xfId="13233"/>
    <cellStyle name="Note 4 11 2 2 3 2" xfId="13234"/>
    <cellStyle name="Note 4 11 2 2 3 2 2" xfId="13235"/>
    <cellStyle name="Note 4 11 2 2 3 3" xfId="13236"/>
    <cellStyle name="Note 4 11 2 2 3 4" xfId="13237"/>
    <cellStyle name="Note 4 11 2 2 4" xfId="13238"/>
    <cellStyle name="Note 4 11 2 2 4 2" xfId="13239"/>
    <cellStyle name="Note 4 11 2 2 5" xfId="13240"/>
    <cellStyle name="Note 4 11 2 2 5 2" xfId="13241"/>
    <cellStyle name="Note 4 11 2 2 6" xfId="13242"/>
    <cellStyle name="Note 4 11 2 2 6 2" xfId="13243"/>
    <cellStyle name="Note 4 11 2 2 7" xfId="13244"/>
    <cellStyle name="Note 4 11 2 2 8" xfId="13245"/>
    <cellStyle name="Note 4 11 2 2 9" xfId="13246"/>
    <cellStyle name="Note 4 11 2 3" xfId="13247"/>
    <cellStyle name="Note 4 11 2 3 2" xfId="13248"/>
    <cellStyle name="Note 4 11 2 3 2 2" xfId="13249"/>
    <cellStyle name="Note 4 11 2 3 2 3" xfId="13250"/>
    <cellStyle name="Note 4 11 2 3 3" xfId="13251"/>
    <cellStyle name="Note 4 11 2 3 3 2" xfId="13252"/>
    <cellStyle name="Note 4 11 2 3 4" xfId="13253"/>
    <cellStyle name="Note 4 11 2 3 5" xfId="13254"/>
    <cellStyle name="Note 4 11 2 3 6" xfId="13255"/>
    <cellStyle name="Note 4 11 2 3 7" xfId="13256"/>
    <cellStyle name="Note 4 11 2 3 8" xfId="13257"/>
    <cellStyle name="Note 4 11 2 4" xfId="13258"/>
    <cellStyle name="Note 4 11 2 4 2" xfId="13259"/>
    <cellStyle name="Note 4 11 2 4 2 2" xfId="13260"/>
    <cellStyle name="Note 4 11 2 4 3" xfId="13261"/>
    <cellStyle name="Note 4 11 2 4 4" xfId="13262"/>
    <cellStyle name="Note 4 11 2 5" xfId="13263"/>
    <cellStyle name="Note 4 11 2 5 2" xfId="13264"/>
    <cellStyle name="Note 4 11 2 6" xfId="13265"/>
    <cellStyle name="Note 4 11 2 6 2" xfId="13266"/>
    <cellStyle name="Note 4 11 2 7" xfId="13267"/>
    <cellStyle name="Note 4 11 2 7 2" xfId="13268"/>
    <cellStyle name="Note 4 11 2 8" xfId="13269"/>
    <cellStyle name="Note 4 11 2 9" xfId="13270"/>
    <cellStyle name="Note 4 11 3" xfId="13271"/>
    <cellStyle name="Note 4 11 3 10" xfId="13272"/>
    <cellStyle name="Note 4 11 3 11" xfId="13273"/>
    <cellStyle name="Note 4 11 3 2" xfId="13274"/>
    <cellStyle name="Note 4 11 3 2 2" xfId="13275"/>
    <cellStyle name="Note 4 11 3 2 2 2" xfId="13276"/>
    <cellStyle name="Note 4 11 3 2 2 3" xfId="13277"/>
    <cellStyle name="Note 4 11 3 2 3" xfId="13278"/>
    <cellStyle name="Note 4 11 3 2 3 2" xfId="13279"/>
    <cellStyle name="Note 4 11 3 2 4" xfId="13280"/>
    <cellStyle name="Note 4 11 3 2 5" xfId="13281"/>
    <cellStyle name="Note 4 11 3 2 6" xfId="13282"/>
    <cellStyle name="Note 4 11 3 2 7" xfId="13283"/>
    <cellStyle name="Note 4 11 3 2 8" xfId="13284"/>
    <cellStyle name="Note 4 11 3 3" xfId="13285"/>
    <cellStyle name="Note 4 11 3 3 2" xfId="13286"/>
    <cellStyle name="Note 4 11 3 3 2 2" xfId="13287"/>
    <cellStyle name="Note 4 11 3 3 3" xfId="13288"/>
    <cellStyle name="Note 4 11 3 3 4" xfId="13289"/>
    <cellStyle name="Note 4 11 3 4" xfId="13290"/>
    <cellStyle name="Note 4 11 3 4 2" xfId="13291"/>
    <cellStyle name="Note 4 11 3 5" xfId="13292"/>
    <cellStyle name="Note 4 11 3 5 2" xfId="13293"/>
    <cellStyle name="Note 4 11 3 6" xfId="13294"/>
    <cellStyle name="Note 4 11 3 6 2" xfId="13295"/>
    <cellStyle name="Note 4 11 3 7" xfId="13296"/>
    <cellStyle name="Note 4 11 3 8" xfId="13297"/>
    <cellStyle name="Note 4 11 3 9" xfId="13298"/>
    <cellStyle name="Note 4 11 4" xfId="13299"/>
    <cellStyle name="Note 4 11 4 2" xfId="13300"/>
    <cellStyle name="Note 4 11 4 2 2" xfId="13301"/>
    <cellStyle name="Note 4 11 4 2 3" xfId="13302"/>
    <cellStyle name="Note 4 11 4 3" xfId="13303"/>
    <cellStyle name="Note 4 11 4 3 2" xfId="13304"/>
    <cellStyle name="Note 4 11 4 4" xfId="13305"/>
    <cellStyle name="Note 4 11 4 5" xfId="13306"/>
    <cellStyle name="Note 4 11 4 6" xfId="13307"/>
    <cellStyle name="Note 4 11 4 7" xfId="13308"/>
    <cellStyle name="Note 4 11 4 8" xfId="13309"/>
    <cellStyle name="Note 4 11 5" xfId="13310"/>
    <cellStyle name="Note 4 11 5 2" xfId="13311"/>
    <cellStyle name="Note 4 11 5 2 2" xfId="13312"/>
    <cellStyle name="Note 4 11 5 3" xfId="13313"/>
    <cellStyle name="Note 4 11 5 4" xfId="13314"/>
    <cellStyle name="Note 4 11 6" xfId="13315"/>
    <cellStyle name="Note 4 11 6 2" xfId="13316"/>
    <cellStyle name="Note 4 11 7" xfId="13317"/>
    <cellStyle name="Note 4 11 7 2" xfId="13318"/>
    <cellStyle name="Note 4 11 8" xfId="13319"/>
    <cellStyle name="Note 4 11 8 2" xfId="13320"/>
    <cellStyle name="Note 4 11 9" xfId="13321"/>
    <cellStyle name="Note 4 12" xfId="13322"/>
    <cellStyle name="Note 4 12 10" xfId="13323"/>
    <cellStyle name="Note 4 12 11" xfId="13324"/>
    <cellStyle name="Note 4 12 12" xfId="13325"/>
    <cellStyle name="Note 4 12 2" xfId="13326"/>
    <cellStyle name="Note 4 12 2 10" xfId="13327"/>
    <cellStyle name="Note 4 12 2 11" xfId="13328"/>
    <cellStyle name="Note 4 12 2 2" xfId="13329"/>
    <cellStyle name="Note 4 12 2 2 2" xfId="13330"/>
    <cellStyle name="Note 4 12 2 2 2 2" xfId="13331"/>
    <cellStyle name="Note 4 12 2 2 2 3" xfId="13332"/>
    <cellStyle name="Note 4 12 2 2 3" xfId="13333"/>
    <cellStyle name="Note 4 12 2 2 3 2" xfId="13334"/>
    <cellStyle name="Note 4 12 2 2 4" xfId="13335"/>
    <cellStyle name="Note 4 12 2 2 5" xfId="13336"/>
    <cellStyle name="Note 4 12 2 2 6" xfId="13337"/>
    <cellStyle name="Note 4 12 2 2 7" xfId="13338"/>
    <cellStyle name="Note 4 12 2 2 8" xfId="13339"/>
    <cellStyle name="Note 4 12 2 3" xfId="13340"/>
    <cellStyle name="Note 4 12 2 3 2" xfId="13341"/>
    <cellStyle name="Note 4 12 2 3 2 2" xfId="13342"/>
    <cellStyle name="Note 4 12 2 3 3" xfId="13343"/>
    <cellStyle name="Note 4 12 2 3 4" xfId="13344"/>
    <cellStyle name="Note 4 12 2 4" xfId="13345"/>
    <cellStyle name="Note 4 12 2 4 2" xfId="13346"/>
    <cellStyle name="Note 4 12 2 5" xfId="13347"/>
    <cellStyle name="Note 4 12 2 5 2" xfId="13348"/>
    <cellStyle name="Note 4 12 2 6" xfId="13349"/>
    <cellStyle name="Note 4 12 2 6 2" xfId="13350"/>
    <cellStyle name="Note 4 12 2 7" xfId="13351"/>
    <cellStyle name="Note 4 12 2 8" xfId="13352"/>
    <cellStyle name="Note 4 12 2 9" xfId="13353"/>
    <cellStyle name="Note 4 12 3" xfId="13354"/>
    <cellStyle name="Note 4 12 3 2" xfId="13355"/>
    <cellStyle name="Note 4 12 3 2 2" xfId="13356"/>
    <cellStyle name="Note 4 12 3 2 3" xfId="13357"/>
    <cellStyle name="Note 4 12 3 3" xfId="13358"/>
    <cellStyle name="Note 4 12 3 3 2" xfId="13359"/>
    <cellStyle name="Note 4 12 3 4" xfId="13360"/>
    <cellStyle name="Note 4 12 3 5" xfId="13361"/>
    <cellStyle name="Note 4 12 3 6" xfId="13362"/>
    <cellStyle name="Note 4 12 3 7" xfId="13363"/>
    <cellStyle name="Note 4 12 3 8" xfId="13364"/>
    <cellStyle name="Note 4 12 4" xfId="13365"/>
    <cellStyle name="Note 4 12 4 2" xfId="13366"/>
    <cellStyle name="Note 4 12 4 2 2" xfId="13367"/>
    <cellStyle name="Note 4 12 4 3" xfId="13368"/>
    <cellStyle name="Note 4 12 4 4" xfId="13369"/>
    <cellStyle name="Note 4 12 5" xfId="13370"/>
    <cellStyle name="Note 4 12 5 2" xfId="13371"/>
    <cellStyle name="Note 4 12 6" xfId="13372"/>
    <cellStyle name="Note 4 12 6 2" xfId="13373"/>
    <cellStyle name="Note 4 12 7" xfId="13374"/>
    <cellStyle name="Note 4 12 7 2" xfId="13375"/>
    <cellStyle name="Note 4 12 8" xfId="13376"/>
    <cellStyle name="Note 4 12 9" xfId="13377"/>
    <cellStyle name="Note 4 13" xfId="13378"/>
    <cellStyle name="Note 4 13 10" xfId="13379"/>
    <cellStyle name="Note 4 13 11" xfId="13380"/>
    <cellStyle name="Note 4 13 2" xfId="13381"/>
    <cellStyle name="Note 4 13 2 2" xfId="13382"/>
    <cellStyle name="Note 4 13 2 2 2" xfId="13383"/>
    <cellStyle name="Note 4 13 2 2 3" xfId="13384"/>
    <cellStyle name="Note 4 13 2 3" xfId="13385"/>
    <cellStyle name="Note 4 13 2 3 2" xfId="13386"/>
    <cellStyle name="Note 4 13 2 4" xfId="13387"/>
    <cellStyle name="Note 4 13 2 5" xfId="13388"/>
    <cellStyle name="Note 4 13 2 6" xfId="13389"/>
    <cellStyle name="Note 4 13 2 7" xfId="13390"/>
    <cellStyle name="Note 4 13 2 8" xfId="13391"/>
    <cellStyle name="Note 4 13 3" xfId="13392"/>
    <cellStyle name="Note 4 13 3 2" xfId="13393"/>
    <cellStyle name="Note 4 13 3 2 2" xfId="13394"/>
    <cellStyle name="Note 4 13 3 3" xfId="13395"/>
    <cellStyle name="Note 4 13 3 4" xfId="13396"/>
    <cellStyle name="Note 4 13 4" xfId="13397"/>
    <cellStyle name="Note 4 13 4 2" xfId="13398"/>
    <cellStyle name="Note 4 13 5" xfId="13399"/>
    <cellStyle name="Note 4 13 5 2" xfId="13400"/>
    <cellStyle name="Note 4 13 6" xfId="13401"/>
    <cellStyle name="Note 4 13 6 2" xfId="13402"/>
    <cellStyle name="Note 4 13 7" xfId="13403"/>
    <cellStyle name="Note 4 13 8" xfId="13404"/>
    <cellStyle name="Note 4 13 9" xfId="13405"/>
    <cellStyle name="Note 4 14" xfId="13406"/>
    <cellStyle name="Note 4 14 2" xfId="13407"/>
    <cellStyle name="Note 4 14 2 2" xfId="13408"/>
    <cellStyle name="Note 4 14 2 3" xfId="13409"/>
    <cellStyle name="Note 4 14 3" xfId="13410"/>
    <cellStyle name="Note 4 14 3 2" xfId="13411"/>
    <cellStyle name="Note 4 14 4" xfId="13412"/>
    <cellStyle name="Note 4 14 5" xfId="13413"/>
    <cellStyle name="Note 4 14 6" xfId="13414"/>
    <cellStyle name="Note 4 14 7" xfId="13415"/>
    <cellStyle name="Note 4 14 8" xfId="13416"/>
    <cellStyle name="Note 4 15" xfId="13417"/>
    <cellStyle name="Note 4 15 2" xfId="13418"/>
    <cellStyle name="Note 4 15 2 2" xfId="13419"/>
    <cellStyle name="Note 4 15 3" xfId="13420"/>
    <cellStyle name="Note 4 15 4" xfId="13421"/>
    <cellStyle name="Note 4 16" xfId="13422"/>
    <cellStyle name="Note 4 16 2" xfId="13423"/>
    <cellStyle name="Note 4 17" xfId="13424"/>
    <cellStyle name="Note 4 17 2" xfId="13425"/>
    <cellStyle name="Note 4 18" xfId="13426"/>
    <cellStyle name="Note 4 18 2" xfId="13427"/>
    <cellStyle name="Note 4 19" xfId="13428"/>
    <cellStyle name="Note 4 2" xfId="13429"/>
    <cellStyle name="Note 4 2 2" xfId="13430"/>
    <cellStyle name="Note 4 2 3" xfId="13431"/>
    <cellStyle name="Note 4 20" xfId="13432"/>
    <cellStyle name="Note 4 21" xfId="13433"/>
    <cellStyle name="Note 4 22" xfId="13434"/>
    <cellStyle name="Note 4 23" xfId="13435"/>
    <cellStyle name="Note 4 24" xfId="13436"/>
    <cellStyle name="Note 4 3" xfId="13437"/>
    <cellStyle name="Note 4 3 2" xfId="13438"/>
    <cellStyle name="Note 4 4" xfId="13439"/>
    <cellStyle name="Note 4 4 2" xfId="13440"/>
    <cellStyle name="Note 4 5" xfId="13441"/>
    <cellStyle name="Note 4 5 2" xfId="13442"/>
    <cellStyle name="Note 4 6" xfId="13443"/>
    <cellStyle name="Note 4 7" xfId="13444"/>
    <cellStyle name="Note 4 8" xfId="13445"/>
    <cellStyle name="Note 4 8 10" xfId="13446"/>
    <cellStyle name="Note 4 8 11" xfId="13447"/>
    <cellStyle name="Note 4 8 12" xfId="13448"/>
    <cellStyle name="Note 4 8 13" xfId="13449"/>
    <cellStyle name="Note 4 8 14" xfId="13450"/>
    <cellStyle name="Note 4 8 2" xfId="13451"/>
    <cellStyle name="Note 4 8 2 10" xfId="13452"/>
    <cellStyle name="Note 4 8 2 11" xfId="13453"/>
    <cellStyle name="Note 4 8 2 12" xfId="13454"/>
    <cellStyle name="Note 4 8 2 13" xfId="13455"/>
    <cellStyle name="Note 4 8 2 2" xfId="13456"/>
    <cellStyle name="Note 4 8 2 2 10" xfId="13457"/>
    <cellStyle name="Note 4 8 2 2 11" xfId="13458"/>
    <cellStyle name="Note 4 8 2 2 12" xfId="13459"/>
    <cellStyle name="Note 4 8 2 2 2" xfId="13460"/>
    <cellStyle name="Note 4 8 2 2 2 10" xfId="13461"/>
    <cellStyle name="Note 4 8 2 2 2 11" xfId="13462"/>
    <cellStyle name="Note 4 8 2 2 2 2" xfId="13463"/>
    <cellStyle name="Note 4 8 2 2 2 2 2" xfId="13464"/>
    <cellStyle name="Note 4 8 2 2 2 2 2 2" xfId="13465"/>
    <cellStyle name="Note 4 8 2 2 2 2 2 3" xfId="13466"/>
    <cellStyle name="Note 4 8 2 2 2 2 3" xfId="13467"/>
    <cellStyle name="Note 4 8 2 2 2 2 3 2" xfId="13468"/>
    <cellStyle name="Note 4 8 2 2 2 2 4" xfId="13469"/>
    <cellStyle name="Note 4 8 2 2 2 2 5" xfId="13470"/>
    <cellStyle name="Note 4 8 2 2 2 2 6" xfId="13471"/>
    <cellStyle name="Note 4 8 2 2 2 2 7" xfId="13472"/>
    <cellStyle name="Note 4 8 2 2 2 2 8" xfId="13473"/>
    <cellStyle name="Note 4 8 2 2 2 3" xfId="13474"/>
    <cellStyle name="Note 4 8 2 2 2 3 2" xfId="13475"/>
    <cellStyle name="Note 4 8 2 2 2 3 2 2" xfId="13476"/>
    <cellStyle name="Note 4 8 2 2 2 3 3" xfId="13477"/>
    <cellStyle name="Note 4 8 2 2 2 3 4" xfId="13478"/>
    <cellStyle name="Note 4 8 2 2 2 4" xfId="13479"/>
    <cellStyle name="Note 4 8 2 2 2 4 2" xfId="13480"/>
    <cellStyle name="Note 4 8 2 2 2 5" xfId="13481"/>
    <cellStyle name="Note 4 8 2 2 2 5 2" xfId="13482"/>
    <cellStyle name="Note 4 8 2 2 2 6" xfId="13483"/>
    <cellStyle name="Note 4 8 2 2 2 6 2" xfId="13484"/>
    <cellStyle name="Note 4 8 2 2 2 7" xfId="13485"/>
    <cellStyle name="Note 4 8 2 2 2 8" xfId="13486"/>
    <cellStyle name="Note 4 8 2 2 2 9" xfId="13487"/>
    <cellStyle name="Note 4 8 2 2 3" xfId="13488"/>
    <cellStyle name="Note 4 8 2 2 3 2" xfId="13489"/>
    <cellStyle name="Note 4 8 2 2 3 2 2" xfId="13490"/>
    <cellStyle name="Note 4 8 2 2 3 2 3" xfId="13491"/>
    <cellStyle name="Note 4 8 2 2 3 3" xfId="13492"/>
    <cellStyle name="Note 4 8 2 2 3 3 2" xfId="13493"/>
    <cellStyle name="Note 4 8 2 2 3 4" xfId="13494"/>
    <cellStyle name="Note 4 8 2 2 3 5" xfId="13495"/>
    <cellStyle name="Note 4 8 2 2 3 6" xfId="13496"/>
    <cellStyle name="Note 4 8 2 2 3 7" xfId="13497"/>
    <cellStyle name="Note 4 8 2 2 3 8" xfId="13498"/>
    <cellStyle name="Note 4 8 2 2 4" xfId="13499"/>
    <cellStyle name="Note 4 8 2 2 4 2" xfId="13500"/>
    <cellStyle name="Note 4 8 2 2 4 2 2" xfId="13501"/>
    <cellStyle name="Note 4 8 2 2 4 3" xfId="13502"/>
    <cellStyle name="Note 4 8 2 2 4 4" xfId="13503"/>
    <cellStyle name="Note 4 8 2 2 5" xfId="13504"/>
    <cellStyle name="Note 4 8 2 2 5 2" xfId="13505"/>
    <cellStyle name="Note 4 8 2 2 6" xfId="13506"/>
    <cellStyle name="Note 4 8 2 2 6 2" xfId="13507"/>
    <cellStyle name="Note 4 8 2 2 7" xfId="13508"/>
    <cellStyle name="Note 4 8 2 2 7 2" xfId="13509"/>
    <cellStyle name="Note 4 8 2 2 8" xfId="13510"/>
    <cellStyle name="Note 4 8 2 2 9" xfId="13511"/>
    <cellStyle name="Note 4 8 2 3" xfId="13512"/>
    <cellStyle name="Note 4 8 2 3 10" xfId="13513"/>
    <cellStyle name="Note 4 8 2 3 11" xfId="13514"/>
    <cellStyle name="Note 4 8 2 3 2" xfId="13515"/>
    <cellStyle name="Note 4 8 2 3 2 2" xfId="13516"/>
    <cellStyle name="Note 4 8 2 3 2 2 2" xfId="13517"/>
    <cellStyle name="Note 4 8 2 3 2 2 3" xfId="13518"/>
    <cellStyle name="Note 4 8 2 3 2 3" xfId="13519"/>
    <cellStyle name="Note 4 8 2 3 2 3 2" xfId="13520"/>
    <cellStyle name="Note 4 8 2 3 2 4" xfId="13521"/>
    <cellStyle name="Note 4 8 2 3 2 5" xfId="13522"/>
    <cellStyle name="Note 4 8 2 3 2 6" xfId="13523"/>
    <cellStyle name="Note 4 8 2 3 2 7" xfId="13524"/>
    <cellStyle name="Note 4 8 2 3 2 8" xfId="13525"/>
    <cellStyle name="Note 4 8 2 3 3" xfId="13526"/>
    <cellStyle name="Note 4 8 2 3 3 2" xfId="13527"/>
    <cellStyle name="Note 4 8 2 3 3 2 2" xfId="13528"/>
    <cellStyle name="Note 4 8 2 3 3 3" xfId="13529"/>
    <cellStyle name="Note 4 8 2 3 3 4" xfId="13530"/>
    <cellStyle name="Note 4 8 2 3 4" xfId="13531"/>
    <cellStyle name="Note 4 8 2 3 4 2" xfId="13532"/>
    <cellStyle name="Note 4 8 2 3 5" xfId="13533"/>
    <cellStyle name="Note 4 8 2 3 5 2" xfId="13534"/>
    <cellStyle name="Note 4 8 2 3 6" xfId="13535"/>
    <cellStyle name="Note 4 8 2 3 6 2" xfId="13536"/>
    <cellStyle name="Note 4 8 2 3 7" xfId="13537"/>
    <cellStyle name="Note 4 8 2 3 8" xfId="13538"/>
    <cellStyle name="Note 4 8 2 3 9" xfId="13539"/>
    <cellStyle name="Note 4 8 2 4" xfId="13540"/>
    <cellStyle name="Note 4 8 2 4 2" xfId="13541"/>
    <cellStyle name="Note 4 8 2 4 2 2" xfId="13542"/>
    <cellStyle name="Note 4 8 2 4 2 3" xfId="13543"/>
    <cellStyle name="Note 4 8 2 4 3" xfId="13544"/>
    <cellStyle name="Note 4 8 2 4 3 2" xfId="13545"/>
    <cellStyle name="Note 4 8 2 4 4" xfId="13546"/>
    <cellStyle name="Note 4 8 2 4 5" xfId="13547"/>
    <cellStyle name="Note 4 8 2 4 6" xfId="13548"/>
    <cellStyle name="Note 4 8 2 4 7" xfId="13549"/>
    <cellStyle name="Note 4 8 2 4 8" xfId="13550"/>
    <cellStyle name="Note 4 8 2 5" xfId="13551"/>
    <cellStyle name="Note 4 8 2 5 2" xfId="13552"/>
    <cellStyle name="Note 4 8 2 5 2 2" xfId="13553"/>
    <cellStyle name="Note 4 8 2 5 3" xfId="13554"/>
    <cellStyle name="Note 4 8 2 5 4" xfId="13555"/>
    <cellStyle name="Note 4 8 2 6" xfId="13556"/>
    <cellStyle name="Note 4 8 2 6 2" xfId="13557"/>
    <cellStyle name="Note 4 8 2 7" xfId="13558"/>
    <cellStyle name="Note 4 8 2 7 2" xfId="13559"/>
    <cellStyle name="Note 4 8 2 8" xfId="13560"/>
    <cellStyle name="Note 4 8 2 8 2" xfId="13561"/>
    <cellStyle name="Note 4 8 2 9" xfId="13562"/>
    <cellStyle name="Note 4 8 3" xfId="13563"/>
    <cellStyle name="Note 4 8 3 10" xfId="13564"/>
    <cellStyle name="Note 4 8 3 11" xfId="13565"/>
    <cellStyle name="Note 4 8 3 12" xfId="13566"/>
    <cellStyle name="Note 4 8 3 2" xfId="13567"/>
    <cellStyle name="Note 4 8 3 2 10" xfId="13568"/>
    <cellStyle name="Note 4 8 3 2 11" xfId="13569"/>
    <cellStyle name="Note 4 8 3 2 2" xfId="13570"/>
    <cellStyle name="Note 4 8 3 2 2 2" xfId="13571"/>
    <cellStyle name="Note 4 8 3 2 2 2 2" xfId="13572"/>
    <cellStyle name="Note 4 8 3 2 2 2 3" xfId="13573"/>
    <cellStyle name="Note 4 8 3 2 2 3" xfId="13574"/>
    <cellStyle name="Note 4 8 3 2 2 3 2" xfId="13575"/>
    <cellStyle name="Note 4 8 3 2 2 4" xfId="13576"/>
    <cellStyle name="Note 4 8 3 2 2 5" xfId="13577"/>
    <cellStyle name="Note 4 8 3 2 2 6" xfId="13578"/>
    <cellStyle name="Note 4 8 3 2 2 7" xfId="13579"/>
    <cellStyle name="Note 4 8 3 2 2 8" xfId="13580"/>
    <cellStyle name="Note 4 8 3 2 3" xfId="13581"/>
    <cellStyle name="Note 4 8 3 2 3 2" xfId="13582"/>
    <cellStyle name="Note 4 8 3 2 3 2 2" xfId="13583"/>
    <cellStyle name="Note 4 8 3 2 3 3" xfId="13584"/>
    <cellStyle name="Note 4 8 3 2 3 4" xfId="13585"/>
    <cellStyle name="Note 4 8 3 2 4" xfId="13586"/>
    <cellStyle name="Note 4 8 3 2 4 2" xfId="13587"/>
    <cellStyle name="Note 4 8 3 2 5" xfId="13588"/>
    <cellStyle name="Note 4 8 3 2 5 2" xfId="13589"/>
    <cellStyle name="Note 4 8 3 2 6" xfId="13590"/>
    <cellStyle name="Note 4 8 3 2 6 2" xfId="13591"/>
    <cellStyle name="Note 4 8 3 2 7" xfId="13592"/>
    <cellStyle name="Note 4 8 3 2 8" xfId="13593"/>
    <cellStyle name="Note 4 8 3 2 9" xfId="13594"/>
    <cellStyle name="Note 4 8 3 3" xfId="13595"/>
    <cellStyle name="Note 4 8 3 3 2" xfId="13596"/>
    <cellStyle name="Note 4 8 3 3 2 2" xfId="13597"/>
    <cellStyle name="Note 4 8 3 3 2 3" xfId="13598"/>
    <cellStyle name="Note 4 8 3 3 3" xfId="13599"/>
    <cellStyle name="Note 4 8 3 3 3 2" xfId="13600"/>
    <cellStyle name="Note 4 8 3 3 4" xfId="13601"/>
    <cellStyle name="Note 4 8 3 3 5" xfId="13602"/>
    <cellStyle name="Note 4 8 3 3 6" xfId="13603"/>
    <cellStyle name="Note 4 8 3 3 7" xfId="13604"/>
    <cellStyle name="Note 4 8 3 3 8" xfId="13605"/>
    <cellStyle name="Note 4 8 3 4" xfId="13606"/>
    <cellStyle name="Note 4 8 3 4 2" xfId="13607"/>
    <cellStyle name="Note 4 8 3 4 2 2" xfId="13608"/>
    <cellStyle name="Note 4 8 3 4 3" xfId="13609"/>
    <cellStyle name="Note 4 8 3 4 4" xfId="13610"/>
    <cellStyle name="Note 4 8 3 5" xfId="13611"/>
    <cellStyle name="Note 4 8 3 5 2" xfId="13612"/>
    <cellStyle name="Note 4 8 3 6" xfId="13613"/>
    <cellStyle name="Note 4 8 3 6 2" xfId="13614"/>
    <cellStyle name="Note 4 8 3 7" xfId="13615"/>
    <cellStyle name="Note 4 8 3 7 2" xfId="13616"/>
    <cellStyle name="Note 4 8 3 8" xfId="13617"/>
    <cellStyle name="Note 4 8 3 9" xfId="13618"/>
    <cellStyle name="Note 4 8 4" xfId="13619"/>
    <cellStyle name="Note 4 8 4 10" xfId="13620"/>
    <cellStyle name="Note 4 8 4 11" xfId="13621"/>
    <cellStyle name="Note 4 8 4 2" xfId="13622"/>
    <cellStyle name="Note 4 8 4 2 2" xfId="13623"/>
    <cellStyle name="Note 4 8 4 2 2 2" xfId="13624"/>
    <cellStyle name="Note 4 8 4 2 2 3" xfId="13625"/>
    <cellStyle name="Note 4 8 4 2 3" xfId="13626"/>
    <cellStyle name="Note 4 8 4 2 3 2" xfId="13627"/>
    <cellStyle name="Note 4 8 4 2 4" xfId="13628"/>
    <cellStyle name="Note 4 8 4 2 5" xfId="13629"/>
    <cellStyle name="Note 4 8 4 2 6" xfId="13630"/>
    <cellStyle name="Note 4 8 4 2 7" xfId="13631"/>
    <cellStyle name="Note 4 8 4 2 8" xfId="13632"/>
    <cellStyle name="Note 4 8 4 3" xfId="13633"/>
    <cellStyle name="Note 4 8 4 3 2" xfId="13634"/>
    <cellStyle name="Note 4 8 4 3 2 2" xfId="13635"/>
    <cellStyle name="Note 4 8 4 3 3" xfId="13636"/>
    <cellStyle name="Note 4 8 4 3 4" xfId="13637"/>
    <cellStyle name="Note 4 8 4 4" xfId="13638"/>
    <cellStyle name="Note 4 8 4 4 2" xfId="13639"/>
    <cellStyle name="Note 4 8 4 5" xfId="13640"/>
    <cellStyle name="Note 4 8 4 5 2" xfId="13641"/>
    <cellStyle name="Note 4 8 4 6" xfId="13642"/>
    <cellStyle name="Note 4 8 4 6 2" xfId="13643"/>
    <cellStyle name="Note 4 8 4 7" xfId="13644"/>
    <cellStyle name="Note 4 8 4 8" xfId="13645"/>
    <cellStyle name="Note 4 8 4 9" xfId="13646"/>
    <cellStyle name="Note 4 8 5" xfId="13647"/>
    <cellStyle name="Note 4 8 5 2" xfId="13648"/>
    <cellStyle name="Note 4 8 5 2 2" xfId="13649"/>
    <cellStyle name="Note 4 8 5 2 3" xfId="13650"/>
    <cellStyle name="Note 4 8 5 3" xfId="13651"/>
    <cellStyle name="Note 4 8 5 3 2" xfId="13652"/>
    <cellStyle name="Note 4 8 5 4" xfId="13653"/>
    <cellStyle name="Note 4 8 5 5" xfId="13654"/>
    <cellStyle name="Note 4 8 5 6" xfId="13655"/>
    <cellStyle name="Note 4 8 5 7" xfId="13656"/>
    <cellStyle name="Note 4 8 5 8" xfId="13657"/>
    <cellStyle name="Note 4 8 6" xfId="13658"/>
    <cellStyle name="Note 4 8 6 2" xfId="13659"/>
    <cellStyle name="Note 4 8 6 2 2" xfId="13660"/>
    <cellStyle name="Note 4 8 6 3" xfId="13661"/>
    <cellStyle name="Note 4 8 6 4" xfId="13662"/>
    <cellStyle name="Note 4 8 7" xfId="13663"/>
    <cellStyle name="Note 4 8 7 2" xfId="13664"/>
    <cellStyle name="Note 4 8 8" xfId="13665"/>
    <cellStyle name="Note 4 8 8 2" xfId="13666"/>
    <cellStyle name="Note 4 8 9" xfId="13667"/>
    <cellStyle name="Note 4 8 9 2" xfId="13668"/>
    <cellStyle name="Note 4 9" xfId="13669"/>
    <cellStyle name="Note 5" xfId="3121"/>
    <cellStyle name="Note 5 10" xfId="13670"/>
    <cellStyle name="Note 5 11" xfId="13671"/>
    <cellStyle name="Note 5 11 10" xfId="13672"/>
    <cellStyle name="Note 5 11 11" xfId="13673"/>
    <cellStyle name="Note 5 11 12" xfId="13674"/>
    <cellStyle name="Note 5 11 13" xfId="13675"/>
    <cellStyle name="Note 5 11 2" xfId="13676"/>
    <cellStyle name="Note 5 11 2 10" xfId="13677"/>
    <cellStyle name="Note 5 11 2 11" xfId="13678"/>
    <cellStyle name="Note 5 11 2 12" xfId="13679"/>
    <cellStyle name="Note 5 11 2 2" xfId="13680"/>
    <cellStyle name="Note 5 11 2 2 10" xfId="13681"/>
    <cellStyle name="Note 5 11 2 2 11" xfId="13682"/>
    <cellStyle name="Note 5 11 2 2 2" xfId="13683"/>
    <cellStyle name="Note 5 11 2 2 2 2" xfId="13684"/>
    <cellStyle name="Note 5 11 2 2 2 2 2" xfId="13685"/>
    <cellStyle name="Note 5 11 2 2 2 2 3" xfId="13686"/>
    <cellStyle name="Note 5 11 2 2 2 3" xfId="13687"/>
    <cellStyle name="Note 5 11 2 2 2 3 2" xfId="13688"/>
    <cellStyle name="Note 5 11 2 2 2 4" xfId="13689"/>
    <cellStyle name="Note 5 11 2 2 2 5" xfId="13690"/>
    <cellStyle name="Note 5 11 2 2 2 6" xfId="13691"/>
    <cellStyle name="Note 5 11 2 2 2 7" xfId="13692"/>
    <cellStyle name="Note 5 11 2 2 2 8" xfId="13693"/>
    <cellStyle name="Note 5 11 2 2 3" xfId="13694"/>
    <cellStyle name="Note 5 11 2 2 3 2" xfId="13695"/>
    <cellStyle name="Note 5 11 2 2 3 2 2" xfId="13696"/>
    <cellStyle name="Note 5 11 2 2 3 3" xfId="13697"/>
    <cellStyle name="Note 5 11 2 2 3 4" xfId="13698"/>
    <cellStyle name="Note 5 11 2 2 4" xfId="13699"/>
    <cellStyle name="Note 5 11 2 2 4 2" xfId="13700"/>
    <cellStyle name="Note 5 11 2 2 5" xfId="13701"/>
    <cellStyle name="Note 5 11 2 2 5 2" xfId="13702"/>
    <cellStyle name="Note 5 11 2 2 6" xfId="13703"/>
    <cellStyle name="Note 5 11 2 2 6 2" xfId="13704"/>
    <cellStyle name="Note 5 11 2 2 7" xfId="13705"/>
    <cellStyle name="Note 5 11 2 2 8" xfId="13706"/>
    <cellStyle name="Note 5 11 2 2 9" xfId="13707"/>
    <cellStyle name="Note 5 11 2 3" xfId="13708"/>
    <cellStyle name="Note 5 11 2 3 2" xfId="13709"/>
    <cellStyle name="Note 5 11 2 3 2 2" xfId="13710"/>
    <cellStyle name="Note 5 11 2 3 2 3" xfId="13711"/>
    <cellStyle name="Note 5 11 2 3 3" xfId="13712"/>
    <cellStyle name="Note 5 11 2 3 3 2" xfId="13713"/>
    <cellStyle name="Note 5 11 2 3 4" xfId="13714"/>
    <cellStyle name="Note 5 11 2 3 5" xfId="13715"/>
    <cellStyle name="Note 5 11 2 3 6" xfId="13716"/>
    <cellStyle name="Note 5 11 2 3 7" xfId="13717"/>
    <cellStyle name="Note 5 11 2 3 8" xfId="13718"/>
    <cellStyle name="Note 5 11 2 4" xfId="13719"/>
    <cellStyle name="Note 5 11 2 4 2" xfId="13720"/>
    <cellStyle name="Note 5 11 2 4 2 2" xfId="13721"/>
    <cellStyle name="Note 5 11 2 4 3" xfId="13722"/>
    <cellStyle name="Note 5 11 2 4 4" xfId="13723"/>
    <cellStyle name="Note 5 11 2 5" xfId="13724"/>
    <cellStyle name="Note 5 11 2 5 2" xfId="13725"/>
    <cellStyle name="Note 5 11 2 6" xfId="13726"/>
    <cellStyle name="Note 5 11 2 6 2" xfId="13727"/>
    <cellStyle name="Note 5 11 2 7" xfId="13728"/>
    <cellStyle name="Note 5 11 2 7 2" xfId="13729"/>
    <cellStyle name="Note 5 11 2 8" xfId="13730"/>
    <cellStyle name="Note 5 11 2 9" xfId="13731"/>
    <cellStyle name="Note 5 11 3" xfId="13732"/>
    <cellStyle name="Note 5 11 3 10" xfId="13733"/>
    <cellStyle name="Note 5 11 3 11" xfId="13734"/>
    <cellStyle name="Note 5 11 3 2" xfId="13735"/>
    <cellStyle name="Note 5 11 3 2 2" xfId="13736"/>
    <cellStyle name="Note 5 11 3 2 2 2" xfId="13737"/>
    <cellStyle name="Note 5 11 3 2 2 3" xfId="13738"/>
    <cellStyle name="Note 5 11 3 2 3" xfId="13739"/>
    <cellStyle name="Note 5 11 3 2 3 2" xfId="13740"/>
    <cellStyle name="Note 5 11 3 2 4" xfId="13741"/>
    <cellStyle name="Note 5 11 3 2 5" xfId="13742"/>
    <cellStyle name="Note 5 11 3 2 6" xfId="13743"/>
    <cellStyle name="Note 5 11 3 2 7" xfId="13744"/>
    <cellStyle name="Note 5 11 3 2 8" xfId="13745"/>
    <cellStyle name="Note 5 11 3 3" xfId="13746"/>
    <cellStyle name="Note 5 11 3 3 2" xfId="13747"/>
    <cellStyle name="Note 5 11 3 3 2 2" xfId="13748"/>
    <cellStyle name="Note 5 11 3 3 3" xfId="13749"/>
    <cellStyle name="Note 5 11 3 3 4" xfId="13750"/>
    <cellStyle name="Note 5 11 3 4" xfId="13751"/>
    <cellStyle name="Note 5 11 3 4 2" xfId="13752"/>
    <cellStyle name="Note 5 11 3 5" xfId="13753"/>
    <cellStyle name="Note 5 11 3 5 2" xfId="13754"/>
    <cellStyle name="Note 5 11 3 6" xfId="13755"/>
    <cellStyle name="Note 5 11 3 6 2" xfId="13756"/>
    <cellStyle name="Note 5 11 3 7" xfId="13757"/>
    <cellStyle name="Note 5 11 3 8" xfId="13758"/>
    <cellStyle name="Note 5 11 3 9" xfId="13759"/>
    <cellStyle name="Note 5 11 4" xfId="13760"/>
    <cellStyle name="Note 5 11 4 2" xfId="13761"/>
    <cellStyle name="Note 5 11 4 2 2" xfId="13762"/>
    <cellStyle name="Note 5 11 4 2 3" xfId="13763"/>
    <cellStyle name="Note 5 11 4 3" xfId="13764"/>
    <cellStyle name="Note 5 11 4 3 2" xfId="13765"/>
    <cellStyle name="Note 5 11 4 4" xfId="13766"/>
    <cellStyle name="Note 5 11 4 5" xfId="13767"/>
    <cellStyle name="Note 5 11 4 6" xfId="13768"/>
    <cellStyle name="Note 5 11 4 7" xfId="13769"/>
    <cellStyle name="Note 5 11 4 8" xfId="13770"/>
    <cellStyle name="Note 5 11 5" xfId="13771"/>
    <cellStyle name="Note 5 11 5 2" xfId="13772"/>
    <cellStyle name="Note 5 11 5 2 2" xfId="13773"/>
    <cellStyle name="Note 5 11 5 3" xfId="13774"/>
    <cellStyle name="Note 5 11 5 4" xfId="13775"/>
    <cellStyle name="Note 5 11 6" xfId="13776"/>
    <cellStyle name="Note 5 11 6 2" xfId="13777"/>
    <cellStyle name="Note 5 11 7" xfId="13778"/>
    <cellStyle name="Note 5 11 7 2" xfId="13779"/>
    <cellStyle name="Note 5 11 8" xfId="13780"/>
    <cellStyle name="Note 5 11 8 2" xfId="13781"/>
    <cellStyle name="Note 5 11 9" xfId="13782"/>
    <cellStyle name="Note 5 12" xfId="13783"/>
    <cellStyle name="Note 5 12 10" xfId="13784"/>
    <cellStyle name="Note 5 12 11" xfId="13785"/>
    <cellStyle name="Note 5 12 12" xfId="13786"/>
    <cellStyle name="Note 5 12 2" xfId="13787"/>
    <cellStyle name="Note 5 12 2 10" xfId="13788"/>
    <cellStyle name="Note 5 12 2 11" xfId="13789"/>
    <cellStyle name="Note 5 12 2 2" xfId="13790"/>
    <cellStyle name="Note 5 12 2 2 2" xfId="13791"/>
    <cellStyle name="Note 5 12 2 2 2 2" xfId="13792"/>
    <cellStyle name="Note 5 12 2 2 2 3" xfId="13793"/>
    <cellStyle name="Note 5 12 2 2 3" xfId="13794"/>
    <cellStyle name="Note 5 12 2 2 3 2" xfId="13795"/>
    <cellStyle name="Note 5 12 2 2 4" xfId="13796"/>
    <cellStyle name="Note 5 12 2 2 5" xfId="13797"/>
    <cellStyle name="Note 5 12 2 2 6" xfId="13798"/>
    <cellStyle name="Note 5 12 2 2 7" xfId="13799"/>
    <cellStyle name="Note 5 12 2 2 8" xfId="13800"/>
    <cellStyle name="Note 5 12 2 3" xfId="13801"/>
    <cellStyle name="Note 5 12 2 3 2" xfId="13802"/>
    <cellStyle name="Note 5 12 2 3 2 2" xfId="13803"/>
    <cellStyle name="Note 5 12 2 3 3" xfId="13804"/>
    <cellStyle name="Note 5 12 2 3 4" xfId="13805"/>
    <cellStyle name="Note 5 12 2 4" xfId="13806"/>
    <cellStyle name="Note 5 12 2 4 2" xfId="13807"/>
    <cellStyle name="Note 5 12 2 5" xfId="13808"/>
    <cellStyle name="Note 5 12 2 5 2" xfId="13809"/>
    <cellStyle name="Note 5 12 2 6" xfId="13810"/>
    <cellStyle name="Note 5 12 2 6 2" xfId="13811"/>
    <cellStyle name="Note 5 12 2 7" xfId="13812"/>
    <cellStyle name="Note 5 12 2 8" xfId="13813"/>
    <cellStyle name="Note 5 12 2 9" xfId="13814"/>
    <cellStyle name="Note 5 12 3" xfId="13815"/>
    <cellStyle name="Note 5 12 3 2" xfId="13816"/>
    <cellStyle name="Note 5 12 3 2 2" xfId="13817"/>
    <cellStyle name="Note 5 12 3 2 3" xfId="13818"/>
    <cellStyle name="Note 5 12 3 3" xfId="13819"/>
    <cellStyle name="Note 5 12 3 3 2" xfId="13820"/>
    <cellStyle name="Note 5 12 3 4" xfId="13821"/>
    <cellStyle name="Note 5 12 3 5" xfId="13822"/>
    <cellStyle name="Note 5 12 3 6" xfId="13823"/>
    <cellStyle name="Note 5 12 3 7" xfId="13824"/>
    <cellStyle name="Note 5 12 3 8" xfId="13825"/>
    <cellStyle name="Note 5 12 4" xfId="13826"/>
    <cellStyle name="Note 5 12 4 2" xfId="13827"/>
    <cellStyle name="Note 5 12 4 2 2" xfId="13828"/>
    <cellStyle name="Note 5 12 4 3" xfId="13829"/>
    <cellStyle name="Note 5 12 4 4" xfId="13830"/>
    <cellStyle name="Note 5 12 5" xfId="13831"/>
    <cellStyle name="Note 5 12 5 2" xfId="13832"/>
    <cellStyle name="Note 5 12 6" xfId="13833"/>
    <cellStyle name="Note 5 12 6 2" xfId="13834"/>
    <cellStyle name="Note 5 12 7" xfId="13835"/>
    <cellStyle name="Note 5 12 7 2" xfId="13836"/>
    <cellStyle name="Note 5 12 8" xfId="13837"/>
    <cellStyle name="Note 5 12 9" xfId="13838"/>
    <cellStyle name="Note 5 13" xfId="13839"/>
    <cellStyle name="Note 5 13 10" xfId="13840"/>
    <cellStyle name="Note 5 13 11" xfId="13841"/>
    <cellStyle name="Note 5 13 2" xfId="13842"/>
    <cellStyle name="Note 5 13 2 2" xfId="13843"/>
    <cellStyle name="Note 5 13 2 2 2" xfId="13844"/>
    <cellStyle name="Note 5 13 2 2 3" xfId="13845"/>
    <cellStyle name="Note 5 13 2 3" xfId="13846"/>
    <cellStyle name="Note 5 13 2 3 2" xfId="13847"/>
    <cellStyle name="Note 5 13 2 4" xfId="13848"/>
    <cellStyle name="Note 5 13 2 5" xfId="13849"/>
    <cellStyle name="Note 5 13 2 6" xfId="13850"/>
    <cellStyle name="Note 5 13 2 7" xfId="13851"/>
    <cellStyle name="Note 5 13 2 8" xfId="13852"/>
    <cellStyle name="Note 5 13 3" xfId="13853"/>
    <cellStyle name="Note 5 13 3 2" xfId="13854"/>
    <cellStyle name="Note 5 13 3 2 2" xfId="13855"/>
    <cellStyle name="Note 5 13 3 3" xfId="13856"/>
    <cellStyle name="Note 5 13 3 4" xfId="13857"/>
    <cellStyle name="Note 5 13 4" xfId="13858"/>
    <cellStyle name="Note 5 13 4 2" xfId="13859"/>
    <cellStyle name="Note 5 13 5" xfId="13860"/>
    <cellStyle name="Note 5 13 5 2" xfId="13861"/>
    <cellStyle name="Note 5 13 6" xfId="13862"/>
    <cellStyle name="Note 5 13 6 2" xfId="13863"/>
    <cellStyle name="Note 5 13 7" xfId="13864"/>
    <cellStyle name="Note 5 13 8" xfId="13865"/>
    <cellStyle name="Note 5 13 9" xfId="13866"/>
    <cellStyle name="Note 5 14" xfId="13867"/>
    <cellStyle name="Note 5 14 2" xfId="13868"/>
    <cellStyle name="Note 5 14 2 2" xfId="13869"/>
    <cellStyle name="Note 5 14 2 3" xfId="13870"/>
    <cellStyle name="Note 5 14 3" xfId="13871"/>
    <cellStyle name="Note 5 14 3 2" xfId="13872"/>
    <cellStyle name="Note 5 14 4" xfId="13873"/>
    <cellStyle name="Note 5 14 5" xfId="13874"/>
    <cellStyle name="Note 5 14 6" xfId="13875"/>
    <cellStyle name="Note 5 14 7" xfId="13876"/>
    <cellStyle name="Note 5 14 8" xfId="13877"/>
    <cellStyle name="Note 5 15" xfId="13878"/>
    <cellStyle name="Note 5 15 2" xfId="13879"/>
    <cellStyle name="Note 5 15 2 2" xfId="13880"/>
    <cellStyle name="Note 5 15 3" xfId="13881"/>
    <cellStyle name="Note 5 15 4" xfId="13882"/>
    <cellStyle name="Note 5 16" xfId="13883"/>
    <cellStyle name="Note 5 16 2" xfId="13884"/>
    <cellStyle name="Note 5 17" xfId="13885"/>
    <cellStyle name="Note 5 17 2" xfId="13886"/>
    <cellStyle name="Note 5 18" xfId="13887"/>
    <cellStyle name="Note 5 18 2" xfId="13888"/>
    <cellStyle name="Note 5 19" xfId="13889"/>
    <cellStyle name="Note 5 2" xfId="13890"/>
    <cellStyle name="Note 5 2 2" xfId="13891"/>
    <cellStyle name="Note 5 20" xfId="13892"/>
    <cellStyle name="Note 5 21" xfId="13893"/>
    <cellStyle name="Note 5 22" xfId="13894"/>
    <cellStyle name="Note 5 23" xfId="13895"/>
    <cellStyle name="Note 5 24" xfId="13896"/>
    <cellStyle name="Note 5 3" xfId="13897"/>
    <cellStyle name="Note 5 3 2" xfId="13898"/>
    <cellStyle name="Note 5 4" xfId="13899"/>
    <cellStyle name="Note 5 4 2" xfId="13900"/>
    <cellStyle name="Note 5 5" xfId="13901"/>
    <cellStyle name="Note 5 6" xfId="13902"/>
    <cellStyle name="Note 5 7" xfId="13903"/>
    <cellStyle name="Note 5 8" xfId="13904"/>
    <cellStyle name="Note 5 8 10" xfId="13905"/>
    <cellStyle name="Note 5 8 11" xfId="13906"/>
    <cellStyle name="Note 5 8 12" xfId="13907"/>
    <cellStyle name="Note 5 8 13" xfId="13908"/>
    <cellStyle name="Note 5 8 14" xfId="13909"/>
    <cellStyle name="Note 5 8 2" xfId="13910"/>
    <cellStyle name="Note 5 8 2 10" xfId="13911"/>
    <cellStyle name="Note 5 8 2 11" xfId="13912"/>
    <cellStyle name="Note 5 8 2 12" xfId="13913"/>
    <cellStyle name="Note 5 8 2 13" xfId="13914"/>
    <cellStyle name="Note 5 8 2 2" xfId="13915"/>
    <cellStyle name="Note 5 8 2 2 10" xfId="13916"/>
    <cellStyle name="Note 5 8 2 2 11" xfId="13917"/>
    <cellStyle name="Note 5 8 2 2 12" xfId="13918"/>
    <cellStyle name="Note 5 8 2 2 2" xfId="13919"/>
    <cellStyle name="Note 5 8 2 2 2 10" xfId="13920"/>
    <cellStyle name="Note 5 8 2 2 2 11" xfId="13921"/>
    <cellStyle name="Note 5 8 2 2 2 2" xfId="13922"/>
    <cellStyle name="Note 5 8 2 2 2 2 2" xfId="13923"/>
    <cellStyle name="Note 5 8 2 2 2 2 2 2" xfId="13924"/>
    <cellStyle name="Note 5 8 2 2 2 2 2 3" xfId="13925"/>
    <cellStyle name="Note 5 8 2 2 2 2 3" xfId="13926"/>
    <cellStyle name="Note 5 8 2 2 2 2 3 2" xfId="13927"/>
    <cellStyle name="Note 5 8 2 2 2 2 4" xfId="13928"/>
    <cellStyle name="Note 5 8 2 2 2 2 5" xfId="13929"/>
    <cellStyle name="Note 5 8 2 2 2 2 6" xfId="13930"/>
    <cellStyle name="Note 5 8 2 2 2 2 7" xfId="13931"/>
    <cellStyle name="Note 5 8 2 2 2 2 8" xfId="13932"/>
    <cellStyle name="Note 5 8 2 2 2 3" xfId="13933"/>
    <cellStyle name="Note 5 8 2 2 2 3 2" xfId="13934"/>
    <cellStyle name="Note 5 8 2 2 2 3 2 2" xfId="13935"/>
    <cellStyle name="Note 5 8 2 2 2 3 3" xfId="13936"/>
    <cellStyle name="Note 5 8 2 2 2 3 4" xfId="13937"/>
    <cellStyle name="Note 5 8 2 2 2 4" xfId="13938"/>
    <cellStyle name="Note 5 8 2 2 2 4 2" xfId="13939"/>
    <cellStyle name="Note 5 8 2 2 2 5" xfId="13940"/>
    <cellStyle name="Note 5 8 2 2 2 5 2" xfId="13941"/>
    <cellStyle name="Note 5 8 2 2 2 6" xfId="13942"/>
    <cellStyle name="Note 5 8 2 2 2 6 2" xfId="13943"/>
    <cellStyle name="Note 5 8 2 2 2 7" xfId="13944"/>
    <cellStyle name="Note 5 8 2 2 2 8" xfId="13945"/>
    <cellStyle name="Note 5 8 2 2 2 9" xfId="13946"/>
    <cellStyle name="Note 5 8 2 2 3" xfId="13947"/>
    <cellStyle name="Note 5 8 2 2 3 2" xfId="13948"/>
    <cellStyle name="Note 5 8 2 2 3 2 2" xfId="13949"/>
    <cellStyle name="Note 5 8 2 2 3 2 3" xfId="13950"/>
    <cellStyle name="Note 5 8 2 2 3 3" xfId="13951"/>
    <cellStyle name="Note 5 8 2 2 3 3 2" xfId="13952"/>
    <cellStyle name="Note 5 8 2 2 3 4" xfId="13953"/>
    <cellStyle name="Note 5 8 2 2 3 5" xfId="13954"/>
    <cellStyle name="Note 5 8 2 2 3 6" xfId="13955"/>
    <cellStyle name="Note 5 8 2 2 3 7" xfId="13956"/>
    <cellStyle name="Note 5 8 2 2 3 8" xfId="13957"/>
    <cellStyle name="Note 5 8 2 2 4" xfId="13958"/>
    <cellStyle name="Note 5 8 2 2 4 2" xfId="13959"/>
    <cellStyle name="Note 5 8 2 2 4 2 2" xfId="13960"/>
    <cellStyle name="Note 5 8 2 2 4 3" xfId="13961"/>
    <cellStyle name="Note 5 8 2 2 4 4" xfId="13962"/>
    <cellStyle name="Note 5 8 2 2 5" xfId="13963"/>
    <cellStyle name="Note 5 8 2 2 5 2" xfId="13964"/>
    <cellStyle name="Note 5 8 2 2 6" xfId="13965"/>
    <cellStyle name="Note 5 8 2 2 6 2" xfId="13966"/>
    <cellStyle name="Note 5 8 2 2 7" xfId="13967"/>
    <cellStyle name="Note 5 8 2 2 7 2" xfId="13968"/>
    <cellStyle name="Note 5 8 2 2 8" xfId="13969"/>
    <cellStyle name="Note 5 8 2 2 9" xfId="13970"/>
    <cellStyle name="Note 5 8 2 3" xfId="13971"/>
    <cellStyle name="Note 5 8 2 3 10" xfId="13972"/>
    <cellStyle name="Note 5 8 2 3 11" xfId="13973"/>
    <cellStyle name="Note 5 8 2 3 2" xfId="13974"/>
    <cellStyle name="Note 5 8 2 3 2 2" xfId="13975"/>
    <cellStyle name="Note 5 8 2 3 2 2 2" xfId="13976"/>
    <cellStyle name="Note 5 8 2 3 2 2 3" xfId="13977"/>
    <cellStyle name="Note 5 8 2 3 2 3" xfId="13978"/>
    <cellStyle name="Note 5 8 2 3 2 3 2" xfId="13979"/>
    <cellStyle name="Note 5 8 2 3 2 4" xfId="13980"/>
    <cellStyle name="Note 5 8 2 3 2 5" xfId="13981"/>
    <cellStyle name="Note 5 8 2 3 2 6" xfId="13982"/>
    <cellStyle name="Note 5 8 2 3 2 7" xfId="13983"/>
    <cellStyle name="Note 5 8 2 3 2 8" xfId="13984"/>
    <cellStyle name="Note 5 8 2 3 3" xfId="13985"/>
    <cellStyle name="Note 5 8 2 3 3 2" xfId="13986"/>
    <cellStyle name="Note 5 8 2 3 3 2 2" xfId="13987"/>
    <cellStyle name="Note 5 8 2 3 3 3" xfId="13988"/>
    <cellStyle name="Note 5 8 2 3 3 4" xfId="13989"/>
    <cellStyle name="Note 5 8 2 3 4" xfId="13990"/>
    <cellStyle name="Note 5 8 2 3 4 2" xfId="13991"/>
    <cellStyle name="Note 5 8 2 3 5" xfId="13992"/>
    <cellStyle name="Note 5 8 2 3 5 2" xfId="13993"/>
    <cellStyle name="Note 5 8 2 3 6" xfId="13994"/>
    <cellStyle name="Note 5 8 2 3 6 2" xfId="13995"/>
    <cellStyle name="Note 5 8 2 3 7" xfId="13996"/>
    <cellStyle name="Note 5 8 2 3 8" xfId="13997"/>
    <cellStyle name="Note 5 8 2 3 9" xfId="13998"/>
    <cellStyle name="Note 5 8 2 4" xfId="13999"/>
    <cellStyle name="Note 5 8 2 4 2" xfId="14000"/>
    <cellStyle name="Note 5 8 2 4 2 2" xfId="14001"/>
    <cellStyle name="Note 5 8 2 4 2 3" xfId="14002"/>
    <cellStyle name="Note 5 8 2 4 3" xfId="14003"/>
    <cellStyle name="Note 5 8 2 4 3 2" xfId="14004"/>
    <cellStyle name="Note 5 8 2 4 4" xfId="14005"/>
    <cellStyle name="Note 5 8 2 4 5" xfId="14006"/>
    <cellStyle name="Note 5 8 2 4 6" xfId="14007"/>
    <cellStyle name="Note 5 8 2 4 7" xfId="14008"/>
    <cellStyle name="Note 5 8 2 4 8" xfId="14009"/>
    <cellStyle name="Note 5 8 2 5" xfId="14010"/>
    <cellStyle name="Note 5 8 2 5 2" xfId="14011"/>
    <cellStyle name="Note 5 8 2 5 2 2" xfId="14012"/>
    <cellStyle name="Note 5 8 2 5 3" xfId="14013"/>
    <cellStyle name="Note 5 8 2 5 4" xfId="14014"/>
    <cellStyle name="Note 5 8 2 6" xfId="14015"/>
    <cellStyle name="Note 5 8 2 6 2" xfId="14016"/>
    <cellStyle name="Note 5 8 2 7" xfId="14017"/>
    <cellStyle name="Note 5 8 2 7 2" xfId="14018"/>
    <cellStyle name="Note 5 8 2 8" xfId="14019"/>
    <cellStyle name="Note 5 8 2 8 2" xfId="14020"/>
    <cellStyle name="Note 5 8 2 9" xfId="14021"/>
    <cellStyle name="Note 5 8 3" xfId="14022"/>
    <cellStyle name="Note 5 8 3 10" xfId="14023"/>
    <cellStyle name="Note 5 8 3 11" xfId="14024"/>
    <cellStyle name="Note 5 8 3 12" xfId="14025"/>
    <cellStyle name="Note 5 8 3 2" xfId="14026"/>
    <cellStyle name="Note 5 8 3 2 10" xfId="14027"/>
    <cellStyle name="Note 5 8 3 2 11" xfId="14028"/>
    <cellStyle name="Note 5 8 3 2 2" xfId="14029"/>
    <cellStyle name="Note 5 8 3 2 2 2" xfId="14030"/>
    <cellStyle name="Note 5 8 3 2 2 2 2" xfId="14031"/>
    <cellStyle name="Note 5 8 3 2 2 2 3" xfId="14032"/>
    <cellStyle name="Note 5 8 3 2 2 3" xfId="14033"/>
    <cellStyle name="Note 5 8 3 2 2 3 2" xfId="14034"/>
    <cellStyle name="Note 5 8 3 2 2 4" xfId="14035"/>
    <cellStyle name="Note 5 8 3 2 2 5" xfId="14036"/>
    <cellStyle name="Note 5 8 3 2 2 6" xfId="14037"/>
    <cellStyle name="Note 5 8 3 2 2 7" xfId="14038"/>
    <cellStyle name="Note 5 8 3 2 2 8" xfId="14039"/>
    <cellStyle name="Note 5 8 3 2 3" xfId="14040"/>
    <cellStyle name="Note 5 8 3 2 3 2" xfId="14041"/>
    <cellStyle name="Note 5 8 3 2 3 2 2" xfId="14042"/>
    <cellStyle name="Note 5 8 3 2 3 3" xfId="14043"/>
    <cellStyle name="Note 5 8 3 2 3 4" xfId="14044"/>
    <cellStyle name="Note 5 8 3 2 4" xfId="14045"/>
    <cellStyle name="Note 5 8 3 2 4 2" xfId="14046"/>
    <cellStyle name="Note 5 8 3 2 5" xfId="14047"/>
    <cellStyle name="Note 5 8 3 2 5 2" xfId="14048"/>
    <cellStyle name="Note 5 8 3 2 6" xfId="14049"/>
    <cellStyle name="Note 5 8 3 2 6 2" xfId="14050"/>
    <cellStyle name="Note 5 8 3 2 7" xfId="14051"/>
    <cellStyle name="Note 5 8 3 2 8" xfId="14052"/>
    <cellStyle name="Note 5 8 3 2 9" xfId="14053"/>
    <cellStyle name="Note 5 8 3 3" xfId="14054"/>
    <cellStyle name="Note 5 8 3 3 2" xfId="14055"/>
    <cellStyle name="Note 5 8 3 3 2 2" xfId="14056"/>
    <cellStyle name="Note 5 8 3 3 2 3" xfId="14057"/>
    <cellStyle name="Note 5 8 3 3 3" xfId="14058"/>
    <cellStyle name="Note 5 8 3 3 3 2" xfId="14059"/>
    <cellStyle name="Note 5 8 3 3 4" xfId="14060"/>
    <cellStyle name="Note 5 8 3 3 5" xfId="14061"/>
    <cellStyle name="Note 5 8 3 3 6" xfId="14062"/>
    <cellStyle name="Note 5 8 3 3 7" xfId="14063"/>
    <cellStyle name="Note 5 8 3 3 8" xfId="14064"/>
    <cellStyle name="Note 5 8 3 4" xfId="14065"/>
    <cellStyle name="Note 5 8 3 4 2" xfId="14066"/>
    <cellStyle name="Note 5 8 3 4 2 2" xfId="14067"/>
    <cellStyle name="Note 5 8 3 4 3" xfId="14068"/>
    <cellStyle name="Note 5 8 3 4 4" xfId="14069"/>
    <cellStyle name="Note 5 8 3 5" xfId="14070"/>
    <cellStyle name="Note 5 8 3 5 2" xfId="14071"/>
    <cellStyle name="Note 5 8 3 6" xfId="14072"/>
    <cellStyle name="Note 5 8 3 6 2" xfId="14073"/>
    <cellStyle name="Note 5 8 3 7" xfId="14074"/>
    <cellStyle name="Note 5 8 3 7 2" xfId="14075"/>
    <cellStyle name="Note 5 8 3 8" xfId="14076"/>
    <cellStyle name="Note 5 8 3 9" xfId="14077"/>
    <cellStyle name="Note 5 8 4" xfId="14078"/>
    <cellStyle name="Note 5 8 4 10" xfId="14079"/>
    <cellStyle name="Note 5 8 4 11" xfId="14080"/>
    <cellStyle name="Note 5 8 4 2" xfId="14081"/>
    <cellStyle name="Note 5 8 4 2 2" xfId="14082"/>
    <cellStyle name="Note 5 8 4 2 2 2" xfId="14083"/>
    <cellStyle name="Note 5 8 4 2 2 3" xfId="14084"/>
    <cellStyle name="Note 5 8 4 2 3" xfId="14085"/>
    <cellStyle name="Note 5 8 4 2 3 2" xfId="14086"/>
    <cellStyle name="Note 5 8 4 2 4" xfId="14087"/>
    <cellStyle name="Note 5 8 4 2 5" xfId="14088"/>
    <cellStyle name="Note 5 8 4 2 6" xfId="14089"/>
    <cellStyle name="Note 5 8 4 2 7" xfId="14090"/>
    <cellStyle name="Note 5 8 4 2 8" xfId="14091"/>
    <cellStyle name="Note 5 8 4 3" xfId="14092"/>
    <cellStyle name="Note 5 8 4 3 2" xfId="14093"/>
    <cellStyle name="Note 5 8 4 3 2 2" xfId="14094"/>
    <cellStyle name="Note 5 8 4 3 3" xfId="14095"/>
    <cellStyle name="Note 5 8 4 3 4" xfId="14096"/>
    <cellStyle name="Note 5 8 4 4" xfId="14097"/>
    <cellStyle name="Note 5 8 4 4 2" xfId="14098"/>
    <cellStyle name="Note 5 8 4 5" xfId="14099"/>
    <cellStyle name="Note 5 8 4 5 2" xfId="14100"/>
    <cellStyle name="Note 5 8 4 6" xfId="14101"/>
    <cellStyle name="Note 5 8 4 6 2" xfId="14102"/>
    <cellStyle name="Note 5 8 4 7" xfId="14103"/>
    <cellStyle name="Note 5 8 4 8" xfId="14104"/>
    <cellStyle name="Note 5 8 4 9" xfId="14105"/>
    <cellStyle name="Note 5 8 5" xfId="14106"/>
    <cellStyle name="Note 5 8 5 2" xfId="14107"/>
    <cellStyle name="Note 5 8 5 2 2" xfId="14108"/>
    <cellStyle name="Note 5 8 5 2 3" xfId="14109"/>
    <cellStyle name="Note 5 8 5 3" xfId="14110"/>
    <cellStyle name="Note 5 8 5 3 2" xfId="14111"/>
    <cellStyle name="Note 5 8 5 4" xfId="14112"/>
    <cellStyle name="Note 5 8 5 5" xfId="14113"/>
    <cellStyle name="Note 5 8 5 6" xfId="14114"/>
    <cellStyle name="Note 5 8 5 7" xfId="14115"/>
    <cellStyle name="Note 5 8 5 8" xfId="14116"/>
    <cellStyle name="Note 5 8 6" xfId="14117"/>
    <cellStyle name="Note 5 8 6 2" xfId="14118"/>
    <cellStyle name="Note 5 8 6 2 2" xfId="14119"/>
    <cellStyle name="Note 5 8 6 3" xfId="14120"/>
    <cellStyle name="Note 5 8 6 4" xfId="14121"/>
    <cellStyle name="Note 5 8 7" xfId="14122"/>
    <cellStyle name="Note 5 8 7 2" xfId="14123"/>
    <cellStyle name="Note 5 8 8" xfId="14124"/>
    <cellStyle name="Note 5 8 8 2" xfId="14125"/>
    <cellStyle name="Note 5 8 9" xfId="14126"/>
    <cellStyle name="Note 5 8 9 2" xfId="14127"/>
    <cellStyle name="Note 5 9" xfId="14128"/>
    <cellStyle name="Note 6" xfId="3122"/>
    <cellStyle name="Note 6 10" xfId="14129"/>
    <cellStyle name="Note 6 11" xfId="14130"/>
    <cellStyle name="Note 6 11 10" xfId="14131"/>
    <cellStyle name="Note 6 11 11" xfId="14132"/>
    <cellStyle name="Note 6 11 12" xfId="14133"/>
    <cellStyle name="Note 6 11 13" xfId="14134"/>
    <cellStyle name="Note 6 11 2" xfId="14135"/>
    <cellStyle name="Note 6 11 2 10" xfId="14136"/>
    <cellStyle name="Note 6 11 2 11" xfId="14137"/>
    <cellStyle name="Note 6 11 2 12" xfId="14138"/>
    <cellStyle name="Note 6 11 2 2" xfId="14139"/>
    <cellStyle name="Note 6 11 2 2 10" xfId="14140"/>
    <cellStyle name="Note 6 11 2 2 11" xfId="14141"/>
    <cellStyle name="Note 6 11 2 2 2" xfId="14142"/>
    <cellStyle name="Note 6 11 2 2 2 2" xfId="14143"/>
    <cellStyle name="Note 6 11 2 2 2 2 2" xfId="14144"/>
    <cellStyle name="Note 6 11 2 2 2 2 3" xfId="14145"/>
    <cellStyle name="Note 6 11 2 2 2 3" xfId="14146"/>
    <cellStyle name="Note 6 11 2 2 2 3 2" xfId="14147"/>
    <cellStyle name="Note 6 11 2 2 2 4" xfId="14148"/>
    <cellStyle name="Note 6 11 2 2 2 5" xfId="14149"/>
    <cellStyle name="Note 6 11 2 2 2 6" xfId="14150"/>
    <cellStyle name="Note 6 11 2 2 2 7" xfId="14151"/>
    <cellStyle name="Note 6 11 2 2 2 8" xfId="14152"/>
    <cellStyle name="Note 6 11 2 2 3" xfId="14153"/>
    <cellStyle name="Note 6 11 2 2 3 2" xfId="14154"/>
    <cellStyle name="Note 6 11 2 2 3 2 2" xfId="14155"/>
    <cellStyle name="Note 6 11 2 2 3 3" xfId="14156"/>
    <cellStyle name="Note 6 11 2 2 3 4" xfId="14157"/>
    <cellStyle name="Note 6 11 2 2 4" xfId="14158"/>
    <cellStyle name="Note 6 11 2 2 4 2" xfId="14159"/>
    <cellStyle name="Note 6 11 2 2 5" xfId="14160"/>
    <cellStyle name="Note 6 11 2 2 5 2" xfId="14161"/>
    <cellStyle name="Note 6 11 2 2 6" xfId="14162"/>
    <cellStyle name="Note 6 11 2 2 6 2" xfId="14163"/>
    <cellStyle name="Note 6 11 2 2 7" xfId="14164"/>
    <cellStyle name="Note 6 11 2 2 8" xfId="14165"/>
    <cellStyle name="Note 6 11 2 2 9" xfId="14166"/>
    <cellStyle name="Note 6 11 2 3" xfId="14167"/>
    <cellStyle name="Note 6 11 2 3 2" xfId="14168"/>
    <cellStyle name="Note 6 11 2 3 2 2" xfId="14169"/>
    <cellStyle name="Note 6 11 2 3 2 3" xfId="14170"/>
    <cellStyle name="Note 6 11 2 3 3" xfId="14171"/>
    <cellStyle name="Note 6 11 2 3 3 2" xfId="14172"/>
    <cellStyle name="Note 6 11 2 3 4" xfId="14173"/>
    <cellStyle name="Note 6 11 2 3 5" xfId="14174"/>
    <cellStyle name="Note 6 11 2 3 6" xfId="14175"/>
    <cellStyle name="Note 6 11 2 3 7" xfId="14176"/>
    <cellStyle name="Note 6 11 2 3 8" xfId="14177"/>
    <cellStyle name="Note 6 11 2 4" xfId="14178"/>
    <cellStyle name="Note 6 11 2 4 2" xfId="14179"/>
    <cellStyle name="Note 6 11 2 4 2 2" xfId="14180"/>
    <cellStyle name="Note 6 11 2 4 3" xfId="14181"/>
    <cellStyle name="Note 6 11 2 4 4" xfId="14182"/>
    <cellStyle name="Note 6 11 2 5" xfId="14183"/>
    <cellStyle name="Note 6 11 2 5 2" xfId="14184"/>
    <cellStyle name="Note 6 11 2 6" xfId="14185"/>
    <cellStyle name="Note 6 11 2 6 2" xfId="14186"/>
    <cellStyle name="Note 6 11 2 7" xfId="14187"/>
    <cellStyle name="Note 6 11 2 7 2" xfId="14188"/>
    <cellStyle name="Note 6 11 2 8" xfId="14189"/>
    <cellStyle name="Note 6 11 2 9" xfId="14190"/>
    <cellStyle name="Note 6 11 3" xfId="14191"/>
    <cellStyle name="Note 6 11 3 10" xfId="14192"/>
    <cellStyle name="Note 6 11 3 11" xfId="14193"/>
    <cellStyle name="Note 6 11 3 2" xfId="14194"/>
    <cellStyle name="Note 6 11 3 2 2" xfId="14195"/>
    <cellStyle name="Note 6 11 3 2 2 2" xfId="14196"/>
    <cellStyle name="Note 6 11 3 2 2 3" xfId="14197"/>
    <cellStyle name="Note 6 11 3 2 3" xfId="14198"/>
    <cellStyle name="Note 6 11 3 2 3 2" xfId="14199"/>
    <cellStyle name="Note 6 11 3 2 4" xfId="14200"/>
    <cellStyle name="Note 6 11 3 2 5" xfId="14201"/>
    <cellStyle name="Note 6 11 3 2 6" xfId="14202"/>
    <cellStyle name="Note 6 11 3 2 7" xfId="14203"/>
    <cellStyle name="Note 6 11 3 2 8" xfId="14204"/>
    <cellStyle name="Note 6 11 3 3" xfId="14205"/>
    <cellStyle name="Note 6 11 3 3 2" xfId="14206"/>
    <cellStyle name="Note 6 11 3 3 2 2" xfId="14207"/>
    <cellStyle name="Note 6 11 3 3 3" xfId="14208"/>
    <cellStyle name="Note 6 11 3 3 4" xfId="14209"/>
    <cellStyle name="Note 6 11 3 4" xfId="14210"/>
    <cellStyle name="Note 6 11 3 4 2" xfId="14211"/>
    <cellStyle name="Note 6 11 3 5" xfId="14212"/>
    <cellStyle name="Note 6 11 3 5 2" xfId="14213"/>
    <cellStyle name="Note 6 11 3 6" xfId="14214"/>
    <cellStyle name="Note 6 11 3 6 2" xfId="14215"/>
    <cellStyle name="Note 6 11 3 7" xfId="14216"/>
    <cellStyle name="Note 6 11 3 8" xfId="14217"/>
    <cellStyle name="Note 6 11 3 9" xfId="14218"/>
    <cellStyle name="Note 6 11 4" xfId="14219"/>
    <cellStyle name="Note 6 11 4 2" xfId="14220"/>
    <cellStyle name="Note 6 11 4 2 2" xfId="14221"/>
    <cellStyle name="Note 6 11 4 2 3" xfId="14222"/>
    <cellStyle name="Note 6 11 4 3" xfId="14223"/>
    <cellStyle name="Note 6 11 4 3 2" xfId="14224"/>
    <cellStyle name="Note 6 11 4 4" xfId="14225"/>
    <cellStyle name="Note 6 11 4 5" xfId="14226"/>
    <cellStyle name="Note 6 11 4 6" xfId="14227"/>
    <cellStyle name="Note 6 11 4 7" xfId="14228"/>
    <cellStyle name="Note 6 11 4 8" xfId="14229"/>
    <cellStyle name="Note 6 11 5" xfId="14230"/>
    <cellStyle name="Note 6 11 5 2" xfId="14231"/>
    <cellStyle name="Note 6 11 5 2 2" xfId="14232"/>
    <cellStyle name="Note 6 11 5 3" xfId="14233"/>
    <cellStyle name="Note 6 11 5 4" xfId="14234"/>
    <cellStyle name="Note 6 11 6" xfId="14235"/>
    <cellStyle name="Note 6 11 6 2" xfId="14236"/>
    <cellStyle name="Note 6 11 7" xfId="14237"/>
    <cellStyle name="Note 6 11 7 2" xfId="14238"/>
    <cellStyle name="Note 6 11 8" xfId="14239"/>
    <cellStyle name="Note 6 11 8 2" xfId="14240"/>
    <cellStyle name="Note 6 11 9" xfId="14241"/>
    <cellStyle name="Note 6 12" xfId="14242"/>
    <cellStyle name="Note 6 12 10" xfId="14243"/>
    <cellStyle name="Note 6 12 11" xfId="14244"/>
    <cellStyle name="Note 6 12 12" xfId="14245"/>
    <cellStyle name="Note 6 12 2" xfId="14246"/>
    <cellStyle name="Note 6 12 2 10" xfId="14247"/>
    <cellStyle name="Note 6 12 2 11" xfId="14248"/>
    <cellStyle name="Note 6 12 2 2" xfId="14249"/>
    <cellStyle name="Note 6 12 2 2 2" xfId="14250"/>
    <cellStyle name="Note 6 12 2 2 2 2" xfId="14251"/>
    <cellStyle name="Note 6 12 2 2 2 3" xfId="14252"/>
    <cellStyle name="Note 6 12 2 2 3" xfId="14253"/>
    <cellStyle name="Note 6 12 2 2 3 2" xfId="14254"/>
    <cellStyle name="Note 6 12 2 2 4" xfId="14255"/>
    <cellStyle name="Note 6 12 2 2 5" xfId="14256"/>
    <cellStyle name="Note 6 12 2 2 6" xfId="14257"/>
    <cellStyle name="Note 6 12 2 2 7" xfId="14258"/>
    <cellStyle name="Note 6 12 2 2 8" xfId="14259"/>
    <cellStyle name="Note 6 12 2 3" xfId="14260"/>
    <cellStyle name="Note 6 12 2 3 2" xfId="14261"/>
    <cellStyle name="Note 6 12 2 3 2 2" xfId="14262"/>
    <cellStyle name="Note 6 12 2 3 3" xfId="14263"/>
    <cellStyle name="Note 6 12 2 3 4" xfId="14264"/>
    <cellStyle name="Note 6 12 2 4" xfId="14265"/>
    <cellStyle name="Note 6 12 2 4 2" xfId="14266"/>
    <cellStyle name="Note 6 12 2 5" xfId="14267"/>
    <cellStyle name="Note 6 12 2 5 2" xfId="14268"/>
    <cellStyle name="Note 6 12 2 6" xfId="14269"/>
    <cellStyle name="Note 6 12 2 6 2" xfId="14270"/>
    <cellStyle name="Note 6 12 2 7" xfId="14271"/>
    <cellStyle name="Note 6 12 2 8" xfId="14272"/>
    <cellStyle name="Note 6 12 2 9" xfId="14273"/>
    <cellStyle name="Note 6 12 3" xfId="14274"/>
    <cellStyle name="Note 6 12 3 2" xfId="14275"/>
    <cellStyle name="Note 6 12 3 2 2" xfId="14276"/>
    <cellStyle name="Note 6 12 3 2 3" xfId="14277"/>
    <cellStyle name="Note 6 12 3 3" xfId="14278"/>
    <cellStyle name="Note 6 12 3 3 2" xfId="14279"/>
    <cellStyle name="Note 6 12 3 4" xfId="14280"/>
    <cellStyle name="Note 6 12 3 5" xfId="14281"/>
    <cellStyle name="Note 6 12 3 6" xfId="14282"/>
    <cellStyle name="Note 6 12 3 7" xfId="14283"/>
    <cellStyle name="Note 6 12 3 8" xfId="14284"/>
    <cellStyle name="Note 6 12 4" xfId="14285"/>
    <cellStyle name="Note 6 12 4 2" xfId="14286"/>
    <cellStyle name="Note 6 12 4 2 2" xfId="14287"/>
    <cellStyle name="Note 6 12 4 3" xfId="14288"/>
    <cellStyle name="Note 6 12 4 4" xfId="14289"/>
    <cellStyle name="Note 6 12 5" xfId="14290"/>
    <cellStyle name="Note 6 12 5 2" xfId="14291"/>
    <cellStyle name="Note 6 12 6" xfId="14292"/>
    <cellStyle name="Note 6 12 6 2" xfId="14293"/>
    <cellStyle name="Note 6 12 7" xfId="14294"/>
    <cellStyle name="Note 6 12 7 2" xfId="14295"/>
    <cellStyle name="Note 6 12 8" xfId="14296"/>
    <cellStyle name="Note 6 12 9" xfId="14297"/>
    <cellStyle name="Note 6 13" xfId="14298"/>
    <cellStyle name="Note 6 13 10" xfId="14299"/>
    <cellStyle name="Note 6 13 11" xfId="14300"/>
    <cellStyle name="Note 6 13 2" xfId="14301"/>
    <cellStyle name="Note 6 13 2 2" xfId="14302"/>
    <cellStyle name="Note 6 13 2 2 2" xfId="14303"/>
    <cellStyle name="Note 6 13 2 2 3" xfId="14304"/>
    <cellStyle name="Note 6 13 2 3" xfId="14305"/>
    <cellStyle name="Note 6 13 2 3 2" xfId="14306"/>
    <cellStyle name="Note 6 13 2 4" xfId="14307"/>
    <cellStyle name="Note 6 13 2 5" xfId="14308"/>
    <cellStyle name="Note 6 13 2 6" xfId="14309"/>
    <cellStyle name="Note 6 13 2 7" xfId="14310"/>
    <cellStyle name="Note 6 13 2 8" xfId="14311"/>
    <cellStyle name="Note 6 13 3" xfId="14312"/>
    <cellStyle name="Note 6 13 3 2" xfId="14313"/>
    <cellStyle name="Note 6 13 3 2 2" xfId="14314"/>
    <cellStyle name="Note 6 13 3 3" xfId="14315"/>
    <cellStyle name="Note 6 13 3 4" xfId="14316"/>
    <cellStyle name="Note 6 13 4" xfId="14317"/>
    <cellStyle name="Note 6 13 4 2" xfId="14318"/>
    <cellStyle name="Note 6 13 5" xfId="14319"/>
    <cellStyle name="Note 6 13 5 2" xfId="14320"/>
    <cellStyle name="Note 6 13 6" xfId="14321"/>
    <cellStyle name="Note 6 13 6 2" xfId="14322"/>
    <cellStyle name="Note 6 13 7" xfId="14323"/>
    <cellStyle name="Note 6 13 8" xfId="14324"/>
    <cellStyle name="Note 6 13 9" xfId="14325"/>
    <cellStyle name="Note 6 14" xfId="14326"/>
    <cellStyle name="Note 6 14 2" xfId="14327"/>
    <cellStyle name="Note 6 14 2 2" xfId="14328"/>
    <cellStyle name="Note 6 14 2 3" xfId="14329"/>
    <cellStyle name="Note 6 14 3" xfId="14330"/>
    <cellStyle name="Note 6 14 3 2" xfId="14331"/>
    <cellStyle name="Note 6 14 4" xfId="14332"/>
    <cellStyle name="Note 6 14 5" xfId="14333"/>
    <cellStyle name="Note 6 14 6" xfId="14334"/>
    <cellStyle name="Note 6 14 7" xfId="14335"/>
    <cellStyle name="Note 6 14 8" xfId="14336"/>
    <cellStyle name="Note 6 15" xfId="14337"/>
    <cellStyle name="Note 6 15 2" xfId="14338"/>
    <cellStyle name="Note 6 15 2 2" xfId="14339"/>
    <cellStyle name="Note 6 15 3" xfId="14340"/>
    <cellStyle name="Note 6 15 4" xfId="14341"/>
    <cellStyle name="Note 6 16" xfId="14342"/>
    <cellStyle name="Note 6 16 2" xfId="14343"/>
    <cellStyle name="Note 6 17" xfId="14344"/>
    <cellStyle name="Note 6 17 2" xfId="14345"/>
    <cellStyle name="Note 6 18" xfId="14346"/>
    <cellStyle name="Note 6 18 2" xfId="14347"/>
    <cellStyle name="Note 6 19" xfId="14348"/>
    <cellStyle name="Note 6 2" xfId="14349"/>
    <cellStyle name="Note 6 2 2" xfId="14350"/>
    <cellStyle name="Note 6 20" xfId="14351"/>
    <cellStyle name="Note 6 21" xfId="14352"/>
    <cellStyle name="Note 6 22" xfId="14353"/>
    <cellStyle name="Note 6 23" xfId="14354"/>
    <cellStyle name="Note 6 24" xfId="14355"/>
    <cellStyle name="Note 6 3" xfId="14356"/>
    <cellStyle name="Note 6 3 2" xfId="14357"/>
    <cellStyle name="Note 6 4" xfId="14358"/>
    <cellStyle name="Note 6 4 2" xfId="14359"/>
    <cellStyle name="Note 6 5" xfId="14360"/>
    <cellStyle name="Note 6 6" xfId="14361"/>
    <cellStyle name="Note 6 7" xfId="14362"/>
    <cellStyle name="Note 6 8" xfId="14363"/>
    <cellStyle name="Note 6 8 10" xfId="14364"/>
    <cellStyle name="Note 6 8 11" xfId="14365"/>
    <cellStyle name="Note 6 8 12" xfId="14366"/>
    <cellStyle name="Note 6 8 13" xfId="14367"/>
    <cellStyle name="Note 6 8 14" xfId="14368"/>
    <cellStyle name="Note 6 8 2" xfId="14369"/>
    <cellStyle name="Note 6 8 2 10" xfId="14370"/>
    <cellStyle name="Note 6 8 2 11" xfId="14371"/>
    <cellStyle name="Note 6 8 2 12" xfId="14372"/>
    <cellStyle name="Note 6 8 2 13" xfId="14373"/>
    <cellStyle name="Note 6 8 2 2" xfId="14374"/>
    <cellStyle name="Note 6 8 2 2 10" xfId="14375"/>
    <cellStyle name="Note 6 8 2 2 11" xfId="14376"/>
    <cellStyle name="Note 6 8 2 2 12" xfId="14377"/>
    <cellStyle name="Note 6 8 2 2 2" xfId="14378"/>
    <cellStyle name="Note 6 8 2 2 2 10" xfId="14379"/>
    <cellStyle name="Note 6 8 2 2 2 11" xfId="14380"/>
    <cellStyle name="Note 6 8 2 2 2 2" xfId="14381"/>
    <cellStyle name="Note 6 8 2 2 2 2 2" xfId="14382"/>
    <cellStyle name="Note 6 8 2 2 2 2 2 2" xfId="14383"/>
    <cellStyle name="Note 6 8 2 2 2 2 2 3" xfId="14384"/>
    <cellStyle name="Note 6 8 2 2 2 2 3" xfId="14385"/>
    <cellStyle name="Note 6 8 2 2 2 2 3 2" xfId="14386"/>
    <cellStyle name="Note 6 8 2 2 2 2 4" xfId="14387"/>
    <cellStyle name="Note 6 8 2 2 2 2 5" xfId="14388"/>
    <cellStyle name="Note 6 8 2 2 2 2 6" xfId="14389"/>
    <cellStyle name="Note 6 8 2 2 2 2 7" xfId="14390"/>
    <cellStyle name="Note 6 8 2 2 2 2 8" xfId="14391"/>
    <cellStyle name="Note 6 8 2 2 2 3" xfId="14392"/>
    <cellStyle name="Note 6 8 2 2 2 3 2" xfId="14393"/>
    <cellStyle name="Note 6 8 2 2 2 3 2 2" xfId="14394"/>
    <cellStyle name="Note 6 8 2 2 2 3 3" xfId="14395"/>
    <cellStyle name="Note 6 8 2 2 2 3 4" xfId="14396"/>
    <cellStyle name="Note 6 8 2 2 2 4" xfId="14397"/>
    <cellStyle name="Note 6 8 2 2 2 4 2" xfId="14398"/>
    <cellStyle name="Note 6 8 2 2 2 5" xfId="14399"/>
    <cellStyle name="Note 6 8 2 2 2 5 2" xfId="14400"/>
    <cellStyle name="Note 6 8 2 2 2 6" xfId="14401"/>
    <cellStyle name="Note 6 8 2 2 2 6 2" xfId="14402"/>
    <cellStyle name="Note 6 8 2 2 2 7" xfId="14403"/>
    <cellStyle name="Note 6 8 2 2 2 8" xfId="14404"/>
    <cellStyle name="Note 6 8 2 2 2 9" xfId="14405"/>
    <cellStyle name="Note 6 8 2 2 3" xfId="14406"/>
    <cellStyle name="Note 6 8 2 2 3 2" xfId="14407"/>
    <cellStyle name="Note 6 8 2 2 3 2 2" xfId="14408"/>
    <cellStyle name="Note 6 8 2 2 3 2 3" xfId="14409"/>
    <cellStyle name="Note 6 8 2 2 3 3" xfId="14410"/>
    <cellStyle name="Note 6 8 2 2 3 3 2" xfId="14411"/>
    <cellStyle name="Note 6 8 2 2 3 4" xfId="14412"/>
    <cellStyle name="Note 6 8 2 2 3 5" xfId="14413"/>
    <cellStyle name="Note 6 8 2 2 3 6" xfId="14414"/>
    <cellStyle name="Note 6 8 2 2 3 7" xfId="14415"/>
    <cellStyle name="Note 6 8 2 2 3 8" xfId="14416"/>
    <cellStyle name="Note 6 8 2 2 4" xfId="14417"/>
    <cellStyle name="Note 6 8 2 2 4 2" xfId="14418"/>
    <cellStyle name="Note 6 8 2 2 4 2 2" xfId="14419"/>
    <cellStyle name="Note 6 8 2 2 4 3" xfId="14420"/>
    <cellStyle name="Note 6 8 2 2 4 4" xfId="14421"/>
    <cellStyle name="Note 6 8 2 2 5" xfId="14422"/>
    <cellStyle name="Note 6 8 2 2 5 2" xfId="14423"/>
    <cellStyle name="Note 6 8 2 2 6" xfId="14424"/>
    <cellStyle name="Note 6 8 2 2 6 2" xfId="14425"/>
    <cellStyle name="Note 6 8 2 2 7" xfId="14426"/>
    <cellStyle name="Note 6 8 2 2 7 2" xfId="14427"/>
    <cellStyle name="Note 6 8 2 2 8" xfId="14428"/>
    <cellStyle name="Note 6 8 2 2 9" xfId="14429"/>
    <cellStyle name="Note 6 8 2 3" xfId="14430"/>
    <cellStyle name="Note 6 8 2 3 10" xfId="14431"/>
    <cellStyle name="Note 6 8 2 3 11" xfId="14432"/>
    <cellStyle name="Note 6 8 2 3 2" xfId="14433"/>
    <cellStyle name="Note 6 8 2 3 2 2" xfId="14434"/>
    <cellStyle name="Note 6 8 2 3 2 2 2" xfId="14435"/>
    <cellStyle name="Note 6 8 2 3 2 2 3" xfId="14436"/>
    <cellStyle name="Note 6 8 2 3 2 3" xfId="14437"/>
    <cellStyle name="Note 6 8 2 3 2 3 2" xfId="14438"/>
    <cellStyle name="Note 6 8 2 3 2 4" xfId="14439"/>
    <cellStyle name="Note 6 8 2 3 2 5" xfId="14440"/>
    <cellStyle name="Note 6 8 2 3 2 6" xfId="14441"/>
    <cellStyle name="Note 6 8 2 3 2 7" xfId="14442"/>
    <cellStyle name="Note 6 8 2 3 2 8" xfId="14443"/>
    <cellStyle name="Note 6 8 2 3 3" xfId="14444"/>
    <cellStyle name="Note 6 8 2 3 3 2" xfId="14445"/>
    <cellStyle name="Note 6 8 2 3 3 2 2" xfId="14446"/>
    <cellStyle name="Note 6 8 2 3 3 3" xfId="14447"/>
    <cellStyle name="Note 6 8 2 3 3 4" xfId="14448"/>
    <cellStyle name="Note 6 8 2 3 4" xfId="14449"/>
    <cellStyle name="Note 6 8 2 3 4 2" xfId="14450"/>
    <cellStyle name="Note 6 8 2 3 5" xfId="14451"/>
    <cellStyle name="Note 6 8 2 3 5 2" xfId="14452"/>
    <cellStyle name="Note 6 8 2 3 6" xfId="14453"/>
    <cellStyle name="Note 6 8 2 3 6 2" xfId="14454"/>
    <cellStyle name="Note 6 8 2 3 7" xfId="14455"/>
    <cellStyle name="Note 6 8 2 3 8" xfId="14456"/>
    <cellStyle name="Note 6 8 2 3 9" xfId="14457"/>
    <cellStyle name="Note 6 8 2 4" xfId="14458"/>
    <cellStyle name="Note 6 8 2 4 2" xfId="14459"/>
    <cellStyle name="Note 6 8 2 4 2 2" xfId="14460"/>
    <cellStyle name="Note 6 8 2 4 2 3" xfId="14461"/>
    <cellStyle name="Note 6 8 2 4 3" xfId="14462"/>
    <cellStyle name="Note 6 8 2 4 3 2" xfId="14463"/>
    <cellStyle name="Note 6 8 2 4 4" xfId="14464"/>
    <cellStyle name="Note 6 8 2 4 5" xfId="14465"/>
    <cellStyle name="Note 6 8 2 4 6" xfId="14466"/>
    <cellStyle name="Note 6 8 2 4 7" xfId="14467"/>
    <cellStyle name="Note 6 8 2 4 8" xfId="14468"/>
    <cellStyle name="Note 6 8 2 5" xfId="14469"/>
    <cellStyle name="Note 6 8 2 5 2" xfId="14470"/>
    <cellStyle name="Note 6 8 2 5 2 2" xfId="14471"/>
    <cellStyle name="Note 6 8 2 5 3" xfId="14472"/>
    <cellStyle name="Note 6 8 2 5 4" xfId="14473"/>
    <cellStyle name="Note 6 8 2 6" xfId="14474"/>
    <cellStyle name="Note 6 8 2 6 2" xfId="14475"/>
    <cellStyle name="Note 6 8 2 7" xfId="14476"/>
    <cellStyle name="Note 6 8 2 7 2" xfId="14477"/>
    <cellStyle name="Note 6 8 2 8" xfId="14478"/>
    <cellStyle name="Note 6 8 2 8 2" xfId="14479"/>
    <cellStyle name="Note 6 8 2 9" xfId="14480"/>
    <cellStyle name="Note 6 8 3" xfId="14481"/>
    <cellStyle name="Note 6 8 3 10" xfId="14482"/>
    <cellStyle name="Note 6 8 3 11" xfId="14483"/>
    <cellStyle name="Note 6 8 3 12" xfId="14484"/>
    <cellStyle name="Note 6 8 3 2" xfId="14485"/>
    <cellStyle name="Note 6 8 3 2 10" xfId="14486"/>
    <cellStyle name="Note 6 8 3 2 11" xfId="14487"/>
    <cellStyle name="Note 6 8 3 2 2" xfId="14488"/>
    <cellStyle name="Note 6 8 3 2 2 2" xfId="14489"/>
    <cellStyle name="Note 6 8 3 2 2 2 2" xfId="14490"/>
    <cellStyle name="Note 6 8 3 2 2 2 3" xfId="14491"/>
    <cellStyle name="Note 6 8 3 2 2 3" xfId="14492"/>
    <cellStyle name="Note 6 8 3 2 2 3 2" xfId="14493"/>
    <cellStyle name="Note 6 8 3 2 2 4" xfId="14494"/>
    <cellStyle name="Note 6 8 3 2 2 5" xfId="14495"/>
    <cellStyle name="Note 6 8 3 2 2 6" xfId="14496"/>
    <cellStyle name="Note 6 8 3 2 2 7" xfId="14497"/>
    <cellStyle name="Note 6 8 3 2 2 8" xfId="14498"/>
    <cellStyle name="Note 6 8 3 2 3" xfId="14499"/>
    <cellStyle name="Note 6 8 3 2 3 2" xfId="14500"/>
    <cellStyle name="Note 6 8 3 2 3 2 2" xfId="14501"/>
    <cellStyle name="Note 6 8 3 2 3 3" xfId="14502"/>
    <cellStyle name="Note 6 8 3 2 3 4" xfId="14503"/>
    <cellStyle name="Note 6 8 3 2 4" xfId="14504"/>
    <cellStyle name="Note 6 8 3 2 4 2" xfId="14505"/>
    <cellStyle name="Note 6 8 3 2 5" xfId="14506"/>
    <cellStyle name="Note 6 8 3 2 5 2" xfId="14507"/>
    <cellStyle name="Note 6 8 3 2 6" xfId="14508"/>
    <cellStyle name="Note 6 8 3 2 6 2" xfId="14509"/>
    <cellStyle name="Note 6 8 3 2 7" xfId="14510"/>
    <cellStyle name="Note 6 8 3 2 8" xfId="14511"/>
    <cellStyle name="Note 6 8 3 2 9" xfId="14512"/>
    <cellStyle name="Note 6 8 3 3" xfId="14513"/>
    <cellStyle name="Note 6 8 3 3 2" xfId="14514"/>
    <cellStyle name="Note 6 8 3 3 2 2" xfId="14515"/>
    <cellStyle name="Note 6 8 3 3 2 3" xfId="14516"/>
    <cellStyle name="Note 6 8 3 3 3" xfId="14517"/>
    <cellStyle name="Note 6 8 3 3 3 2" xfId="14518"/>
    <cellStyle name="Note 6 8 3 3 4" xfId="14519"/>
    <cellStyle name="Note 6 8 3 3 5" xfId="14520"/>
    <cellStyle name="Note 6 8 3 3 6" xfId="14521"/>
    <cellStyle name="Note 6 8 3 3 7" xfId="14522"/>
    <cellStyle name="Note 6 8 3 3 8" xfId="14523"/>
    <cellStyle name="Note 6 8 3 4" xfId="14524"/>
    <cellStyle name="Note 6 8 3 4 2" xfId="14525"/>
    <cellStyle name="Note 6 8 3 4 2 2" xfId="14526"/>
    <cellStyle name="Note 6 8 3 4 3" xfId="14527"/>
    <cellStyle name="Note 6 8 3 4 4" xfId="14528"/>
    <cellStyle name="Note 6 8 3 5" xfId="14529"/>
    <cellStyle name="Note 6 8 3 5 2" xfId="14530"/>
    <cellStyle name="Note 6 8 3 6" xfId="14531"/>
    <cellStyle name="Note 6 8 3 6 2" xfId="14532"/>
    <cellStyle name="Note 6 8 3 7" xfId="14533"/>
    <cellStyle name="Note 6 8 3 7 2" xfId="14534"/>
    <cellStyle name="Note 6 8 3 8" xfId="14535"/>
    <cellStyle name="Note 6 8 3 9" xfId="14536"/>
    <cellStyle name="Note 6 8 4" xfId="14537"/>
    <cellStyle name="Note 6 8 4 10" xfId="14538"/>
    <cellStyle name="Note 6 8 4 11" xfId="14539"/>
    <cellStyle name="Note 6 8 4 2" xfId="14540"/>
    <cellStyle name="Note 6 8 4 2 2" xfId="14541"/>
    <cellStyle name="Note 6 8 4 2 2 2" xfId="14542"/>
    <cellStyle name="Note 6 8 4 2 2 3" xfId="14543"/>
    <cellStyle name="Note 6 8 4 2 3" xfId="14544"/>
    <cellStyle name="Note 6 8 4 2 3 2" xfId="14545"/>
    <cellStyle name="Note 6 8 4 2 4" xfId="14546"/>
    <cellStyle name="Note 6 8 4 2 5" xfId="14547"/>
    <cellStyle name="Note 6 8 4 2 6" xfId="14548"/>
    <cellStyle name="Note 6 8 4 2 7" xfId="14549"/>
    <cellStyle name="Note 6 8 4 2 8" xfId="14550"/>
    <cellStyle name="Note 6 8 4 3" xfId="14551"/>
    <cellStyle name="Note 6 8 4 3 2" xfId="14552"/>
    <cellStyle name="Note 6 8 4 3 2 2" xfId="14553"/>
    <cellStyle name="Note 6 8 4 3 3" xfId="14554"/>
    <cellStyle name="Note 6 8 4 3 4" xfId="14555"/>
    <cellStyle name="Note 6 8 4 4" xfId="14556"/>
    <cellStyle name="Note 6 8 4 4 2" xfId="14557"/>
    <cellStyle name="Note 6 8 4 5" xfId="14558"/>
    <cellStyle name="Note 6 8 4 5 2" xfId="14559"/>
    <cellStyle name="Note 6 8 4 6" xfId="14560"/>
    <cellStyle name="Note 6 8 4 6 2" xfId="14561"/>
    <cellStyle name="Note 6 8 4 7" xfId="14562"/>
    <cellStyle name="Note 6 8 4 8" xfId="14563"/>
    <cellStyle name="Note 6 8 4 9" xfId="14564"/>
    <cellStyle name="Note 6 8 5" xfId="14565"/>
    <cellStyle name="Note 6 8 5 2" xfId="14566"/>
    <cellStyle name="Note 6 8 5 2 2" xfId="14567"/>
    <cellStyle name="Note 6 8 5 2 3" xfId="14568"/>
    <cellStyle name="Note 6 8 5 3" xfId="14569"/>
    <cellStyle name="Note 6 8 5 3 2" xfId="14570"/>
    <cellStyle name="Note 6 8 5 4" xfId="14571"/>
    <cellStyle name="Note 6 8 5 5" xfId="14572"/>
    <cellStyle name="Note 6 8 5 6" xfId="14573"/>
    <cellStyle name="Note 6 8 5 7" xfId="14574"/>
    <cellStyle name="Note 6 8 5 8" xfId="14575"/>
    <cellStyle name="Note 6 8 6" xfId="14576"/>
    <cellStyle name="Note 6 8 6 2" xfId="14577"/>
    <cellStyle name="Note 6 8 6 2 2" xfId="14578"/>
    <cellStyle name="Note 6 8 6 3" xfId="14579"/>
    <cellStyle name="Note 6 8 6 4" xfId="14580"/>
    <cellStyle name="Note 6 8 7" xfId="14581"/>
    <cellStyle name="Note 6 8 7 2" xfId="14582"/>
    <cellStyle name="Note 6 8 8" xfId="14583"/>
    <cellStyle name="Note 6 8 8 2" xfId="14584"/>
    <cellStyle name="Note 6 8 9" xfId="14585"/>
    <cellStyle name="Note 6 8 9 2" xfId="14586"/>
    <cellStyle name="Note 6 9" xfId="14587"/>
    <cellStyle name="Note 7" xfId="3123"/>
    <cellStyle name="Note 7 10" xfId="14588"/>
    <cellStyle name="Note 7 11" xfId="14589"/>
    <cellStyle name="Note 7 11 10" xfId="14590"/>
    <cellStyle name="Note 7 11 11" xfId="14591"/>
    <cellStyle name="Note 7 11 12" xfId="14592"/>
    <cellStyle name="Note 7 11 13" xfId="14593"/>
    <cellStyle name="Note 7 11 2" xfId="14594"/>
    <cellStyle name="Note 7 11 2 10" xfId="14595"/>
    <cellStyle name="Note 7 11 2 11" xfId="14596"/>
    <cellStyle name="Note 7 11 2 12" xfId="14597"/>
    <cellStyle name="Note 7 11 2 2" xfId="14598"/>
    <cellStyle name="Note 7 11 2 2 10" xfId="14599"/>
    <cellStyle name="Note 7 11 2 2 11" xfId="14600"/>
    <cellStyle name="Note 7 11 2 2 2" xfId="14601"/>
    <cellStyle name="Note 7 11 2 2 2 2" xfId="14602"/>
    <cellStyle name="Note 7 11 2 2 2 2 2" xfId="14603"/>
    <cellStyle name="Note 7 11 2 2 2 2 3" xfId="14604"/>
    <cellStyle name="Note 7 11 2 2 2 3" xfId="14605"/>
    <cellStyle name="Note 7 11 2 2 2 3 2" xfId="14606"/>
    <cellStyle name="Note 7 11 2 2 2 4" xfId="14607"/>
    <cellStyle name="Note 7 11 2 2 2 5" xfId="14608"/>
    <cellStyle name="Note 7 11 2 2 2 6" xfId="14609"/>
    <cellStyle name="Note 7 11 2 2 2 7" xfId="14610"/>
    <cellStyle name="Note 7 11 2 2 2 8" xfId="14611"/>
    <cellStyle name="Note 7 11 2 2 3" xfId="14612"/>
    <cellStyle name="Note 7 11 2 2 3 2" xfId="14613"/>
    <cellStyle name="Note 7 11 2 2 3 2 2" xfId="14614"/>
    <cellStyle name="Note 7 11 2 2 3 3" xfId="14615"/>
    <cellStyle name="Note 7 11 2 2 3 4" xfId="14616"/>
    <cellStyle name="Note 7 11 2 2 4" xfId="14617"/>
    <cellStyle name="Note 7 11 2 2 4 2" xfId="14618"/>
    <cellStyle name="Note 7 11 2 2 5" xfId="14619"/>
    <cellStyle name="Note 7 11 2 2 5 2" xfId="14620"/>
    <cellStyle name="Note 7 11 2 2 6" xfId="14621"/>
    <cellStyle name="Note 7 11 2 2 6 2" xfId="14622"/>
    <cellStyle name="Note 7 11 2 2 7" xfId="14623"/>
    <cellStyle name="Note 7 11 2 2 8" xfId="14624"/>
    <cellStyle name="Note 7 11 2 2 9" xfId="14625"/>
    <cellStyle name="Note 7 11 2 3" xfId="14626"/>
    <cellStyle name="Note 7 11 2 3 2" xfId="14627"/>
    <cellStyle name="Note 7 11 2 3 2 2" xfId="14628"/>
    <cellStyle name="Note 7 11 2 3 2 3" xfId="14629"/>
    <cellStyle name="Note 7 11 2 3 3" xfId="14630"/>
    <cellStyle name="Note 7 11 2 3 3 2" xfId="14631"/>
    <cellStyle name="Note 7 11 2 3 4" xfId="14632"/>
    <cellStyle name="Note 7 11 2 3 5" xfId="14633"/>
    <cellStyle name="Note 7 11 2 3 6" xfId="14634"/>
    <cellStyle name="Note 7 11 2 3 7" xfId="14635"/>
    <cellStyle name="Note 7 11 2 3 8" xfId="14636"/>
    <cellStyle name="Note 7 11 2 4" xfId="14637"/>
    <cellStyle name="Note 7 11 2 4 2" xfId="14638"/>
    <cellStyle name="Note 7 11 2 4 2 2" xfId="14639"/>
    <cellStyle name="Note 7 11 2 4 3" xfId="14640"/>
    <cellStyle name="Note 7 11 2 4 4" xfId="14641"/>
    <cellStyle name="Note 7 11 2 5" xfId="14642"/>
    <cellStyle name="Note 7 11 2 5 2" xfId="14643"/>
    <cellStyle name="Note 7 11 2 6" xfId="14644"/>
    <cellStyle name="Note 7 11 2 6 2" xfId="14645"/>
    <cellStyle name="Note 7 11 2 7" xfId="14646"/>
    <cellStyle name="Note 7 11 2 7 2" xfId="14647"/>
    <cellStyle name="Note 7 11 2 8" xfId="14648"/>
    <cellStyle name="Note 7 11 2 9" xfId="14649"/>
    <cellStyle name="Note 7 11 3" xfId="14650"/>
    <cellStyle name="Note 7 11 3 10" xfId="14651"/>
    <cellStyle name="Note 7 11 3 11" xfId="14652"/>
    <cellStyle name="Note 7 11 3 2" xfId="14653"/>
    <cellStyle name="Note 7 11 3 2 2" xfId="14654"/>
    <cellStyle name="Note 7 11 3 2 2 2" xfId="14655"/>
    <cellStyle name="Note 7 11 3 2 2 3" xfId="14656"/>
    <cellStyle name="Note 7 11 3 2 3" xfId="14657"/>
    <cellStyle name="Note 7 11 3 2 3 2" xfId="14658"/>
    <cellStyle name="Note 7 11 3 2 4" xfId="14659"/>
    <cellStyle name="Note 7 11 3 2 5" xfId="14660"/>
    <cellStyle name="Note 7 11 3 2 6" xfId="14661"/>
    <cellStyle name="Note 7 11 3 2 7" xfId="14662"/>
    <cellStyle name="Note 7 11 3 2 8" xfId="14663"/>
    <cellStyle name="Note 7 11 3 3" xfId="14664"/>
    <cellStyle name="Note 7 11 3 3 2" xfId="14665"/>
    <cellStyle name="Note 7 11 3 3 2 2" xfId="14666"/>
    <cellStyle name="Note 7 11 3 3 3" xfId="14667"/>
    <cellStyle name="Note 7 11 3 3 4" xfId="14668"/>
    <cellStyle name="Note 7 11 3 4" xfId="14669"/>
    <cellStyle name="Note 7 11 3 4 2" xfId="14670"/>
    <cellStyle name="Note 7 11 3 5" xfId="14671"/>
    <cellStyle name="Note 7 11 3 5 2" xfId="14672"/>
    <cellStyle name="Note 7 11 3 6" xfId="14673"/>
    <cellStyle name="Note 7 11 3 6 2" xfId="14674"/>
    <cellStyle name="Note 7 11 3 7" xfId="14675"/>
    <cellStyle name="Note 7 11 3 8" xfId="14676"/>
    <cellStyle name="Note 7 11 3 9" xfId="14677"/>
    <cellStyle name="Note 7 11 4" xfId="14678"/>
    <cellStyle name="Note 7 11 4 2" xfId="14679"/>
    <cellStyle name="Note 7 11 4 2 2" xfId="14680"/>
    <cellStyle name="Note 7 11 4 2 3" xfId="14681"/>
    <cellStyle name="Note 7 11 4 3" xfId="14682"/>
    <cellStyle name="Note 7 11 4 3 2" xfId="14683"/>
    <cellStyle name="Note 7 11 4 4" xfId="14684"/>
    <cellStyle name="Note 7 11 4 5" xfId="14685"/>
    <cellStyle name="Note 7 11 4 6" xfId="14686"/>
    <cellStyle name="Note 7 11 4 7" xfId="14687"/>
    <cellStyle name="Note 7 11 4 8" xfId="14688"/>
    <cellStyle name="Note 7 11 5" xfId="14689"/>
    <cellStyle name="Note 7 11 5 2" xfId="14690"/>
    <cellStyle name="Note 7 11 5 2 2" xfId="14691"/>
    <cellStyle name="Note 7 11 5 3" xfId="14692"/>
    <cellStyle name="Note 7 11 5 4" xfId="14693"/>
    <cellStyle name="Note 7 11 6" xfId="14694"/>
    <cellStyle name="Note 7 11 6 2" xfId="14695"/>
    <cellStyle name="Note 7 11 7" xfId="14696"/>
    <cellStyle name="Note 7 11 7 2" xfId="14697"/>
    <cellStyle name="Note 7 11 8" xfId="14698"/>
    <cellStyle name="Note 7 11 8 2" xfId="14699"/>
    <cellStyle name="Note 7 11 9" xfId="14700"/>
    <cellStyle name="Note 7 12" xfId="14701"/>
    <cellStyle name="Note 7 12 10" xfId="14702"/>
    <cellStyle name="Note 7 12 11" xfId="14703"/>
    <cellStyle name="Note 7 12 12" xfId="14704"/>
    <cellStyle name="Note 7 12 2" xfId="14705"/>
    <cellStyle name="Note 7 12 2 10" xfId="14706"/>
    <cellStyle name="Note 7 12 2 11" xfId="14707"/>
    <cellStyle name="Note 7 12 2 2" xfId="14708"/>
    <cellStyle name="Note 7 12 2 2 2" xfId="14709"/>
    <cellStyle name="Note 7 12 2 2 2 2" xfId="14710"/>
    <cellStyle name="Note 7 12 2 2 2 3" xfId="14711"/>
    <cellStyle name="Note 7 12 2 2 3" xfId="14712"/>
    <cellStyle name="Note 7 12 2 2 3 2" xfId="14713"/>
    <cellStyle name="Note 7 12 2 2 4" xfId="14714"/>
    <cellStyle name="Note 7 12 2 2 5" xfId="14715"/>
    <cellStyle name="Note 7 12 2 2 6" xfId="14716"/>
    <cellStyle name="Note 7 12 2 2 7" xfId="14717"/>
    <cellStyle name="Note 7 12 2 2 8" xfId="14718"/>
    <cellStyle name="Note 7 12 2 3" xfId="14719"/>
    <cellStyle name="Note 7 12 2 3 2" xfId="14720"/>
    <cellStyle name="Note 7 12 2 3 2 2" xfId="14721"/>
    <cellStyle name="Note 7 12 2 3 3" xfId="14722"/>
    <cellStyle name="Note 7 12 2 3 4" xfId="14723"/>
    <cellStyle name="Note 7 12 2 4" xfId="14724"/>
    <cellStyle name="Note 7 12 2 4 2" xfId="14725"/>
    <cellStyle name="Note 7 12 2 5" xfId="14726"/>
    <cellStyle name="Note 7 12 2 5 2" xfId="14727"/>
    <cellStyle name="Note 7 12 2 6" xfId="14728"/>
    <cellStyle name="Note 7 12 2 6 2" xfId="14729"/>
    <cellStyle name="Note 7 12 2 7" xfId="14730"/>
    <cellStyle name="Note 7 12 2 8" xfId="14731"/>
    <cellStyle name="Note 7 12 2 9" xfId="14732"/>
    <cellStyle name="Note 7 12 3" xfId="14733"/>
    <cellStyle name="Note 7 12 3 2" xfId="14734"/>
    <cellStyle name="Note 7 12 3 2 2" xfId="14735"/>
    <cellStyle name="Note 7 12 3 2 3" xfId="14736"/>
    <cellStyle name="Note 7 12 3 3" xfId="14737"/>
    <cellStyle name="Note 7 12 3 3 2" xfId="14738"/>
    <cellStyle name="Note 7 12 3 4" xfId="14739"/>
    <cellStyle name="Note 7 12 3 5" xfId="14740"/>
    <cellStyle name="Note 7 12 3 6" xfId="14741"/>
    <cellStyle name="Note 7 12 3 7" xfId="14742"/>
    <cellStyle name="Note 7 12 3 8" xfId="14743"/>
    <cellStyle name="Note 7 12 4" xfId="14744"/>
    <cellStyle name="Note 7 12 4 2" xfId="14745"/>
    <cellStyle name="Note 7 12 4 2 2" xfId="14746"/>
    <cellStyle name="Note 7 12 4 3" xfId="14747"/>
    <cellStyle name="Note 7 12 4 4" xfId="14748"/>
    <cellStyle name="Note 7 12 5" xfId="14749"/>
    <cellStyle name="Note 7 12 5 2" xfId="14750"/>
    <cellStyle name="Note 7 12 6" xfId="14751"/>
    <cellStyle name="Note 7 12 6 2" xfId="14752"/>
    <cellStyle name="Note 7 12 7" xfId="14753"/>
    <cellStyle name="Note 7 12 7 2" xfId="14754"/>
    <cellStyle name="Note 7 12 8" xfId="14755"/>
    <cellStyle name="Note 7 12 9" xfId="14756"/>
    <cellStyle name="Note 7 13" xfId="14757"/>
    <cellStyle name="Note 7 13 10" xfId="14758"/>
    <cellStyle name="Note 7 13 11" xfId="14759"/>
    <cellStyle name="Note 7 13 2" xfId="14760"/>
    <cellStyle name="Note 7 13 2 2" xfId="14761"/>
    <cellStyle name="Note 7 13 2 2 2" xfId="14762"/>
    <cellStyle name="Note 7 13 2 2 3" xfId="14763"/>
    <cellStyle name="Note 7 13 2 3" xfId="14764"/>
    <cellStyle name="Note 7 13 2 3 2" xfId="14765"/>
    <cellStyle name="Note 7 13 2 4" xfId="14766"/>
    <cellStyle name="Note 7 13 2 5" xfId="14767"/>
    <cellStyle name="Note 7 13 2 6" xfId="14768"/>
    <cellStyle name="Note 7 13 2 7" xfId="14769"/>
    <cellStyle name="Note 7 13 2 8" xfId="14770"/>
    <cellStyle name="Note 7 13 3" xfId="14771"/>
    <cellStyle name="Note 7 13 3 2" xfId="14772"/>
    <cellStyle name="Note 7 13 3 2 2" xfId="14773"/>
    <cellStyle name="Note 7 13 3 3" xfId="14774"/>
    <cellStyle name="Note 7 13 3 4" xfId="14775"/>
    <cellStyle name="Note 7 13 4" xfId="14776"/>
    <cellStyle name="Note 7 13 4 2" xfId="14777"/>
    <cellStyle name="Note 7 13 5" xfId="14778"/>
    <cellStyle name="Note 7 13 5 2" xfId="14779"/>
    <cellStyle name="Note 7 13 6" xfId="14780"/>
    <cellStyle name="Note 7 13 6 2" xfId="14781"/>
    <cellStyle name="Note 7 13 7" xfId="14782"/>
    <cellStyle name="Note 7 13 8" xfId="14783"/>
    <cellStyle name="Note 7 13 9" xfId="14784"/>
    <cellStyle name="Note 7 14" xfId="14785"/>
    <cellStyle name="Note 7 14 2" xfId="14786"/>
    <cellStyle name="Note 7 14 2 2" xfId="14787"/>
    <cellStyle name="Note 7 14 2 3" xfId="14788"/>
    <cellStyle name="Note 7 14 3" xfId="14789"/>
    <cellStyle name="Note 7 14 3 2" xfId="14790"/>
    <cellStyle name="Note 7 14 4" xfId="14791"/>
    <cellStyle name="Note 7 14 5" xfId="14792"/>
    <cellStyle name="Note 7 14 6" xfId="14793"/>
    <cellStyle name="Note 7 14 7" xfId="14794"/>
    <cellStyle name="Note 7 14 8" xfId="14795"/>
    <cellStyle name="Note 7 15" xfId="14796"/>
    <cellStyle name="Note 7 15 2" xfId="14797"/>
    <cellStyle name="Note 7 15 2 2" xfId="14798"/>
    <cellStyle name="Note 7 15 3" xfId="14799"/>
    <cellStyle name="Note 7 15 4" xfId="14800"/>
    <cellStyle name="Note 7 16" xfId="14801"/>
    <cellStyle name="Note 7 16 2" xfId="14802"/>
    <cellStyle name="Note 7 17" xfId="14803"/>
    <cellStyle name="Note 7 17 2" xfId="14804"/>
    <cellStyle name="Note 7 18" xfId="14805"/>
    <cellStyle name="Note 7 18 2" xfId="14806"/>
    <cellStyle name="Note 7 19" xfId="14807"/>
    <cellStyle name="Note 7 2" xfId="14808"/>
    <cellStyle name="Note 7 2 2" xfId="14809"/>
    <cellStyle name="Note 7 20" xfId="14810"/>
    <cellStyle name="Note 7 21" xfId="14811"/>
    <cellStyle name="Note 7 22" xfId="14812"/>
    <cellStyle name="Note 7 23" xfId="14813"/>
    <cellStyle name="Note 7 24" xfId="14814"/>
    <cellStyle name="Note 7 3" xfId="14815"/>
    <cellStyle name="Note 7 3 2" xfId="14816"/>
    <cellStyle name="Note 7 4" xfId="14817"/>
    <cellStyle name="Note 7 4 2" xfId="14818"/>
    <cellStyle name="Note 7 5" xfId="14819"/>
    <cellStyle name="Note 7 6" xfId="14820"/>
    <cellStyle name="Note 7 7" xfId="14821"/>
    <cellStyle name="Note 7 8" xfId="14822"/>
    <cellStyle name="Note 7 8 10" xfId="14823"/>
    <cellStyle name="Note 7 8 11" xfId="14824"/>
    <cellStyle name="Note 7 8 12" xfId="14825"/>
    <cellStyle name="Note 7 8 13" xfId="14826"/>
    <cellStyle name="Note 7 8 14" xfId="14827"/>
    <cellStyle name="Note 7 8 2" xfId="14828"/>
    <cellStyle name="Note 7 8 2 10" xfId="14829"/>
    <cellStyle name="Note 7 8 2 11" xfId="14830"/>
    <cellStyle name="Note 7 8 2 12" xfId="14831"/>
    <cellStyle name="Note 7 8 2 13" xfId="14832"/>
    <cellStyle name="Note 7 8 2 2" xfId="14833"/>
    <cellStyle name="Note 7 8 2 2 10" xfId="14834"/>
    <cellStyle name="Note 7 8 2 2 11" xfId="14835"/>
    <cellStyle name="Note 7 8 2 2 12" xfId="14836"/>
    <cellStyle name="Note 7 8 2 2 2" xfId="14837"/>
    <cellStyle name="Note 7 8 2 2 2 10" xfId="14838"/>
    <cellStyle name="Note 7 8 2 2 2 11" xfId="14839"/>
    <cellStyle name="Note 7 8 2 2 2 2" xfId="14840"/>
    <cellStyle name="Note 7 8 2 2 2 2 2" xfId="14841"/>
    <cellStyle name="Note 7 8 2 2 2 2 2 2" xfId="14842"/>
    <cellStyle name="Note 7 8 2 2 2 2 2 3" xfId="14843"/>
    <cellStyle name="Note 7 8 2 2 2 2 3" xfId="14844"/>
    <cellStyle name="Note 7 8 2 2 2 2 3 2" xfId="14845"/>
    <cellStyle name="Note 7 8 2 2 2 2 4" xfId="14846"/>
    <cellStyle name="Note 7 8 2 2 2 2 5" xfId="14847"/>
    <cellStyle name="Note 7 8 2 2 2 2 6" xfId="14848"/>
    <cellStyle name="Note 7 8 2 2 2 2 7" xfId="14849"/>
    <cellStyle name="Note 7 8 2 2 2 2 8" xfId="14850"/>
    <cellStyle name="Note 7 8 2 2 2 3" xfId="14851"/>
    <cellStyle name="Note 7 8 2 2 2 3 2" xfId="14852"/>
    <cellStyle name="Note 7 8 2 2 2 3 2 2" xfId="14853"/>
    <cellStyle name="Note 7 8 2 2 2 3 3" xfId="14854"/>
    <cellStyle name="Note 7 8 2 2 2 3 4" xfId="14855"/>
    <cellStyle name="Note 7 8 2 2 2 4" xfId="14856"/>
    <cellStyle name="Note 7 8 2 2 2 4 2" xfId="14857"/>
    <cellStyle name="Note 7 8 2 2 2 5" xfId="14858"/>
    <cellStyle name="Note 7 8 2 2 2 5 2" xfId="14859"/>
    <cellStyle name="Note 7 8 2 2 2 6" xfId="14860"/>
    <cellStyle name="Note 7 8 2 2 2 6 2" xfId="14861"/>
    <cellStyle name="Note 7 8 2 2 2 7" xfId="14862"/>
    <cellStyle name="Note 7 8 2 2 2 8" xfId="14863"/>
    <cellStyle name="Note 7 8 2 2 2 9" xfId="14864"/>
    <cellStyle name="Note 7 8 2 2 3" xfId="14865"/>
    <cellStyle name="Note 7 8 2 2 3 2" xfId="14866"/>
    <cellStyle name="Note 7 8 2 2 3 2 2" xfId="14867"/>
    <cellStyle name="Note 7 8 2 2 3 2 3" xfId="14868"/>
    <cellStyle name="Note 7 8 2 2 3 3" xfId="14869"/>
    <cellStyle name="Note 7 8 2 2 3 3 2" xfId="14870"/>
    <cellStyle name="Note 7 8 2 2 3 4" xfId="14871"/>
    <cellStyle name="Note 7 8 2 2 3 5" xfId="14872"/>
    <cellStyle name="Note 7 8 2 2 3 6" xfId="14873"/>
    <cellStyle name="Note 7 8 2 2 3 7" xfId="14874"/>
    <cellStyle name="Note 7 8 2 2 3 8" xfId="14875"/>
    <cellStyle name="Note 7 8 2 2 4" xfId="14876"/>
    <cellStyle name="Note 7 8 2 2 4 2" xfId="14877"/>
    <cellStyle name="Note 7 8 2 2 4 2 2" xfId="14878"/>
    <cellStyle name="Note 7 8 2 2 4 3" xfId="14879"/>
    <cellStyle name="Note 7 8 2 2 4 4" xfId="14880"/>
    <cellStyle name="Note 7 8 2 2 5" xfId="14881"/>
    <cellStyle name="Note 7 8 2 2 5 2" xfId="14882"/>
    <cellStyle name="Note 7 8 2 2 6" xfId="14883"/>
    <cellStyle name="Note 7 8 2 2 6 2" xfId="14884"/>
    <cellStyle name="Note 7 8 2 2 7" xfId="14885"/>
    <cellStyle name="Note 7 8 2 2 7 2" xfId="14886"/>
    <cellStyle name="Note 7 8 2 2 8" xfId="14887"/>
    <cellStyle name="Note 7 8 2 2 9" xfId="14888"/>
    <cellStyle name="Note 7 8 2 3" xfId="14889"/>
    <cellStyle name="Note 7 8 2 3 10" xfId="14890"/>
    <cellStyle name="Note 7 8 2 3 11" xfId="14891"/>
    <cellStyle name="Note 7 8 2 3 2" xfId="14892"/>
    <cellStyle name="Note 7 8 2 3 2 2" xfId="14893"/>
    <cellStyle name="Note 7 8 2 3 2 2 2" xfId="14894"/>
    <cellStyle name="Note 7 8 2 3 2 2 3" xfId="14895"/>
    <cellStyle name="Note 7 8 2 3 2 3" xfId="14896"/>
    <cellStyle name="Note 7 8 2 3 2 3 2" xfId="14897"/>
    <cellStyle name="Note 7 8 2 3 2 4" xfId="14898"/>
    <cellStyle name="Note 7 8 2 3 2 5" xfId="14899"/>
    <cellStyle name="Note 7 8 2 3 2 6" xfId="14900"/>
    <cellStyle name="Note 7 8 2 3 2 7" xfId="14901"/>
    <cellStyle name="Note 7 8 2 3 2 8" xfId="14902"/>
    <cellStyle name="Note 7 8 2 3 3" xfId="14903"/>
    <cellStyle name="Note 7 8 2 3 3 2" xfId="14904"/>
    <cellStyle name="Note 7 8 2 3 3 2 2" xfId="14905"/>
    <cellStyle name="Note 7 8 2 3 3 3" xfId="14906"/>
    <cellStyle name="Note 7 8 2 3 3 4" xfId="14907"/>
    <cellStyle name="Note 7 8 2 3 4" xfId="14908"/>
    <cellStyle name="Note 7 8 2 3 4 2" xfId="14909"/>
    <cellStyle name="Note 7 8 2 3 5" xfId="14910"/>
    <cellStyle name="Note 7 8 2 3 5 2" xfId="14911"/>
    <cellStyle name="Note 7 8 2 3 6" xfId="14912"/>
    <cellStyle name="Note 7 8 2 3 6 2" xfId="14913"/>
    <cellStyle name="Note 7 8 2 3 7" xfId="14914"/>
    <cellStyle name="Note 7 8 2 3 8" xfId="14915"/>
    <cellStyle name="Note 7 8 2 3 9" xfId="14916"/>
    <cellStyle name="Note 7 8 2 4" xfId="14917"/>
    <cellStyle name="Note 7 8 2 4 2" xfId="14918"/>
    <cellStyle name="Note 7 8 2 4 2 2" xfId="14919"/>
    <cellStyle name="Note 7 8 2 4 2 3" xfId="14920"/>
    <cellStyle name="Note 7 8 2 4 3" xfId="14921"/>
    <cellStyle name="Note 7 8 2 4 3 2" xfId="14922"/>
    <cellStyle name="Note 7 8 2 4 4" xfId="14923"/>
    <cellStyle name="Note 7 8 2 4 5" xfId="14924"/>
    <cellStyle name="Note 7 8 2 4 6" xfId="14925"/>
    <cellStyle name="Note 7 8 2 4 7" xfId="14926"/>
    <cellStyle name="Note 7 8 2 4 8" xfId="14927"/>
    <cellStyle name="Note 7 8 2 5" xfId="14928"/>
    <cellStyle name="Note 7 8 2 5 2" xfId="14929"/>
    <cellStyle name="Note 7 8 2 5 2 2" xfId="14930"/>
    <cellStyle name="Note 7 8 2 5 3" xfId="14931"/>
    <cellStyle name="Note 7 8 2 5 4" xfId="14932"/>
    <cellStyle name="Note 7 8 2 6" xfId="14933"/>
    <cellStyle name="Note 7 8 2 6 2" xfId="14934"/>
    <cellStyle name="Note 7 8 2 7" xfId="14935"/>
    <cellStyle name="Note 7 8 2 7 2" xfId="14936"/>
    <cellStyle name="Note 7 8 2 8" xfId="14937"/>
    <cellStyle name="Note 7 8 2 8 2" xfId="14938"/>
    <cellStyle name="Note 7 8 2 9" xfId="14939"/>
    <cellStyle name="Note 7 8 3" xfId="14940"/>
    <cellStyle name="Note 7 8 3 10" xfId="14941"/>
    <cellStyle name="Note 7 8 3 11" xfId="14942"/>
    <cellStyle name="Note 7 8 3 12" xfId="14943"/>
    <cellStyle name="Note 7 8 3 2" xfId="14944"/>
    <cellStyle name="Note 7 8 3 2 10" xfId="14945"/>
    <cellStyle name="Note 7 8 3 2 11" xfId="14946"/>
    <cellStyle name="Note 7 8 3 2 2" xfId="14947"/>
    <cellStyle name="Note 7 8 3 2 2 2" xfId="14948"/>
    <cellStyle name="Note 7 8 3 2 2 2 2" xfId="14949"/>
    <cellStyle name="Note 7 8 3 2 2 2 3" xfId="14950"/>
    <cellStyle name="Note 7 8 3 2 2 3" xfId="14951"/>
    <cellStyle name="Note 7 8 3 2 2 3 2" xfId="14952"/>
    <cellStyle name="Note 7 8 3 2 2 4" xfId="14953"/>
    <cellStyle name="Note 7 8 3 2 2 5" xfId="14954"/>
    <cellStyle name="Note 7 8 3 2 2 6" xfId="14955"/>
    <cellStyle name="Note 7 8 3 2 2 7" xfId="14956"/>
    <cellStyle name="Note 7 8 3 2 2 8" xfId="14957"/>
    <cellStyle name="Note 7 8 3 2 3" xfId="14958"/>
    <cellStyle name="Note 7 8 3 2 3 2" xfId="14959"/>
    <cellStyle name="Note 7 8 3 2 3 2 2" xfId="14960"/>
    <cellStyle name="Note 7 8 3 2 3 3" xfId="14961"/>
    <cellStyle name="Note 7 8 3 2 3 4" xfId="14962"/>
    <cellStyle name="Note 7 8 3 2 4" xfId="14963"/>
    <cellStyle name="Note 7 8 3 2 4 2" xfId="14964"/>
    <cellStyle name="Note 7 8 3 2 5" xfId="14965"/>
    <cellStyle name="Note 7 8 3 2 5 2" xfId="14966"/>
    <cellStyle name="Note 7 8 3 2 6" xfId="14967"/>
    <cellStyle name="Note 7 8 3 2 6 2" xfId="14968"/>
    <cellStyle name="Note 7 8 3 2 7" xfId="14969"/>
    <cellStyle name="Note 7 8 3 2 8" xfId="14970"/>
    <cellStyle name="Note 7 8 3 2 9" xfId="14971"/>
    <cellStyle name="Note 7 8 3 3" xfId="14972"/>
    <cellStyle name="Note 7 8 3 3 2" xfId="14973"/>
    <cellStyle name="Note 7 8 3 3 2 2" xfId="14974"/>
    <cellStyle name="Note 7 8 3 3 2 3" xfId="14975"/>
    <cellStyle name="Note 7 8 3 3 3" xfId="14976"/>
    <cellStyle name="Note 7 8 3 3 3 2" xfId="14977"/>
    <cellStyle name="Note 7 8 3 3 4" xfId="14978"/>
    <cellStyle name="Note 7 8 3 3 5" xfId="14979"/>
    <cellStyle name="Note 7 8 3 3 6" xfId="14980"/>
    <cellStyle name="Note 7 8 3 3 7" xfId="14981"/>
    <cellStyle name="Note 7 8 3 3 8" xfId="14982"/>
    <cellStyle name="Note 7 8 3 4" xfId="14983"/>
    <cellStyle name="Note 7 8 3 4 2" xfId="14984"/>
    <cellStyle name="Note 7 8 3 4 2 2" xfId="14985"/>
    <cellStyle name="Note 7 8 3 4 3" xfId="14986"/>
    <cellStyle name="Note 7 8 3 4 4" xfId="14987"/>
    <cellStyle name="Note 7 8 3 5" xfId="14988"/>
    <cellStyle name="Note 7 8 3 5 2" xfId="14989"/>
    <cellStyle name="Note 7 8 3 6" xfId="14990"/>
    <cellStyle name="Note 7 8 3 6 2" xfId="14991"/>
    <cellStyle name="Note 7 8 3 7" xfId="14992"/>
    <cellStyle name="Note 7 8 3 7 2" xfId="14993"/>
    <cellStyle name="Note 7 8 3 8" xfId="14994"/>
    <cellStyle name="Note 7 8 3 9" xfId="14995"/>
    <cellStyle name="Note 7 8 4" xfId="14996"/>
    <cellStyle name="Note 7 8 4 10" xfId="14997"/>
    <cellStyle name="Note 7 8 4 11" xfId="14998"/>
    <cellStyle name="Note 7 8 4 2" xfId="14999"/>
    <cellStyle name="Note 7 8 4 2 2" xfId="15000"/>
    <cellStyle name="Note 7 8 4 2 2 2" xfId="15001"/>
    <cellStyle name="Note 7 8 4 2 2 3" xfId="15002"/>
    <cellStyle name="Note 7 8 4 2 3" xfId="15003"/>
    <cellStyle name="Note 7 8 4 2 3 2" xfId="15004"/>
    <cellStyle name="Note 7 8 4 2 4" xfId="15005"/>
    <cellStyle name="Note 7 8 4 2 5" xfId="15006"/>
    <cellStyle name="Note 7 8 4 2 6" xfId="15007"/>
    <cellStyle name="Note 7 8 4 2 7" xfId="15008"/>
    <cellStyle name="Note 7 8 4 2 8" xfId="15009"/>
    <cellStyle name="Note 7 8 4 3" xfId="15010"/>
    <cellStyle name="Note 7 8 4 3 2" xfId="15011"/>
    <cellStyle name="Note 7 8 4 3 2 2" xfId="15012"/>
    <cellStyle name="Note 7 8 4 3 3" xfId="15013"/>
    <cellStyle name="Note 7 8 4 3 4" xfId="15014"/>
    <cellStyle name="Note 7 8 4 4" xfId="15015"/>
    <cellStyle name="Note 7 8 4 4 2" xfId="15016"/>
    <cellStyle name="Note 7 8 4 5" xfId="15017"/>
    <cellStyle name="Note 7 8 4 5 2" xfId="15018"/>
    <cellStyle name="Note 7 8 4 6" xfId="15019"/>
    <cellStyle name="Note 7 8 4 6 2" xfId="15020"/>
    <cellStyle name="Note 7 8 4 7" xfId="15021"/>
    <cellStyle name="Note 7 8 4 8" xfId="15022"/>
    <cellStyle name="Note 7 8 4 9" xfId="15023"/>
    <cellStyle name="Note 7 8 5" xfId="15024"/>
    <cellStyle name="Note 7 8 5 2" xfId="15025"/>
    <cellStyle name="Note 7 8 5 2 2" xfId="15026"/>
    <cellStyle name="Note 7 8 5 2 3" xfId="15027"/>
    <cellStyle name="Note 7 8 5 3" xfId="15028"/>
    <cellStyle name="Note 7 8 5 3 2" xfId="15029"/>
    <cellStyle name="Note 7 8 5 4" xfId="15030"/>
    <cellStyle name="Note 7 8 5 5" xfId="15031"/>
    <cellStyle name="Note 7 8 5 6" xfId="15032"/>
    <cellStyle name="Note 7 8 5 7" xfId="15033"/>
    <cellStyle name="Note 7 8 5 8" xfId="15034"/>
    <cellStyle name="Note 7 8 6" xfId="15035"/>
    <cellStyle name="Note 7 8 6 2" xfId="15036"/>
    <cellStyle name="Note 7 8 6 2 2" xfId="15037"/>
    <cellStyle name="Note 7 8 6 3" xfId="15038"/>
    <cellStyle name="Note 7 8 6 4" xfId="15039"/>
    <cellStyle name="Note 7 8 7" xfId="15040"/>
    <cellStyle name="Note 7 8 7 2" xfId="15041"/>
    <cellStyle name="Note 7 8 8" xfId="15042"/>
    <cellStyle name="Note 7 8 8 2" xfId="15043"/>
    <cellStyle name="Note 7 8 9" xfId="15044"/>
    <cellStyle name="Note 7 8 9 2" xfId="15045"/>
    <cellStyle name="Note 7 9" xfId="15046"/>
    <cellStyle name="Note 8" xfId="3124"/>
    <cellStyle name="Note 8 10" xfId="15047"/>
    <cellStyle name="Note 8 2" xfId="15048"/>
    <cellStyle name="Note 8 2 2" xfId="15049"/>
    <cellStyle name="Note 8 3" xfId="15050"/>
    <cellStyle name="Note 8 3 2" xfId="15051"/>
    <cellStyle name="Note 8 4" xfId="15052"/>
    <cellStyle name="Note 8 4 2" xfId="15053"/>
    <cellStyle name="Note 8 5" xfId="15054"/>
    <cellStyle name="Note 8 6" xfId="15055"/>
    <cellStyle name="Note 8 7" xfId="15056"/>
    <cellStyle name="Note 8 8" xfId="15057"/>
    <cellStyle name="Note 8 9" xfId="15058"/>
    <cellStyle name="Note 9" xfId="3218"/>
    <cellStyle name="Note 9 2" xfId="15059"/>
    <cellStyle name="Note 9 3" xfId="15060"/>
    <cellStyle name="Note 9 4" xfId="15061"/>
    <cellStyle name="Note 9 5" xfId="15062"/>
    <cellStyle name="nPlosion" xfId="15063"/>
    <cellStyle name="Null Zone Pattern" xfId="15064"/>
    <cellStyle name="Number" xfId="15065"/>
    <cellStyle name="nvision" xfId="15066"/>
    <cellStyle name="Output 10" xfId="15067"/>
    <cellStyle name="Output 11" xfId="15068"/>
    <cellStyle name="Output 2" xfId="3125"/>
    <cellStyle name="Output 2 2" xfId="15069"/>
    <cellStyle name="Output 2 2 2" xfId="15070"/>
    <cellStyle name="Output 2 3" xfId="15071"/>
    <cellStyle name="Output 2 4" xfId="15072"/>
    <cellStyle name="Output 2 5" xfId="15073"/>
    <cellStyle name="Output 2 6" xfId="15074"/>
    <cellStyle name="Output 2 7" xfId="15075"/>
    <cellStyle name="Output 3" xfId="3126"/>
    <cellStyle name="Output 3 2" xfId="15076"/>
    <cellStyle name="Output 3 2 2" xfId="15077"/>
    <cellStyle name="Output 3 3" xfId="15078"/>
    <cellStyle name="Output 3 4" xfId="15079"/>
    <cellStyle name="Output 4" xfId="3219"/>
    <cellStyle name="Output 4 2" xfId="15080"/>
    <cellStyle name="Output 5" xfId="15081"/>
    <cellStyle name="Output 5 2" xfId="15082"/>
    <cellStyle name="Output 6" xfId="15083"/>
    <cellStyle name="Output 6 2" xfId="15084"/>
    <cellStyle name="Output 7" xfId="15085"/>
    <cellStyle name="Output 8" xfId="15086"/>
    <cellStyle name="Output 9" xfId="15087"/>
    <cellStyle name="Output 9 2" xfId="15088"/>
    <cellStyle name="Output 9 3" xfId="15089"/>
    <cellStyle name="OUTPUT AMOUNTS" xfId="15090"/>
    <cellStyle name="Page Heading Large" xfId="15091"/>
    <cellStyle name="Page Heading Small" xfId="15092"/>
    <cellStyle name="Page Number" xfId="15093"/>
    <cellStyle name="Parens (1)" xfId="15094"/>
    <cellStyle name="PB Table Heading" xfId="15095"/>
    <cellStyle name="PB Table Highlight1" xfId="15096"/>
    <cellStyle name="PB Table Highlight2" xfId="15097"/>
    <cellStyle name="PB Table Highlight3" xfId="15098"/>
    <cellStyle name="PB Table Standard Row" xfId="15099"/>
    <cellStyle name="PB Table Subtotal Row" xfId="15100"/>
    <cellStyle name="PB Table Total Row" xfId="15101"/>
    <cellStyle name="Percent" xfId="2" builtinId="5"/>
    <cellStyle name="Percent [2]" xfId="3127"/>
    <cellStyle name="Percent [2] 10" xfId="15102"/>
    <cellStyle name="Percent [2] 2" xfId="15103"/>
    <cellStyle name="Percent [2] 2 2" xfId="15104"/>
    <cellStyle name="Percent [2] 2 2 2" xfId="15105"/>
    <cellStyle name="Percent [2] 2 2 2 2" xfId="15106"/>
    <cellStyle name="Percent [2] 2 2 3" xfId="15107"/>
    <cellStyle name="Percent [2] 2 3" xfId="15108"/>
    <cellStyle name="Percent [2] 2 3 2" xfId="15109"/>
    <cellStyle name="Percent [2] 2 4" xfId="15110"/>
    <cellStyle name="Percent [2] 2 4 2" xfId="15111"/>
    <cellStyle name="Percent [2] 2 4 2 2" xfId="15112"/>
    <cellStyle name="Percent [2] 2 4 3" xfId="15113"/>
    <cellStyle name="Percent [2] 2 5" xfId="15114"/>
    <cellStyle name="Percent [2] 2 6" xfId="15115"/>
    <cellStyle name="Percent [2] 2 6 2" xfId="15116"/>
    <cellStyle name="Percent [2] 2 7" xfId="15117"/>
    <cellStyle name="Percent [2] 3" xfId="15118"/>
    <cellStyle name="Percent [2] 3 2" xfId="15119"/>
    <cellStyle name="Percent [2] 3 2 2" xfId="15120"/>
    <cellStyle name="Percent [2] 3 3" xfId="15121"/>
    <cellStyle name="Percent [2] 3 4" xfId="15122"/>
    <cellStyle name="Percent [2] 3 4 2" xfId="15123"/>
    <cellStyle name="Percent [2] 3 5" xfId="15124"/>
    <cellStyle name="Percent [2] 3 6" xfId="15125"/>
    <cellStyle name="Percent [2] 3 7" xfId="15126"/>
    <cellStyle name="Percent [2] 4" xfId="15127"/>
    <cellStyle name="Percent [2] 4 2" xfId="15128"/>
    <cellStyle name="Percent [2] 4 3" xfId="15129"/>
    <cellStyle name="Percent [2] 5" xfId="15130"/>
    <cellStyle name="Percent [2] 5 2" xfId="15131"/>
    <cellStyle name="Percent [2] 5 2 2" xfId="15132"/>
    <cellStyle name="Percent [2] 5 3" xfId="15133"/>
    <cellStyle name="Percent [2] 6" xfId="15134"/>
    <cellStyle name="Percent [2] 7" xfId="15135"/>
    <cellStyle name="Percent [2] 8" xfId="15136"/>
    <cellStyle name="Percent [2] 9" xfId="15137"/>
    <cellStyle name="Percent 1" xfId="15138"/>
    <cellStyle name="Percent 10" xfId="3128"/>
    <cellStyle name="Percent 10 10" xfId="15139"/>
    <cellStyle name="Percent 10 11" xfId="15140"/>
    <cellStyle name="Percent 10 2" xfId="15141"/>
    <cellStyle name="Percent 10 2 2" xfId="15142"/>
    <cellStyle name="Percent 10 2 2 2" xfId="15143"/>
    <cellStyle name="Percent 10 2 2 2 2" xfId="15144"/>
    <cellStyle name="Percent 10 2 2 3" xfId="15145"/>
    <cellStyle name="Percent 10 2 3" xfId="15146"/>
    <cellStyle name="Percent 10 2 3 2" xfId="15147"/>
    <cellStyle name="Percent 10 2 4" xfId="15148"/>
    <cellStyle name="Percent 10 2 5" xfId="15149"/>
    <cellStyle name="Percent 10 2 6" xfId="15150"/>
    <cellStyle name="Percent 10 2 7" xfId="15151"/>
    <cellStyle name="Percent 10 2 8" xfId="15152"/>
    <cellStyle name="Percent 10 3" xfId="15153"/>
    <cellStyle name="Percent 10 3 2" xfId="15154"/>
    <cellStyle name="Percent 10 3 2 2" xfId="15155"/>
    <cellStyle name="Percent 10 3 3" xfId="15156"/>
    <cellStyle name="Percent 10 3 4" xfId="15157"/>
    <cellStyle name="Percent 10 4" xfId="15158"/>
    <cellStyle name="Percent 10 4 2" xfId="15159"/>
    <cellStyle name="Percent 10 5" xfId="15160"/>
    <cellStyle name="Percent 10 5 2" xfId="15161"/>
    <cellStyle name="Percent 10 6" xfId="15162"/>
    <cellStyle name="Percent 10 6 2" xfId="15163"/>
    <cellStyle name="Percent 10 7" xfId="15164"/>
    <cellStyle name="Percent 10 8" xfId="15165"/>
    <cellStyle name="Percent 10 9" xfId="15166"/>
    <cellStyle name="Percent 100" xfId="15167"/>
    <cellStyle name="Percent 101" xfId="15168"/>
    <cellStyle name="Percent 102" xfId="15169"/>
    <cellStyle name="Percent 103" xfId="15170"/>
    <cellStyle name="Percent 104" xfId="15171"/>
    <cellStyle name="Percent 105" xfId="15172"/>
    <cellStyle name="Percent 106" xfId="15173"/>
    <cellStyle name="Percent 107" xfId="15174"/>
    <cellStyle name="Percent 108" xfId="15175"/>
    <cellStyle name="Percent 109" xfId="15176"/>
    <cellStyle name="Percent 11" xfId="3129"/>
    <cellStyle name="Percent 11 10" xfId="15177"/>
    <cellStyle name="Percent 11 11" xfId="15178"/>
    <cellStyle name="Percent 11 2" xfId="15179"/>
    <cellStyle name="Percent 11 2 2" xfId="15180"/>
    <cellStyle name="Percent 11 2 2 2" xfId="15181"/>
    <cellStyle name="Percent 11 2 2 2 2" xfId="15182"/>
    <cellStyle name="Percent 11 2 2 3" xfId="15183"/>
    <cellStyle name="Percent 11 2 3" xfId="15184"/>
    <cellStyle name="Percent 11 2 3 2" xfId="15185"/>
    <cellStyle name="Percent 11 2 4" xfId="15186"/>
    <cellStyle name="Percent 11 2 5" xfId="15187"/>
    <cellStyle name="Percent 11 2 6" xfId="15188"/>
    <cellStyle name="Percent 11 2 7" xfId="15189"/>
    <cellStyle name="Percent 11 2 8" xfId="15190"/>
    <cellStyle name="Percent 11 3" xfId="15191"/>
    <cellStyle name="Percent 11 3 2" xfId="15192"/>
    <cellStyle name="Percent 11 3 2 2" xfId="15193"/>
    <cellStyle name="Percent 11 3 3" xfId="15194"/>
    <cellStyle name="Percent 11 3 4" xfId="15195"/>
    <cellStyle name="Percent 11 4" xfId="15196"/>
    <cellStyle name="Percent 11 4 2" xfId="15197"/>
    <cellStyle name="Percent 11 5" xfId="15198"/>
    <cellStyle name="Percent 11 5 2" xfId="15199"/>
    <cellStyle name="Percent 11 6" xfId="15200"/>
    <cellStyle name="Percent 11 6 2" xfId="15201"/>
    <cellStyle name="Percent 11 7" xfId="15202"/>
    <cellStyle name="Percent 11 8" xfId="15203"/>
    <cellStyle name="Percent 11 9" xfId="15204"/>
    <cellStyle name="Percent 110" xfId="15205"/>
    <cellStyle name="Percent 111" xfId="15206"/>
    <cellStyle name="Percent 112" xfId="15207"/>
    <cellStyle name="Percent 113" xfId="15208"/>
    <cellStyle name="Percent 114" xfId="15209"/>
    <cellStyle name="Percent 115" xfId="15210"/>
    <cellStyle name="Percent 116" xfId="15211"/>
    <cellStyle name="Percent 117" xfId="15212"/>
    <cellStyle name="Percent 118" xfId="15213"/>
    <cellStyle name="Percent 119" xfId="15214"/>
    <cellStyle name="Percent 12" xfId="3130"/>
    <cellStyle name="Percent 12 10" xfId="15215"/>
    <cellStyle name="Percent 12 11" xfId="15216"/>
    <cellStyle name="Percent 12 2" xfId="15217"/>
    <cellStyle name="Percent 12 2 2" xfId="15218"/>
    <cellStyle name="Percent 12 2 2 2" xfId="15219"/>
    <cellStyle name="Percent 12 2 2 2 2" xfId="15220"/>
    <cellStyle name="Percent 12 2 2 3" xfId="15221"/>
    <cellStyle name="Percent 12 2 3" xfId="15222"/>
    <cellStyle name="Percent 12 2 3 2" xfId="15223"/>
    <cellStyle name="Percent 12 2 4" xfId="15224"/>
    <cellStyle name="Percent 12 2 5" xfId="15225"/>
    <cellStyle name="Percent 12 2 6" xfId="15226"/>
    <cellStyle name="Percent 12 2 7" xfId="15227"/>
    <cellStyle name="Percent 12 2 8" xfId="15228"/>
    <cellStyle name="Percent 12 3" xfId="15229"/>
    <cellStyle name="Percent 12 3 2" xfId="15230"/>
    <cellStyle name="Percent 12 3 2 2" xfId="15231"/>
    <cellStyle name="Percent 12 3 3" xfId="15232"/>
    <cellStyle name="Percent 12 3 4" xfId="15233"/>
    <cellStyle name="Percent 12 4" xfId="15234"/>
    <cellStyle name="Percent 12 4 2" xfId="15235"/>
    <cellStyle name="Percent 12 5" xfId="15236"/>
    <cellStyle name="Percent 12 5 2" xfId="15237"/>
    <cellStyle name="Percent 12 6" xfId="15238"/>
    <cellStyle name="Percent 12 6 2" xfId="15239"/>
    <cellStyle name="Percent 12 7" xfId="15240"/>
    <cellStyle name="Percent 12 8" xfId="15241"/>
    <cellStyle name="Percent 12 9" xfId="15242"/>
    <cellStyle name="Percent 120" xfId="15243"/>
    <cellStyle name="Percent 121" xfId="15244"/>
    <cellStyle name="Percent 122" xfId="15245"/>
    <cellStyle name="Percent 123" xfId="15246"/>
    <cellStyle name="Percent 124" xfId="15247"/>
    <cellStyle name="Percent 125" xfId="15248"/>
    <cellStyle name="Percent 126" xfId="15249"/>
    <cellStyle name="Percent 127" xfId="15250"/>
    <cellStyle name="Percent 128" xfId="15251"/>
    <cellStyle name="Percent 129" xfId="15252"/>
    <cellStyle name="Percent 13" xfId="3131"/>
    <cellStyle name="Percent 13 10" xfId="15253"/>
    <cellStyle name="Percent 13 2" xfId="15254"/>
    <cellStyle name="Percent 13 2 2" xfId="15255"/>
    <cellStyle name="Percent 13 2 2 2" xfId="15256"/>
    <cellStyle name="Percent 13 2 2 2 2" xfId="15257"/>
    <cellStyle name="Percent 13 2 2 3" xfId="15258"/>
    <cellStyle name="Percent 13 2 3" xfId="15259"/>
    <cellStyle name="Percent 13 2 3 2" xfId="15260"/>
    <cellStyle name="Percent 13 2 4" xfId="15261"/>
    <cellStyle name="Percent 13 2 5" xfId="15262"/>
    <cellStyle name="Percent 13 2 6" xfId="15263"/>
    <cellStyle name="Percent 13 2 7" xfId="15264"/>
    <cellStyle name="Percent 13 2 8" xfId="15265"/>
    <cellStyle name="Percent 13 3" xfId="15266"/>
    <cellStyle name="Percent 13 3 2" xfId="15267"/>
    <cellStyle name="Percent 13 3 2 2" xfId="15268"/>
    <cellStyle name="Percent 13 3 2 2 2" xfId="15269"/>
    <cellStyle name="Percent 13 3 3" xfId="15270"/>
    <cellStyle name="Percent 13 4" xfId="15271"/>
    <cellStyle name="Percent 13 4 2" xfId="15272"/>
    <cellStyle name="Percent 13 5" xfId="15273"/>
    <cellStyle name="Percent 13 5 2" xfId="15274"/>
    <cellStyle name="Percent 13 6" xfId="15275"/>
    <cellStyle name="Percent 13 7" xfId="15276"/>
    <cellStyle name="Percent 13 8" xfId="15277"/>
    <cellStyle name="Percent 13 9" xfId="15278"/>
    <cellStyle name="Percent 130" xfId="15279"/>
    <cellStyle name="Percent 131" xfId="15280"/>
    <cellStyle name="Percent 132" xfId="15281"/>
    <cellStyle name="Percent 133" xfId="15282"/>
    <cellStyle name="Percent 134" xfId="15283"/>
    <cellStyle name="Percent 135" xfId="15284"/>
    <cellStyle name="Percent 136" xfId="15285"/>
    <cellStyle name="Percent 137" xfId="15286"/>
    <cellStyle name="Percent 138" xfId="15287"/>
    <cellStyle name="Percent 139" xfId="15288"/>
    <cellStyle name="Percent 14" xfId="3220"/>
    <cellStyle name="Percent 14 2" xfId="15289"/>
    <cellStyle name="Percent 14 2 2" xfId="15290"/>
    <cellStyle name="Percent 14 2 2 2" xfId="15291"/>
    <cellStyle name="Percent 14 2 2 2 2" xfId="15292"/>
    <cellStyle name="Percent 14 2 2 3" xfId="15293"/>
    <cellStyle name="Percent 14 2 3" xfId="15294"/>
    <cellStyle name="Percent 14 2 3 2" xfId="15295"/>
    <cellStyle name="Percent 14 2 4" xfId="15296"/>
    <cellStyle name="Percent 14 3" xfId="15297"/>
    <cellStyle name="Percent 14 3 2" xfId="15298"/>
    <cellStyle name="Percent 14 3 2 2" xfId="15299"/>
    <cellStyle name="Percent 14 3 3" xfId="15300"/>
    <cellStyle name="Percent 14 4" xfId="15301"/>
    <cellStyle name="Percent 14 4 2" xfId="15302"/>
    <cellStyle name="Percent 14 5" xfId="15303"/>
    <cellStyle name="Percent 14 6" xfId="15304"/>
    <cellStyle name="Percent 140" xfId="15305"/>
    <cellStyle name="Percent 141" xfId="15306"/>
    <cellStyle name="Percent 142" xfId="15307"/>
    <cellStyle name="Percent 143" xfId="15308"/>
    <cellStyle name="Percent 144" xfId="15309"/>
    <cellStyle name="Percent 145" xfId="15310"/>
    <cellStyle name="Percent 146" xfId="15311"/>
    <cellStyle name="Percent 147" xfId="15312"/>
    <cellStyle name="Percent 148" xfId="15313"/>
    <cellStyle name="Percent 149" xfId="15314"/>
    <cellStyle name="Percent 15" xfId="15315"/>
    <cellStyle name="Percent 15 2" xfId="15316"/>
    <cellStyle name="Percent 15 2 2" xfId="15317"/>
    <cellStyle name="Percent 15 2 2 2" xfId="15318"/>
    <cellStyle name="Percent 15 2 2 2 2" xfId="15319"/>
    <cellStyle name="Percent 15 2 2 3" xfId="15320"/>
    <cellStyle name="Percent 15 2 3" xfId="15321"/>
    <cellStyle name="Percent 15 2 3 2" xfId="15322"/>
    <cellStyle name="Percent 15 2 4" xfId="15323"/>
    <cellStyle name="Percent 15 3" xfId="15324"/>
    <cellStyle name="Percent 15 3 2" xfId="15325"/>
    <cellStyle name="Percent 15 3 2 2" xfId="15326"/>
    <cellStyle name="Percent 15 3 3" xfId="15327"/>
    <cellStyle name="Percent 15 4" xfId="15328"/>
    <cellStyle name="Percent 15 4 2" xfId="15329"/>
    <cellStyle name="Percent 15 5" xfId="15330"/>
    <cellStyle name="Percent 15 6" xfId="15331"/>
    <cellStyle name="Percent 150" xfId="15332"/>
    <cellStyle name="Percent 151" xfId="15333"/>
    <cellStyle name="Percent 152" xfId="15334"/>
    <cellStyle name="Percent 153" xfId="15335"/>
    <cellStyle name="Percent 154" xfId="15336"/>
    <cellStyle name="Percent 155" xfId="15337"/>
    <cellStyle name="Percent 156" xfId="15338"/>
    <cellStyle name="Percent 157" xfId="15339"/>
    <cellStyle name="Percent 158" xfId="15340"/>
    <cellStyle name="Percent 159" xfId="15341"/>
    <cellStyle name="Percent 16" xfId="15342"/>
    <cellStyle name="Percent 16 2" xfId="15343"/>
    <cellStyle name="Percent 16 2 2" xfId="15344"/>
    <cellStyle name="Percent 16 2 2 2" xfId="15345"/>
    <cellStyle name="Percent 16 2 2 2 2" xfId="15346"/>
    <cellStyle name="Percent 16 2 2 3" xfId="15347"/>
    <cellStyle name="Percent 16 2 3" xfId="15348"/>
    <cellStyle name="Percent 16 2 3 2" xfId="15349"/>
    <cellStyle name="Percent 16 2 4" xfId="15350"/>
    <cellStyle name="Percent 16 3" xfId="15351"/>
    <cellStyle name="Percent 16 3 2" xfId="15352"/>
    <cellStyle name="Percent 16 3 2 2" xfId="15353"/>
    <cellStyle name="Percent 16 3 3" xfId="15354"/>
    <cellStyle name="Percent 16 4" xfId="15355"/>
    <cellStyle name="Percent 16 4 2" xfId="15356"/>
    <cellStyle name="Percent 16 5" xfId="15357"/>
    <cellStyle name="Percent 16 6" xfId="15358"/>
    <cellStyle name="Percent 160" xfId="15359"/>
    <cellStyle name="Percent 161" xfId="15360"/>
    <cellStyle name="Percent 162" xfId="15361"/>
    <cellStyle name="Percent 163" xfId="15362"/>
    <cellStyle name="Percent 164" xfId="15363"/>
    <cellStyle name="Percent 165" xfId="15364"/>
    <cellStyle name="Percent 166" xfId="15365"/>
    <cellStyle name="Percent 167" xfId="15366"/>
    <cellStyle name="Percent 168" xfId="15367"/>
    <cellStyle name="Percent 169" xfId="15368"/>
    <cellStyle name="Percent 17" xfId="15369"/>
    <cellStyle name="Percent 17 2" xfId="15370"/>
    <cellStyle name="Percent 17 2 2" xfId="15371"/>
    <cellStyle name="Percent 17 2 2 2" xfId="15372"/>
    <cellStyle name="Percent 17 2 2 2 2" xfId="15373"/>
    <cellStyle name="Percent 17 2 2 3" xfId="15374"/>
    <cellStyle name="Percent 17 2 3" xfId="15375"/>
    <cellStyle name="Percent 17 2 3 2" xfId="15376"/>
    <cellStyle name="Percent 17 2 4" xfId="15377"/>
    <cellStyle name="Percent 17 3" xfId="15378"/>
    <cellStyle name="Percent 17 3 2" xfId="15379"/>
    <cellStyle name="Percent 17 3 2 2" xfId="15380"/>
    <cellStyle name="Percent 17 3 3" xfId="15381"/>
    <cellStyle name="Percent 17 4" xfId="15382"/>
    <cellStyle name="Percent 17 4 2" xfId="15383"/>
    <cellStyle name="Percent 17 5" xfId="15384"/>
    <cellStyle name="Percent 17 6" xfId="15385"/>
    <cellStyle name="Percent 170" xfId="15386"/>
    <cellStyle name="Percent 171" xfId="15387"/>
    <cellStyle name="Percent 172" xfId="15388"/>
    <cellStyle name="Percent 173" xfId="15389"/>
    <cellStyle name="Percent 174" xfId="15390"/>
    <cellStyle name="Percent 175" xfId="15391"/>
    <cellStyle name="Percent 176" xfId="15392"/>
    <cellStyle name="Percent 177" xfId="15393"/>
    <cellStyle name="Percent 178" xfId="15394"/>
    <cellStyle name="Percent 179" xfId="15395"/>
    <cellStyle name="Percent 18" xfId="15396"/>
    <cellStyle name="Percent 18 2" xfId="15397"/>
    <cellStyle name="Percent 180" xfId="15398"/>
    <cellStyle name="Percent 181" xfId="15399"/>
    <cellStyle name="Percent 182" xfId="15400"/>
    <cellStyle name="Percent 183" xfId="15401"/>
    <cellStyle name="Percent 184" xfId="15402"/>
    <cellStyle name="Percent 185" xfId="15403"/>
    <cellStyle name="Percent 186" xfId="15404"/>
    <cellStyle name="Percent 187" xfId="15405"/>
    <cellStyle name="Percent 188" xfId="15406"/>
    <cellStyle name="Percent 189" xfId="15407"/>
    <cellStyle name="Percent 19" xfId="15408"/>
    <cellStyle name="Percent 19 2" xfId="15409"/>
    <cellStyle name="Percent 19 2 2" xfId="15410"/>
    <cellStyle name="Percent 19 3" xfId="15411"/>
    <cellStyle name="Percent 19 3 2" xfId="15412"/>
    <cellStyle name="Percent 19 4" xfId="15413"/>
    <cellStyle name="Percent 190" xfId="15414"/>
    <cellStyle name="Percent 191" xfId="15415"/>
    <cellStyle name="Percent 192" xfId="15416"/>
    <cellStyle name="Percent 193" xfId="15417"/>
    <cellStyle name="Percent 194" xfId="15418"/>
    <cellStyle name="Percent 195" xfId="15419"/>
    <cellStyle name="Percent 196" xfId="15420"/>
    <cellStyle name="Percent 197" xfId="16886"/>
    <cellStyle name="Percent 2" xfId="13"/>
    <cellStyle name="Percent 2 10" xfId="15421"/>
    <cellStyle name="Percent 2 11" xfId="15422"/>
    <cellStyle name="Percent 2 12" xfId="15423"/>
    <cellStyle name="Percent 2 13" xfId="15424"/>
    <cellStyle name="Percent 2 14" xfId="15425"/>
    <cellStyle name="Percent 2 15" xfId="15426"/>
    <cellStyle name="Percent 2 16" xfId="15427"/>
    <cellStyle name="Percent 2 17" xfId="15428"/>
    <cellStyle name="Percent 2 18" xfId="15429"/>
    <cellStyle name="Percent 2 19" xfId="15430"/>
    <cellStyle name="Percent 2 2" xfId="26"/>
    <cellStyle name="Percent 2 2 10" xfId="15431"/>
    <cellStyle name="Percent 2 2 11" xfId="3133"/>
    <cellStyle name="Percent 2 2 2" xfId="31"/>
    <cellStyle name="Percent 2 2 2 2" xfId="15432"/>
    <cellStyle name="Percent 2 2 2 2 2" xfId="15433"/>
    <cellStyle name="Percent 2 2 2 2 3" xfId="15434"/>
    <cellStyle name="Percent 2 2 2 3" xfId="15435"/>
    <cellStyle name="Percent 2 2 2 3 2" xfId="15436"/>
    <cellStyle name="Percent 2 2 2 4" xfId="15437"/>
    <cellStyle name="Percent 2 2 2 5" xfId="15438"/>
    <cellStyle name="Percent 2 2 2 6" xfId="15439"/>
    <cellStyle name="Percent 2 2 2 7" xfId="15440"/>
    <cellStyle name="Percent 2 2 2 8" xfId="15441"/>
    <cellStyle name="Percent 2 2 2 9" xfId="15442"/>
    <cellStyle name="Percent 2 2 3" xfId="15443"/>
    <cellStyle name="Percent 2 2 3 2" xfId="15444"/>
    <cellStyle name="Percent 2 2 3 3" xfId="15445"/>
    <cellStyle name="Percent 2 2 3 4" xfId="15446"/>
    <cellStyle name="Percent 2 2 4" xfId="15447"/>
    <cellStyle name="Percent 2 2 4 2" xfId="15448"/>
    <cellStyle name="Percent 2 2 4 2 2" xfId="15449"/>
    <cellStyle name="Percent 2 2 4 2 3" xfId="15450"/>
    <cellStyle name="Percent 2 2 4 3" xfId="15451"/>
    <cellStyle name="Percent 2 2 4 4" xfId="15452"/>
    <cellStyle name="Percent 2 2 4 5" xfId="15453"/>
    <cellStyle name="Percent 2 2 4 6" xfId="15454"/>
    <cellStyle name="Percent 2 2 4 7" xfId="15455"/>
    <cellStyle name="Percent 2 2 5" xfId="15456"/>
    <cellStyle name="Percent 2 2 5 2" xfId="15457"/>
    <cellStyle name="Percent 2 2 5 3" xfId="15458"/>
    <cellStyle name="Percent 2 2 6" xfId="15459"/>
    <cellStyle name="Percent 2 2 7" xfId="15460"/>
    <cellStyle name="Percent 2 2 8" xfId="15461"/>
    <cellStyle name="Percent 2 2 9" xfId="15462"/>
    <cellStyle name="Percent 2 20" xfId="15463"/>
    <cellStyle name="Percent 2 21" xfId="15464"/>
    <cellStyle name="Percent 2 22" xfId="15465"/>
    <cellStyle name="Percent 2 23" xfId="15466"/>
    <cellStyle name="Percent 2 24" xfId="15467"/>
    <cellStyle name="Percent 2 25" xfId="15468"/>
    <cellStyle name="Percent 2 26" xfId="15469"/>
    <cellStyle name="Percent 2 27" xfId="3132"/>
    <cellStyle name="Percent 2 3" xfId="34"/>
    <cellStyle name="Percent 2 3 2" xfId="15470"/>
    <cellStyle name="Percent 2 3 3" xfId="3134"/>
    <cellStyle name="Percent 2 4" xfId="15471"/>
    <cellStyle name="Percent 2 4 2" xfId="15472"/>
    <cellStyle name="Percent 2 5" xfId="15473"/>
    <cellStyle name="Percent 2 6" xfId="15474"/>
    <cellStyle name="Percent 2 7" xfId="15475"/>
    <cellStyle name="Percent 2 7 2" xfId="15476"/>
    <cellStyle name="Percent 2 8" xfId="15477"/>
    <cellStyle name="Percent 2 9" xfId="15478"/>
    <cellStyle name="Percent 20" xfId="15479"/>
    <cellStyle name="Percent 20 2" xfId="15480"/>
    <cellStyle name="Percent 20 2 2" xfId="15481"/>
    <cellStyle name="Percent 20 3" xfId="15482"/>
    <cellStyle name="Percent 20 3 2" xfId="15483"/>
    <cellStyle name="Percent 20 4" xfId="15484"/>
    <cellStyle name="Percent 21" xfId="15485"/>
    <cellStyle name="Percent 21 2" xfId="15486"/>
    <cellStyle name="Percent 21 2 2" xfId="15487"/>
    <cellStyle name="Percent 21 3" xfId="15488"/>
    <cellStyle name="Percent 21 4" xfId="15489"/>
    <cellStyle name="Percent 22" xfId="15490"/>
    <cellStyle name="Percent 22 2" xfId="15491"/>
    <cellStyle name="Percent 22 2 2" xfId="15492"/>
    <cellStyle name="Percent 22 3" xfId="15493"/>
    <cellStyle name="Percent 23" xfId="15494"/>
    <cellStyle name="Percent 23 2" xfId="15495"/>
    <cellStyle name="Percent 23 2 2" xfId="15496"/>
    <cellStyle name="Percent 24" xfId="15497"/>
    <cellStyle name="Percent 24 2" xfId="15498"/>
    <cellStyle name="Percent 24 2 2" xfId="15499"/>
    <cellStyle name="Percent 24 3" xfId="15500"/>
    <cellStyle name="Percent 25" xfId="15501"/>
    <cellStyle name="Percent 25 2" xfId="15502"/>
    <cellStyle name="Percent 25 2 2" xfId="15503"/>
    <cellStyle name="Percent 25 3" xfId="15504"/>
    <cellStyle name="Percent 25 4" xfId="15505"/>
    <cellStyle name="Percent 26" xfId="15506"/>
    <cellStyle name="Percent 26 2" xfId="15507"/>
    <cellStyle name="Percent 26 2 2" xfId="15508"/>
    <cellStyle name="Percent 26 3" xfId="15509"/>
    <cellStyle name="Percent 27" xfId="15510"/>
    <cellStyle name="Percent 27 2" xfId="15511"/>
    <cellStyle name="Percent 27 2 2" xfId="15512"/>
    <cellStyle name="Percent 27 3" xfId="15513"/>
    <cellStyle name="Percent 28" xfId="15514"/>
    <cellStyle name="Percent 28 2" xfId="15515"/>
    <cellStyle name="Percent 29" xfId="15516"/>
    <cellStyle name="Percent 29 2" xfId="15517"/>
    <cellStyle name="Percent 3" xfId="30"/>
    <cellStyle name="Percent 3 10" xfId="3135"/>
    <cellStyle name="Percent 3 2" xfId="3136"/>
    <cellStyle name="Percent 3 2 2" xfId="3137"/>
    <cellStyle name="Percent 3 3" xfId="3138"/>
    <cellStyle name="Percent 3 3 2" xfId="3139"/>
    <cellStyle name="Percent 3 3 2 2" xfId="15518"/>
    <cellStyle name="Percent 3 3 3" xfId="15519"/>
    <cellStyle name="Percent 3 3 4" xfId="15520"/>
    <cellStyle name="Percent 3 4" xfId="3140"/>
    <cellStyle name="Percent 3 4 2" xfId="3141"/>
    <cellStyle name="Percent 3 4 3" xfId="15521"/>
    <cellStyle name="Percent 3 5" xfId="3142"/>
    <cellStyle name="Percent 3 5 2" xfId="3143"/>
    <cellStyle name="Percent 3 5 3" xfId="15522"/>
    <cellStyle name="Percent 3 6" xfId="3144"/>
    <cellStyle name="Percent 3 7" xfId="15523"/>
    <cellStyle name="Percent 3 8" xfId="15524"/>
    <cellStyle name="Percent 3 9" xfId="15525"/>
    <cellStyle name="Percent 30" xfId="15526"/>
    <cellStyle name="Percent 30 2" xfId="15527"/>
    <cellStyle name="Percent 31" xfId="15528"/>
    <cellStyle name="Percent 32" xfId="15529"/>
    <cellStyle name="Percent 33" xfId="15530"/>
    <cellStyle name="Percent 34" xfId="15531"/>
    <cellStyle name="Percent 35" xfId="15532"/>
    <cellStyle name="Percent 36" xfId="15533"/>
    <cellStyle name="Percent 37" xfId="15534"/>
    <cellStyle name="Percent 37 2" xfId="15535"/>
    <cellStyle name="Percent 37 3" xfId="15536"/>
    <cellStyle name="Percent 38" xfId="15537"/>
    <cellStyle name="Percent 38 2" xfId="15538"/>
    <cellStyle name="Percent 38 3" xfId="15539"/>
    <cellStyle name="Percent 39" xfId="15540"/>
    <cellStyle name="Percent 39 2" xfId="15541"/>
    <cellStyle name="Percent 39 3" xfId="15542"/>
    <cellStyle name="Percent 4" xfId="3145"/>
    <cellStyle name="Percent 4 2" xfId="15543"/>
    <cellStyle name="Percent 4 2 2" xfId="15544"/>
    <cellStyle name="Percent 4 2 2 2" xfId="15545"/>
    <cellStyle name="Percent 4 2 2 2 2" xfId="15546"/>
    <cellStyle name="Percent 4 2 2 2 2 2" xfId="15547"/>
    <cellStyle name="Percent 4 2 2 2 3" xfId="15548"/>
    <cellStyle name="Percent 4 2 2 3" xfId="15549"/>
    <cellStyle name="Percent 4 2 2 3 2" xfId="15550"/>
    <cellStyle name="Percent 4 2 2 4" xfId="15551"/>
    <cellStyle name="Percent 4 2 3" xfId="15552"/>
    <cellStyle name="Percent 4 2 3 2" xfId="15553"/>
    <cellStyle name="Percent 4 2 3 2 2" xfId="15554"/>
    <cellStyle name="Percent 4 2 3 3" xfId="15555"/>
    <cellStyle name="Percent 4 2 4" xfId="15556"/>
    <cellStyle name="Percent 4 2 4 2" xfId="15557"/>
    <cellStyle name="Percent 4 2 5" xfId="15558"/>
    <cellStyle name="Percent 4 3" xfId="15559"/>
    <cellStyle name="Percent 4 3 2" xfId="15560"/>
    <cellStyle name="Percent 4 3 2 2" xfId="15561"/>
    <cellStyle name="Percent 4 3 2 2 2" xfId="15562"/>
    <cellStyle name="Percent 4 3 2 3" xfId="15563"/>
    <cellStyle name="Percent 4 3 3" xfId="15564"/>
    <cellStyle name="Percent 4 3 3 2" xfId="15565"/>
    <cellStyle name="Percent 4 3 4" xfId="15566"/>
    <cellStyle name="Percent 4 4" xfId="15567"/>
    <cellStyle name="Percent 4 4 2" xfId="15568"/>
    <cellStyle name="Percent 4 4 2 2" xfId="15569"/>
    <cellStyle name="Percent 4 4 3" xfId="15570"/>
    <cellStyle name="Percent 4 5" xfId="15571"/>
    <cellStyle name="Percent 4 5 2" xfId="15572"/>
    <cellStyle name="Percent 4 6" xfId="15573"/>
    <cellStyle name="Percent 40" xfId="15574"/>
    <cellStyle name="Percent 40 2" xfId="15575"/>
    <cellStyle name="Percent 41" xfId="15576"/>
    <cellStyle name="Percent 41 2" xfId="15577"/>
    <cellStyle name="Percent 42" xfId="15578"/>
    <cellStyle name="Percent 42 2" xfId="15579"/>
    <cellStyle name="Percent 43" xfId="15580"/>
    <cellStyle name="Percent 43 2" xfId="15581"/>
    <cellStyle name="Percent 44" xfId="15582"/>
    <cellStyle name="Percent 44 2" xfId="15583"/>
    <cellStyle name="Percent 45" xfId="15584"/>
    <cellStyle name="Percent 46" xfId="15585"/>
    <cellStyle name="Percent 47" xfId="15586"/>
    <cellStyle name="Percent 47 2" xfId="15587"/>
    <cellStyle name="Percent 48" xfId="15588"/>
    <cellStyle name="Percent 48 2" xfId="15589"/>
    <cellStyle name="Percent 49" xfId="15590"/>
    <cellStyle name="Percent 5" xfId="3146"/>
    <cellStyle name="Percent 5 2" xfId="15591"/>
    <cellStyle name="Percent 5 2 2" xfId="15592"/>
    <cellStyle name="Percent 5 2 2 2" xfId="15593"/>
    <cellStyle name="Percent 5 2 2 3" xfId="15594"/>
    <cellStyle name="Percent 5 2 3" xfId="15595"/>
    <cellStyle name="Percent 5 2 4" xfId="15596"/>
    <cellStyle name="Percent 5 3" xfId="15597"/>
    <cellStyle name="Percent 5 3 2" xfId="15598"/>
    <cellStyle name="Percent 5 4" xfId="15599"/>
    <cellStyle name="Percent 50" xfId="15600"/>
    <cellStyle name="Percent 51" xfId="15601"/>
    <cellStyle name="Percent 52" xfId="15602"/>
    <cellStyle name="Percent 53" xfId="15603"/>
    <cellStyle name="Percent 54" xfId="15604"/>
    <cellStyle name="Percent 55" xfId="15605"/>
    <cellStyle name="Percent 56" xfId="15606"/>
    <cellStyle name="Percent 57" xfId="15607"/>
    <cellStyle name="Percent 58" xfId="15608"/>
    <cellStyle name="Percent 59" xfId="15609"/>
    <cellStyle name="Percent 6" xfId="3147"/>
    <cellStyle name="Percent 6 2" xfId="15610"/>
    <cellStyle name="Percent 6 2 2" xfId="15611"/>
    <cellStyle name="Percent 6 2 3" xfId="15612"/>
    <cellStyle name="Percent 6 3" xfId="15613"/>
    <cellStyle name="Percent 60" xfId="15614"/>
    <cellStyle name="Percent 61" xfId="15615"/>
    <cellStyle name="Percent 62" xfId="15616"/>
    <cellStyle name="Percent 63" xfId="15617"/>
    <cellStyle name="Percent 64" xfId="15618"/>
    <cellStyle name="Percent 65" xfId="15619"/>
    <cellStyle name="Percent 66" xfId="15620"/>
    <cellStyle name="Percent 67" xfId="15621"/>
    <cellStyle name="Percent 68" xfId="15622"/>
    <cellStyle name="Percent 69" xfId="15623"/>
    <cellStyle name="Percent 7" xfId="3148"/>
    <cellStyle name="Percent 7 2" xfId="15624"/>
    <cellStyle name="Percent 7 2 10" xfId="15625"/>
    <cellStyle name="Percent 7 2 2" xfId="15626"/>
    <cellStyle name="Percent 7 2 2 2" xfId="15627"/>
    <cellStyle name="Percent 7 2 2 2 2" xfId="15628"/>
    <cellStyle name="Percent 7 2 2 3" xfId="15629"/>
    <cellStyle name="Percent 7 2 2 4" xfId="15630"/>
    <cellStyle name="Percent 7 2 3" xfId="15631"/>
    <cellStyle name="Percent 7 2 3 2" xfId="15632"/>
    <cellStyle name="Percent 7 2 4" xfId="15633"/>
    <cellStyle name="Percent 7 2 4 2" xfId="15634"/>
    <cellStyle name="Percent 7 2 5" xfId="15635"/>
    <cellStyle name="Percent 7 2 5 2" xfId="15636"/>
    <cellStyle name="Percent 7 2 6" xfId="15637"/>
    <cellStyle name="Percent 7 2 7" xfId="15638"/>
    <cellStyle name="Percent 7 2 8" xfId="15639"/>
    <cellStyle name="Percent 7 2 9" xfId="15640"/>
    <cellStyle name="Percent 7 3" xfId="15641"/>
    <cellStyle name="Percent 7 3 2" xfId="15642"/>
    <cellStyle name="Percent 7 3 2 2" xfId="15643"/>
    <cellStyle name="Percent 7 3 3" xfId="15644"/>
    <cellStyle name="Percent 7 3 3 2" xfId="15645"/>
    <cellStyle name="Percent 7 3 4" xfId="15646"/>
    <cellStyle name="Percent 7 4" xfId="15647"/>
    <cellStyle name="Percent 7 4 2" xfId="15648"/>
    <cellStyle name="Percent 7 5" xfId="15649"/>
    <cellStyle name="Percent 7 6" xfId="15650"/>
    <cellStyle name="Percent 70" xfId="15651"/>
    <cellStyle name="Percent 71" xfId="15652"/>
    <cellStyle name="Percent 72" xfId="15653"/>
    <cellStyle name="Percent 73" xfId="15654"/>
    <cellStyle name="Percent 74" xfId="15655"/>
    <cellStyle name="Percent 75" xfId="15656"/>
    <cellStyle name="Percent 76" xfId="15657"/>
    <cellStyle name="Percent 77" xfId="15658"/>
    <cellStyle name="Percent 78" xfId="15659"/>
    <cellStyle name="Percent 79" xfId="15660"/>
    <cellStyle name="Percent 8" xfId="3149"/>
    <cellStyle name="Percent 8 2" xfId="15661"/>
    <cellStyle name="Percent 8 2 10" xfId="15662"/>
    <cellStyle name="Percent 8 2 2" xfId="15663"/>
    <cellStyle name="Percent 8 2 2 2" xfId="15664"/>
    <cellStyle name="Percent 8 2 2 2 2" xfId="15665"/>
    <cellStyle name="Percent 8 2 2 3" xfId="15666"/>
    <cellStyle name="Percent 8 2 2 4" xfId="15667"/>
    <cellStyle name="Percent 8 2 3" xfId="15668"/>
    <cellStyle name="Percent 8 2 3 2" xfId="15669"/>
    <cellStyle name="Percent 8 2 4" xfId="15670"/>
    <cellStyle name="Percent 8 2 4 2" xfId="15671"/>
    <cellStyle name="Percent 8 2 5" xfId="15672"/>
    <cellStyle name="Percent 8 2 5 2" xfId="15673"/>
    <cellStyle name="Percent 8 2 6" xfId="15674"/>
    <cellStyle name="Percent 8 2 7" xfId="15675"/>
    <cellStyle name="Percent 8 2 8" xfId="15676"/>
    <cellStyle name="Percent 8 2 9" xfId="15677"/>
    <cellStyle name="Percent 8 3" xfId="15678"/>
    <cellStyle name="Percent 8 3 2" xfId="15679"/>
    <cellStyle name="Percent 8 3 2 2" xfId="15680"/>
    <cellStyle name="Percent 8 3 3" xfId="15681"/>
    <cellStyle name="Percent 8 3 3 2" xfId="15682"/>
    <cellStyle name="Percent 8 3 4" xfId="15683"/>
    <cellStyle name="Percent 8 4" xfId="15684"/>
    <cellStyle name="Percent 8 4 2" xfId="15685"/>
    <cellStyle name="Percent 8 5" xfId="15686"/>
    <cellStyle name="Percent 8 6" xfId="15687"/>
    <cellStyle name="Percent 80" xfId="15688"/>
    <cellStyle name="Percent 81" xfId="15689"/>
    <cellStyle name="Percent 82" xfId="15690"/>
    <cellStyle name="Percent 83" xfId="15691"/>
    <cellStyle name="Percent 84" xfId="15692"/>
    <cellStyle name="Percent 85" xfId="15693"/>
    <cellStyle name="Percent 86" xfId="15694"/>
    <cellStyle name="Percent 87" xfId="15695"/>
    <cellStyle name="Percent 88" xfId="15696"/>
    <cellStyle name="Percent 89" xfId="15697"/>
    <cellStyle name="Percent 9" xfId="3150"/>
    <cellStyle name="Percent 9 2" xfId="15698"/>
    <cellStyle name="Percent 9 2 10" xfId="15699"/>
    <cellStyle name="Percent 9 2 2" xfId="15700"/>
    <cellStyle name="Percent 9 2 2 2" xfId="15701"/>
    <cellStyle name="Percent 9 2 2 2 2" xfId="15702"/>
    <cellStyle name="Percent 9 2 2 3" xfId="15703"/>
    <cellStyle name="Percent 9 2 2 4" xfId="15704"/>
    <cellStyle name="Percent 9 2 3" xfId="15705"/>
    <cellStyle name="Percent 9 2 3 2" xfId="15706"/>
    <cellStyle name="Percent 9 2 4" xfId="15707"/>
    <cellStyle name="Percent 9 2 4 2" xfId="15708"/>
    <cellStyle name="Percent 9 2 5" xfId="15709"/>
    <cellStyle name="Percent 9 2 5 2" xfId="15710"/>
    <cellStyle name="Percent 9 2 6" xfId="15711"/>
    <cellStyle name="Percent 9 2 7" xfId="15712"/>
    <cellStyle name="Percent 9 2 8" xfId="15713"/>
    <cellStyle name="Percent 9 2 9" xfId="15714"/>
    <cellStyle name="Percent 9 3" xfId="15715"/>
    <cellStyle name="Percent 9 3 2" xfId="15716"/>
    <cellStyle name="Percent 9 3 2 2" xfId="15717"/>
    <cellStyle name="Percent 9 3 3" xfId="15718"/>
    <cellStyle name="Percent 9 3 3 2" xfId="15719"/>
    <cellStyle name="Percent 9 3 4" xfId="15720"/>
    <cellStyle name="Percent 9 4" xfId="15721"/>
    <cellStyle name="Percent 9 4 2" xfId="15722"/>
    <cellStyle name="Percent 9 5" xfId="15723"/>
    <cellStyle name="Percent 9 6" xfId="15724"/>
    <cellStyle name="Percent 90" xfId="15725"/>
    <cellStyle name="Percent 91" xfId="15726"/>
    <cellStyle name="Percent 92" xfId="15727"/>
    <cellStyle name="Percent 93" xfId="15728"/>
    <cellStyle name="Percent 94" xfId="15729"/>
    <cellStyle name="Percent 95" xfId="15730"/>
    <cellStyle name="Percent 96" xfId="15731"/>
    <cellStyle name="Percent 97" xfId="15732"/>
    <cellStyle name="Percent 98" xfId="15733"/>
    <cellStyle name="Percent 99" xfId="15734"/>
    <cellStyle name="Percent Hard" xfId="15735"/>
    <cellStyle name="Percent Hard 10" xfId="15736"/>
    <cellStyle name="Percent Hard 11" xfId="15737"/>
    <cellStyle name="Percent Hard 12" xfId="15738"/>
    <cellStyle name="Percent Hard 13" xfId="15739"/>
    <cellStyle name="Percent Hard 14" xfId="15740"/>
    <cellStyle name="Percent Hard 15" xfId="15741"/>
    <cellStyle name="Percent Hard 16" xfId="15742"/>
    <cellStyle name="Percent Hard 17" xfId="15743"/>
    <cellStyle name="Percent Hard 18" xfId="15744"/>
    <cellStyle name="Percent Hard 19" xfId="15745"/>
    <cellStyle name="Percent Hard 2" xfId="15746"/>
    <cellStyle name="Percent Hard 20" xfId="15747"/>
    <cellStyle name="Percent Hard 21" xfId="15748"/>
    <cellStyle name="Percent Hard 22" xfId="15749"/>
    <cellStyle name="Percent Hard 23" xfId="15750"/>
    <cellStyle name="Percent Hard 24" xfId="15751"/>
    <cellStyle name="Percent Hard 25" xfId="15752"/>
    <cellStyle name="Percent Hard 26" xfId="15753"/>
    <cellStyle name="Percent Hard 27" xfId="15754"/>
    <cellStyle name="Percent Hard 28" xfId="15755"/>
    <cellStyle name="Percent Hard 29" xfId="15756"/>
    <cellStyle name="Percent Hard 3" xfId="15757"/>
    <cellStyle name="Percent Hard 30" xfId="15758"/>
    <cellStyle name="Percent Hard 4" xfId="15759"/>
    <cellStyle name="Percent Hard 5" xfId="15760"/>
    <cellStyle name="Percent Hard 6" xfId="15761"/>
    <cellStyle name="Percent Hard 7" xfId="15762"/>
    <cellStyle name="Percent Hard 8" xfId="15763"/>
    <cellStyle name="Percent Hard 9" xfId="15764"/>
    <cellStyle name="PSChar" xfId="15765"/>
    <cellStyle name="PSChar 2" xfId="15766"/>
    <cellStyle name="PSChar 3" xfId="15767"/>
    <cellStyle name="PSChar 4" xfId="15768"/>
    <cellStyle name="PSChar 5" xfId="15769"/>
    <cellStyle name="PSChar 6" xfId="15770"/>
    <cellStyle name="PSCustom" xfId="15771"/>
    <cellStyle name="PSDate" xfId="15772"/>
    <cellStyle name="PSDate 2" xfId="15773"/>
    <cellStyle name="PSDate 3" xfId="15774"/>
    <cellStyle name="PSDate 4" xfId="15775"/>
    <cellStyle name="PSDate 5" xfId="15776"/>
    <cellStyle name="PSDate 6" xfId="15777"/>
    <cellStyle name="PSDec" xfId="15778"/>
    <cellStyle name="PSDec 2" xfId="15779"/>
    <cellStyle name="PSDec 3" xfId="15780"/>
    <cellStyle name="PSDec 4" xfId="15781"/>
    <cellStyle name="PSDec 5" xfId="15782"/>
    <cellStyle name="PSDec 6" xfId="15783"/>
    <cellStyle name="PSHeading" xfId="15784"/>
    <cellStyle name="PSHeading 2" xfId="15785"/>
    <cellStyle name="PSHeading 3" xfId="15786"/>
    <cellStyle name="PSHeading 4" xfId="15787"/>
    <cellStyle name="PSHeading 5" xfId="15788"/>
    <cellStyle name="PSHeading 6" xfId="15789"/>
    <cellStyle name="PSHeading_Attachment A - calculations (updated)" xfId="15790"/>
    <cellStyle name="PSInt" xfId="15791"/>
    <cellStyle name="PSInt 2" xfId="15792"/>
    <cellStyle name="PSInt 3" xfId="15793"/>
    <cellStyle name="PSInt 4" xfId="15794"/>
    <cellStyle name="PSInt 5" xfId="15795"/>
    <cellStyle name="PSInt 6" xfId="15796"/>
    <cellStyle name="PSSpacer" xfId="15797"/>
    <cellStyle name="PSSpacer 2" xfId="15798"/>
    <cellStyle name="PSSpacer 3" xfId="15799"/>
    <cellStyle name="PSSpacer 4" xfId="15800"/>
    <cellStyle name="PSSpacer 5" xfId="15801"/>
    <cellStyle name="PSSpacer 6" xfId="15802"/>
    <cellStyle name="PSSum" xfId="15803"/>
    <cellStyle name="Region" xfId="15804"/>
    <cellStyle name="regional" xfId="15805"/>
    <cellStyle name="Report" xfId="15806"/>
    <cellStyle name="SAPBEXaggData" xfId="15807"/>
    <cellStyle name="SAPBEXaggData 2" xfId="15808"/>
    <cellStyle name="SAPBEXaggData 3" xfId="15809"/>
    <cellStyle name="SAPBEXaggData 4" xfId="15810"/>
    <cellStyle name="SAPBEXaggData 5" xfId="15811"/>
    <cellStyle name="SAPBEXaggData 6" xfId="15812"/>
    <cellStyle name="SAPBEXaggData_Attachment A - calculations (updated)" xfId="15813"/>
    <cellStyle name="SAPBEXaggDataEmph" xfId="15814"/>
    <cellStyle name="SAPBEXaggDataEmph 2" xfId="15815"/>
    <cellStyle name="SAPBEXaggDataEmph 3" xfId="15816"/>
    <cellStyle name="SAPBEXaggDataEmph 4" xfId="15817"/>
    <cellStyle name="SAPBEXaggDataEmph 5" xfId="15818"/>
    <cellStyle name="SAPBEXaggDataEmph 6" xfId="15819"/>
    <cellStyle name="SAPBEXaggDataEmph_Attachment A - calculations (updated)" xfId="15820"/>
    <cellStyle name="SAPBEXaggExc1" xfId="15821"/>
    <cellStyle name="SAPBEXaggExc1 2" xfId="15822"/>
    <cellStyle name="SAPBEXaggExc1 3" xfId="15823"/>
    <cellStyle name="SAPBEXaggExc1 4" xfId="15824"/>
    <cellStyle name="SAPBEXaggExc1 5" xfId="15825"/>
    <cellStyle name="SAPBEXaggExc1 6" xfId="15826"/>
    <cellStyle name="SAPBEXaggExc1_Attachment A - calculations (updated)" xfId="15827"/>
    <cellStyle name="SAPBEXaggExc1Emph" xfId="15828"/>
    <cellStyle name="SAPBEXaggExc1Emph 2" xfId="15829"/>
    <cellStyle name="SAPBEXaggExc1Emph 3" xfId="15830"/>
    <cellStyle name="SAPBEXaggExc1Emph 4" xfId="15831"/>
    <cellStyle name="SAPBEXaggExc1Emph 5" xfId="15832"/>
    <cellStyle name="SAPBEXaggExc1Emph 6" xfId="15833"/>
    <cellStyle name="SAPBEXaggExc1Emph_Attachment A - calculations (updated)" xfId="15834"/>
    <cellStyle name="SAPBEXaggExc2" xfId="15835"/>
    <cellStyle name="SAPBEXaggExc2 2" xfId="15836"/>
    <cellStyle name="SAPBEXaggExc2 3" xfId="15837"/>
    <cellStyle name="SAPBEXaggExc2 4" xfId="15838"/>
    <cellStyle name="SAPBEXaggExc2 5" xfId="15839"/>
    <cellStyle name="SAPBEXaggExc2 6" xfId="15840"/>
    <cellStyle name="SAPBEXaggExc2_Attachment A - calculations (updated)" xfId="15841"/>
    <cellStyle name="SAPBEXaggExc2Emph" xfId="15842"/>
    <cellStyle name="SAPBEXaggExc2Emph 2" xfId="15843"/>
    <cellStyle name="SAPBEXaggExc2Emph 3" xfId="15844"/>
    <cellStyle name="SAPBEXaggExc2Emph 4" xfId="15845"/>
    <cellStyle name="SAPBEXaggExc2Emph 5" xfId="15846"/>
    <cellStyle name="SAPBEXaggExc2Emph 6" xfId="15847"/>
    <cellStyle name="SAPBEXaggExc2Emph_Attachment A - calculations (updated)" xfId="15848"/>
    <cellStyle name="SAPBEXaggItem" xfId="15849"/>
    <cellStyle name="SAPBEXaggItem 2" xfId="15850"/>
    <cellStyle name="SAPBEXaggItem 3" xfId="15851"/>
    <cellStyle name="SAPBEXaggItem 4" xfId="15852"/>
    <cellStyle name="SAPBEXaggItem 5" xfId="15853"/>
    <cellStyle name="SAPBEXaggItem 6" xfId="15854"/>
    <cellStyle name="SAPBEXaggItem_Attachment A - calculations (updated)" xfId="15855"/>
    <cellStyle name="SAPBEXbackground" xfId="15856"/>
    <cellStyle name="SAPBEXbackground 2" xfId="15857"/>
    <cellStyle name="SAPBEXbackground 3" xfId="15858"/>
    <cellStyle name="SAPBEXbackground 4" xfId="15859"/>
    <cellStyle name="SAPBEXbackground 5" xfId="15860"/>
    <cellStyle name="SAPBEXbackground 6" xfId="15861"/>
    <cellStyle name="SAPBEXchaText" xfId="15862"/>
    <cellStyle name="SAPBEXchaText 2" xfId="15863"/>
    <cellStyle name="SAPBEXchaText 3" xfId="15864"/>
    <cellStyle name="SAPBEXchaText 4" xfId="15865"/>
    <cellStyle name="SAPBEXchaText 5" xfId="15866"/>
    <cellStyle name="SAPBEXchaText 6" xfId="15867"/>
    <cellStyle name="SAPBEXexcBad7" xfId="15868"/>
    <cellStyle name="SAPBEXexcBad7 2" xfId="15869"/>
    <cellStyle name="SAPBEXexcBad7 3" xfId="15870"/>
    <cellStyle name="SAPBEXexcBad7 4" xfId="15871"/>
    <cellStyle name="SAPBEXexcBad7 5" xfId="15872"/>
    <cellStyle name="SAPBEXexcBad7 6" xfId="15873"/>
    <cellStyle name="SAPBEXexcBad7_Attachment A - calculations (updated)" xfId="15874"/>
    <cellStyle name="SAPBEXexcBad8" xfId="15875"/>
    <cellStyle name="SAPBEXexcBad8 2" xfId="15876"/>
    <cellStyle name="SAPBEXexcBad8 3" xfId="15877"/>
    <cellStyle name="SAPBEXexcBad8 4" xfId="15878"/>
    <cellStyle name="SAPBEXexcBad8 5" xfId="15879"/>
    <cellStyle name="SAPBEXexcBad8 6" xfId="15880"/>
    <cellStyle name="SAPBEXexcBad8_Attachment A - calculations (updated)" xfId="15881"/>
    <cellStyle name="SAPBEXexcBad9" xfId="15882"/>
    <cellStyle name="SAPBEXexcBad9 2" xfId="15883"/>
    <cellStyle name="SAPBEXexcBad9 3" xfId="15884"/>
    <cellStyle name="SAPBEXexcBad9 4" xfId="15885"/>
    <cellStyle name="SAPBEXexcBad9 5" xfId="15886"/>
    <cellStyle name="SAPBEXexcBad9 6" xfId="15887"/>
    <cellStyle name="SAPBEXexcBad9_Attachment A - calculations (updated)" xfId="15888"/>
    <cellStyle name="SAPBEXexcCritical4" xfId="15889"/>
    <cellStyle name="SAPBEXexcCritical4 2" xfId="15890"/>
    <cellStyle name="SAPBEXexcCritical4 3" xfId="15891"/>
    <cellStyle name="SAPBEXexcCritical4 4" xfId="15892"/>
    <cellStyle name="SAPBEXexcCritical4 5" xfId="15893"/>
    <cellStyle name="SAPBEXexcCritical4 6" xfId="15894"/>
    <cellStyle name="SAPBEXexcCritical4_Attachment A - calculations (updated)" xfId="15895"/>
    <cellStyle name="SAPBEXexcCritical5" xfId="15896"/>
    <cellStyle name="SAPBEXexcCritical5 2" xfId="15897"/>
    <cellStyle name="SAPBEXexcCritical5 3" xfId="15898"/>
    <cellStyle name="SAPBEXexcCritical5 4" xfId="15899"/>
    <cellStyle name="SAPBEXexcCritical5 5" xfId="15900"/>
    <cellStyle name="SAPBEXexcCritical5 6" xfId="15901"/>
    <cellStyle name="SAPBEXexcCritical5_Attachment A - calculations (updated)" xfId="15902"/>
    <cellStyle name="SAPBEXexcCritical6" xfId="15903"/>
    <cellStyle name="SAPBEXexcCritical6 2" xfId="15904"/>
    <cellStyle name="SAPBEXexcCritical6 3" xfId="15905"/>
    <cellStyle name="SAPBEXexcCritical6 4" xfId="15906"/>
    <cellStyle name="SAPBEXexcCritical6 5" xfId="15907"/>
    <cellStyle name="SAPBEXexcCritical6 6" xfId="15908"/>
    <cellStyle name="SAPBEXexcCritical6_Attachment A - calculations (updated)" xfId="15909"/>
    <cellStyle name="SAPBEXexcGood1" xfId="15910"/>
    <cellStyle name="SAPBEXexcGood1 2" xfId="15911"/>
    <cellStyle name="SAPBEXexcGood1 3" xfId="15912"/>
    <cellStyle name="SAPBEXexcGood1 4" xfId="15913"/>
    <cellStyle name="SAPBEXexcGood1 5" xfId="15914"/>
    <cellStyle name="SAPBEXexcGood1 6" xfId="15915"/>
    <cellStyle name="SAPBEXexcGood1_Attachment A - calculations (updated)" xfId="15916"/>
    <cellStyle name="SAPBEXexcGood2" xfId="15917"/>
    <cellStyle name="SAPBEXexcGood2 2" xfId="15918"/>
    <cellStyle name="SAPBEXexcGood2 3" xfId="15919"/>
    <cellStyle name="SAPBEXexcGood2 4" xfId="15920"/>
    <cellStyle name="SAPBEXexcGood2 5" xfId="15921"/>
    <cellStyle name="SAPBEXexcGood2 6" xfId="15922"/>
    <cellStyle name="SAPBEXexcGood2_Attachment A - calculations (updated)" xfId="15923"/>
    <cellStyle name="SAPBEXexcGood3" xfId="15924"/>
    <cellStyle name="SAPBEXexcGood3 2" xfId="15925"/>
    <cellStyle name="SAPBEXexcGood3 3" xfId="15926"/>
    <cellStyle name="SAPBEXexcGood3 4" xfId="15927"/>
    <cellStyle name="SAPBEXexcGood3 5" xfId="15928"/>
    <cellStyle name="SAPBEXexcGood3 6" xfId="15929"/>
    <cellStyle name="SAPBEXexcGood3_Attachment A - calculations (updated)" xfId="15930"/>
    <cellStyle name="SAPBEXfilterDrill" xfId="15931"/>
    <cellStyle name="SAPBEXfilterDrill 2" xfId="15932"/>
    <cellStyle name="SAPBEXfilterDrill 3" xfId="15933"/>
    <cellStyle name="SAPBEXfilterDrill 4" xfId="15934"/>
    <cellStyle name="SAPBEXfilterDrill 5" xfId="15935"/>
    <cellStyle name="SAPBEXfilterDrill 6" xfId="15936"/>
    <cellStyle name="SAPBEXfilterDrill_Attachment A - calculations (updated)" xfId="15937"/>
    <cellStyle name="SAPBEXfilterItem" xfId="15938"/>
    <cellStyle name="SAPBEXfilterItem 2" xfId="15939"/>
    <cellStyle name="SAPBEXfilterItem 3" xfId="15940"/>
    <cellStyle name="SAPBEXfilterItem 4" xfId="15941"/>
    <cellStyle name="SAPBEXfilterItem 5" xfId="15942"/>
    <cellStyle name="SAPBEXfilterItem 6" xfId="15943"/>
    <cellStyle name="SAPBEXfilterText" xfId="15944"/>
    <cellStyle name="SAPBEXfilterText 2" xfId="15945"/>
    <cellStyle name="SAPBEXfilterText 3" xfId="15946"/>
    <cellStyle name="SAPBEXfilterText 4" xfId="15947"/>
    <cellStyle name="SAPBEXfilterText 5" xfId="15948"/>
    <cellStyle name="SAPBEXfilterText 6" xfId="15949"/>
    <cellStyle name="SAPBEXformats" xfId="15950"/>
    <cellStyle name="SAPBEXformats 2" xfId="15951"/>
    <cellStyle name="SAPBEXformats 3" xfId="15952"/>
    <cellStyle name="SAPBEXformats 4" xfId="15953"/>
    <cellStyle name="SAPBEXformats 5" xfId="15954"/>
    <cellStyle name="SAPBEXformats 6" xfId="15955"/>
    <cellStyle name="SAPBEXformats_Attachment A - calculations (updated)" xfId="15956"/>
    <cellStyle name="SAPBEXheaderData" xfId="15957"/>
    <cellStyle name="SAPBEXheaderData 2" xfId="15958"/>
    <cellStyle name="SAPBEXheaderData 3" xfId="15959"/>
    <cellStyle name="SAPBEXheaderData 4" xfId="15960"/>
    <cellStyle name="SAPBEXheaderData 5" xfId="15961"/>
    <cellStyle name="SAPBEXheaderData 6" xfId="15962"/>
    <cellStyle name="SAPBEXheaderItem" xfId="15963"/>
    <cellStyle name="SAPBEXheaderItem 2" xfId="15964"/>
    <cellStyle name="SAPBEXheaderItem 3" xfId="15965"/>
    <cellStyle name="SAPBEXheaderItem 4" xfId="15966"/>
    <cellStyle name="SAPBEXheaderItem 5" xfId="15967"/>
    <cellStyle name="SAPBEXheaderItem 6" xfId="15968"/>
    <cellStyle name="SAPBEXheaderRowOne" xfId="15969"/>
    <cellStyle name="SAPBEXheaderRowOne 2" xfId="15970"/>
    <cellStyle name="SAPBEXheaderRowOne 3" xfId="15971"/>
    <cellStyle name="SAPBEXheaderRowOne 4" xfId="15972"/>
    <cellStyle name="SAPBEXheaderRowOne 5" xfId="15973"/>
    <cellStyle name="SAPBEXheaderRowOne 6" xfId="15974"/>
    <cellStyle name="SAPBEXheaderRowThree" xfId="15975"/>
    <cellStyle name="SAPBEXheaderRowThree 2" xfId="15976"/>
    <cellStyle name="SAPBEXheaderRowThree 3" xfId="15977"/>
    <cellStyle name="SAPBEXheaderRowThree 4" xfId="15978"/>
    <cellStyle name="SAPBEXheaderRowThree 5" xfId="15979"/>
    <cellStyle name="SAPBEXheaderRowThree 6" xfId="15980"/>
    <cellStyle name="SAPBEXheaderRowTwo" xfId="15981"/>
    <cellStyle name="SAPBEXheaderRowTwo 2" xfId="15982"/>
    <cellStyle name="SAPBEXheaderRowTwo 3" xfId="15983"/>
    <cellStyle name="SAPBEXheaderRowTwo 4" xfId="15984"/>
    <cellStyle name="SAPBEXheaderRowTwo 5" xfId="15985"/>
    <cellStyle name="SAPBEXheaderRowTwo 6" xfId="15986"/>
    <cellStyle name="SAPBEXheaderSingleRow" xfId="15987"/>
    <cellStyle name="SAPBEXheaderSingleRow 2" xfId="15988"/>
    <cellStyle name="SAPBEXheaderSingleRow 3" xfId="15989"/>
    <cellStyle name="SAPBEXheaderSingleRow 4" xfId="15990"/>
    <cellStyle name="SAPBEXheaderSingleRow 5" xfId="15991"/>
    <cellStyle name="SAPBEXheaderSingleRow 6" xfId="15992"/>
    <cellStyle name="SAPBEXheaderSingleRow_Attachment A - calculations (updated)" xfId="15993"/>
    <cellStyle name="SAPBEXheaderText" xfId="15994"/>
    <cellStyle name="SAPBEXheaderText 2" xfId="15995"/>
    <cellStyle name="SAPBEXheaderText 3" xfId="15996"/>
    <cellStyle name="SAPBEXheaderText 4" xfId="15997"/>
    <cellStyle name="SAPBEXheaderText 5" xfId="15998"/>
    <cellStyle name="SAPBEXheaderText 6" xfId="15999"/>
    <cellStyle name="SAPBEXresData" xfId="16000"/>
    <cellStyle name="SAPBEXresData 2" xfId="16001"/>
    <cellStyle name="SAPBEXresData 3" xfId="16002"/>
    <cellStyle name="SAPBEXresData 4" xfId="16003"/>
    <cellStyle name="SAPBEXresData 5" xfId="16004"/>
    <cellStyle name="SAPBEXresData 6" xfId="16005"/>
    <cellStyle name="SAPBEXresData_Attachment A - calculations (updated)" xfId="16006"/>
    <cellStyle name="SAPBEXresDataEmph" xfId="16007"/>
    <cellStyle name="SAPBEXresDataEmph 2" xfId="16008"/>
    <cellStyle name="SAPBEXresDataEmph 3" xfId="16009"/>
    <cellStyle name="SAPBEXresDataEmph 4" xfId="16010"/>
    <cellStyle name="SAPBEXresDataEmph 5" xfId="16011"/>
    <cellStyle name="SAPBEXresDataEmph 6" xfId="16012"/>
    <cellStyle name="SAPBEXresDataEmph_Attachment A - calculations (updated)" xfId="16013"/>
    <cellStyle name="SAPBEXresExc1" xfId="16014"/>
    <cellStyle name="SAPBEXresExc1 2" xfId="16015"/>
    <cellStyle name="SAPBEXresExc1 3" xfId="16016"/>
    <cellStyle name="SAPBEXresExc1 4" xfId="16017"/>
    <cellStyle name="SAPBEXresExc1 5" xfId="16018"/>
    <cellStyle name="SAPBEXresExc1 6" xfId="16019"/>
    <cellStyle name="SAPBEXresExc1_Attachment A - calculations (updated)" xfId="16020"/>
    <cellStyle name="SAPBEXresExc1Emph" xfId="16021"/>
    <cellStyle name="SAPBEXresExc1Emph 2" xfId="16022"/>
    <cellStyle name="SAPBEXresExc1Emph 3" xfId="16023"/>
    <cellStyle name="SAPBEXresExc1Emph 4" xfId="16024"/>
    <cellStyle name="SAPBEXresExc1Emph 5" xfId="16025"/>
    <cellStyle name="SAPBEXresExc1Emph 6" xfId="16026"/>
    <cellStyle name="SAPBEXresExc1Emph_Attachment A - calculations (updated)" xfId="16027"/>
    <cellStyle name="SAPBEXresExc2" xfId="16028"/>
    <cellStyle name="SAPBEXresExc2 2" xfId="16029"/>
    <cellStyle name="SAPBEXresExc2 3" xfId="16030"/>
    <cellStyle name="SAPBEXresExc2 4" xfId="16031"/>
    <cellStyle name="SAPBEXresExc2 5" xfId="16032"/>
    <cellStyle name="SAPBEXresExc2 6" xfId="16033"/>
    <cellStyle name="SAPBEXresExc2_Attachment A - calculations (updated)" xfId="16034"/>
    <cellStyle name="SAPBEXresExc2Emph" xfId="16035"/>
    <cellStyle name="SAPBEXresExc2Emph 2" xfId="16036"/>
    <cellStyle name="SAPBEXresExc2Emph 3" xfId="16037"/>
    <cellStyle name="SAPBEXresExc2Emph 4" xfId="16038"/>
    <cellStyle name="SAPBEXresExc2Emph 5" xfId="16039"/>
    <cellStyle name="SAPBEXresExc2Emph 6" xfId="16040"/>
    <cellStyle name="SAPBEXresExc2Emph_Attachment A - calculations (updated)" xfId="16041"/>
    <cellStyle name="SAPBEXresItem" xfId="16042"/>
    <cellStyle name="SAPBEXresItem 2" xfId="16043"/>
    <cellStyle name="SAPBEXresItem 3" xfId="16044"/>
    <cellStyle name="SAPBEXresItem 4" xfId="16045"/>
    <cellStyle name="SAPBEXresItem 5" xfId="16046"/>
    <cellStyle name="SAPBEXresItem 6" xfId="16047"/>
    <cellStyle name="SAPBEXresItem_Attachment A - calculations (updated)" xfId="16048"/>
    <cellStyle name="SAPBEXstdData" xfId="16049"/>
    <cellStyle name="SAPBEXstdData 2" xfId="16050"/>
    <cellStyle name="SAPBEXstdData 3" xfId="16051"/>
    <cellStyle name="SAPBEXstdData 4" xfId="16052"/>
    <cellStyle name="SAPBEXstdData 5" xfId="16053"/>
    <cellStyle name="SAPBEXstdData 6" xfId="16054"/>
    <cellStyle name="SAPBEXstdData_Attachment A - calculations (updated)" xfId="16055"/>
    <cellStyle name="SAPBEXstdDataEmph" xfId="16056"/>
    <cellStyle name="SAPBEXstdDataEmph 2" xfId="16057"/>
    <cellStyle name="SAPBEXstdDataEmph 3" xfId="16058"/>
    <cellStyle name="SAPBEXstdDataEmph 4" xfId="16059"/>
    <cellStyle name="SAPBEXstdDataEmph 5" xfId="16060"/>
    <cellStyle name="SAPBEXstdDataEmph 6" xfId="16061"/>
    <cellStyle name="SAPBEXstdDataEmph_Attachment A - calculations (updated)" xfId="16062"/>
    <cellStyle name="SAPBEXstdExc1" xfId="16063"/>
    <cellStyle name="SAPBEXstdExc1 2" xfId="16064"/>
    <cellStyle name="SAPBEXstdExc1 3" xfId="16065"/>
    <cellStyle name="SAPBEXstdExc1 4" xfId="16066"/>
    <cellStyle name="SAPBEXstdExc1 5" xfId="16067"/>
    <cellStyle name="SAPBEXstdExc1 6" xfId="16068"/>
    <cellStyle name="SAPBEXstdExc1_Attachment A - calculations (updated)" xfId="16069"/>
    <cellStyle name="SAPBEXstdExc1Emph" xfId="16070"/>
    <cellStyle name="SAPBEXstdExc1Emph 2" xfId="16071"/>
    <cellStyle name="SAPBEXstdExc1Emph 3" xfId="16072"/>
    <cellStyle name="SAPBEXstdExc1Emph 4" xfId="16073"/>
    <cellStyle name="SAPBEXstdExc1Emph 5" xfId="16074"/>
    <cellStyle name="SAPBEXstdExc1Emph 6" xfId="16075"/>
    <cellStyle name="SAPBEXstdExc1Emph_Attachment A - calculations (updated)" xfId="16076"/>
    <cellStyle name="SAPBEXstdExc2" xfId="16077"/>
    <cellStyle name="SAPBEXstdExc2 2" xfId="16078"/>
    <cellStyle name="SAPBEXstdExc2 3" xfId="16079"/>
    <cellStyle name="SAPBEXstdExc2 4" xfId="16080"/>
    <cellStyle name="SAPBEXstdExc2 5" xfId="16081"/>
    <cellStyle name="SAPBEXstdExc2 6" xfId="16082"/>
    <cellStyle name="SAPBEXstdExc2_Attachment A - calculations (updated)" xfId="16083"/>
    <cellStyle name="SAPBEXstdExc2Emph" xfId="16084"/>
    <cellStyle name="SAPBEXstdExc2Emph 2" xfId="16085"/>
    <cellStyle name="SAPBEXstdExc2Emph 3" xfId="16086"/>
    <cellStyle name="SAPBEXstdExc2Emph 4" xfId="16087"/>
    <cellStyle name="SAPBEXstdExc2Emph 5" xfId="16088"/>
    <cellStyle name="SAPBEXstdExc2Emph 6" xfId="16089"/>
    <cellStyle name="SAPBEXstdExc2Emph_Attachment A - calculations (updated)" xfId="16090"/>
    <cellStyle name="SAPBEXstdItem" xfId="16091"/>
    <cellStyle name="SAPBEXstdItem 2" xfId="16092"/>
    <cellStyle name="SAPBEXstdItem 3" xfId="16093"/>
    <cellStyle name="SAPBEXstdItem 4" xfId="16094"/>
    <cellStyle name="SAPBEXstdItem 5" xfId="16095"/>
    <cellStyle name="SAPBEXstdItem 6" xfId="16096"/>
    <cellStyle name="SAPBEXstdItem_Attachment A - calculations (updated)" xfId="16097"/>
    <cellStyle name="SAPBEXstdItemHeader" xfId="16098"/>
    <cellStyle name="SAPBEXstdItemHeader 2" xfId="16099"/>
    <cellStyle name="SAPBEXstdItemHeader 3" xfId="16100"/>
    <cellStyle name="SAPBEXstdItemHeader 4" xfId="16101"/>
    <cellStyle name="SAPBEXstdItemHeader 5" xfId="16102"/>
    <cellStyle name="SAPBEXstdItemHeader 6" xfId="16103"/>
    <cellStyle name="SAPBEXstdItemHeader_Attachment A - calculations (updated)" xfId="16104"/>
    <cellStyle name="SAPBEXstdItemLeft" xfId="16105"/>
    <cellStyle name="SAPBEXstdItemLeft 2" xfId="16106"/>
    <cellStyle name="SAPBEXstdItemLeft 3" xfId="16107"/>
    <cellStyle name="SAPBEXstdItemLeft 4" xfId="16108"/>
    <cellStyle name="SAPBEXstdItemLeft 5" xfId="16109"/>
    <cellStyle name="SAPBEXstdItemLeft 6" xfId="16110"/>
    <cellStyle name="SAPBEXstdItemLeft_Attachment A - calculations (updated)" xfId="16111"/>
    <cellStyle name="SAPBEXstdItemLeftChart" xfId="16112"/>
    <cellStyle name="SAPBEXstdItemLeftChart 2" xfId="16113"/>
    <cellStyle name="SAPBEXstdItemLeftChart 3" xfId="16114"/>
    <cellStyle name="SAPBEXstdItemLeftChart 4" xfId="16115"/>
    <cellStyle name="SAPBEXstdItemLeftChart 5" xfId="16116"/>
    <cellStyle name="SAPBEXstdItemLeftChart 6" xfId="16117"/>
    <cellStyle name="SAPBEXstdItemLeftChart_Attachment A - calculations (updated)" xfId="16118"/>
    <cellStyle name="SAPBEXsubData" xfId="16119"/>
    <cellStyle name="SAPBEXsubData 2" xfId="16120"/>
    <cellStyle name="SAPBEXsubData 3" xfId="16121"/>
    <cellStyle name="SAPBEXsubData 4" xfId="16122"/>
    <cellStyle name="SAPBEXsubData 5" xfId="16123"/>
    <cellStyle name="SAPBEXsubData 6" xfId="16124"/>
    <cellStyle name="SAPBEXsubData_Attachment A - calculations (updated)" xfId="16125"/>
    <cellStyle name="SAPBEXsubDataEmph" xfId="16126"/>
    <cellStyle name="SAPBEXsubDataEmph 2" xfId="16127"/>
    <cellStyle name="SAPBEXsubDataEmph 3" xfId="16128"/>
    <cellStyle name="SAPBEXsubDataEmph 4" xfId="16129"/>
    <cellStyle name="SAPBEXsubDataEmph 5" xfId="16130"/>
    <cellStyle name="SAPBEXsubDataEmph 6" xfId="16131"/>
    <cellStyle name="SAPBEXsubDataEmph_Attachment A - calculations (updated)" xfId="16132"/>
    <cellStyle name="SAPBEXsubExc1" xfId="16133"/>
    <cellStyle name="SAPBEXsubExc1 2" xfId="16134"/>
    <cellStyle name="SAPBEXsubExc1 3" xfId="16135"/>
    <cellStyle name="SAPBEXsubExc1 4" xfId="16136"/>
    <cellStyle name="SAPBEXsubExc1 5" xfId="16137"/>
    <cellStyle name="SAPBEXsubExc1 6" xfId="16138"/>
    <cellStyle name="SAPBEXsubExc1_Attachment A - calculations (updated)" xfId="16139"/>
    <cellStyle name="SAPBEXsubExc1Emph" xfId="16140"/>
    <cellStyle name="SAPBEXsubExc1Emph 2" xfId="16141"/>
    <cellStyle name="SAPBEXsubExc1Emph 3" xfId="16142"/>
    <cellStyle name="SAPBEXsubExc1Emph 4" xfId="16143"/>
    <cellStyle name="SAPBEXsubExc1Emph 5" xfId="16144"/>
    <cellStyle name="SAPBEXsubExc1Emph 6" xfId="16145"/>
    <cellStyle name="SAPBEXsubExc1Emph_Attachment A - calculations (updated)" xfId="16146"/>
    <cellStyle name="SAPBEXsubExc2" xfId="16147"/>
    <cellStyle name="SAPBEXsubExc2 2" xfId="16148"/>
    <cellStyle name="SAPBEXsubExc2 3" xfId="16149"/>
    <cellStyle name="SAPBEXsubExc2 4" xfId="16150"/>
    <cellStyle name="SAPBEXsubExc2 5" xfId="16151"/>
    <cellStyle name="SAPBEXsubExc2 6" xfId="16152"/>
    <cellStyle name="SAPBEXsubExc2_Attachment A - calculations (updated)" xfId="16153"/>
    <cellStyle name="SAPBEXsubExc2Emph" xfId="16154"/>
    <cellStyle name="SAPBEXsubExc2Emph 2" xfId="16155"/>
    <cellStyle name="SAPBEXsubExc2Emph 3" xfId="16156"/>
    <cellStyle name="SAPBEXsubExc2Emph 4" xfId="16157"/>
    <cellStyle name="SAPBEXsubExc2Emph 5" xfId="16158"/>
    <cellStyle name="SAPBEXsubExc2Emph 6" xfId="16159"/>
    <cellStyle name="SAPBEXsubExc2Emph_Attachment A - calculations (updated)" xfId="16160"/>
    <cellStyle name="SAPBEXsubItem" xfId="16161"/>
    <cellStyle name="SAPBEXsubItem 2" xfId="16162"/>
    <cellStyle name="SAPBEXsubItem 3" xfId="16163"/>
    <cellStyle name="SAPBEXsubItem 4" xfId="16164"/>
    <cellStyle name="SAPBEXsubItem 5" xfId="16165"/>
    <cellStyle name="SAPBEXsubItem 6" xfId="16166"/>
    <cellStyle name="SAPBEXsubItem_Attachment A - calculations (updated)" xfId="16167"/>
    <cellStyle name="SAPBEXtitle" xfId="16168"/>
    <cellStyle name="SAPBEXtitle 2" xfId="16169"/>
    <cellStyle name="SAPBEXtitle 3" xfId="16170"/>
    <cellStyle name="SAPBEXtitle 4" xfId="16171"/>
    <cellStyle name="SAPBEXtitle 5" xfId="16172"/>
    <cellStyle name="SAPBEXtitle 6" xfId="16173"/>
    <cellStyle name="SAPBEXundefined" xfId="16174"/>
    <cellStyle name="SAPBEXundefined 2" xfId="16175"/>
    <cellStyle name="SAPBEXundefined 3" xfId="16176"/>
    <cellStyle name="SAPBEXundefined 4" xfId="16177"/>
    <cellStyle name="SAPBEXundefined 5" xfId="16178"/>
    <cellStyle name="SAPBEXundefined 6" xfId="16179"/>
    <cellStyle name="SAPBEXundefined_Attachment A - calculations (updated)" xfId="16180"/>
    <cellStyle name="Shaded" xfId="16181"/>
    <cellStyle name="Shading" xfId="16182"/>
    <cellStyle name="Sheet Title" xfId="16183"/>
    <cellStyle name="SMALL HEADINGS" xfId="16184"/>
    <cellStyle name="Style 1" xfId="3151"/>
    <cellStyle name="Style 1 10" xfId="16185"/>
    <cellStyle name="Style 1 11" xfId="16186"/>
    <cellStyle name="Style 1 2" xfId="3152"/>
    <cellStyle name="Style 1 2 2" xfId="3153"/>
    <cellStyle name="Style 1 2 2 2" xfId="16187"/>
    <cellStyle name="Style 1 2 2 3" xfId="16188"/>
    <cellStyle name="Style 1 2 2 4" xfId="16189"/>
    <cellStyle name="Style 1 2 3" xfId="16190"/>
    <cellStyle name="Style 1 2 4" xfId="16191"/>
    <cellStyle name="Style 1 2 5" xfId="16192"/>
    <cellStyle name="Style 1 2 6" xfId="16193"/>
    <cellStyle name="Style 1 2 7" xfId="16194"/>
    <cellStyle name="Style 1 2 8" xfId="16195"/>
    <cellStyle name="Style 1 2_Actual" xfId="16196"/>
    <cellStyle name="Style 1 3" xfId="3154"/>
    <cellStyle name="Style 1 3 10" xfId="16197"/>
    <cellStyle name="Style 1 3 11" xfId="16198"/>
    <cellStyle name="Style 1 3 2" xfId="3155"/>
    <cellStyle name="Style 1 3 2 2" xfId="3156"/>
    <cellStyle name="Style 1 3 3" xfId="3157"/>
    <cellStyle name="Style 1 3 3 2" xfId="3158"/>
    <cellStyle name="Style 1 3 4" xfId="3159"/>
    <cellStyle name="Style 1 3 4 2" xfId="3160"/>
    <cellStyle name="Style 1 3 5" xfId="3161"/>
    <cellStyle name="Style 1 3 5 2" xfId="3162"/>
    <cellStyle name="Style 1 3 6" xfId="3163"/>
    <cellStyle name="Style 1 3 7" xfId="16199"/>
    <cellStyle name="Style 1 3 8" xfId="16200"/>
    <cellStyle name="Style 1 3 9" xfId="16201"/>
    <cellStyle name="Style 1 4" xfId="3164"/>
    <cellStyle name="Style 1 4 2" xfId="3165"/>
    <cellStyle name="Style 1 4 2 2" xfId="16202"/>
    <cellStyle name="Style 1 4 2 3" xfId="16203"/>
    <cellStyle name="Style 1 4 2 4" xfId="16204"/>
    <cellStyle name="Style 1 4 3" xfId="16205"/>
    <cellStyle name="Style 1 4 4" xfId="16206"/>
    <cellStyle name="Style 1 4 5" xfId="16207"/>
    <cellStyle name="Style 1 4 6" xfId="16208"/>
    <cellStyle name="Style 1 4 7" xfId="16209"/>
    <cellStyle name="Style 1 4_Actual" xfId="16210"/>
    <cellStyle name="Style 1 5" xfId="3166"/>
    <cellStyle name="Style 1 5 2" xfId="3167"/>
    <cellStyle name="Style 1 6" xfId="3168"/>
    <cellStyle name="Style 1 6 2" xfId="3169"/>
    <cellStyle name="Style 1 7" xfId="3170"/>
    <cellStyle name="Style 1 7 2" xfId="3171"/>
    <cellStyle name="Style 1 8" xfId="16211"/>
    <cellStyle name="Style 1 9" xfId="16212"/>
    <cellStyle name="Style 1_Actual" xfId="16213"/>
    <cellStyle name="Style 21" xfId="16214"/>
    <cellStyle name="Style 21 10" xfId="16215"/>
    <cellStyle name="Style 21 11" xfId="16216"/>
    <cellStyle name="Style 21 12" xfId="16217"/>
    <cellStyle name="Style 21 13" xfId="16218"/>
    <cellStyle name="Style 21 14" xfId="16219"/>
    <cellStyle name="Style 21 15" xfId="16220"/>
    <cellStyle name="Style 21 16" xfId="16221"/>
    <cellStyle name="Style 21 17" xfId="16222"/>
    <cellStyle name="Style 21 18" xfId="16223"/>
    <cellStyle name="Style 21 19" xfId="16224"/>
    <cellStyle name="Style 21 2" xfId="16225"/>
    <cellStyle name="Style 21 20" xfId="16226"/>
    <cellStyle name="Style 21 21" xfId="16227"/>
    <cellStyle name="Style 21 3" xfId="16228"/>
    <cellStyle name="Style 21 4" xfId="16229"/>
    <cellStyle name="Style 21 5" xfId="16230"/>
    <cellStyle name="Style 21 6" xfId="16231"/>
    <cellStyle name="Style 21 7" xfId="16232"/>
    <cellStyle name="Style 21 8" xfId="16233"/>
    <cellStyle name="Style 21 9" xfId="16234"/>
    <cellStyle name="Style 22" xfId="16235"/>
    <cellStyle name="Style 22 10" xfId="16236"/>
    <cellStyle name="Style 22 11" xfId="16237"/>
    <cellStyle name="Style 22 12" xfId="16238"/>
    <cellStyle name="Style 22 13" xfId="16239"/>
    <cellStyle name="Style 22 14" xfId="16240"/>
    <cellStyle name="Style 22 15" xfId="16241"/>
    <cellStyle name="Style 22 16" xfId="16242"/>
    <cellStyle name="Style 22 17" xfId="16243"/>
    <cellStyle name="Style 22 18" xfId="16244"/>
    <cellStyle name="Style 22 19" xfId="16245"/>
    <cellStyle name="Style 22 2" xfId="16246"/>
    <cellStyle name="Style 22 20" xfId="16247"/>
    <cellStyle name="Style 22 21" xfId="16248"/>
    <cellStyle name="Style 22 3" xfId="16249"/>
    <cellStyle name="Style 22 4" xfId="16250"/>
    <cellStyle name="Style 22 5" xfId="16251"/>
    <cellStyle name="Style 22 6" xfId="16252"/>
    <cellStyle name="Style 22 7" xfId="16253"/>
    <cellStyle name="Style 22 8" xfId="16254"/>
    <cellStyle name="Style 22 9" xfId="16255"/>
    <cellStyle name="Style 23" xfId="16256"/>
    <cellStyle name="Style 23 10" xfId="16257"/>
    <cellStyle name="Style 23 11" xfId="16258"/>
    <cellStyle name="Style 23 12" xfId="16259"/>
    <cellStyle name="Style 23 13" xfId="16260"/>
    <cellStyle name="Style 23 14" xfId="16261"/>
    <cellStyle name="Style 23 15" xfId="16262"/>
    <cellStyle name="Style 23 16" xfId="16263"/>
    <cellStyle name="Style 23 17" xfId="16264"/>
    <cellStyle name="Style 23 18" xfId="16265"/>
    <cellStyle name="Style 23 19" xfId="16266"/>
    <cellStyle name="Style 23 2" xfId="16267"/>
    <cellStyle name="Style 23 20" xfId="16268"/>
    <cellStyle name="Style 23 21" xfId="16269"/>
    <cellStyle name="Style 23 22" xfId="16270"/>
    <cellStyle name="Style 23 23" xfId="16271"/>
    <cellStyle name="Style 23 24" xfId="16272"/>
    <cellStyle name="Style 23 25" xfId="16273"/>
    <cellStyle name="Style 23 26" xfId="16274"/>
    <cellStyle name="Style 23 27" xfId="16275"/>
    <cellStyle name="Style 23 28" xfId="16276"/>
    <cellStyle name="Style 23 29" xfId="16277"/>
    <cellStyle name="Style 23 3" xfId="16278"/>
    <cellStyle name="Style 23 30" xfId="16279"/>
    <cellStyle name="Style 23 4" xfId="16280"/>
    <cellStyle name="Style 23 5" xfId="16281"/>
    <cellStyle name="Style 23 6" xfId="16282"/>
    <cellStyle name="Style 23 7" xfId="16283"/>
    <cellStyle name="Style 23 8" xfId="16284"/>
    <cellStyle name="Style 23 9" xfId="16285"/>
    <cellStyle name="Style 24" xfId="16286"/>
    <cellStyle name="Style 24 10" xfId="16287"/>
    <cellStyle name="Style 24 11" xfId="16288"/>
    <cellStyle name="Style 24 12" xfId="16289"/>
    <cellStyle name="Style 24 13" xfId="16290"/>
    <cellStyle name="Style 24 14" xfId="16291"/>
    <cellStyle name="Style 24 15" xfId="16292"/>
    <cellStyle name="Style 24 16" xfId="16293"/>
    <cellStyle name="Style 24 17" xfId="16294"/>
    <cellStyle name="Style 24 18" xfId="16295"/>
    <cellStyle name="Style 24 19" xfId="16296"/>
    <cellStyle name="Style 24 2" xfId="16297"/>
    <cellStyle name="Style 24 20" xfId="16298"/>
    <cellStyle name="Style 24 21" xfId="16299"/>
    <cellStyle name="Style 24 22" xfId="16300"/>
    <cellStyle name="Style 24 23" xfId="16301"/>
    <cellStyle name="Style 24 24" xfId="16302"/>
    <cellStyle name="Style 24 25" xfId="16303"/>
    <cellStyle name="Style 24 26" xfId="16304"/>
    <cellStyle name="Style 24 27" xfId="16305"/>
    <cellStyle name="Style 24 28" xfId="16306"/>
    <cellStyle name="Style 24 29" xfId="16307"/>
    <cellStyle name="Style 24 3" xfId="16308"/>
    <cellStyle name="Style 24 30" xfId="16309"/>
    <cellStyle name="Style 24 4" xfId="16310"/>
    <cellStyle name="Style 24 5" xfId="16311"/>
    <cellStyle name="Style 24 6" xfId="16312"/>
    <cellStyle name="Style 24 7" xfId="16313"/>
    <cellStyle name="Style 24 8" xfId="16314"/>
    <cellStyle name="Style 24 9" xfId="16315"/>
    <cellStyle name="Style 25" xfId="16316"/>
    <cellStyle name="Style 25 10" xfId="16317"/>
    <cellStyle name="Style 25 11" xfId="16318"/>
    <cellStyle name="Style 25 12" xfId="16319"/>
    <cellStyle name="Style 25 13" xfId="16320"/>
    <cellStyle name="Style 25 14" xfId="16321"/>
    <cellStyle name="Style 25 15" xfId="16322"/>
    <cellStyle name="Style 25 16" xfId="16323"/>
    <cellStyle name="Style 25 17" xfId="16324"/>
    <cellStyle name="Style 25 18" xfId="16325"/>
    <cellStyle name="Style 25 19" xfId="16326"/>
    <cellStyle name="Style 25 2" xfId="16327"/>
    <cellStyle name="Style 25 20" xfId="16328"/>
    <cellStyle name="Style 25 21" xfId="16329"/>
    <cellStyle name="Style 25 22" xfId="16330"/>
    <cellStyle name="Style 25 23" xfId="16331"/>
    <cellStyle name="Style 25 24" xfId="16332"/>
    <cellStyle name="Style 25 25" xfId="16333"/>
    <cellStyle name="Style 25 26" xfId="16334"/>
    <cellStyle name="Style 25 27" xfId="16335"/>
    <cellStyle name="Style 25 28" xfId="16336"/>
    <cellStyle name="Style 25 29" xfId="16337"/>
    <cellStyle name="Style 25 3" xfId="16338"/>
    <cellStyle name="Style 25 30" xfId="16339"/>
    <cellStyle name="Style 25 4" xfId="16340"/>
    <cellStyle name="Style 25 5" xfId="16341"/>
    <cellStyle name="Style 25 6" xfId="16342"/>
    <cellStyle name="Style 25 7" xfId="16343"/>
    <cellStyle name="Style 25 8" xfId="16344"/>
    <cellStyle name="Style 25 9" xfId="16345"/>
    <cellStyle name="Style 26" xfId="16346"/>
    <cellStyle name="Style 26 10" xfId="16347"/>
    <cellStyle name="Style 26 11" xfId="16348"/>
    <cellStyle name="Style 26 12" xfId="16349"/>
    <cellStyle name="Style 26 13" xfId="16350"/>
    <cellStyle name="Style 26 14" xfId="16351"/>
    <cellStyle name="Style 26 15" xfId="16352"/>
    <cellStyle name="Style 26 16" xfId="16353"/>
    <cellStyle name="Style 26 17" xfId="16354"/>
    <cellStyle name="Style 26 18" xfId="16355"/>
    <cellStyle name="Style 26 19" xfId="16356"/>
    <cellStyle name="Style 26 2" xfId="16357"/>
    <cellStyle name="Style 26 20" xfId="16358"/>
    <cellStyle name="Style 26 21" xfId="16359"/>
    <cellStyle name="Style 26 22" xfId="16360"/>
    <cellStyle name="Style 26 23" xfId="16361"/>
    <cellStyle name="Style 26 24" xfId="16362"/>
    <cellStyle name="Style 26 25" xfId="16363"/>
    <cellStyle name="Style 26 26" xfId="16364"/>
    <cellStyle name="Style 26 27" xfId="16365"/>
    <cellStyle name="Style 26 28" xfId="16366"/>
    <cellStyle name="Style 26 29" xfId="16367"/>
    <cellStyle name="Style 26 3" xfId="16368"/>
    <cellStyle name="Style 26 30" xfId="16369"/>
    <cellStyle name="Style 26 4" xfId="16370"/>
    <cellStyle name="Style 26 5" xfId="16371"/>
    <cellStyle name="Style 26 6" xfId="16372"/>
    <cellStyle name="Style 26 7" xfId="16373"/>
    <cellStyle name="Style 26 8" xfId="16374"/>
    <cellStyle name="Style 26 9" xfId="16375"/>
    <cellStyle name="Style 27" xfId="16376"/>
    <cellStyle name="Style 27 10" xfId="16377"/>
    <cellStyle name="Style 27 11" xfId="16378"/>
    <cellStyle name="Style 27 12" xfId="16379"/>
    <cellStyle name="Style 27 13" xfId="16380"/>
    <cellStyle name="Style 27 14" xfId="16381"/>
    <cellStyle name="Style 27 15" xfId="16382"/>
    <cellStyle name="Style 27 16" xfId="16383"/>
    <cellStyle name="Style 27 17" xfId="16384"/>
    <cellStyle name="Style 27 18" xfId="16385"/>
    <cellStyle name="Style 27 19" xfId="16386"/>
    <cellStyle name="Style 27 2" xfId="16387"/>
    <cellStyle name="Style 27 20" xfId="16388"/>
    <cellStyle name="Style 27 21" xfId="16389"/>
    <cellStyle name="Style 27 22" xfId="16390"/>
    <cellStyle name="Style 27 23" xfId="16391"/>
    <cellStyle name="Style 27 24" xfId="16392"/>
    <cellStyle name="Style 27 25" xfId="16393"/>
    <cellStyle name="Style 27 26" xfId="16394"/>
    <cellStyle name="Style 27 27" xfId="16395"/>
    <cellStyle name="Style 27 28" xfId="16396"/>
    <cellStyle name="Style 27 29" xfId="16397"/>
    <cellStyle name="Style 27 3" xfId="16398"/>
    <cellStyle name="Style 27 30" xfId="16399"/>
    <cellStyle name="Style 27 4" xfId="16400"/>
    <cellStyle name="Style 27 5" xfId="16401"/>
    <cellStyle name="Style 27 6" xfId="16402"/>
    <cellStyle name="Style 27 7" xfId="16403"/>
    <cellStyle name="Style 27 8" xfId="16404"/>
    <cellStyle name="Style 27 9" xfId="16405"/>
    <cellStyle name="Style 28" xfId="16406"/>
    <cellStyle name="Style 28 10" xfId="16407"/>
    <cellStyle name="Style 28 11" xfId="16408"/>
    <cellStyle name="Style 28 12" xfId="16409"/>
    <cellStyle name="Style 28 13" xfId="16410"/>
    <cellStyle name="Style 28 14" xfId="16411"/>
    <cellStyle name="Style 28 15" xfId="16412"/>
    <cellStyle name="Style 28 16" xfId="16413"/>
    <cellStyle name="Style 28 17" xfId="16414"/>
    <cellStyle name="Style 28 18" xfId="16415"/>
    <cellStyle name="Style 28 19" xfId="16416"/>
    <cellStyle name="Style 28 2" xfId="16417"/>
    <cellStyle name="Style 28 20" xfId="16418"/>
    <cellStyle name="Style 28 21" xfId="16419"/>
    <cellStyle name="Style 28 3" xfId="16420"/>
    <cellStyle name="Style 28 4" xfId="16421"/>
    <cellStyle name="Style 28 5" xfId="16422"/>
    <cellStyle name="Style 28 6" xfId="16423"/>
    <cellStyle name="Style 28 7" xfId="16424"/>
    <cellStyle name="Style 28 8" xfId="16425"/>
    <cellStyle name="Style 28 9" xfId="16426"/>
    <cellStyle name="Style 29" xfId="16427"/>
    <cellStyle name="Style 29 10" xfId="16428"/>
    <cellStyle name="Style 29 11" xfId="16429"/>
    <cellStyle name="Style 29 12" xfId="16430"/>
    <cellStyle name="Style 29 13" xfId="16431"/>
    <cellStyle name="Style 29 14" xfId="16432"/>
    <cellStyle name="Style 29 15" xfId="16433"/>
    <cellStyle name="Style 29 16" xfId="16434"/>
    <cellStyle name="Style 29 17" xfId="16435"/>
    <cellStyle name="Style 29 18" xfId="16436"/>
    <cellStyle name="Style 29 19" xfId="16437"/>
    <cellStyle name="Style 29 2" xfId="16438"/>
    <cellStyle name="Style 29 20" xfId="16439"/>
    <cellStyle name="Style 29 21" xfId="16440"/>
    <cellStyle name="Style 29 22" xfId="16441"/>
    <cellStyle name="Style 29 23" xfId="16442"/>
    <cellStyle name="Style 29 24" xfId="16443"/>
    <cellStyle name="Style 29 25" xfId="16444"/>
    <cellStyle name="Style 29 26" xfId="16445"/>
    <cellStyle name="Style 29 27" xfId="16446"/>
    <cellStyle name="Style 29 28" xfId="16447"/>
    <cellStyle name="Style 29 29" xfId="16448"/>
    <cellStyle name="Style 29 3" xfId="16449"/>
    <cellStyle name="Style 29 30" xfId="16450"/>
    <cellStyle name="Style 29 4" xfId="16451"/>
    <cellStyle name="Style 29 5" xfId="16452"/>
    <cellStyle name="Style 29 6" xfId="16453"/>
    <cellStyle name="Style 29 7" xfId="16454"/>
    <cellStyle name="Style 29 8" xfId="16455"/>
    <cellStyle name="Style 29 9" xfId="16456"/>
    <cellStyle name="Style 30" xfId="16457"/>
    <cellStyle name="Style 30 10" xfId="16458"/>
    <cellStyle name="Style 30 11" xfId="16459"/>
    <cellStyle name="Style 30 12" xfId="16460"/>
    <cellStyle name="Style 30 13" xfId="16461"/>
    <cellStyle name="Style 30 14" xfId="16462"/>
    <cellStyle name="Style 30 15" xfId="16463"/>
    <cellStyle name="Style 30 16" xfId="16464"/>
    <cellStyle name="Style 30 17" xfId="16465"/>
    <cellStyle name="Style 30 18" xfId="16466"/>
    <cellStyle name="Style 30 19" xfId="16467"/>
    <cellStyle name="Style 30 2" xfId="16468"/>
    <cellStyle name="Style 30 20" xfId="16469"/>
    <cellStyle name="Style 30 21" xfId="16470"/>
    <cellStyle name="Style 30 22" xfId="16471"/>
    <cellStyle name="Style 30 23" xfId="16472"/>
    <cellStyle name="Style 30 24" xfId="16473"/>
    <cellStyle name="Style 30 25" xfId="16474"/>
    <cellStyle name="Style 30 26" xfId="16475"/>
    <cellStyle name="Style 30 27" xfId="16476"/>
    <cellStyle name="Style 30 28" xfId="16477"/>
    <cellStyle name="Style 30 29" xfId="16478"/>
    <cellStyle name="Style 30 3" xfId="16479"/>
    <cellStyle name="Style 30 30" xfId="16480"/>
    <cellStyle name="Style 30 4" xfId="16481"/>
    <cellStyle name="Style 30 5" xfId="16482"/>
    <cellStyle name="Style 30 6" xfId="16483"/>
    <cellStyle name="Style 30 7" xfId="16484"/>
    <cellStyle name="Style 30 8" xfId="16485"/>
    <cellStyle name="Style 30 9" xfId="16486"/>
    <cellStyle name="Style 31" xfId="16487"/>
    <cellStyle name="Style 31 10" xfId="16488"/>
    <cellStyle name="Style 31 11" xfId="16489"/>
    <cellStyle name="Style 31 12" xfId="16490"/>
    <cellStyle name="Style 31 13" xfId="16491"/>
    <cellStyle name="Style 31 14" xfId="16492"/>
    <cellStyle name="Style 31 15" xfId="16493"/>
    <cellStyle name="Style 31 16" xfId="16494"/>
    <cellStyle name="Style 31 17" xfId="16495"/>
    <cellStyle name="Style 31 18" xfId="16496"/>
    <cellStyle name="Style 31 19" xfId="16497"/>
    <cellStyle name="Style 31 2" xfId="16498"/>
    <cellStyle name="Style 31 20" xfId="16499"/>
    <cellStyle name="Style 31 21" xfId="16500"/>
    <cellStyle name="Style 31 22" xfId="16501"/>
    <cellStyle name="Style 31 23" xfId="16502"/>
    <cellStyle name="Style 31 24" xfId="16503"/>
    <cellStyle name="Style 31 25" xfId="16504"/>
    <cellStyle name="Style 31 26" xfId="16505"/>
    <cellStyle name="Style 31 27" xfId="16506"/>
    <cellStyle name="Style 31 28" xfId="16507"/>
    <cellStyle name="Style 31 29" xfId="16508"/>
    <cellStyle name="Style 31 3" xfId="16509"/>
    <cellStyle name="Style 31 30" xfId="16510"/>
    <cellStyle name="Style 31 4" xfId="16511"/>
    <cellStyle name="Style 31 5" xfId="16512"/>
    <cellStyle name="Style 31 6" xfId="16513"/>
    <cellStyle name="Style 31 7" xfId="16514"/>
    <cellStyle name="Style 31 8" xfId="16515"/>
    <cellStyle name="Style 31 9" xfId="16516"/>
    <cellStyle name="Style 32" xfId="16517"/>
    <cellStyle name="Style 32 10" xfId="16518"/>
    <cellStyle name="Style 32 11" xfId="16519"/>
    <cellStyle name="Style 32 12" xfId="16520"/>
    <cellStyle name="Style 32 13" xfId="16521"/>
    <cellStyle name="Style 32 14" xfId="16522"/>
    <cellStyle name="Style 32 15" xfId="16523"/>
    <cellStyle name="Style 32 16" xfId="16524"/>
    <cellStyle name="Style 32 17" xfId="16525"/>
    <cellStyle name="Style 32 18" xfId="16526"/>
    <cellStyle name="Style 32 19" xfId="16527"/>
    <cellStyle name="Style 32 2" xfId="16528"/>
    <cellStyle name="Style 32 20" xfId="16529"/>
    <cellStyle name="Style 32 21" xfId="16530"/>
    <cellStyle name="Style 32 3" xfId="16531"/>
    <cellStyle name="Style 32 4" xfId="16532"/>
    <cellStyle name="Style 32 5" xfId="16533"/>
    <cellStyle name="Style 32 6" xfId="16534"/>
    <cellStyle name="Style 32 7" xfId="16535"/>
    <cellStyle name="Style 32 8" xfId="16536"/>
    <cellStyle name="Style 32 9" xfId="16537"/>
    <cellStyle name="Style 33" xfId="16538"/>
    <cellStyle name="Style 33 10" xfId="16539"/>
    <cellStyle name="Style 33 11" xfId="16540"/>
    <cellStyle name="Style 33 12" xfId="16541"/>
    <cellStyle name="Style 33 13" xfId="16542"/>
    <cellStyle name="Style 33 14" xfId="16543"/>
    <cellStyle name="Style 33 15" xfId="16544"/>
    <cellStyle name="Style 33 16" xfId="16545"/>
    <cellStyle name="Style 33 17" xfId="16546"/>
    <cellStyle name="Style 33 18" xfId="16547"/>
    <cellStyle name="Style 33 19" xfId="16548"/>
    <cellStyle name="Style 33 2" xfId="16549"/>
    <cellStyle name="Style 33 20" xfId="16550"/>
    <cellStyle name="Style 33 21" xfId="16551"/>
    <cellStyle name="Style 33 22" xfId="16552"/>
    <cellStyle name="Style 33 23" xfId="16553"/>
    <cellStyle name="Style 33 24" xfId="16554"/>
    <cellStyle name="Style 33 25" xfId="16555"/>
    <cellStyle name="Style 33 26" xfId="16556"/>
    <cellStyle name="Style 33 27" xfId="16557"/>
    <cellStyle name="Style 33 28" xfId="16558"/>
    <cellStyle name="Style 33 29" xfId="16559"/>
    <cellStyle name="Style 33 3" xfId="16560"/>
    <cellStyle name="Style 33 30" xfId="16561"/>
    <cellStyle name="Style 33 4" xfId="16562"/>
    <cellStyle name="Style 33 5" xfId="16563"/>
    <cellStyle name="Style 33 6" xfId="16564"/>
    <cellStyle name="Style 33 7" xfId="16565"/>
    <cellStyle name="Style 33 8" xfId="16566"/>
    <cellStyle name="Style 33 9" xfId="16567"/>
    <cellStyle name="Style 34" xfId="16568"/>
    <cellStyle name="Style 34 10" xfId="16569"/>
    <cellStyle name="Style 34 11" xfId="16570"/>
    <cellStyle name="Style 34 12" xfId="16571"/>
    <cellStyle name="Style 34 13" xfId="16572"/>
    <cellStyle name="Style 34 14" xfId="16573"/>
    <cellStyle name="Style 34 15" xfId="16574"/>
    <cellStyle name="Style 34 16" xfId="16575"/>
    <cellStyle name="Style 34 17" xfId="16576"/>
    <cellStyle name="Style 34 18" xfId="16577"/>
    <cellStyle name="Style 34 19" xfId="16578"/>
    <cellStyle name="Style 34 2" xfId="16579"/>
    <cellStyle name="Style 34 20" xfId="16580"/>
    <cellStyle name="Style 34 21" xfId="16581"/>
    <cellStyle name="Style 34 22" xfId="16582"/>
    <cellStyle name="Style 34 23" xfId="16583"/>
    <cellStyle name="Style 34 24" xfId="16584"/>
    <cellStyle name="Style 34 25" xfId="16585"/>
    <cellStyle name="Style 34 26" xfId="16586"/>
    <cellStyle name="Style 34 27" xfId="16587"/>
    <cellStyle name="Style 34 28" xfId="16588"/>
    <cellStyle name="Style 34 29" xfId="16589"/>
    <cellStyle name="Style 34 3" xfId="16590"/>
    <cellStyle name="Style 34 30" xfId="16591"/>
    <cellStyle name="Style 34 4" xfId="16592"/>
    <cellStyle name="Style 34 5" xfId="16593"/>
    <cellStyle name="Style 34 6" xfId="16594"/>
    <cellStyle name="Style 34 7" xfId="16595"/>
    <cellStyle name="Style 34 8" xfId="16596"/>
    <cellStyle name="Style 34 9" xfId="16597"/>
    <cellStyle name="Style 35" xfId="16598"/>
    <cellStyle name="Style 35 10" xfId="16599"/>
    <cellStyle name="Style 35 11" xfId="16600"/>
    <cellStyle name="Style 35 12" xfId="16601"/>
    <cellStyle name="Style 35 13" xfId="16602"/>
    <cellStyle name="Style 35 14" xfId="16603"/>
    <cellStyle name="Style 35 15" xfId="16604"/>
    <cellStyle name="Style 35 16" xfId="16605"/>
    <cellStyle name="Style 35 17" xfId="16606"/>
    <cellStyle name="Style 35 18" xfId="16607"/>
    <cellStyle name="Style 35 19" xfId="16608"/>
    <cellStyle name="Style 35 2" xfId="16609"/>
    <cellStyle name="Style 35 20" xfId="16610"/>
    <cellStyle name="Style 35 21" xfId="16611"/>
    <cellStyle name="Style 35 22" xfId="16612"/>
    <cellStyle name="Style 35 23" xfId="16613"/>
    <cellStyle name="Style 35 24" xfId="16614"/>
    <cellStyle name="Style 35 25" xfId="16615"/>
    <cellStyle name="Style 35 26" xfId="16616"/>
    <cellStyle name="Style 35 27" xfId="16617"/>
    <cellStyle name="Style 35 28" xfId="16618"/>
    <cellStyle name="Style 35 29" xfId="16619"/>
    <cellStyle name="Style 35 3" xfId="16620"/>
    <cellStyle name="Style 35 30" xfId="16621"/>
    <cellStyle name="Style 35 4" xfId="16622"/>
    <cellStyle name="Style 35 5" xfId="16623"/>
    <cellStyle name="Style 35 6" xfId="16624"/>
    <cellStyle name="Style 35 7" xfId="16625"/>
    <cellStyle name="Style 35 8" xfId="16626"/>
    <cellStyle name="Style 35 9" xfId="16627"/>
    <cellStyle name="Style 36" xfId="16628"/>
    <cellStyle name="Style 36 10" xfId="16629"/>
    <cellStyle name="Style 36 11" xfId="16630"/>
    <cellStyle name="Style 36 12" xfId="16631"/>
    <cellStyle name="Style 36 13" xfId="16632"/>
    <cellStyle name="Style 36 14" xfId="16633"/>
    <cellStyle name="Style 36 15" xfId="16634"/>
    <cellStyle name="Style 36 16" xfId="16635"/>
    <cellStyle name="Style 36 17" xfId="16636"/>
    <cellStyle name="Style 36 18" xfId="16637"/>
    <cellStyle name="Style 36 19" xfId="16638"/>
    <cellStyle name="Style 36 2" xfId="16639"/>
    <cellStyle name="Style 36 20" xfId="16640"/>
    <cellStyle name="Style 36 21" xfId="16641"/>
    <cellStyle name="Style 36 22" xfId="16642"/>
    <cellStyle name="Style 36 23" xfId="16643"/>
    <cellStyle name="Style 36 24" xfId="16644"/>
    <cellStyle name="Style 36 25" xfId="16645"/>
    <cellStyle name="Style 36 26" xfId="16646"/>
    <cellStyle name="Style 36 27" xfId="16647"/>
    <cellStyle name="Style 36 28" xfId="16648"/>
    <cellStyle name="Style 36 29" xfId="16649"/>
    <cellStyle name="Style 36 3" xfId="16650"/>
    <cellStyle name="Style 36 30" xfId="16651"/>
    <cellStyle name="Style 36 4" xfId="16652"/>
    <cellStyle name="Style 36 5" xfId="16653"/>
    <cellStyle name="Style 36 6" xfId="16654"/>
    <cellStyle name="Style 36 7" xfId="16655"/>
    <cellStyle name="Style 36 8" xfId="16656"/>
    <cellStyle name="Style 36 9" xfId="16657"/>
    <cellStyle name="Style 39" xfId="16658"/>
    <cellStyle name="Style 39 10" xfId="16659"/>
    <cellStyle name="Style 39 11" xfId="16660"/>
    <cellStyle name="Style 39 12" xfId="16661"/>
    <cellStyle name="Style 39 13" xfId="16662"/>
    <cellStyle name="Style 39 14" xfId="16663"/>
    <cellStyle name="Style 39 15" xfId="16664"/>
    <cellStyle name="Style 39 16" xfId="16665"/>
    <cellStyle name="Style 39 17" xfId="16666"/>
    <cellStyle name="Style 39 18" xfId="16667"/>
    <cellStyle name="Style 39 19" xfId="16668"/>
    <cellStyle name="Style 39 2" xfId="16669"/>
    <cellStyle name="Style 39 20" xfId="16670"/>
    <cellStyle name="Style 39 21" xfId="16671"/>
    <cellStyle name="Style 39 22" xfId="16672"/>
    <cellStyle name="Style 39 23" xfId="16673"/>
    <cellStyle name="Style 39 24" xfId="16674"/>
    <cellStyle name="Style 39 25" xfId="16675"/>
    <cellStyle name="Style 39 26" xfId="16676"/>
    <cellStyle name="Style 39 27" xfId="16677"/>
    <cellStyle name="Style 39 28" xfId="16678"/>
    <cellStyle name="Style 39 29" xfId="16679"/>
    <cellStyle name="Style 39 3" xfId="16680"/>
    <cellStyle name="Style 39 30" xfId="16681"/>
    <cellStyle name="Style 39 4" xfId="16682"/>
    <cellStyle name="Style 39 5" xfId="16683"/>
    <cellStyle name="Style 39 6" xfId="16684"/>
    <cellStyle name="Style 39 7" xfId="16685"/>
    <cellStyle name="Style 39 8" xfId="16686"/>
    <cellStyle name="Style 39 9" xfId="16687"/>
    <cellStyle name="SUB HEADING" xfId="16688"/>
    <cellStyle name="subhead" xfId="16689"/>
    <cellStyle name="Subtitle" xfId="16690"/>
    <cellStyle name="Table Col Head" xfId="16691"/>
    <cellStyle name="Table Head" xfId="16692"/>
    <cellStyle name="Table Head Aligned" xfId="16693"/>
    <cellStyle name="Table Head Blue" xfId="16694"/>
    <cellStyle name="Table Head Green" xfId="16695"/>
    <cellStyle name="Table Sub Head" xfId="16696"/>
    <cellStyle name="Table Title" xfId="16697"/>
    <cellStyle name="Table Units" xfId="16698"/>
    <cellStyle name="Text" xfId="16699"/>
    <cellStyle name="Theirs" xfId="16700"/>
    <cellStyle name="Times New Roman" xfId="16701"/>
    <cellStyle name="Title 10" xfId="16702"/>
    <cellStyle name="Title 11" xfId="16703"/>
    <cellStyle name="Title 2" xfId="3172"/>
    <cellStyle name="Title 2 2" xfId="16704"/>
    <cellStyle name="Title 2 2 2" xfId="16705"/>
    <cellStyle name="Title 2 3" xfId="16706"/>
    <cellStyle name="Title 2 4" xfId="16707"/>
    <cellStyle name="Title 2 5" xfId="16708"/>
    <cellStyle name="Title 2 6" xfId="16709"/>
    <cellStyle name="Title 3" xfId="3173"/>
    <cellStyle name="Title 3 2" xfId="16710"/>
    <cellStyle name="Title 3 2 2" xfId="16711"/>
    <cellStyle name="Title 3 3" xfId="16712"/>
    <cellStyle name="Title 3 4" xfId="16713"/>
    <cellStyle name="Title 4" xfId="3221"/>
    <cellStyle name="Title 4 2" xfId="16714"/>
    <cellStyle name="Title 5" xfId="16715"/>
    <cellStyle name="Title 5 2" xfId="16716"/>
    <cellStyle name="Title 6" xfId="16717"/>
    <cellStyle name="Title 6 2" xfId="16718"/>
    <cellStyle name="Title 7" xfId="16719"/>
    <cellStyle name="Title 8" xfId="16720"/>
    <cellStyle name="Title 9" xfId="16721"/>
    <cellStyle name="Total 10" xfId="16722"/>
    <cellStyle name="Total 10 2" xfId="16723"/>
    <cellStyle name="Total 11" xfId="16724"/>
    <cellStyle name="Total 11 2" xfId="16725"/>
    <cellStyle name="Total 12" xfId="16726"/>
    <cellStyle name="Total 12 2" xfId="16727"/>
    <cellStyle name="Total 13" xfId="16728"/>
    <cellStyle name="Total 13 2" xfId="16729"/>
    <cellStyle name="Total 14" xfId="16730"/>
    <cellStyle name="Total 14 2" xfId="16731"/>
    <cellStyle name="Total 15" xfId="16732"/>
    <cellStyle name="Total 16" xfId="16733"/>
    <cellStyle name="Total 16 2" xfId="16734"/>
    <cellStyle name="Total 16 3" xfId="16735"/>
    <cellStyle name="Total 17" xfId="16736"/>
    <cellStyle name="Total 18" xfId="16737"/>
    <cellStyle name="Total 2" xfId="3174"/>
    <cellStyle name="Total 2 10" xfId="16738"/>
    <cellStyle name="Total 2 10 2" xfId="16739"/>
    <cellStyle name="Total 2 11" xfId="16740"/>
    <cellStyle name="Total 2 12" xfId="16741"/>
    <cellStyle name="Total 2 13" xfId="16742"/>
    <cellStyle name="Total 2 14" xfId="16743"/>
    <cellStyle name="Total 2 15" xfId="16744"/>
    <cellStyle name="Total 2 16" xfId="16745"/>
    <cellStyle name="Total 2 17" xfId="16746"/>
    <cellStyle name="Total 2 2" xfId="16747"/>
    <cellStyle name="Total 2 2 2" xfId="16748"/>
    <cellStyle name="Total 2 2 2 2" xfId="16749"/>
    <cellStyle name="Total 2 2 3" xfId="16750"/>
    <cellStyle name="Total 2 2_Actual" xfId="16751"/>
    <cellStyle name="Total 2 3" xfId="16752"/>
    <cellStyle name="Total 2 3 2" xfId="16753"/>
    <cellStyle name="Total 2 4" xfId="16754"/>
    <cellStyle name="Total 2 4 2" xfId="16755"/>
    <cellStyle name="Total 2 4 2 2" xfId="16756"/>
    <cellStyle name="Total 2 4 3" xfId="16757"/>
    <cellStyle name="Total 2 4_Actual" xfId="16758"/>
    <cellStyle name="Total 2 5" xfId="16759"/>
    <cellStyle name="Total 2 6" xfId="16760"/>
    <cellStyle name="Total 2 7" xfId="16761"/>
    <cellStyle name="Total 2 7 2" xfId="16762"/>
    <cellStyle name="Total 2 8" xfId="16763"/>
    <cellStyle name="Total 2 8 2" xfId="16764"/>
    <cellStyle name="Total 2 9" xfId="16765"/>
    <cellStyle name="Total 2 9 2" xfId="16766"/>
    <cellStyle name="Total 2_Actual" xfId="16767"/>
    <cellStyle name="Total 3" xfId="3175"/>
    <cellStyle name="Total 3 2" xfId="16768"/>
    <cellStyle name="Total 3 3" xfId="16769"/>
    <cellStyle name="Total 3 4" xfId="16770"/>
    <cellStyle name="Total 3 4 2" xfId="16771"/>
    <cellStyle name="Total 3 5" xfId="16772"/>
    <cellStyle name="Total 3 5 2" xfId="16773"/>
    <cellStyle name="Total 3 6" xfId="16774"/>
    <cellStyle name="Total 3 7" xfId="16775"/>
    <cellStyle name="Total 4" xfId="3222"/>
    <cellStyle name="Total 4 2" xfId="16776"/>
    <cellStyle name="Total 4 2 2" xfId="16777"/>
    <cellStyle name="Total 4 3" xfId="16778"/>
    <cellStyle name="Total 4_Actual" xfId="16779"/>
    <cellStyle name="Total 5" xfId="16780"/>
    <cellStyle name="Total 5 2" xfId="16781"/>
    <cellStyle name="Total 5 2 2" xfId="16782"/>
    <cellStyle name="Total 5 3" xfId="16783"/>
    <cellStyle name="Total 5_Actual" xfId="16784"/>
    <cellStyle name="Total 6" xfId="16785"/>
    <cellStyle name="Total 6 2" xfId="16786"/>
    <cellStyle name="Total 6 3" xfId="16787"/>
    <cellStyle name="Total 7" xfId="16788"/>
    <cellStyle name="Total 7 2" xfId="16789"/>
    <cellStyle name="Total 7 3" xfId="16790"/>
    <cellStyle name="Total 8" xfId="16791"/>
    <cellStyle name="Total 8 2" xfId="16792"/>
    <cellStyle name="Total 9" xfId="16793"/>
    <cellStyle name="ubordinated Debt" xfId="16794"/>
    <cellStyle name="underline" xfId="16795"/>
    <cellStyle name="UNITS" xfId="16796"/>
    <cellStyle name="Unprot" xfId="3176"/>
    <cellStyle name="Unprot 2" xfId="16797"/>
    <cellStyle name="Unprot 3" xfId="16798"/>
    <cellStyle name="Unprot 4" xfId="16799"/>
    <cellStyle name="Unprot$" xfId="3177"/>
    <cellStyle name="Unprot$ 10" xfId="16800"/>
    <cellStyle name="Unprot$ 11" xfId="16801"/>
    <cellStyle name="Unprot$ 12" xfId="16802"/>
    <cellStyle name="Unprot$ 13" xfId="16803"/>
    <cellStyle name="Unprot$ 14" xfId="16804"/>
    <cellStyle name="Unprot$ 15" xfId="16805"/>
    <cellStyle name="Unprot$ 16" xfId="16806"/>
    <cellStyle name="Unprot$ 17" xfId="16807"/>
    <cellStyle name="Unprot$ 18" xfId="16808"/>
    <cellStyle name="Unprot$ 19" xfId="16809"/>
    <cellStyle name="Unprot$ 2" xfId="16810"/>
    <cellStyle name="Unprot$ 2 2" xfId="16811"/>
    <cellStyle name="Unprot$ 2 3" xfId="16812"/>
    <cellStyle name="Unprot$ 2 4" xfId="16813"/>
    <cellStyle name="Unprot$ 2_Actual" xfId="16814"/>
    <cellStyle name="Unprot$ 20" xfId="16815"/>
    <cellStyle name="Unprot$ 21" xfId="16816"/>
    <cellStyle name="Unprot$ 22" xfId="16817"/>
    <cellStyle name="Unprot$ 23" xfId="16818"/>
    <cellStyle name="Unprot$ 24" xfId="16819"/>
    <cellStyle name="Unprot$ 25" xfId="16820"/>
    <cellStyle name="Unprot$ 26" xfId="16821"/>
    <cellStyle name="Unprot$ 27" xfId="16822"/>
    <cellStyle name="Unprot$ 28" xfId="16823"/>
    <cellStyle name="Unprot$ 29" xfId="16824"/>
    <cellStyle name="Unprot$ 3" xfId="16825"/>
    <cellStyle name="Unprot$ 3 2" xfId="16826"/>
    <cellStyle name="Unprot$ 3 3" xfId="16827"/>
    <cellStyle name="Unprot$ 3 4" xfId="16828"/>
    <cellStyle name="Unprot$ 30" xfId="16829"/>
    <cellStyle name="Unprot$ 4" xfId="16830"/>
    <cellStyle name="Unprot$ 4 2" xfId="16831"/>
    <cellStyle name="Unprot$ 4 3" xfId="16832"/>
    <cellStyle name="Unprot$ 4 4" xfId="16833"/>
    <cellStyle name="Unprot$ 4_Actual" xfId="16834"/>
    <cellStyle name="Unprot$ 5" xfId="16835"/>
    <cellStyle name="Unprot$ 5 2" xfId="16836"/>
    <cellStyle name="Unprot$ 5 3" xfId="16837"/>
    <cellStyle name="Unprot$ 5 4" xfId="16838"/>
    <cellStyle name="Unprot$ 6" xfId="16839"/>
    <cellStyle name="Unprot$ 6 2" xfId="16840"/>
    <cellStyle name="Unprot$ 6 3" xfId="16841"/>
    <cellStyle name="Unprot$ 6 4" xfId="16842"/>
    <cellStyle name="Unprot$ 7" xfId="16843"/>
    <cellStyle name="Unprot$ 7 2" xfId="16844"/>
    <cellStyle name="Unprot$ 7 3" xfId="16845"/>
    <cellStyle name="Unprot$ 7 4" xfId="16846"/>
    <cellStyle name="Unprot$ 8" xfId="16847"/>
    <cellStyle name="Unprot$ 8 2" xfId="16848"/>
    <cellStyle name="Unprot$ 8 3" xfId="16849"/>
    <cellStyle name="Unprot$ 8 4" xfId="16850"/>
    <cellStyle name="Unprot$ 9" xfId="16851"/>
    <cellStyle name="Unprot$ 9 2" xfId="16852"/>
    <cellStyle name="Unprot$ 9 3" xfId="16853"/>
    <cellStyle name="Unprot$ 9 4" xfId="16854"/>
    <cellStyle name="Unprot$_120110 NFC Risk Flash" xfId="16855"/>
    <cellStyle name="Unprot_Inputs" xfId="16856"/>
    <cellStyle name="Unprotect" xfId="3178"/>
    <cellStyle name="UNSHADED" xfId="16857"/>
    <cellStyle name="User_Defined_A" xfId="16858"/>
    <cellStyle name="Warning Text 10" xfId="16859"/>
    <cellStyle name="Warning Text 11" xfId="16860"/>
    <cellStyle name="Warning Text 2" xfId="3179"/>
    <cellStyle name="Warning Text 2 2" xfId="16861"/>
    <cellStyle name="Warning Text 2 2 2" xfId="16862"/>
    <cellStyle name="Warning Text 2 3" xfId="16863"/>
    <cellStyle name="Warning Text 2 4" xfId="16864"/>
    <cellStyle name="Warning Text 2 5" xfId="16865"/>
    <cellStyle name="Warning Text 2 6" xfId="16866"/>
    <cellStyle name="Warning Text 3" xfId="3180"/>
    <cellStyle name="Warning Text 3 2" xfId="16867"/>
    <cellStyle name="Warning Text 3 2 2" xfId="16868"/>
    <cellStyle name="Warning Text 3 3" xfId="16869"/>
    <cellStyle name="Warning Text 4" xfId="3223"/>
    <cellStyle name="Warning Text 4 2" xfId="16870"/>
    <cellStyle name="Warning Text 5" xfId="16871"/>
    <cellStyle name="Warning Text 5 2" xfId="16872"/>
    <cellStyle name="Warning Text 6" xfId="16873"/>
    <cellStyle name="Warning Text 6 2" xfId="16874"/>
    <cellStyle name="Warning Text 7" xfId="16875"/>
    <cellStyle name="Warning Text 8" xfId="16876"/>
    <cellStyle name="Warning Text 9" xfId="16877"/>
    <cellStyle name="Warning Text 9 2" xfId="16878"/>
    <cellStyle name="Warning Text 9 3" xfId="16879"/>
    <cellStyle name="Year" xfId="16880"/>
  </cellStyles>
  <dxfs count="0"/>
  <tableStyles count="0" defaultTableStyle="TableStyleMedium9" defaultPivotStyle="PivotStyleLight16"/>
  <colors>
    <mruColors>
      <color rgb="FFFA06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Normal="100" workbookViewId="0">
      <selection activeCell="D9" sqref="D9"/>
    </sheetView>
  </sheetViews>
  <sheetFormatPr defaultRowHeight="14.4"/>
  <cols>
    <col min="2" max="2" width="42.88671875" bestFit="1" customWidth="1"/>
    <col min="3" max="3" width="18.5546875" bestFit="1" customWidth="1"/>
    <col min="4" max="4" width="11.33203125" bestFit="1" customWidth="1"/>
    <col min="5" max="7" width="12" bestFit="1" customWidth="1"/>
  </cols>
  <sheetData>
    <row r="1" spans="1:6">
      <c r="A1" s="563" t="s">
        <v>0</v>
      </c>
      <c r="B1" s="562"/>
      <c r="C1" s="563"/>
    </row>
    <row r="2" spans="1:6">
      <c r="A2" s="563" t="s">
        <v>784</v>
      </c>
      <c r="B2" s="562"/>
      <c r="C2" s="563"/>
    </row>
    <row r="3" spans="1:6">
      <c r="A3" s="563"/>
      <c r="B3" s="562"/>
      <c r="C3" s="563"/>
    </row>
    <row r="4" spans="1:6">
      <c r="A4" s="563"/>
      <c r="B4" s="562"/>
      <c r="C4" s="565" t="str">
        <f>+'Attachment H-1'!H4</f>
        <v>For Rates in Effect</v>
      </c>
    </row>
    <row r="5" spans="1:6">
      <c r="A5" s="562"/>
      <c r="B5" s="562"/>
      <c r="C5" s="578" t="str">
        <f>+'Attachment H-1'!H5</f>
        <v>6/1/16-5/31/17</v>
      </c>
    </row>
    <row r="6" spans="1:6" ht="15" thickBot="1">
      <c r="A6" s="562"/>
      <c r="B6" s="562"/>
      <c r="C6" s="577" t="s">
        <v>1502</v>
      </c>
    </row>
    <row r="7" spans="1:6">
      <c r="A7" s="562"/>
      <c r="B7" s="562"/>
      <c r="C7" s="562"/>
    </row>
    <row r="8" spans="1:6">
      <c r="A8" s="562"/>
      <c r="B8" s="563" t="s">
        <v>704</v>
      </c>
      <c r="C8" s="564">
        <f>+'Attachment H-1'!H291</f>
        <v>86491020.618457958</v>
      </c>
      <c r="E8" s="564"/>
      <c r="F8" s="175"/>
    </row>
    <row r="9" spans="1:6">
      <c r="A9" s="562"/>
      <c r="B9" s="583"/>
      <c r="C9" s="583"/>
      <c r="E9" s="668"/>
      <c r="F9" s="175"/>
    </row>
    <row r="10" spans="1:6">
      <c r="A10" s="562"/>
      <c r="B10" s="581" t="s">
        <v>1520</v>
      </c>
      <c r="C10" s="583"/>
      <c r="E10" s="668"/>
      <c r="F10" s="175"/>
    </row>
    <row r="11" spans="1:6">
      <c r="A11" s="562"/>
      <c r="B11" s="583" t="s">
        <v>436</v>
      </c>
      <c r="C11" s="593">
        <f>+'Schedule 16 - Rate Design '!E81</f>
        <v>33.674328324806126</v>
      </c>
      <c r="E11" s="593"/>
      <c r="F11" s="175"/>
    </row>
    <row r="12" spans="1:6">
      <c r="A12" s="562"/>
      <c r="B12" s="583" t="s">
        <v>437</v>
      </c>
      <c r="C12" s="593">
        <f>+'Schedule 16 - Rate Design '!E83</f>
        <v>2.806194027067177</v>
      </c>
      <c r="E12" s="593"/>
      <c r="F12" s="175"/>
    </row>
    <row r="13" spans="1:6">
      <c r="A13" s="562"/>
      <c r="B13" s="583" t="s">
        <v>438</v>
      </c>
      <c r="C13" s="593">
        <f>+'Schedule 16 - Rate Design '!E85</f>
        <v>0.64758323701550247</v>
      </c>
      <c r="E13" s="593"/>
      <c r="F13" s="175"/>
    </row>
    <row r="14" spans="1:6">
      <c r="A14" s="562"/>
      <c r="B14" s="583" t="s">
        <v>439</v>
      </c>
      <c r="C14" s="594">
        <f>+'Schedule 16 - Rate Design '!E87</f>
        <v>0.10793053950258374</v>
      </c>
      <c r="E14" s="594"/>
      <c r="F14" s="175"/>
    </row>
    <row r="15" spans="1:6">
      <c r="B15" s="583" t="s">
        <v>440</v>
      </c>
      <c r="C15" s="595">
        <f>+'Schedule 16 - Rate Design '!E89</f>
        <v>6.745658718911484E-3</v>
      </c>
      <c r="E15" s="595"/>
      <c r="F15" s="175"/>
    </row>
    <row r="16" spans="1:6">
      <c r="B16" s="583"/>
      <c r="C16" s="583"/>
      <c r="E16" s="668"/>
      <c r="F16" s="175"/>
    </row>
    <row r="17" spans="2:6">
      <c r="B17" s="583"/>
      <c r="C17" s="583"/>
      <c r="E17" s="668"/>
      <c r="F17" s="175"/>
    </row>
    <row r="18" spans="2:6">
      <c r="B18" s="583" t="s">
        <v>1522</v>
      </c>
      <c r="C18" s="588">
        <f>+'Sch 17 - Trans Demand Allocator'!B5</f>
        <v>3.5000000000000003E-2</v>
      </c>
      <c r="E18" s="588"/>
      <c r="F18" s="175"/>
    </row>
    <row r="19" spans="2:6">
      <c r="B19" s="583"/>
      <c r="C19" s="583"/>
    </row>
    <row r="20" spans="2:6">
      <c r="B20" s="583"/>
      <c r="C20" s="583"/>
    </row>
    <row r="21" spans="2:6">
      <c r="B21" s="583"/>
      <c r="C21" s="583"/>
    </row>
    <row r="22" spans="2:6">
      <c r="B22" s="583"/>
      <c r="C22" s="583"/>
    </row>
    <row r="23" spans="2:6">
      <c r="B23" s="583"/>
      <c r="C23" s="583"/>
    </row>
    <row r="24" spans="2:6">
      <c r="B24" s="583"/>
      <c r="C24" s="583"/>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BreakPreview" topLeftCell="A10" zoomScale="60" zoomScaleNormal="100" workbookViewId="0">
      <selection activeCell="G36" sqref="G36"/>
    </sheetView>
  </sheetViews>
  <sheetFormatPr defaultRowHeight="14.4"/>
  <cols>
    <col min="2" max="2" width="3.33203125" customWidth="1"/>
    <col min="3" max="3" width="52.6640625" bestFit="1" customWidth="1"/>
    <col min="4" max="4" width="34.5546875" bestFit="1" customWidth="1"/>
    <col min="5" max="5" width="38.6640625" bestFit="1" customWidth="1"/>
  </cols>
  <sheetData>
    <row r="1" spans="1:10">
      <c r="A1" s="1" t="s">
        <v>0</v>
      </c>
    </row>
    <row r="2" spans="1:10">
      <c r="A2" s="1" t="s">
        <v>109</v>
      </c>
    </row>
    <row r="3" spans="1:10" s="146" customFormat="1">
      <c r="A3" s="147"/>
    </row>
    <row r="4" spans="1:10" s="146" customFormat="1">
      <c r="A4" s="147"/>
    </row>
    <row r="5" spans="1:10" s="146" customFormat="1">
      <c r="A5" s="147"/>
      <c r="B5" s="191" t="s">
        <v>725</v>
      </c>
      <c r="C5" s="146" t="s">
        <v>726</v>
      </c>
    </row>
    <row r="6" spans="1:10" ht="15" thickBot="1">
      <c r="A6" s="1"/>
    </row>
    <row r="7" spans="1:10">
      <c r="C7" s="47" t="s">
        <v>105</v>
      </c>
      <c r="D7" s="48" t="s">
        <v>11</v>
      </c>
      <c r="E7" s="48" t="s">
        <v>103</v>
      </c>
      <c r="F7" s="8"/>
      <c r="G7" s="8"/>
      <c r="H7" s="10"/>
    </row>
    <row r="8" spans="1:10">
      <c r="C8" s="28" t="s">
        <v>110</v>
      </c>
      <c r="D8" s="13"/>
      <c r="E8" s="13"/>
      <c r="F8" s="13"/>
      <c r="G8" s="13"/>
      <c r="H8" s="15"/>
    </row>
    <row r="9" spans="1:10">
      <c r="C9" s="155"/>
      <c r="D9" s="252"/>
      <c r="E9" s="254"/>
      <c r="F9" s="392"/>
      <c r="G9" s="392"/>
      <c r="H9" s="404"/>
      <c r="I9" s="399"/>
      <c r="J9" s="399"/>
    </row>
    <row r="10" spans="1:10">
      <c r="C10" s="28" t="s">
        <v>111</v>
      </c>
      <c r="D10" s="13"/>
      <c r="E10" s="255">
        <f>+E9</f>
        <v>0</v>
      </c>
      <c r="F10" s="157" t="s">
        <v>727</v>
      </c>
      <c r="G10" s="13"/>
      <c r="H10" s="15"/>
    </row>
    <row r="11" spans="1:10">
      <c r="C11" s="155"/>
      <c r="D11" s="252"/>
      <c r="E11" s="13"/>
      <c r="F11" s="13"/>
      <c r="G11" s="13"/>
      <c r="H11" s="15"/>
    </row>
    <row r="12" spans="1:10">
      <c r="C12" s="28" t="s">
        <v>112</v>
      </c>
      <c r="D12" s="13"/>
      <c r="E12" s="13"/>
      <c r="F12" s="13"/>
      <c r="G12" s="13"/>
      <c r="H12" s="15"/>
    </row>
    <row r="13" spans="1:10">
      <c r="C13" s="11" t="s">
        <v>116</v>
      </c>
      <c r="D13" s="157" t="s">
        <v>730</v>
      </c>
      <c r="E13" s="18">
        <v>63644724</v>
      </c>
      <c r="F13" s="13"/>
      <c r="G13" s="13"/>
      <c r="H13" s="15"/>
    </row>
    <row r="14" spans="1:10">
      <c r="C14" s="11" t="s">
        <v>118</v>
      </c>
      <c r="D14" s="157" t="s">
        <v>731</v>
      </c>
      <c r="E14" s="18">
        <v>34223674</v>
      </c>
      <c r="F14" s="13"/>
      <c r="G14" s="13"/>
      <c r="H14" s="15"/>
    </row>
    <row r="15" spans="1:10">
      <c r="C15" s="32" t="s">
        <v>117</v>
      </c>
      <c r="D15" s="157" t="s">
        <v>732</v>
      </c>
      <c r="E15" s="18">
        <v>16459101</v>
      </c>
      <c r="F15" s="13"/>
      <c r="G15" s="13"/>
      <c r="H15" s="15"/>
    </row>
    <row r="16" spans="1:10">
      <c r="C16" s="32" t="s">
        <v>119</v>
      </c>
      <c r="D16" s="157" t="s">
        <v>733</v>
      </c>
      <c r="E16" s="18">
        <v>5263451</v>
      </c>
      <c r="F16" s="13"/>
      <c r="G16" s="13"/>
      <c r="H16" s="15"/>
    </row>
    <row r="17" spans="3:8">
      <c r="C17" s="32" t="s">
        <v>120</v>
      </c>
      <c r="D17" s="157" t="s">
        <v>734</v>
      </c>
      <c r="E17" s="18">
        <v>577251</v>
      </c>
      <c r="F17" s="13"/>
      <c r="G17" s="13"/>
      <c r="H17" s="15"/>
    </row>
    <row r="18" spans="3:8">
      <c r="C18" s="32" t="s">
        <v>121</v>
      </c>
      <c r="D18" s="157" t="s">
        <v>735</v>
      </c>
      <c r="E18" s="18">
        <v>1503026</v>
      </c>
      <c r="F18" s="13"/>
      <c r="G18" s="13"/>
      <c r="H18" s="15"/>
    </row>
    <row r="19" spans="3:8">
      <c r="C19" s="32" t="s">
        <v>122</v>
      </c>
      <c r="D19" s="157" t="s">
        <v>736</v>
      </c>
      <c r="E19" s="18">
        <v>222545096</v>
      </c>
      <c r="F19" s="13"/>
      <c r="G19" s="13"/>
      <c r="H19" s="15"/>
    </row>
    <row r="20" spans="3:8">
      <c r="C20" s="32" t="s">
        <v>123</v>
      </c>
      <c r="D20" s="157" t="s">
        <v>1555</v>
      </c>
      <c r="E20" s="18">
        <v>0</v>
      </c>
      <c r="F20" s="13"/>
      <c r="G20" s="13"/>
      <c r="H20" s="15"/>
    </row>
    <row r="21" spans="3:8">
      <c r="C21" s="32" t="s">
        <v>124</v>
      </c>
      <c r="D21" s="157" t="s">
        <v>1539</v>
      </c>
      <c r="E21" s="18">
        <v>43979521</v>
      </c>
      <c r="F21" s="13"/>
      <c r="G21" s="13"/>
      <c r="H21" s="15"/>
    </row>
    <row r="22" spans="3:8">
      <c r="C22" s="32" t="s">
        <v>125</v>
      </c>
      <c r="D22" s="157" t="s">
        <v>1544</v>
      </c>
      <c r="E22" s="18">
        <v>242468</v>
      </c>
      <c r="F22" s="13"/>
      <c r="G22" s="13"/>
      <c r="H22" s="15"/>
    </row>
    <row r="23" spans="3:8">
      <c r="C23" s="155" t="s">
        <v>960</v>
      </c>
      <c r="D23" s="252" t="s">
        <v>737</v>
      </c>
      <c r="E23" s="162">
        <v>3979026</v>
      </c>
      <c r="F23" s="13"/>
      <c r="G23" s="13"/>
      <c r="H23" s="15"/>
    </row>
    <row r="24" spans="3:8">
      <c r="C24" s="488" t="s">
        <v>961</v>
      </c>
      <c r="D24" s="489" t="s">
        <v>1545</v>
      </c>
      <c r="E24" s="162">
        <v>203790</v>
      </c>
      <c r="F24" s="13"/>
      <c r="G24" s="13"/>
      <c r="H24" s="15"/>
    </row>
    <row r="25" spans="3:8" s="146" customFormat="1">
      <c r="C25" s="155"/>
      <c r="D25" s="157"/>
      <c r="E25" s="149"/>
      <c r="F25" s="157"/>
      <c r="G25" s="157"/>
      <c r="H25" s="159"/>
    </row>
    <row r="26" spans="3:8" s="146" customFormat="1">
      <c r="C26" s="28" t="s">
        <v>113</v>
      </c>
      <c r="D26" s="13"/>
      <c r="E26" s="50">
        <f>SUM(E13:E24)</f>
        <v>392621128</v>
      </c>
      <c r="F26" s="157"/>
      <c r="G26" s="157"/>
      <c r="H26" s="159"/>
    </row>
    <row r="27" spans="3:8" s="146" customFormat="1">
      <c r="C27" s="11"/>
      <c r="D27" s="13"/>
      <c r="E27" s="13"/>
      <c r="F27" s="157"/>
      <c r="G27" s="157"/>
      <c r="H27" s="159"/>
    </row>
    <row r="28" spans="3:8" ht="15" thickBot="1">
      <c r="C28" s="28" t="s">
        <v>114</v>
      </c>
      <c r="D28" s="13" t="s">
        <v>126</v>
      </c>
      <c r="E28" s="24">
        <f>+E10+E26</f>
        <v>392621128</v>
      </c>
      <c r="F28" s="13"/>
      <c r="G28" s="13"/>
      <c r="H28" s="15"/>
    </row>
    <row r="29" spans="3:8" ht="15" thickTop="1">
      <c r="C29" s="11"/>
      <c r="D29" s="13"/>
      <c r="E29" s="13"/>
      <c r="F29" s="13"/>
      <c r="G29" s="13"/>
      <c r="H29" s="15"/>
    </row>
    <row r="30" spans="3:8">
      <c r="C30" s="11"/>
      <c r="D30" s="13"/>
      <c r="E30" s="13"/>
      <c r="F30" s="13"/>
      <c r="G30" s="13"/>
      <c r="H30" s="15"/>
    </row>
    <row r="31" spans="3:8">
      <c r="C31" s="11"/>
      <c r="D31" s="13"/>
      <c r="E31" s="13"/>
      <c r="F31" s="13"/>
      <c r="G31" s="13"/>
      <c r="H31" s="15"/>
    </row>
    <row r="32" spans="3:8">
      <c r="C32" s="45" t="s">
        <v>105</v>
      </c>
      <c r="D32" s="46" t="s">
        <v>11</v>
      </c>
      <c r="E32" s="46" t="s">
        <v>104</v>
      </c>
      <c r="F32" s="13"/>
      <c r="G32" s="13"/>
      <c r="H32" s="15"/>
    </row>
    <row r="33" spans="2:10">
      <c r="B33" s="1"/>
      <c r="C33" s="28" t="s">
        <v>110</v>
      </c>
      <c r="D33" s="13"/>
      <c r="E33" s="13"/>
      <c r="F33" s="13"/>
      <c r="G33" s="13"/>
      <c r="H33" s="15"/>
    </row>
    <row r="34" spans="2:10">
      <c r="C34" s="155" t="s">
        <v>961</v>
      </c>
      <c r="D34" s="252" t="s">
        <v>358</v>
      </c>
      <c r="E34" s="149">
        <v>0</v>
      </c>
      <c r="F34" s="13"/>
      <c r="G34" s="13"/>
      <c r="H34" s="15"/>
    </row>
    <row r="35" spans="2:10">
      <c r="C35" s="28" t="s">
        <v>111</v>
      </c>
      <c r="D35" s="13"/>
      <c r="E35" s="158">
        <f>+E34</f>
        <v>0</v>
      </c>
      <c r="F35" s="157" t="s">
        <v>728</v>
      </c>
      <c r="G35" s="13"/>
      <c r="H35" s="15"/>
    </row>
    <row r="36" spans="2:10">
      <c r="C36" s="11"/>
      <c r="D36" s="13"/>
      <c r="E36" s="13"/>
      <c r="F36" s="392"/>
      <c r="G36" s="392"/>
      <c r="H36" s="404"/>
      <c r="I36" s="399"/>
      <c r="J36" s="399"/>
    </row>
    <row r="37" spans="2:10">
      <c r="C37" s="28" t="s">
        <v>112</v>
      </c>
      <c r="D37" s="13"/>
      <c r="E37" s="13"/>
      <c r="G37" s="13"/>
      <c r="H37" s="15"/>
    </row>
    <row r="38" spans="2:10">
      <c r="C38" s="155" t="s">
        <v>116</v>
      </c>
      <c r="D38" s="157" t="s">
        <v>745</v>
      </c>
      <c r="E38" s="162">
        <v>66990246</v>
      </c>
      <c r="F38" s="13"/>
      <c r="G38" s="13"/>
      <c r="H38" s="15"/>
    </row>
    <row r="39" spans="2:10">
      <c r="C39" s="155" t="s">
        <v>118</v>
      </c>
      <c r="D39" s="157" t="s">
        <v>738</v>
      </c>
      <c r="E39" s="162">
        <v>28303162</v>
      </c>
      <c r="F39" s="13"/>
      <c r="G39" s="13"/>
      <c r="H39" s="15"/>
    </row>
    <row r="40" spans="2:10">
      <c r="C40" s="32" t="s">
        <v>117</v>
      </c>
      <c r="D40" s="157" t="s">
        <v>739</v>
      </c>
      <c r="E40" s="162">
        <v>15614655</v>
      </c>
      <c r="F40" s="13"/>
      <c r="G40" s="13"/>
      <c r="H40" s="15"/>
    </row>
    <row r="41" spans="2:10">
      <c r="C41" s="32" t="s">
        <v>119</v>
      </c>
      <c r="D41" s="157" t="s">
        <v>740</v>
      </c>
      <c r="E41" s="162">
        <v>557138</v>
      </c>
      <c r="F41" s="13"/>
      <c r="G41" s="13"/>
      <c r="H41" s="15"/>
    </row>
    <row r="42" spans="2:10">
      <c r="C42" s="32" t="s">
        <v>120</v>
      </c>
      <c r="D42" s="157" t="s">
        <v>741</v>
      </c>
      <c r="E42" s="162">
        <v>0</v>
      </c>
      <c r="F42" s="13"/>
      <c r="G42" s="13"/>
      <c r="H42" s="15"/>
    </row>
    <row r="43" spans="2:10">
      <c r="C43" s="32" t="s">
        <v>121</v>
      </c>
      <c r="D43" s="157" t="s">
        <v>742</v>
      </c>
      <c r="E43" s="162">
        <v>438401</v>
      </c>
      <c r="F43" s="13"/>
      <c r="G43" s="13"/>
      <c r="H43" s="15"/>
    </row>
    <row r="44" spans="2:10">
      <c r="C44" s="32" t="s">
        <v>122</v>
      </c>
      <c r="D44" s="157" t="s">
        <v>743</v>
      </c>
      <c r="E44" s="162">
        <v>218743030</v>
      </c>
      <c r="F44" s="13"/>
      <c r="G44" s="13"/>
      <c r="H44" s="15"/>
    </row>
    <row r="45" spans="2:10">
      <c r="C45" s="32" t="s">
        <v>124</v>
      </c>
      <c r="D45" s="157" t="s">
        <v>1556</v>
      </c>
      <c r="E45" s="162">
        <v>0</v>
      </c>
      <c r="F45" s="13"/>
      <c r="G45" s="13"/>
      <c r="H45" s="15"/>
    </row>
    <row r="46" spans="2:10">
      <c r="C46" s="32" t="s">
        <v>125</v>
      </c>
      <c r="D46" s="157" t="s">
        <v>1546</v>
      </c>
      <c r="E46" s="162">
        <v>272651</v>
      </c>
      <c r="F46" s="13"/>
      <c r="G46" s="13"/>
      <c r="H46" s="15"/>
    </row>
    <row r="47" spans="2:10">
      <c r="C47" s="155" t="s">
        <v>960</v>
      </c>
      <c r="D47" s="252" t="s">
        <v>744</v>
      </c>
      <c r="E47" s="162">
        <v>3979026</v>
      </c>
      <c r="F47" s="13"/>
      <c r="G47" s="13"/>
      <c r="H47" s="15"/>
    </row>
    <row r="48" spans="2:10">
      <c r="C48" s="155" t="s">
        <v>981</v>
      </c>
      <c r="D48" s="252" t="s">
        <v>1547</v>
      </c>
      <c r="E48" s="162">
        <v>0</v>
      </c>
      <c r="F48" s="13"/>
      <c r="G48" s="13"/>
      <c r="H48" s="15"/>
    </row>
    <row r="49" spans="1:8">
      <c r="C49" s="11"/>
      <c r="D49" s="13"/>
      <c r="E49" s="3"/>
      <c r="F49" s="13"/>
      <c r="G49" s="13"/>
      <c r="H49" s="15"/>
    </row>
    <row r="50" spans="1:8">
      <c r="C50" s="28" t="s">
        <v>113</v>
      </c>
      <c r="D50" s="13"/>
      <c r="E50" s="50">
        <f>SUM(E38:E49)</f>
        <v>334898309</v>
      </c>
      <c r="F50" s="13"/>
      <c r="G50" s="13"/>
      <c r="H50" s="15"/>
    </row>
    <row r="51" spans="1:8">
      <c r="C51" s="11"/>
      <c r="D51" s="13"/>
      <c r="E51" s="13"/>
      <c r="F51" s="13"/>
      <c r="G51" s="13"/>
      <c r="H51" s="15"/>
    </row>
    <row r="52" spans="1:8" ht="15" thickBot="1">
      <c r="C52" s="28" t="s">
        <v>114</v>
      </c>
      <c r="D52" s="616" t="s">
        <v>1540</v>
      </c>
      <c r="E52" s="24">
        <f>+E35+E50</f>
        <v>334898309</v>
      </c>
      <c r="F52" s="13"/>
      <c r="G52" s="13"/>
      <c r="H52" s="15"/>
    </row>
    <row r="53" spans="1:8" ht="15" thickTop="1">
      <c r="C53" s="11"/>
      <c r="D53" s="13"/>
      <c r="E53" s="13"/>
      <c r="F53" s="13"/>
      <c r="G53" s="13"/>
      <c r="H53" s="15"/>
    </row>
    <row r="54" spans="1:8">
      <c r="C54" s="11"/>
      <c r="D54" s="13"/>
      <c r="E54" s="13"/>
      <c r="F54" s="13"/>
      <c r="G54" s="13"/>
      <c r="H54" s="15"/>
    </row>
    <row r="55" spans="1:8">
      <c r="C55" s="11" t="s">
        <v>115</v>
      </c>
      <c r="D55" s="157" t="s">
        <v>729</v>
      </c>
      <c r="E55" s="49">
        <f>(E10+E35)/2</f>
        <v>0</v>
      </c>
      <c r="F55" s="157" t="s">
        <v>642</v>
      </c>
      <c r="G55" s="13"/>
      <c r="H55" s="15"/>
    </row>
    <row r="56" spans="1:8" ht="15" thickBot="1">
      <c r="C56" s="20"/>
      <c r="D56" s="21"/>
      <c r="E56" s="21"/>
      <c r="F56" s="21"/>
      <c r="G56" s="21"/>
      <c r="H56" s="23"/>
    </row>
    <row r="60" spans="1:8">
      <c r="C60" s="13"/>
      <c r="D60" s="13"/>
      <c r="E60" s="13"/>
    </row>
    <row r="61" spans="1:8">
      <c r="C61" s="13"/>
      <c r="D61" s="13"/>
      <c r="E61" s="13"/>
    </row>
    <row r="62" spans="1:8">
      <c r="A62" s="1"/>
      <c r="C62" s="13"/>
      <c r="D62" s="13"/>
      <c r="E62" s="14"/>
    </row>
    <row r="63" spans="1:8">
      <c r="C63" s="13"/>
      <c r="D63" s="13"/>
      <c r="E63" s="14"/>
    </row>
    <row r="64" spans="1:8">
      <c r="B64" s="12"/>
      <c r="C64" s="13"/>
      <c r="D64" s="13"/>
      <c r="E64" s="14"/>
    </row>
    <row r="65" spans="2:5">
      <c r="B65" s="13"/>
      <c r="C65" s="13"/>
      <c r="D65" s="13"/>
      <c r="E65" s="14"/>
    </row>
    <row r="66" spans="2:5">
      <c r="B66" s="13"/>
      <c r="C66" s="13"/>
      <c r="D66" s="13"/>
      <c r="E66" s="14"/>
    </row>
    <row r="67" spans="2:5">
      <c r="B67" s="13"/>
      <c r="C67" s="13"/>
      <c r="D67" s="13"/>
      <c r="E67" s="14"/>
    </row>
    <row r="68" spans="2:5">
      <c r="B68" s="13"/>
      <c r="C68" s="13"/>
      <c r="D68" s="13"/>
      <c r="E68" s="14"/>
    </row>
    <row r="69" spans="2:5">
      <c r="B69" s="13"/>
      <c r="C69" s="13"/>
      <c r="D69" s="13"/>
      <c r="E69" s="14"/>
    </row>
    <row r="70" spans="2:5">
      <c r="B70" s="13"/>
      <c r="C70" s="13"/>
      <c r="D70" s="13"/>
      <c r="E70" s="14"/>
    </row>
    <row r="71" spans="2:5">
      <c r="B71" s="13"/>
      <c r="C71" s="13"/>
      <c r="D71" s="13"/>
      <c r="E71" s="13"/>
    </row>
    <row r="72" spans="2:5">
      <c r="B72" s="13"/>
      <c r="C72" s="13"/>
      <c r="D72" s="13"/>
      <c r="E72" s="26"/>
    </row>
    <row r="73" spans="2:5">
      <c r="B73" s="13"/>
      <c r="C73" s="13"/>
      <c r="D73" s="13"/>
      <c r="E73" s="14"/>
    </row>
    <row r="74" spans="2:5">
      <c r="B74" s="13"/>
      <c r="C74" s="13"/>
      <c r="D74" s="13"/>
      <c r="E74" s="14"/>
    </row>
    <row r="75" spans="2:5">
      <c r="B75" s="13"/>
      <c r="C75" s="13"/>
      <c r="D75" s="13"/>
      <c r="E75" s="14"/>
    </row>
    <row r="76" spans="2:5">
      <c r="B76" s="13"/>
    </row>
    <row r="77" spans="2:5">
      <c r="B77" s="13"/>
    </row>
    <row r="78" spans="2:5">
      <c r="B78" s="13"/>
    </row>
    <row r="79" spans="2:5">
      <c r="B79" s="13"/>
    </row>
  </sheetData>
  <pageMargins left="0.7" right="0.7" top="0.75" bottom="0.75" header="0.3" footer="0.3"/>
  <pageSetup scale="74" fitToHeight="0" orientation="landscape" r:id="rId1"/>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opLeftCell="A28" zoomScaleNormal="100" workbookViewId="0"/>
  </sheetViews>
  <sheetFormatPr defaultRowHeight="14.4"/>
  <cols>
    <col min="2" max="2" width="3.33203125" customWidth="1"/>
    <col min="3" max="3" width="52.6640625" bestFit="1" customWidth="1"/>
    <col min="4" max="4" width="34.5546875" bestFit="1" customWidth="1"/>
    <col min="5" max="5" width="36.44140625" bestFit="1" customWidth="1"/>
  </cols>
  <sheetData>
    <row r="1" spans="1:15">
      <c r="A1" s="1" t="s">
        <v>0</v>
      </c>
    </row>
    <row r="2" spans="1:15">
      <c r="A2" s="147" t="s">
        <v>813</v>
      </c>
    </row>
    <row r="3" spans="1:15" s="146" customFormat="1">
      <c r="A3" s="147"/>
    </row>
    <row r="4" spans="1:15" s="146" customFormat="1">
      <c r="A4" s="147"/>
      <c r="B4" s="191" t="s">
        <v>725</v>
      </c>
      <c r="C4" s="146" t="s">
        <v>948</v>
      </c>
    </row>
    <row r="5" spans="1:15" s="146" customFormat="1">
      <c r="A5" s="147"/>
      <c r="B5" s="191"/>
      <c r="C5" s="146" t="s">
        <v>814</v>
      </c>
    </row>
    <row r="6" spans="1:15" ht="15" thickBot="1">
      <c r="A6" s="1"/>
    </row>
    <row r="7" spans="1:15">
      <c r="C7" s="42" t="s">
        <v>105</v>
      </c>
      <c r="D7" s="43" t="s">
        <v>11</v>
      </c>
      <c r="E7" s="43" t="s">
        <v>103</v>
      </c>
      <c r="F7" s="8"/>
      <c r="G7" s="8"/>
      <c r="H7" s="10"/>
    </row>
    <row r="8" spans="1:15">
      <c r="C8" s="28" t="s">
        <v>133</v>
      </c>
      <c r="D8" s="13"/>
      <c r="E8" s="13"/>
      <c r="F8" s="13"/>
      <c r="G8" s="13"/>
      <c r="H8" s="15"/>
    </row>
    <row r="9" spans="1:15">
      <c r="C9" s="11" t="s">
        <v>135</v>
      </c>
      <c r="D9" s="13" t="s">
        <v>1558</v>
      </c>
      <c r="E9" s="162">
        <v>52008816</v>
      </c>
      <c r="F9" s="13"/>
      <c r="G9" s="13"/>
      <c r="H9" s="15"/>
      <c r="J9" s="596"/>
      <c r="K9" s="596"/>
      <c r="L9" s="596"/>
      <c r="M9" s="596"/>
      <c r="N9" s="583"/>
      <c r="O9" s="583"/>
    </row>
    <row r="10" spans="1:15">
      <c r="C10" s="11" t="s">
        <v>139</v>
      </c>
      <c r="D10" s="13" t="s">
        <v>27</v>
      </c>
      <c r="E10" s="521">
        <v>0</v>
      </c>
      <c r="F10" s="13"/>
      <c r="G10" s="13"/>
      <c r="H10" s="15"/>
    </row>
    <row r="11" spans="1:15">
      <c r="C11" s="28" t="s">
        <v>130</v>
      </c>
      <c r="D11" s="13"/>
      <c r="E11" s="14">
        <f>SUM(E9:E10)</f>
        <v>52008816</v>
      </c>
      <c r="F11" s="157" t="s">
        <v>727</v>
      </c>
      <c r="G11" s="13"/>
      <c r="H11" s="15"/>
    </row>
    <row r="12" spans="1:15">
      <c r="C12" s="11"/>
      <c r="D12" s="13"/>
      <c r="E12" s="14"/>
      <c r="F12" s="13"/>
      <c r="G12" s="13"/>
      <c r="H12" s="15"/>
    </row>
    <row r="13" spans="1:15">
      <c r="C13" s="28" t="s">
        <v>129</v>
      </c>
      <c r="D13" s="13"/>
      <c r="E13" s="14"/>
      <c r="F13" s="13"/>
      <c r="G13" s="13"/>
      <c r="H13" s="15"/>
    </row>
    <row r="14" spans="1:15">
      <c r="C14" s="11" t="s">
        <v>136</v>
      </c>
      <c r="D14" s="13" t="s">
        <v>1557</v>
      </c>
      <c r="E14" s="162">
        <v>1144844</v>
      </c>
      <c r="F14" s="13"/>
      <c r="G14" s="13"/>
      <c r="H14" s="15"/>
    </row>
    <row r="15" spans="1:15">
      <c r="C15" s="155" t="s">
        <v>975</v>
      </c>
      <c r="D15" s="157" t="s">
        <v>141</v>
      </c>
      <c r="E15" s="162">
        <v>3554936</v>
      </c>
      <c r="F15" s="13"/>
      <c r="G15" s="13"/>
      <c r="H15" s="15"/>
    </row>
    <row r="16" spans="1:15">
      <c r="C16" s="155" t="s">
        <v>976</v>
      </c>
      <c r="D16" s="13" t="s">
        <v>142</v>
      </c>
      <c r="E16" s="162">
        <v>6942989</v>
      </c>
      <c r="F16" s="13"/>
      <c r="G16" s="13"/>
      <c r="H16" s="15"/>
    </row>
    <row r="17" spans="2:8">
      <c r="C17" s="11" t="s">
        <v>137</v>
      </c>
      <c r="D17" s="157" t="s">
        <v>143</v>
      </c>
      <c r="E17" s="162">
        <v>3461486</v>
      </c>
      <c r="F17" s="13"/>
      <c r="G17" s="13"/>
      <c r="H17" s="15"/>
    </row>
    <row r="18" spans="2:8">
      <c r="C18" s="11" t="s">
        <v>138</v>
      </c>
      <c r="D18" s="157" t="s">
        <v>144</v>
      </c>
      <c r="E18" s="162">
        <v>51632295</v>
      </c>
      <c r="F18" s="13"/>
      <c r="G18" s="13"/>
      <c r="H18" s="15"/>
    </row>
    <row r="19" spans="2:8">
      <c r="C19" s="11" t="s">
        <v>139</v>
      </c>
      <c r="D19" s="616" t="s">
        <v>1541</v>
      </c>
      <c r="E19" s="651">
        <v>1664418</v>
      </c>
      <c r="F19" s="13"/>
      <c r="G19" s="13"/>
      <c r="H19" s="15"/>
    </row>
    <row r="20" spans="2:8" s="621" customFormat="1">
      <c r="C20" s="644" t="s">
        <v>1526</v>
      </c>
      <c r="D20" s="646" t="s">
        <v>1590</v>
      </c>
      <c r="E20" s="625">
        <v>1476</v>
      </c>
      <c r="F20" s="646"/>
      <c r="G20" s="646"/>
      <c r="H20" s="648"/>
    </row>
    <row r="21" spans="2:8">
      <c r="C21" s="28" t="s">
        <v>131</v>
      </c>
      <c r="D21" s="13"/>
      <c r="E21" s="14">
        <f>SUM(E14:E20)</f>
        <v>68402444</v>
      </c>
      <c r="F21" s="13"/>
      <c r="G21" s="13"/>
      <c r="H21" s="15"/>
    </row>
    <row r="22" spans="2:8">
      <c r="C22" s="11"/>
      <c r="D22" s="13"/>
      <c r="E22" s="14"/>
      <c r="F22" s="13"/>
      <c r="G22" s="13"/>
      <c r="H22" s="15"/>
    </row>
    <row r="23" spans="2:8" ht="15" thickBot="1">
      <c r="C23" s="28" t="s">
        <v>132</v>
      </c>
      <c r="D23" s="13" t="s">
        <v>171</v>
      </c>
      <c r="E23" s="24">
        <f>+E11+E21</f>
        <v>120411260</v>
      </c>
      <c r="F23" s="13"/>
      <c r="G23" s="13"/>
      <c r="H23" s="15"/>
    </row>
    <row r="24" spans="2:8" ht="15" thickTop="1">
      <c r="C24" s="11"/>
      <c r="D24" s="13"/>
      <c r="E24" s="13"/>
      <c r="F24" s="13"/>
      <c r="G24" s="13"/>
      <c r="H24" s="15"/>
    </row>
    <row r="25" spans="2:8">
      <c r="C25" s="11"/>
      <c r="D25" s="13"/>
      <c r="E25" s="13"/>
      <c r="F25" s="13"/>
      <c r="G25" s="13"/>
      <c r="H25" s="15"/>
    </row>
    <row r="26" spans="2:8">
      <c r="B26" s="1"/>
      <c r="C26" s="11"/>
      <c r="D26" s="13"/>
      <c r="E26" s="13"/>
      <c r="F26" s="13"/>
      <c r="G26" s="13"/>
      <c r="H26" s="15"/>
    </row>
    <row r="27" spans="2:8">
      <c r="C27" s="44" t="s">
        <v>105</v>
      </c>
      <c r="D27" s="27" t="s">
        <v>11</v>
      </c>
      <c r="E27" s="27" t="s">
        <v>104</v>
      </c>
      <c r="F27" s="13"/>
      <c r="G27" s="13"/>
      <c r="H27" s="15"/>
    </row>
    <row r="28" spans="2:8">
      <c r="C28" s="28" t="s">
        <v>133</v>
      </c>
      <c r="D28" s="13"/>
      <c r="E28" s="13"/>
      <c r="F28" s="13"/>
      <c r="G28" s="13"/>
      <c r="H28" s="15"/>
    </row>
    <row r="29" spans="2:8">
      <c r="C29" s="11" t="s">
        <v>135</v>
      </c>
      <c r="D29" s="646" t="s">
        <v>1559</v>
      </c>
      <c r="E29" s="162">
        <v>50059219</v>
      </c>
      <c r="F29" s="13"/>
      <c r="G29" s="13"/>
      <c r="H29" s="15"/>
    </row>
    <row r="30" spans="2:8">
      <c r="C30" s="11" t="s">
        <v>139</v>
      </c>
      <c r="D30" s="646" t="s">
        <v>27</v>
      </c>
      <c r="E30" s="521">
        <v>0</v>
      </c>
      <c r="F30" s="13"/>
      <c r="G30" s="13"/>
      <c r="H30" s="15"/>
    </row>
    <row r="31" spans="2:8">
      <c r="C31" s="28" t="s">
        <v>130</v>
      </c>
      <c r="D31" s="646"/>
      <c r="E31" s="14">
        <f>SUM(E29:E30)</f>
        <v>50059219</v>
      </c>
      <c r="F31" s="157" t="s">
        <v>728</v>
      </c>
      <c r="G31" s="13"/>
      <c r="H31" s="15"/>
    </row>
    <row r="32" spans="2:8">
      <c r="C32" s="11"/>
      <c r="D32" s="646"/>
      <c r="E32" s="14"/>
      <c r="F32" s="13"/>
      <c r="G32" s="13"/>
      <c r="H32" s="15"/>
    </row>
    <row r="33" spans="1:8">
      <c r="C33" s="28" t="s">
        <v>129</v>
      </c>
      <c r="D33" s="646"/>
      <c r="E33" s="14"/>
      <c r="F33" s="13"/>
      <c r="G33" s="13"/>
      <c r="H33" s="15"/>
    </row>
    <row r="34" spans="1:8">
      <c r="C34" s="11" t="s">
        <v>136</v>
      </c>
      <c r="D34" s="646" t="s">
        <v>1560</v>
      </c>
      <c r="E34" s="162">
        <v>1043070</v>
      </c>
      <c r="F34" s="13"/>
      <c r="G34" s="13"/>
      <c r="H34" s="15"/>
    </row>
    <row r="35" spans="1:8">
      <c r="C35" s="155" t="s">
        <v>975</v>
      </c>
      <c r="D35" s="646" t="s">
        <v>823</v>
      </c>
      <c r="E35" s="162">
        <v>4024874</v>
      </c>
      <c r="F35" s="13"/>
      <c r="G35" s="13"/>
      <c r="H35" s="15"/>
    </row>
    <row r="36" spans="1:8">
      <c r="C36" s="155" t="s">
        <v>976</v>
      </c>
      <c r="D36" s="646" t="s">
        <v>824</v>
      </c>
      <c r="E36" s="162">
        <v>0</v>
      </c>
      <c r="F36" s="13"/>
      <c r="G36" s="13"/>
      <c r="H36" s="15"/>
    </row>
    <row r="37" spans="1:8">
      <c r="C37" s="11" t="s">
        <v>137</v>
      </c>
      <c r="D37" s="646" t="s">
        <v>825</v>
      </c>
      <c r="E37" s="162">
        <v>4605328</v>
      </c>
      <c r="F37" s="13"/>
      <c r="G37" s="13"/>
      <c r="H37" s="15"/>
    </row>
    <row r="38" spans="1:8">
      <c r="C38" s="11" t="s">
        <v>138</v>
      </c>
      <c r="D38" s="646" t="s">
        <v>826</v>
      </c>
      <c r="E38" s="162">
        <v>51632295</v>
      </c>
      <c r="F38" s="13"/>
      <c r="G38" s="13"/>
      <c r="H38" s="15"/>
    </row>
    <row r="39" spans="1:8">
      <c r="C39" s="11" t="s">
        <v>139</v>
      </c>
      <c r="D39" s="646" t="s">
        <v>1532</v>
      </c>
      <c r="E39" s="509">
        <v>2691381</v>
      </c>
      <c r="F39" s="13"/>
      <c r="G39" s="13"/>
      <c r="H39" s="15"/>
    </row>
    <row r="40" spans="1:8">
      <c r="C40" s="488" t="s">
        <v>1591</v>
      </c>
      <c r="D40" s="646" t="s">
        <v>1592</v>
      </c>
      <c r="E40" s="521">
        <v>438412</v>
      </c>
      <c r="F40" s="489"/>
      <c r="G40" s="489"/>
      <c r="H40" s="490"/>
    </row>
    <row r="41" spans="1:8">
      <c r="C41" s="28" t="s">
        <v>131</v>
      </c>
      <c r="D41" s="13"/>
      <c r="E41" s="14">
        <f>SUM(E34:E40)</f>
        <v>64435360</v>
      </c>
      <c r="F41" s="13"/>
      <c r="G41" s="13"/>
      <c r="H41" s="15"/>
    </row>
    <row r="42" spans="1:8">
      <c r="C42" s="11"/>
      <c r="D42" s="13"/>
      <c r="E42" s="14"/>
      <c r="F42" s="13"/>
      <c r="G42" s="13"/>
      <c r="H42" s="15"/>
    </row>
    <row r="43" spans="1:8" ht="15" thickBot="1">
      <c r="C43" s="28" t="s">
        <v>132</v>
      </c>
      <c r="D43" s="13" t="s">
        <v>140</v>
      </c>
      <c r="E43" s="24">
        <f>+E31+E41</f>
        <v>114494579</v>
      </c>
      <c r="F43" s="13"/>
      <c r="G43" s="13"/>
      <c r="H43" s="15"/>
    </row>
    <row r="44" spans="1:8" ht="15" thickTop="1">
      <c r="C44" s="11"/>
      <c r="D44" s="13"/>
      <c r="E44" s="13"/>
      <c r="F44" s="13"/>
      <c r="G44" s="13"/>
      <c r="H44" s="15"/>
    </row>
    <row r="45" spans="1:8">
      <c r="C45" s="11" t="s">
        <v>134</v>
      </c>
      <c r="D45" s="157" t="s">
        <v>729</v>
      </c>
      <c r="E45" s="14">
        <f>(E11+E31)/2</f>
        <v>51034017.5</v>
      </c>
      <c r="F45" s="157" t="s">
        <v>643</v>
      </c>
      <c r="G45" s="13"/>
      <c r="H45" s="15"/>
    </row>
    <row r="46" spans="1:8" ht="15" thickBot="1">
      <c r="C46" s="20"/>
      <c r="D46" s="21"/>
      <c r="E46" s="21"/>
      <c r="F46" s="21"/>
      <c r="G46" s="21"/>
      <c r="H46" s="23"/>
    </row>
    <row r="47" spans="1:8">
      <c r="A47" s="1"/>
    </row>
  </sheetData>
  <pageMargins left="0.7" right="0.7" top="0.5" bottom="0.5" header="0.3" footer="0.3"/>
  <pageSetup scale="7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60" zoomScaleNormal="100" workbookViewId="0"/>
  </sheetViews>
  <sheetFormatPr defaultColWidth="9.109375" defaultRowHeight="14.4"/>
  <cols>
    <col min="1" max="1" width="9.109375" style="502"/>
    <col min="2" max="2" width="73.33203125" style="502" customWidth="1"/>
    <col min="3" max="3" width="34.109375" style="502" bestFit="1" customWidth="1"/>
    <col min="4" max="4" width="25.109375" style="502" customWidth="1"/>
    <col min="5" max="5" width="7.6640625" style="502" customWidth="1"/>
    <col min="6" max="6" width="24.6640625" style="502" bestFit="1" customWidth="1"/>
    <col min="7" max="16384" width="9.109375" style="502"/>
  </cols>
  <sheetData>
    <row r="1" spans="1:6">
      <c r="A1" s="411" t="s">
        <v>0</v>
      </c>
    </row>
    <row r="2" spans="1:6">
      <c r="A2" s="411" t="s">
        <v>1517</v>
      </c>
    </row>
    <row r="3" spans="1:6">
      <c r="A3" s="411"/>
    </row>
    <row r="4" spans="1:6">
      <c r="A4" s="494"/>
      <c r="B4" s="493"/>
      <c r="C4" s="493"/>
      <c r="D4" s="493"/>
      <c r="E4" s="493"/>
      <c r="F4" s="493"/>
    </row>
    <row r="5" spans="1:6">
      <c r="A5" s="493"/>
      <c r="B5" s="493"/>
      <c r="C5" s="493"/>
      <c r="D5" s="493"/>
      <c r="E5" s="493"/>
      <c r="F5" s="493"/>
    </row>
    <row r="6" spans="1:6">
      <c r="A6" s="493"/>
      <c r="B6" s="493"/>
      <c r="C6" s="493"/>
      <c r="D6" s="493"/>
      <c r="E6" s="493"/>
      <c r="F6" s="493"/>
    </row>
    <row r="7" spans="1:6">
      <c r="A7" s="493"/>
      <c r="B7" s="493"/>
      <c r="C7" s="493"/>
      <c r="D7" s="493"/>
      <c r="E7" s="493"/>
      <c r="F7" s="493"/>
    </row>
    <row r="8" spans="1:6" s="493" customFormat="1">
      <c r="C8" s="495"/>
    </row>
    <row r="9" spans="1:6" s="493" customFormat="1">
      <c r="B9" s="494"/>
      <c r="C9" s="144"/>
      <c r="D9" s="144"/>
      <c r="E9" s="144"/>
      <c r="F9" s="144"/>
    </row>
    <row r="10" spans="1:6" s="493" customFormat="1">
      <c r="C10" s="188"/>
      <c r="D10" s="188"/>
      <c r="E10" s="144"/>
      <c r="F10" s="144"/>
    </row>
    <row r="11" spans="1:6" s="493" customFormat="1">
      <c r="C11" s="495"/>
      <c r="D11" s="144"/>
      <c r="E11" s="144"/>
      <c r="F11" s="144"/>
    </row>
    <row r="12" spans="1:6" s="493" customFormat="1">
      <c r="B12" s="144"/>
      <c r="D12" s="393"/>
      <c r="E12" s="144"/>
      <c r="F12" s="144"/>
    </row>
    <row r="13" spans="1:6" s="493" customFormat="1">
      <c r="C13" s="495"/>
      <c r="D13" s="393"/>
      <c r="E13" s="144"/>
      <c r="F13" s="144"/>
    </row>
    <row r="14" spans="1:6" s="493" customFormat="1">
      <c r="B14" s="144"/>
      <c r="D14" s="393"/>
      <c r="E14" s="144"/>
      <c r="F14" s="144"/>
    </row>
    <row r="15" spans="1:6" s="493" customFormat="1">
      <c r="B15" s="144"/>
      <c r="C15" s="495"/>
      <c r="D15" s="393"/>
      <c r="E15" s="144"/>
      <c r="F15" s="144"/>
    </row>
    <row r="16" spans="1:6" s="493" customFormat="1">
      <c r="B16" s="144"/>
      <c r="C16" s="144"/>
      <c r="D16" s="393"/>
      <c r="E16" s="144"/>
      <c r="F16" s="144"/>
    </row>
    <row r="17" spans="2:6" s="493" customFormat="1">
      <c r="C17" s="144"/>
      <c r="D17" s="189"/>
      <c r="E17" s="144"/>
      <c r="F17" s="144"/>
    </row>
    <row r="18" spans="2:6" s="493" customFormat="1">
      <c r="B18" s="144"/>
      <c r="C18" s="496"/>
      <c r="D18" s="393"/>
      <c r="E18" s="144"/>
      <c r="F18" s="144"/>
    </row>
    <row r="19" spans="2:6" s="493" customFormat="1">
      <c r="E19" s="144"/>
      <c r="F19" s="144"/>
    </row>
    <row r="20" spans="2:6" s="493" customFormat="1">
      <c r="C20" s="495"/>
      <c r="E20" s="144"/>
      <c r="F20" s="144"/>
    </row>
    <row r="21" spans="2:6" s="493" customFormat="1">
      <c r="C21" s="144"/>
      <c r="D21" s="393"/>
      <c r="E21" s="144"/>
      <c r="F21" s="144"/>
    </row>
    <row r="22" spans="2:6" s="493" customFormat="1">
      <c r="C22" s="495"/>
      <c r="D22" s="496"/>
      <c r="E22" s="144"/>
      <c r="F22" s="144"/>
    </row>
    <row r="23" spans="2:6" s="493" customFormat="1">
      <c r="B23" s="494"/>
      <c r="C23" s="144"/>
      <c r="D23" s="393"/>
      <c r="E23" s="144"/>
      <c r="F23" s="144"/>
    </row>
    <row r="24" spans="2:6" s="493" customFormat="1">
      <c r="B24" s="494"/>
      <c r="C24" s="144"/>
      <c r="D24" s="393"/>
      <c r="E24" s="144"/>
      <c r="F24" s="144"/>
    </row>
    <row r="25" spans="2:6" s="493" customFormat="1">
      <c r="B25" s="144"/>
      <c r="D25" s="393"/>
      <c r="E25" s="144"/>
      <c r="F25" s="144"/>
    </row>
    <row r="26" spans="2:6" s="493" customFormat="1">
      <c r="B26" s="144"/>
      <c r="C26" s="144"/>
      <c r="D26" s="189"/>
      <c r="E26" s="144"/>
      <c r="F26" s="144"/>
    </row>
    <row r="27" spans="2:6" s="493" customFormat="1">
      <c r="B27" s="494"/>
      <c r="C27" s="144"/>
      <c r="D27" s="393"/>
      <c r="E27" s="144"/>
      <c r="F27" s="144"/>
    </row>
    <row r="28" spans="2:6">
      <c r="B28" s="5"/>
      <c r="C28" s="5"/>
      <c r="D28" s="5"/>
      <c r="E28" s="5"/>
      <c r="F28" s="5"/>
    </row>
    <row r="29" spans="2:6">
      <c r="B29" s="5"/>
      <c r="C29" s="5"/>
      <c r="D29" s="5"/>
      <c r="E29" s="5"/>
      <c r="F29" s="5"/>
    </row>
  </sheetData>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view="pageBreakPreview" topLeftCell="A22" zoomScale="60" zoomScaleNormal="90" workbookViewId="0"/>
  </sheetViews>
  <sheetFormatPr defaultRowHeight="14.4"/>
  <cols>
    <col min="2" max="2" width="3.33203125" customWidth="1"/>
    <col min="3" max="3" width="52.6640625" bestFit="1" customWidth="1"/>
    <col min="4" max="4" width="34.5546875" bestFit="1" customWidth="1"/>
    <col min="5" max="5" width="26.6640625" bestFit="1" customWidth="1"/>
    <col min="6" max="6" width="22.109375" bestFit="1" customWidth="1"/>
    <col min="9" max="9" width="10" bestFit="1" customWidth="1"/>
  </cols>
  <sheetData>
    <row r="1" spans="1:7">
      <c r="A1" s="1" t="s">
        <v>0</v>
      </c>
    </row>
    <row r="2" spans="1:7">
      <c r="A2" s="1" t="s">
        <v>191</v>
      </c>
    </row>
    <row r="3" spans="1:7" s="146" customFormat="1">
      <c r="A3" s="147"/>
    </row>
    <row r="4" spans="1:7" s="562" customFormat="1">
      <c r="A4" s="563"/>
      <c r="B4" s="191" t="s">
        <v>725</v>
      </c>
      <c r="C4" s="562" t="s">
        <v>1518</v>
      </c>
    </row>
    <row r="5" spans="1:7" s="562" customFormat="1">
      <c r="A5" s="563"/>
      <c r="B5" s="191"/>
    </row>
    <row r="6" spans="1:7" ht="16.5" customHeight="1" thickBot="1">
      <c r="A6" s="1"/>
    </row>
    <row r="7" spans="1:7">
      <c r="A7" s="1"/>
      <c r="B7" s="7" t="s">
        <v>179</v>
      </c>
      <c r="C7" s="8"/>
      <c r="D7" s="8"/>
      <c r="E7" s="8"/>
      <c r="F7" s="8"/>
      <c r="G7" s="10"/>
    </row>
    <row r="8" spans="1:7">
      <c r="B8" s="11"/>
      <c r="C8" s="27" t="s">
        <v>105</v>
      </c>
      <c r="D8" s="27" t="s">
        <v>11</v>
      </c>
      <c r="E8" s="27" t="s">
        <v>103</v>
      </c>
      <c r="F8" s="13"/>
      <c r="G8" s="15"/>
    </row>
    <row r="9" spans="1:7">
      <c r="B9" s="11"/>
      <c r="C9" s="12" t="s">
        <v>185</v>
      </c>
      <c r="D9" s="13"/>
      <c r="E9" s="13"/>
      <c r="F9" s="13"/>
      <c r="G9" s="15"/>
    </row>
    <row r="10" spans="1:7">
      <c r="B10" s="11"/>
      <c r="C10" s="157" t="s">
        <v>827</v>
      </c>
      <c r="D10" s="13" t="s">
        <v>194</v>
      </c>
      <c r="E10" s="554">
        <f>+'FERC Form 1 Inputs'!I30</f>
        <v>927001</v>
      </c>
      <c r="F10" s="13"/>
      <c r="G10" s="15"/>
    </row>
    <row r="11" spans="1:7">
      <c r="B11" s="11"/>
      <c r="C11" s="12" t="s">
        <v>186</v>
      </c>
      <c r="D11" s="13"/>
      <c r="E11" s="14">
        <f>SUM(E10:E10)</f>
        <v>927001</v>
      </c>
      <c r="F11" s="157" t="s">
        <v>727</v>
      </c>
      <c r="G11" s="15"/>
    </row>
    <row r="12" spans="1:7">
      <c r="B12" s="11"/>
      <c r="C12" s="13"/>
      <c r="D12" s="13"/>
      <c r="E12" s="14"/>
      <c r="F12" s="13"/>
      <c r="G12" s="15"/>
    </row>
    <row r="13" spans="1:7">
      <c r="B13" s="11"/>
      <c r="C13" s="12" t="s">
        <v>187</v>
      </c>
      <c r="D13" s="13"/>
      <c r="E13" s="14"/>
      <c r="F13" s="13"/>
      <c r="G13" s="15"/>
    </row>
    <row r="14" spans="1:7">
      <c r="B14" s="11"/>
      <c r="C14" s="13" t="s">
        <v>193</v>
      </c>
      <c r="D14" s="13" t="s">
        <v>195</v>
      </c>
      <c r="E14" s="557">
        <f>+'FERC Form 1 Inputs'!I29</f>
        <v>35481360</v>
      </c>
      <c r="F14" s="13"/>
      <c r="G14" s="15"/>
    </row>
    <row r="15" spans="1:7">
      <c r="B15" s="11"/>
      <c r="C15" s="13" t="s">
        <v>165</v>
      </c>
      <c r="D15" s="13" t="s">
        <v>196</v>
      </c>
      <c r="E15" s="554">
        <f>+'FERC Form 1 Inputs'!I28</f>
        <v>6023308</v>
      </c>
      <c r="F15" s="13"/>
      <c r="G15" s="15"/>
    </row>
    <row r="16" spans="1:7">
      <c r="B16" s="11"/>
      <c r="C16" s="12" t="s">
        <v>188</v>
      </c>
      <c r="D16" s="13"/>
      <c r="E16" s="14">
        <f>SUM(E14:E15)</f>
        <v>41504668</v>
      </c>
      <c r="F16" s="13"/>
      <c r="G16" s="15"/>
    </row>
    <row r="17" spans="2:7">
      <c r="B17" s="11"/>
      <c r="C17" s="13"/>
      <c r="D17" s="13"/>
      <c r="E17" s="14"/>
      <c r="F17" s="13"/>
      <c r="G17" s="15"/>
    </row>
    <row r="18" spans="2:7" ht="15" thickBot="1">
      <c r="B18" s="11"/>
      <c r="C18" s="12" t="s">
        <v>189</v>
      </c>
      <c r="D18" s="13" t="s">
        <v>197</v>
      </c>
      <c r="E18" s="24">
        <f>+E11+E16</f>
        <v>42431669</v>
      </c>
      <c r="F18" s="13"/>
      <c r="G18" s="15"/>
    </row>
    <row r="19" spans="2:7" ht="15" thickTop="1">
      <c r="B19" s="11"/>
      <c r="C19" s="13"/>
      <c r="D19" s="13"/>
      <c r="E19" s="13"/>
      <c r="F19" s="13"/>
      <c r="G19" s="15"/>
    </row>
    <row r="20" spans="2:7">
      <c r="B20" s="11"/>
      <c r="C20" s="13"/>
      <c r="D20" s="13"/>
      <c r="E20" s="13"/>
      <c r="F20" s="13"/>
      <c r="G20" s="15"/>
    </row>
    <row r="21" spans="2:7">
      <c r="B21" s="28"/>
      <c r="C21" s="13"/>
      <c r="D21" s="13"/>
      <c r="E21" s="13"/>
      <c r="F21" s="13"/>
      <c r="G21" s="15"/>
    </row>
    <row r="22" spans="2:7">
      <c r="B22" s="11"/>
      <c r="C22" s="27" t="s">
        <v>105</v>
      </c>
      <c r="D22" s="27" t="s">
        <v>11</v>
      </c>
      <c r="E22" s="27" t="s">
        <v>104</v>
      </c>
      <c r="F22" s="13"/>
      <c r="G22" s="15"/>
    </row>
    <row r="23" spans="2:7">
      <c r="B23" s="11"/>
      <c r="C23" s="12" t="s">
        <v>185</v>
      </c>
      <c r="D23" s="13"/>
      <c r="E23" s="13"/>
      <c r="F23" s="13"/>
      <c r="G23" s="15"/>
    </row>
    <row r="24" spans="2:7">
      <c r="B24" s="11"/>
      <c r="C24" s="13" t="s">
        <v>192</v>
      </c>
      <c r="D24" s="13" t="s">
        <v>199</v>
      </c>
      <c r="E24" s="554">
        <f>+'FERC Form 1 Inputs'!L30</f>
        <v>923886</v>
      </c>
      <c r="F24" s="13"/>
      <c r="G24" s="15"/>
    </row>
    <row r="25" spans="2:7">
      <c r="B25" s="11"/>
      <c r="C25" s="12" t="s">
        <v>186</v>
      </c>
      <c r="D25" s="13"/>
      <c r="E25" s="14">
        <f>SUM(E24:E24)</f>
        <v>923886</v>
      </c>
      <c r="F25" s="157" t="s">
        <v>728</v>
      </c>
      <c r="G25" s="15"/>
    </row>
    <row r="26" spans="2:7">
      <c r="B26" s="11"/>
      <c r="C26" s="13"/>
      <c r="D26" s="13"/>
      <c r="E26" s="14"/>
      <c r="F26" s="13"/>
      <c r="G26" s="15"/>
    </row>
    <row r="27" spans="2:7">
      <c r="B27" s="11"/>
      <c r="C27" s="12" t="s">
        <v>187</v>
      </c>
      <c r="D27" s="13"/>
      <c r="E27" s="14"/>
      <c r="F27" s="13"/>
      <c r="G27" s="15"/>
    </row>
    <row r="28" spans="2:7">
      <c r="B28" s="11"/>
      <c r="C28" s="13" t="s">
        <v>193</v>
      </c>
      <c r="D28" s="13" t="s">
        <v>200</v>
      </c>
      <c r="E28" s="557">
        <f>+'FERC Form 1 Inputs'!L29</f>
        <v>34183541</v>
      </c>
      <c r="F28" s="13"/>
      <c r="G28" s="15"/>
    </row>
    <row r="29" spans="2:7">
      <c r="B29" s="11"/>
      <c r="C29" s="13" t="s">
        <v>165</v>
      </c>
      <c r="D29" s="13" t="s">
        <v>201</v>
      </c>
      <c r="E29" s="554">
        <f>+'FERC Form 1 Inputs'!L28</f>
        <v>6080015</v>
      </c>
      <c r="F29" s="13"/>
      <c r="G29" s="15"/>
    </row>
    <row r="30" spans="2:7">
      <c r="B30" s="11"/>
      <c r="C30" s="12" t="s">
        <v>188</v>
      </c>
      <c r="D30" s="13"/>
      <c r="E30" s="14">
        <f>SUM(E28:E29)</f>
        <v>40263556</v>
      </c>
      <c r="F30" s="13"/>
      <c r="G30" s="15"/>
    </row>
    <row r="31" spans="2:7">
      <c r="B31" s="11"/>
      <c r="C31" s="13"/>
      <c r="D31" s="13"/>
      <c r="E31" s="14"/>
      <c r="F31" s="13"/>
      <c r="G31" s="15"/>
    </row>
    <row r="32" spans="2:7" ht="15" thickBot="1">
      <c r="B32" s="11"/>
      <c r="C32" s="12" t="s">
        <v>189</v>
      </c>
      <c r="D32" s="13" t="s">
        <v>198</v>
      </c>
      <c r="E32" s="24">
        <f>+E25+E30</f>
        <v>41187442</v>
      </c>
      <c r="F32" s="13"/>
      <c r="G32" s="15"/>
    </row>
    <row r="33" spans="1:7" ht="15" thickTop="1">
      <c r="B33" s="11"/>
      <c r="C33" s="13"/>
      <c r="D33" s="13"/>
      <c r="E33" s="13"/>
      <c r="F33" s="13"/>
      <c r="G33" s="15"/>
    </row>
    <row r="34" spans="1:7">
      <c r="B34" s="11"/>
      <c r="C34" s="13" t="s">
        <v>190</v>
      </c>
      <c r="D34" s="157" t="s">
        <v>747</v>
      </c>
      <c r="E34" s="14">
        <f>(E11+E25)/2</f>
        <v>925443.5</v>
      </c>
      <c r="F34" s="157" t="s">
        <v>645</v>
      </c>
      <c r="G34" s="15"/>
    </row>
    <row r="35" spans="1:7" ht="15" thickBot="1">
      <c r="B35" s="20"/>
      <c r="C35" s="21"/>
      <c r="D35" s="21"/>
      <c r="E35" s="21"/>
      <c r="F35" s="21"/>
      <c r="G35" s="23"/>
    </row>
    <row r="36" spans="1:7" s="146" customFormat="1" ht="15" thickBot="1">
      <c r="B36" s="157"/>
      <c r="C36" s="157"/>
      <c r="D36" s="157"/>
      <c r="E36" s="157"/>
      <c r="F36" s="157"/>
      <c r="G36" s="157"/>
    </row>
    <row r="37" spans="1:7">
      <c r="A37" s="1"/>
      <c r="B37" s="7" t="s">
        <v>181</v>
      </c>
      <c r="C37" s="8"/>
      <c r="D37" s="8"/>
      <c r="E37" s="8"/>
      <c r="F37" s="8"/>
      <c r="G37" s="10"/>
    </row>
    <row r="38" spans="1:7">
      <c r="B38" s="11"/>
      <c r="C38" s="27" t="s">
        <v>105</v>
      </c>
      <c r="D38" s="27" t="s">
        <v>11</v>
      </c>
      <c r="E38" s="27" t="s">
        <v>103</v>
      </c>
      <c r="F38" s="13"/>
      <c r="G38" s="15"/>
    </row>
    <row r="39" spans="1:7">
      <c r="B39" s="11"/>
      <c r="C39" s="12" t="s">
        <v>202</v>
      </c>
      <c r="D39" s="13"/>
      <c r="E39" s="13"/>
      <c r="F39" s="13"/>
      <c r="G39" s="15"/>
    </row>
    <row r="40" spans="1:7">
      <c r="B40" s="11"/>
      <c r="C40" s="13" t="s">
        <v>208</v>
      </c>
      <c r="D40" s="13" t="s">
        <v>27</v>
      </c>
      <c r="E40" s="625">
        <v>3257251.9550000001</v>
      </c>
      <c r="F40" s="13"/>
      <c r="G40" s="15"/>
    </row>
    <row r="41" spans="1:7">
      <c r="B41" s="11"/>
      <c r="C41" s="12" t="s">
        <v>203</v>
      </c>
      <c r="D41" s="13"/>
      <c r="E41" s="14">
        <f>SUM(E40:E40)</f>
        <v>3257251.9550000001</v>
      </c>
      <c r="F41" s="157" t="s">
        <v>748</v>
      </c>
      <c r="G41" s="15"/>
    </row>
    <row r="42" spans="1:7">
      <c r="B42" s="11"/>
      <c r="C42" s="13"/>
      <c r="D42" s="13"/>
      <c r="E42" s="14"/>
      <c r="F42" s="13"/>
      <c r="G42" s="15"/>
    </row>
    <row r="43" spans="1:7">
      <c r="B43" s="11"/>
      <c r="C43" s="12" t="s">
        <v>204</v>
      </c>
      <c r="D43" s="13"/>
      <c r="E43" s="14"/>
      <c r="F43" s="13"/>
      <c r="G43" s="15"/>
    </row>
    <row r="44" spans="1:7">
      <c r="B44" s="11"/>
      <c r="C44" s="13" t="s">
        <v>193</v>
      </c>
      <c r="D44" s="13" t="s">
        <v>27</v>
      </c>
      <c r="E44" s="651">
        <v>44102843</v>
      </c>
      <c r="F44" s="13"/>
      <c r="G44" s="15"/>
    </row>
    <row r="45" spans="1:7">
      <c r="B45" s="11"/>
      <c r="C45" s="13" t="s">
        <v>165</v>
      </c>
      <c r="D45" s="13" t="s">
        <v>27</v>
      </c>
      <c r="E45" s="625">
        <v>5078840.0449999999</v>
      </c>
      <c r="F45" s="646"/>
      <c r="G45" s="15"/>
    </row>
    <row r="46" spans="1:7">
      <c r="B46" s="11"/>
      <c r="C46" s="12" t="s">
        <v>205</v>
      </c>
      <c r="D46" s="13"/>
      <c r="E46" s="14">
        <f>SUM(E44:E45)</f>
        <v>49181683.045000002</v>
      </c>
      <c r="F46" s="13"/>
      <c r="G46" s="15"/>
    </row>
    <row r="47" spans="1:7">
      <c r="B47" s="11"/>
      <c r="C47" s="13"/>
      <c r="D47" s="13"/>
      <c r="E47" s="14"/>
      <c r="F47" s="13"/>
      <c r="G47" s="15"/>
    </row>
    <row r="48" spans="1:7" ht="15" thickBot="1">
      <c r="B48" s="11"/>
      <c r="C48" s="12" t="s">
        <v>206</v>
      </c>
      <c r="D48" s="13" t="s">
        <v>209</v>
      </c>
      <c r="E48" s="24">
        <f>+E41+E46</f>
        <v>52438935</v>
      </c>
      <c r="F48" s="13"/>
      <c r="G48" s="15"/>
    </row>
    <row r="49" spans="2:7" ht="15" thickTop="1">
      <c r="B49" s="11"/>
      <c r="C49" s="13"/>
      <c r="D49" s="13"/>
      <c r="E49" s="13"/>
      <c r="F49" s="13"/>
      <c r="G49" s="15"/>
    </row>
    <row r="50" spans="2:7">
      <c r="B50" s="11"/>
      <c r="C50" s="13"/>
      <c r="D50" s="13"/>
      <c r="E50" s="13"/>
      <c r="F50" s="13"/>
      <c r="G50" s="15"/>
    </row>
    <row r="51" spans="2:7">
      <c r="B51" s="28"/>
      <c r="C51" s="13"/>
      <c r="D51" s="13"/>
      <c r="E51" s="13"/>
      <c r="F51" s="13"/>
      <c r="G51" s="15"/>
    </row>
    <row r="52" spans="2:7">
      <c r="B52" s="11"/>
      <c r="C52" s="27" t="s">
        <v>105</v>
      </c>
      <c r="D52" s="27" t="s">
        <v>11</v>
      </c>
      <c r="E52" s="27" t="s">
        <v>104</v>
      </c>
      <c r="F52" s="13"/>
      <c r="G52" s="15"/>
    </row>
    <row r="53" spans="2:7">
      <c r="B53" s="11"/>
      <c r="C53" s="12" t="s">
        <v>202</v>
      </c>
      <c r="D53" s="13"/>
      <c r="E53" s="13"/>
      <c r="F53" s="13"/>
      <c r="G53" s="15"/>
    </row>
    <row r="54" spans="2:7">
      <c r="B54" s="11"/>
      <c r="C54" s="13" t="s">
        <v>208</v>
      </c>
      <c r="D54" s="13" t="s">
        <v>27</v>
      </c>
      <c r="E54" s="625">
        <v>3254853.395</v>
      </c>
      <c r="F54" s="646"/>
      <c r="G54" s="15"/>
    </row>
    <row r="55" spans="2:7">
      <c r="B55" s="11"/>
      <c r="C55" s="12" t="s">
        <v>203</v>
      </c>
      <c r="D55" s="13"/>
      <c r="E55" s="14">
        <f>SUM(E54:E54)</f>
        <v>3254853.395</v>
      </c>
      <c r="F55" s="157" t="s">
        <v>749</v>
      </c>
      <c r="G55" s="15"/>
    </row>
    <row r="56" spans="2:7">
      <c r="B56" s="11"/>
      <c r="C56" s="13"/>
      <c r="D56" s="13"/>
      <c r="E56" s="14"/>
      <c r="F56" s="13"/>
      <c r="G56" s="15"/>
    </row>
    <row r="57" spans="2:7">
      <c r="B57" s="11"/>
      <c r="C57" s="12" t="s">
        <v>204</v>
      </c>
      <c r="D57" s="13"/>
      <c r="E57" s="14"/>
      <c r="F57" s="13"/>
      <c r="G57" s="15"/>
    </row>
    <row r="58" spans="2:7">
      <c r="B58" s="11"/>
      <c r="C58" s="13" t="s">
        <v>193</v>
      </c>
      <c r="D58" s="13" t="s">
        <v>27</v>
      </c>
      <c r="E58" s="651">
        <v>55815849</v>
      </c>
      <c r="F58" s="13"/>
      <c r="G58" s="15"/>
    </row>
    <row r="59" spans="2:7">
      <c r="B59" s="11"/>
      <c r="C59" s="13" t="s">
        <v>165</v>
      </c>
      <c r="D59" s="13" t="s">
        <v>27</v>
      </c>
      <c r="E59" s="625">
        <v>4288688.6050000004</v>
      </c>
      <c r="F59" s="646"/>
      <c r="G59" s="15"/>
    </row>
    <row r="60" spans="2:7">
      <c r="B60" s="11"/>
      <c r="C60" s="12" t="s">
        <v>205</v>
      </c>
      <c r="D60" s="13"/>
      <c r="E60" s="14">
        <f>SUM(E58:E59)</f>
        <v>60104537.605000004</v>
      </c>
      <c r="F60" s="13"/>
      <c r="G60" s="15"/>
    </row>
    <row r="61" spans="2:7">
      <c r="B61" s="11"/>
      <c r="C61" s="13"/>
      <c r="D61" s="13"/>
      <c r="E61" s="14"/>
      <c r="F61" s="13"/>
      <c r="G61" s="15"/>
    </row>
    <row r="62" spans="2:7" ht="15" thickBot="1">
      <c r="B62" s="11"/>
      <c r="C62" s="12" t="s">
        <v>206</v>
      </c>
      <c r="D62" s="13" t="s">
        <v>210</v>
      </c>
      <c r="E62" s="24">
        <f>+E55+E60</f>
        <v>63359391.000000007</v>
      </c>
      <c r="F62" s="13"/>
      <c r="G62" s="15"/>
    </row>
    <row r="63" spans="2:7" ht="15" thickTop="1">
      <c r="B63" s="11"/>
      <c r="C63" s="13"/>
      <c r="D63" s="13"/>
      <c r="E63" s="13"/>
      <c r="F63" s="13"/>
      <c r="G63" s="15"/>
    </row>
    <row r="64" spans="2:7">
      <c r="B64" s="11"/>
      <c r="C64" s="13" t="s">
        <v>207</v>
      </c>
      <c r="D64" s="157" t="s">
        <v>750</v>
      </c>
      <c r="E64" s="14">
        <f>(E41+E55)/2</f>
        <v>3256052.6749999998</v>
      </c>
      <c r="F64" s="157" t="s">
        <v>646</v>
      </c>
      <c r="G64" s="15"/>
    </row>
    <row r="65" spans="2:7" ht="15" thickBot="1">
      <c r="B65" s="20"/>
      <c r="C65" s="21"/>
      <c r="D65" s="21"/>
      <c r="E65" s="21"/>
      <c r="F65" s="21"/>
      <c r="G65" s="23"/>
    </row>
    <row r="67" spans="2:7">
      <c r="E67" s="69"/>
    </row>
    <row r="68" spans="2:7">
      <c r="E68" s="69"/>
    </row>
    <row r="69" spans="2:7">
      <c r="E69" s="68"/>
    </row>
  </sheetData>
  <pageMargins left="0.7" right="0.7" top="0.75" bottom="0.75" header="0.3" footer="0.3"/>
  <pageSetup scale="77" fitToHeight="0" orientation="landscape" r:id="rId1"/>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topLeftCell="A94" zoomScale="70" zoomScaleNormal="70" workbookViewId="0">
      <selection activeCell="E42" sqref="E42"/>
    </sheetView>
  </sheetViews>
  <sheetFormatPr defaultRowHeight="14.4"/>
  <cols>
    <col min="2" max="2" width="3.33203125" customWidth="1"/>
    <col min="3" max="3" width="56.44140625" customWidth="1"/>
    <col min="4" max="4" width="34.5546875" bestFit="1" customWidth="1"/>
    <col min="5" max="5" width="31.33203125" bestFit="1" customWidth="1"/>
    <col min="7" max="7" width="13.44140625" customWidth="1"/>
  </cols>
  <sheetData>
    <row r="1" spans="1:7">
      <c r="A1" s="1" t="s">
        <v>0</v>
      </c>
    </row>
    <row r="2" spans="1:7">
      <c r="A2" s="1" t="s">
        <v>184</v>
      </c>
    </row>
    <row r="3" spans="1:7" s="146" customFormat="1">
      <c r="A3" s="147"/>
    </row>
    <row r="4" spans="1:7" s="146" customFormat="1">
      <c r="A4" s="147"/>
    </row>
    <row r="5" spans="1:7" s="146" customFormat="1">
      <c r="A5" s="147"/>
      <c r="B5" s="191" t="s">
        <v>725</v>
      </c>
      <c r="C5" s="146" t="s">
        <v>949</v>
      </c>
    </row>
    <row r="6" spans="1:7" ht="15" thickBot="1">
      <c r="A6" s="1"/>
    </row>
    <row r="7" spans="1:7">
      <c r="C7" s="42" t="s">
        <v>105</v>
      </c>
      <c r="D7" s="43" t="s">
        <v>11</v>
      </c>
      <c r="E7" s="43" t="s">
        <v>103</v>
      </c>
      <c r="F7" s="8"/>
      <c r="G7" s="10"/>
    </row>
    <row r="8" spans="1:7">
      <c r="C8" s="28" t="s">
        <v>157</v>
      </c>
      <c r="D8" s="13"/>
      <c r="E8" s="13"/>
      <c r="F8" s="13"/>
      <c r="G8" s="15"/>
    </row>
    <row r="9" spans="1:7">
      <c r="C9" s="11" t="s">
        <v>155</v>
      </c>
      <c r="D9" s="13" t="s">
        <v>156</v>
      </c>
      <c r="E9" s="162">
        <v>33310</v>
      </c>
      <c r="F9" s="13"/>
      <c r="G9" s="15"/>
    </row>
    <row r="10" spans="1:7">
      <c r="C10" s="155" t="s">
        <v>785</v>
      </c>
      <c r="D10" s="157" t="s">
        <v>27</v>
      </c>
      <c r="E10" s="509">
        <v>0</v>
      </c>
      <c r="F10" s="13"/>
      <c r="G10" s="15"/>
    </row>
    <row r="11" spans="1:7">
      <c r="C11" s="11"/>
      <c r="D11" s="13"/>
      <c r="E11" s="149">
        <v>0</v>
      </c>
      <c r="F11" s="13"/>
      <c r="G11" s="15"/>
    </row>
    <row r="12" spans="1:7">
      <c r="C12" s="28" t="s">
        <v>151</v>
      </c>
      <c r="D12" s="13"/>
      <c r="E12" s="14">
        <f>SUM(E9:E11)</f>
        <v>33310</v>
      </c>
      <c r="F12" s="157" t="s">
        <v>727</v>
      </c>
      <c r="G12" s="15"/>
    </row>
    <row r="13" spans="1:7">
      <c r="C13" s="11"/>
      <c r="D13" s="13"/>
      <c r="E13" s="14"/>
      <c r="F13" s="13"/>
      <c r="G13" s="15"/>
    </row>
    <row r="14" spans="1:7">
      <c r="C14" s="28" t="s">
        <v>152</v>
      </c>
      <c r="D14" s="13"/>
      <c r="E14" s="14"/>
      <c r="F14" s="13"/>
      <c r="G14" s="15"/>
    </row>
    <row r="15" spans="1:7">
      <c r="C15" s="11" t="s">
        <v>158</v>
      </c>
      <c r="D15" s="13" t="s">
        <v>164</v>
      </c>
      <c r="E15" s="162">
        <v>105001</v>
      </c>
      <c r="F15" s="13"/>
      <c r="G15" s="15"/>
    </row>
    <row r="16" spans="1:7">
      <c r="C16" s="11" t="s">
        <v>159</v>
      </c>
      <c r="D16" s="13" t="s">
        <v>166</v>
      </c>
      <c r="E16" s="162">
        <v>882210</v>
      </c>
      <c r="F16" s="13"/>
      <c r="G16" s="15"/>
    </row>
    <row r="17" spans="2:7">
      <c r="C17" s="11" t="s">
        <v>160</v>
      </c>
      <c r="D17" s="13" t="s">
        <v>167</v>
      </c>
      <c r="E17" s="162">
        <v>404562</v>
      </c>
      <c r="F17" s="13"/>
      <c r="G17" s="15"/>
    </row>
    <row r="18" spans="2:7">
      <c r="C18" s="11" t="s">
        <v>161</v>
      </c>
      <c r="D18" s="13" t="s">
        <v>168</v>
      </c>
      <c r="E18" s="162">
        <v>34291027</v>
      </c>
      <c r="F18" s="13"/>
      <c r="G18" s="15"/>
    </row>
    <row r="19" spans="2:7">
      <c r="C19" s="11" t="s">
        <v>162</v>
      </c>
      <c r="D19" s="13" t="s">
        <v>169</v>
      </c>
      <c r="E19" s="162">
        <v>12337258</v>
      </c>
      <c r="F19" s="13"/>
      <c r="G19" s="15"/>
    </row>
    <row r="20" spans="2:7">
      <c r="C20" s="11" t="s">
        <v>163</v>
      </c>
      <c r="D20" s="157" t="s">
        <v>965</v>
      </c>
      <c r="E20" s="162">
        <v>22435428</v>
      </c>
      <c r="F20" s="13"/>
      <c r="G20" s="15"/>
    </row>
    <row r="21" spans="2:7">
      <c r="C21" s="11" t="s">
        <v>165</v>
      </c>
      <c r="D21" s="13" t="s">
        <v>1561</v>
      </c>
      <c r="E21" s="149">
        <v>7454022</v>
      </c>
      <c r="F21" s="13"/>
      <c r="G21" s="15"/>
    </row>
    <row r="22" spans="2:7">
      <c r="C22" s="28" t="s">
        <v>153</v>
      </c>
      <c r="D22" s="13"/>
      <c r="E22" s="14">
        <f>SUM(E15:E21)</f>
        <v>77909508</v>
      </c>
      <c r="F22" s="13"/>
      <c r="G22" s="15"/>
    </row>
    <row r="23" spans="2:7">
      <c r="C23" s="11"/>
      <c r="D23" s="13"/>
      <c r="E23" s="14"/>
      <c r="F23" s="13"/>
      <c r="G23" s="15"/>
    </row>
    <row r="24" spans="2:7" ht="15" thickBot="1">
      <c r="C24" s="28" t="s">
        <v>154</v>
      </c>
      <c r="D24" s="13" t="s">
        <v>170</v>
      </c>
      <c r="E24" s="24">
        <f>+E12+E22</f>
        <v>77942818</v>
      </c>
      <c r="F24" s="13"/>
      <c r="G24" s="15"/>
    </row>
    <row r="25" spans="2:7" ht="15" thickTop="1">
      <c r="C25" s="11"/>
      <c r="D25" s="13"/>
      <c r="E25" s="13"/>
      <c r="F25" s="13"/>
      <c r="G25" s="15"/>
    </row>
    <row r="26" spans="2:7">
      <c r="C26" s="11"/>
      <c r="D26" s="13"/>
      <c r="E26" s="13"/>
      <c r="F26" s="13"/>
      <c r="G26" s="15"/>
    </row>
    <row r="27" spans="2:7">
      <c r="B27" s="1"/>
      <c r="C27" s="11"/>
      <c r="D27" s="13"/>
      <c r="E27" s="13"/>
      <c r="F27" s="13"/>
      <c r="G27" s="15"/>
    </row>
    <row r="28" spans="2:7">
      <c r="C28" s="44" t="s">
        <v>105</v>
      </c>
      <c r="D28" s="27" t="s">
        <v>11</v>
      </c>
      <c r="E28" s="27" t="s">
        <v>104</v>
      </c>
      <c r="F28" s="13"/>
      <c r="G28" s="15"/>
    </row>
    <row r="29" spans="2:7">
      <c r="C29" s="28" t="s">
        <v>157</v>
      </c>
      <c r="D29" s="13"/>
      <c r="E29" s="13"/>
      <c r="F29" s="13"/>
      <c r="G29" s="15"/>
    </row>
    <row r="30" spans="2:7">
      <c r="C30" s="11" t="s">
        <v>155</v>
      </c>
      <c r="D30" s="13" t="s">
        <v>173</v>
      </c>
      <c r="E30" s="162">
        <v>0</v>
      </c>
      <c r="F30" s="13"/>
      <c r="G30" s="15"/>
    </row>
    <row r="31" spans="2:7">
      <c r="C31" s="155" t="s">
        <v>785</v>
      </c>
      <c r="D31" s="157" t="s">
        <v>27</v>
      </c>
      <c r="E31" s="162">
        <v>0</v>
      </c>
      <c r="F31" s="13"/>
      <c r="G31" s="15"/>
    </row>
    <row r="32" spans="2:7">
      <c r="C32" s="11"/>
      <c r="D32" s="13"/>
      <c r="E32" s="149">
        <v>0</v>
      </c>
      <c r="F32" s="13"/>
      <c r="G32" s="15"/>
    </row>
    <row r="33" spans="3:7">
      <c r="C33" s="28" t="s">
        <v>151</v>
      </c>
      <c r="D33" s="13"/>
      <c r="E33" s="14">
        <f>SUM(E30:E32)</f>
        <v>0</v>
      </c>
      <c r="F33" s="157" t="s">
        <v>728</v>
      </c>
      <c r="G33" s="15"/>
    </row>
    <row r="34" spans="3:7">
      <c r="C34" s="11"/>
      <c r="D34" s="13"/>
      <c r="E34" s="14"/>
      <c r="F34" s="13"/>
      <c r="G34" s="15"/>
    </row>
    <row r="35" spans="3:7">
      <c r="C35" s="28" t="s">
        <v>152</v>
      </c>
      <c r="D35" s="13"/>
      <c r="E35" s="14"/>
      <c r="F35" s="13"/>
      <c r="G35" s="15"/>
    </row>
    <row r="36" spans="3:7">
      <c r="C36" s="11" t="s">
        <v>158</v>
      </c>
      <c r="D36" s="13" t="s">
        <v>174</v>
      </c>
      <c r="E36" s="162">
        <v>439754</v>
      </c>
      <c r="F36" s="13"/>
      <c r="G36" s="15"/>
    </row>
    <row r="37" spans="3:7">
      <c r="C37" s="11" t="s">
        <v>159</v>
      </c>
      <c r="D37" s="13" t="s">
        <v>175</v>
      </c>
      <c r="E37" s="162">
        <v>1307123</v>
      </c>
      <c r="F37" s="13"/>
      <c r="G37" s="15"/>
    </row>
    <row r="38" spans="3:7">
      <c r="C38" s="11" t="s">
        <v>160</v>
      </c>
      <c r="D38" s="13" t="s">
        <v>176</v>
      </c>
      <c r="E38" s="162">
        <v>859402</v>
      </c>
      <c r="F38" s="13"/>
      <c r="G38" s="15"/>
    </row>
    <row r="39" spans="3:7">
      <c r="C39" s="11" t="s">
        <v>161</v>
      </c>
      <c r="D39" s="13" t="s">
        <v>177</v>
      </c>
      <c r="E39" s="162">
        <v>50223282</v>
      </c>
      <c r="F39" s="13"/>
      <c r="G39" s="15"/>
    </row>
    <row r="40" spans="3:7">
      <c r="C40" s="11" t="s">
        <v>162</v>
      </c>
      <c r="D40" s="13" t="s">
        <v>178</v>
      </c>
      <c r="E40" s="162">
        <v>12197864</v>
      </c>
      <c r="F40" s="13"/>
      <c r="G40" s="15"/>
    </row>
    <row r="41" spans="3:7">
      <c r="C41" s="11" t="s">
        <v>163</v>
      </c>
      <c r="D41" s="157" t="s">
        <v>966</v>
      </c>
      <c r="E41" s="162">
        <v>23279476</v>
      </c>
      <c r="F41" s="13"/>
      <c r="G41" s="15"/>
    </row>
    <row r="42" spans="3:7" s="621" customFormat="1">
      <c r="C42" s="644" t="s">
        <v>1563</v>
      </c>
      <c r="D42" s="646" t="s">
        <v>1564</v>
      </c>
      <c r="E42" s="651">
        <v>11742734</v>
      </c>
      <c r="F42" s="646"/>
      <c r="G42" s="648"/>
    </row>
    <row r="43" spans="3:7">
      <c r="C43" s="11" t="s">
        <v>165</v>
      </c>
      <c r="D43" s="13" t="s">
        <v>1562</v>
      </c>
      <c r="E43" s="149">
        <v>5401382</v>
      </c>
      <c r="F43" s="13"/>
      <c r="G43" s="15"/>
    </row>
    <row r="44" spans="3:7">
      <c r="C44" s="28" t="s">
        <v>153</v>
      </c>
      <c r="D44" s="13"/>
      <c r="E44" s="14">
        <f>SUM(E36:E43)</f>
        <v>105451017</v>
      </c>
      <c r="F44" s="13"/>
      <c r="G44" s="15"/>
    </row>
    <row r="45" spans="3:7">
      <c r="C45" s="11"/>
      <c r="D45" s="13"/>
      <c r="E45" s="14"/>
      <c r="F45" s="13"/>
      <c r="G45" s="15"/>
    </row>
    <row r="46" spans="3:7" ht="15" thickBot="1">
      <c r="C46" s="28" t="s">
        <v>154</v>
      </c>
      <c r="D46" s="13" t="s">
        <v>172</v>
      </c>
      <c r="E46" s="24">
        <f>+E33+E44</f>
        <v>105451017</v>
      </c>
      <c r="F46" s="13"/>
      <c r="G46" s="15"/>
    </row>
    <row r="47" spans="3:7" ht="15" thickTop="1">
      <c r="C47" s="28"/>
      <c r="D47" s="13"/>
      <c r="E47" s="14"/>
      <c r="F47" s="13"/>
      <c r="G47" s="15"/>
    </row>
    <row r="48" spans="3:7">
      <c r="C48" s="155" t="s">
        <v>752</v>
      </c>
      <c r="D48" s="157" t="s">
        <v>751</v>
      </c>
      <c r="E48" s="14">
        <f>-(E12+E33)/2</f>
        <v>-16655</v>
      </c>
      <c r="F48" s="380" t="s">
        <v>748</v>
      </c>
      <c r="G48" s="15"/>
    </row>
    <row r="49" spans="3:16" ht="15" thickBot="1">
      <c r="C49" s="20"/>
      <c r="D49" s="21"/>
      <c r="E49" s="21"/>
      <c r="F49" s="21"/>
      <c r="G49" s="23"/>
    </row>
    <row r="50" spans="3:16" ht="15" thickBot="1"/>
    <row r="51" spans="3:16">
      <c r="C51" s="372" t="s">
        <v>105</v>
      </c>
      <c r="D51" s="373" t="s">
        <v>11</v>
      </c>
      <c r="E51" s="373" t="s">
        <v>103</v>
      </c>
      <c r="F51" s="360"/>
      <c r="G51" s="361"/>
    </row>
    <row r="52" spans="3:16" s="358" customFormat="1">
      <c r="C52" s="371" t="s">
        <v>1047</v>
      </c>
      <c r="D52" s="370"/>
      <c r="E52" s="370"/>
      <c r="F52" s="363"/>
      <c r="G52" s="365"/>
    </row>
    <row r="53" spans="3:16" s="358" customFormat="1">
      <c r="C53" s="362" t="s">
        <v>1048</v>
      </c>
      <c r="D53" s="359" t="s">
        <v>358</v>
      </c>
      <c r="E53" s="651">
        <v>2003561.22</v>
      </c>
      <c r="F53" s="363"/>
      <c r="G53" s="365"/>
    </row>
    <row r="54" spans="3:16" s="358" customFormat="1">
      <c r="C54" s="362" t="s">
        <v>1049</v>
      </c>
      <c r="D54" s="359" t="s">
        <v>358</v>
      </c>
      <c r="E54" s="651">
        <v>694806.66</v>
      </c>
      <c r="F54" s="363"/>
      <c r="G54" s="365"/>
    </row>
    <row r="55" spans="3:16" s="358" customFormat="1">
      <c r="C55" s="377" t="s">
        <v>1050</v>
      </c>
      <c r="D55" s="359" t="s">
        <v>358</v>
      </c>
      <c r="E55" s="651">
        <v>843645.47</v>
      </c>
      <c r="F55" s="359"/>
      <c r="G55" s="365"/>
      <c r="I55" s="583"/>
      <c r="J55" s="583"/>
      <c r="K55" s="583"/>
      <c r="L55" s="583"/>
      <c r="M55" s="583"/>
      <c r="N55" s="583"/>
      <c r="O55" s="583"/>
      <c r="P55" s="583"/>
    </row>
    <row r="56" spans="3:16" s="358" customFormat="1">
      <c r="C56" s="377" t="s">
        <v>1051</v>
      </c>
      <c r="D56" s="359" t="s">
        <v>358</v>
      </c>
      <c r="E56" s="651">
        <v>5241634.8099999996</v>
      </c>
      <c r="F56" s="363"/>
      <c r="G56" s="365"/>
      <c r="I56" s="596"/>
      <c r="J56" s="583"/>
      <c r="K56" s="583"/>
      <c r="L56" s="583"/>
      <c r="M56" s="583"/>
      <c r="N56" s="583"/>
      <c r="O56" s="583"/>
      <c r="P56" s="583"/>
    </row>
    <row r="57" spans="3:16" s="358" customFormat="1">
      <c r="C57" s="377" t="s">
        <v>1052</v>
      </c>
      <c r="D57" s="359" t="s">
        <v>358</v>
      </c>
      <c r="E57" s="651">
        <v>809531.22</v>
      </c>
      <c r="F57" s="363"/>
      <c r="G57" s="365"/>
    </row>
    <row r="58" spans="3:16" s="358" customFormat="1">
      <c r="C58" s="377" t="s">
        <v>1053</v>
      </c>
      <c r="D58" s="359" t="s">
        <v>358</v>
      </c>
      <c r="E58" s="651">
        <v>234405.08</v>
      </c>
      <c r="F58" s="363"/>
      <c r="G58" s="365"/>
    </row>
    <row r="59" spans="3:16" s="358" customFormat="1">
      <c r="C59" s="377" t="s">
        <v>1054</v>
      </c>
      <c r="D59" s="359" t="s">
        <v>358</v>
      </c>
      <c r="E59" s="651">
        <v>14799.63</v>
      </c>
      <c r="F59" s="363"/>
      <c r="G59" s="365"/>
    </row>
    <row r="60" spans="3:16" s="358" customFormat="1">
      <c r="C60" s="377" t="s">
        <v>1055</v>
      </c>
      <c r="D60" s="359" t="s">
        <v>358</v>
      </c>
      <c r="E60" s="651">
        <v>0</v>
      </c>
      <c r="F60" s="363"/>
      <c r="G60" s="365"/>
    </row>
    <row r="61" spans="3:16" s="358" customFormat="1">
      <c r="C61" s="377" t="s">
        <v>1056</v>
      </c>
      <c r="D61" s="359" t="s">
        <v>358</v>
      </c>
      <c r="E61" s="625">
        <v>1527862</v>
      </c>
      <c r="F61" s="363"/>
      <c r="G61" s="365"/>
    </row>
    <row r="62" spans="3:16" s="358" customFormat="1">
      <c r="C62" s="371" t="s">
        <v>1057</v>
      </c>
      <c r="D62" s="363"/>
      <c r="E62" s="378">
        <f>SUM(E53:E61)</f>
        <v>11370246.090000002</v>
      </c>
      <c r="F62" s="363"/>
      <c r="G62" s="365"/>
    </row>
    <row r="63" spans="3:16" s="358" customFormat="1">
      <c r="C63" s="377"/>
      <c r="D63" s="363"/>
      <c r="E63" s="359"/>
      <c r="F63" s="363"/>
      <c r="G63" s="365"/>
    </row>
    <row r="64" spans="3:16" s="358" customFormat="1">
      <c r="C64" s="376" t="s">
        <v>59</v>
      </c>
      <c r="D64" s="363"/>
      <c r="E64" s="379">
        <f>+'Attachment H-1'!H17</f>
        <v>5.6599999999999998E-2</v>
      </c>
      <c r="F64" s="363"/>
      <c r="G64" s="365"/>
    </row>
    <row r="65" spans="3:7" s="358" customFormat="1">
      <c r="C65" s="377"/>
      <c r="D65" s="363"/>
      <c r="E65" s="359"/>
      <c r="F65" s="363"/>
      <c r="G65" s="365"/>
    </row>
    <row r="66" spans="3:7" s="358" customFormat="1">
      <c r="C66" s="371" t="s">
        <v>1058</v>
      </c>
      <c r="D66" s="363"/>
      <c r="E66" s="364">
        <f>+E62*E64</f>
        <v>643555.92869400012</v>
      </c>
      <c r="F66" s="363" t="s">
        <v>749</v>
      </c>
      <c r="G66" s="365"/>
    </row>
    <row r="67" spans="3:7" s="358" customFormat="1">
      <c r="C67" s="377"/>
      <c r="D67" s="363"/>
      <c r="E67" s="359"/>
      <c r="F67" s="363"/>
      <c r="G67" s="365"/>
    </row>
    <row r="68" spans="3:7" s="358" customFormat="1">
      <c r="C68" s="371" t="s">
        <v>1059</v>
      </c>
      <c r="D68" s="363"/>
      <c r="E68" s="364"/>
      <c r="F68" s="363"/>
      <c r="G68" s="365"/>
    </row>
    <row r="69" spans="3:7" s="358" customFormat="1">
      <c r="C69" s="377" t="s">
        <v>1060</v>
      </c>
      <c r="D69" s="359" t="s">
        <v>358</v>
      </c>
      <c r="E69" s="651">
        <v>7136748.0700000003</v>
      </c>
      <c r="F69" s="363"/>
      <c r="G69" s="365"/>
    </row>
    <row r="70" spans="3:7" s="358" customFormat="1">
      <c r="C70" s="377" t="s">
        <v>1061</v>
      </c>
      <c r="D70" s="359" t="s">
        <v>358</v>
      </c>
      <c r="E70" s="625">
        <v>30383755.66</v>
      </c>
      <c r="F70" s="363"/>
      <c r="G70" s="365"/>
    </row>
    <row r="71" spans="3:7" s="358" customFormat="1">
      <c r="C71" s="371" t="s">
        <v>1062</v>
      </c>
      <c r="D71" s="363"/>
      <c r="E71" s="364">
        <f>SUM(E69:E70)</f>
        <v>37520503.730000004</v>
      </c>
      <c r="F71" s="363"/>
      <c r="G71" s="365"/>
    </row>
    <row r="72" spans="3:7" s="358" customFormat="1">
      <c r="C72" s="377"/>
      <c r="D72" s="363"/>
      <c r="E72" s="364"/>
      <c r="F72" s="363"/>
      <c r="G72" s="365"/>
    </row>
    <row r="73" spans="3:7" s="358" customFormat="1" ht="15" thickBot="1">
      <c r="C73" s="376" t="s">
        <v>1063</v>
      </c>
      <c r="D73" s="363"/>
      <c r="E73" s="369">
        <f>+E62+E71</f>
        <v>48890749.820000008</v>
      </c>
      <c r="F73" s="363"/>
      <c r="G73" s="365"/>
    </row>
    <row r="74" spans="3:7" s="358" customFormat="1" ht="15" thickTop="1">
      <c r="C74" s="377"/>
      <c r="D74" s="363"/>
      <c r="E74" s="364"/>
      <c r="F74" s="363"/>
      <c r="G74" s="365"/>
    </row>
    <row r="75" spans="3:7" s="358" customFormat="1">
      <c r="C75" s="374" t="s">
        <v>105</v>
      </c>
      <c r="D75" s="370" t="s">
        <v>11</v>
      </c>
      <c r="E75" s="370" t="s">
        <v>104</v>
      </c>
      <c r="F75" s="363"/>
      <c r="G75" s="365"/>
    </row>
    <row r="76" spans="3:7" s="358" customFormat="1">
      <c r="C76" s="371" t="s">
        <v>1047</v>
      </c>
      <c r="D76" s="370"/>
      <c r="E76" s="370"/>
      <c r="F76" s="363"/>
      <c r="G76" s="365"/>
    </row>
    <row r="77" spans="3:7" s="358" customFormat="1">
      <c r="C77" s="362" t="s">
        <v>1048</v>
      </c>
      <c r="D77" s="359" t="s">
        <v>358</v>
      </c>
      <c r="E77" s="651">
        <v>2339756</v>
      </c>
      <c r="F77" s="363"/>
      <c r="G77" s="365"/>
    </row>
    <row r="78" spans="3:7" s="358" customFormat="1">
      <c r="C78" s="362" t="s">
        <v>1049</v>
      </c>
      <c r="D78" s="359" t="s">
        <v>358</v>
      </c>
      <c r="E78" s="651">
        <v>1123375</v>
      </c>
      <c r="F78" s="363"/>
      <c r="G78" s="365"/>
    </row>
    <row r="79" spans="3:7" s="358" customFormat="1">
      <c r="C79" s="377" t="s">
        <v>1050</v>
      </c>
      <c r="D79" s="359" t="s">
        <v>358</v>
      </c>
      <c r="E79" s="651">
        <v>898460</v>
      </c>
      <c r="F79" s="363"/>
      <c r="G79" s="365"/>
    </row>
    <row r="80" spans="3:7" s="358" customFormat="1">
      <c r="C80" s="377" t="s">
        <v>1051</v>
      </c>
      <c r="D80" s="359" t="s">
        <v>358</v>
      </c>
      <c r="E80" s="651">
        <v>5022729</v>
      </c>
      <c r="F80" s="363"/>
      <c r="G80" s="365"/>
    </row>
    <row r="81" spans="3:7" s="358" customFormat="1">
      <c r="C81" s="377" t="s">
        <v>1052</v>
      </c>
      <c r="D81" s="359" t="s">
        <v>358</v>
      </c>
      <c r="E81" s="651">
        <v>742451</v>
      </c>
      <c r="F81" s="363"/>
      <c r="G81" s="365"/>
    </row>
    <row r="82" spans="3:7" s="358" customFormat="1">
      <c r="C82" s="377" t="s">
        <v>1053</v>
      </c>
      <c r="D82" s="359" t="s">
        <v>358</v>
      </c>
      <c r="E82" s="651">
        <v>226265</v>
      </c>
      <c r="F82" s="363"/>
      <c r="G82" s="365"/>
    </row>
    <row r="83" spans="3:7" s="358" customFormat="1">
      <c r="C83" s="377" t="s">
        <v>1054</v>
      </c>
      <c r="D83" s="359" t="s">
        <v>358</v>
      </c>
      <c r="E83" s="651">
        <v>6689</v>
      </c>
      <c r="F83" s="363"/>
      <c r="G83" s="365"/>
    </row>
    <row r="84" spans="3:7" s="621" customFormat="1">
      <c r="C84" s="582" t="s">
        <v>1565</v>
      </c>
      <c r="D84" s="621" t="s">
        <v>358</v>
      </c>
      <c r="E84" s="651">
        <v>33987</v>
      </c>
      <c r="F84" s="646"/>
      <c r="G84" s="648"/>
    </row>
    <row r="85" spans="3:7" s="358" customFormat="1">
      <c r="C85" s="377" t="s">
        <v>1055</v>
      </c>
      <c r="D85" s="359" t="s">
        <v>358</v>
      </c>
      <c r="E85" s="651">
        <v>0</v>
      </c>
      <c r="F85" s="363"/>
      <c r="G85" s="365"/>
    </row>
    <row r="86" spans="3:7" s="358" customFormat="1">
      <c r="C86" s="377" t="s">
        <v>1056</v>
      </c>
      <c r="D86" s="359" t="s">
        <v>358</v>
      </c>
      <c r="E86" s="625">
        <v>1517383</v>
      </c>
      <c r="F86" s="363"/>
      <c r="G86" s="365"/>
    </row>
    <row r="87" spans="3:7" s="358" customFormat="1">
      <c r="C87" s="371" t="s">
        <v>1057</v>
      </c>
      <c r="D87" s="363"/>
      <c r="E87" s="378">
        <f>SUM(E77:E86)</f>
        <v>11911095</v>
      </c>
      <c r="F87" s="363"/>
      <c r="G87" s="365"/>
    </row>
    <row r="88" spans="3:7" s="358" customFormat="1">
      <c r="C88" s="377"/>
      <c r="D88" s="363"/>
      <c r="E88" s="359"/>
      <c r="F88" s="363"/>
      <c r="G88" s="365"/>
    </row>
    <row r="89" spans="3:7" s="358" customFormat="1">
      <c r="C89" s="376" t="s">
        <v>59</v>
      </c>
      <c r="D89" s="363"/>
      <c r="E89" s="379">
        <f>+E64</f>
        <v>5.6599999999999998E-2</v>
      </c>
      <c r="F89" s="363"/>
      <c r="G89" s="365"/>
    </row>
    <row r="90" spans="3:7" s="358" customFormat="1">
      <c r="C90" s="377"/>
      <c r="D90" s="363"/>
      <c r="E90" s="359"/>
      <c r="F90" s="363"/>
      <c r="G90" s="365"/>
    </row>
    <row r="91" spans="3:7" s="358" customFormat="1">
      <c r="C91" s="371" t="s">
        <v>1058</v>
      </c>
      <c r="D91" s="363"/>
      <c r="E91" s="364">
        <f>+E87*E89</f>
        <v>674167.97699999996</v>
      </c>
      <c r="F91" s="363" t="s">
        <v>1064</v>
      </c>
      <c r="G91" s="365"/>
    </row>
    <row r="92" spans="3:7" s="358" customFormat="1">
      <c r="C92" s="377"/>
      <c r="D92" s="363"/>
      <c r="E92" s="359"/>
      <c r="F92" s="363"/>
      <c r="G92" s="365"/>
    </row>
    <row r="93" spans="3:7" s="358" customFormat="1">
      <c r="C93" s="371" t="s">
        <v>1059</v>
      </c>
      <c r="D93" s="363"/>
      <c r="E93" s="364"/>
      <c r="F93" s="363"/>
      <c r="G93" s="365"/>
    </row>
    <row r="94" spans="3:7" s="358" customFormat="1">
      <c r="C94" s="377" t="s">
        <v>1060</v>
      </c>
      <c r="D94" s="359" t="s">
        <v>358</v>
      </c>
      <c r="E94" s="651">
        <v>4445621</v>
      </c>
      <c r="F94" s="363"/>
      <c r="G94" s="365"/>
    </row>
    <row r="95" spans="3:7" s="358" customFormat="1">
      <c r="C95" s="377" t="s">
        <v>1061</v>
      </c>
      <c r="D95" s="359" t="s">
        <v>358</v>
      </c>
      <c r="E95" s="625">
        <v>22816232</v>
      </c>
      <c r="F95" s="363"/>
      <c r="G95" s="365"/>
    </row>
    <row r="96" spans="3:7" s="358" customFormat="1">
      <c r="C96" s="371" t="s">
        <v>1062</v>
      </c>
      <c r="D96" s="370"/>
      <c r="E96" s="364">
        <f>SUM(E94:E95)</f>
        <v>27261853</v>
      </c>
      <c r="F96" s="363"/>
      <c r="G96" s="365"/>
    </row>
    <row r="97" spans="3:7" s="358" customFormat="1">
      <c r="C97" s="374"/>
      <c r="D97" s="370"/>
      <c r="E97" s="364"/>
      <c r="F97" s="363"/>
      <c r="G97" s="365"/>
    </row>
    <row r="98" spans="3:7" s="358" customFormat="1" ht="15" thickBot="1">
      <c r="C98" s="376" t="s">
        <v>1063</v>
      </c>
      <c r="D98" s="370"/>
      <c r="E98" s="369">
        <f>+E87+E96</f>
        <v>39172948</v>
      </c>
      <c r="F98" s="363"/>
      <c r="G98" s="365"/>
    </row>
    <row r="99" spans="3:7" s="358" customFormat="1" ht="15" thickTop="1">
      <c r="C99" s="376"/>
      <c r="D99" s="370"/>
      <c r="E99" s="370"/>
      <c r="F99" s="363"/>
      <c r="G99" s="365"/>
    </row>
    <row r="100" spans="3:7" s="358" customFormat="1">
      <c r="C100" s="362" t="s">
        <v>1065</v>
      </c>
      <c r="D100" s="363" t="s">
        <v>1066</v>
      </c>
      <c r="E100" s="364">
        <f>-(E66+E91)/2</f>
        <v>-658861.95284699998</v>
      </c>
      <c r="F100" s="363" t="s">
        <v>1067</v>
      </c>
      <c r="G100" s="365"/>
    </row>
    <row r="101" spans="3:7" s="358" customFormat="1">
      <c r="C101" s="376"/>
      <c r="D101" s="370"/>
      <c r="E101" s="370"/>
      <c r="F101" s="363"/>
      <c r="G101" s="365"/>
    </row>
    <row r="102" spans="3:7" s="358" customFormat="1">
      <c r="C102" s="371" t="s">
        <v>154</v>
      </c>
      <c r="D102" s="363" t="s">
        <v>1068</v>
      </c>
      <c r="E102" s="375">
        <f>+E48+E100</f>
        <v>-675516.95284699998</v>
      </c>
      <c r="F102" s="387" t="s">
        <v>650</v>
      </c>
      <c r="G102" s="365"/>
    </row>
    <row r="103" spans="3:7" s="358" customFormat="1">
      <c r="C103" s="362"/>
      <c r="D103" s="363"/>
      <c r="E103" s="364"/>
      <c r="F103" s="363"/>
      <c r="G103" s="365"/>
    </row>
    <row r="104" spans="3:7" s="358" customFormat="1" ht="15" thickBot="1">
      <c r="C104" s="366"/>
      <c r="D104" s="367"/>
      <c r="E104" s="367"/>
      <c r="F104" s="367"/>
      <c r="G104" s="368"/>
    </row>
    <row r="105" spans="3:7" s="358" customFormat="1" ht="15" thickBot="1"/>
    <row r="106" spans="3:7">
      <c r="C106" s="42" t="s">
        <v>105</v>
      </c>
      <c r="D106" s="43" t="s">
        <v>11</v>
      </c>
      <c r="E106" s="43" t="s">
        <v>103</v>
      </c>
      <c r="F106" s="8"/>
      <c r="G106" s="10"/>
    </row>
    <row r="107" spans="3:7">
      <c r="C107" s="11" t="s">
        <v>149</v>
      </c>
      <c r="D107" s="157" t="s">
        <v>959</v>
      </c>
      <c r="E107" s="162">
        <v>-7802227</v>
      </c>
      <c r="F107" s="157" t="s">
        <v>748</v>
      </c>
      <c r="G107" s="15"/>
    </row>
    <row r="108" spans="3:7">
      <c r="C108" s="11"/>
      <c r="D108" s="13"/>
      <c r="E108" s="13"/>
      <c r="F108" s="13"/>
      <c r="G108" s="15"/>
    </row>
    <row r="109" spans="3:7">
      <c r="C109" s="11"/>
      <c r="D109" s="13"/>
      <c r="E109" s="27" t="s">
        <v>104</v>
      </c>
      <c r="F109" s="13"/>
      <c r="G109" s="15"/>
    </row>
    <row r="110" spans="3:7">
      <c r="C110" s="11" t="s">
        <v>149</v>
      </c>
      <c r="D110" s="13" t="s">
        <v>146</v>
      </c>
      <c r="E110" s="162">
        <v>-5357384</v>
      </c>
      <c r="F110" s="157" t="s">
        <v>749</v>
      </c>
      <c r="G110" s="15"/>
    </row>
    <row r="111" spans="3:7">
      <c r="C111" s="11"/>
      <c r="D111" s="13"/>
      <c r="E111" s="13"/>
      <c r="F111" s="13"/>
      <c r="G111" s="15"/>
    </row>
    <row r="112" spans="3:7">
      <c r="C112" s="11" t="s">
        <v>422</v>
      </c>
      <c r="D112" s="157" t="s">
        <v>750</v>
      </c>
      <c r="E112" s="14">
        <f>+(E110+E107)/2</f>
        <v>-6579805.5</v>
      </c>
      <c r="F112" s="157" t="s">
        <v>647</v>
      </c>
      <c r="G112" s="15"/>
    </row>
    <row r="113" spans="3:7" ht="15" thickBot="1">
      <c r="C113" s="20"/>
      <c r="D113" s="21"/>
      <c r="E113" s="21"/>
      <c r="F113" s="21"/>
      <c r="G113" s="23"/>
    </row>
  </sheetData>
  <pageMargins left="0.7" right="0.7" top="0.75" bottom="0.75" header="0.3" footer="0.3"/>
  <pageSetup scale="77" fitToHeight="0" orientation="landscape" r:id="rId1"/>
  <rowBreaks count="2" manualBreakCount="2">
    <brk id="43"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
  <sheetViews>
    <sheetView topLeftCell="A112" zoomScale="80" zoomScaleNormal="80" workbookViewId="0">
      <selection activeCell="M12" sqref="M12"/>
    </sheetView>
  </sheetViews>
  <sheetFormatPr defaultRowHeight="14.4"/>
  <cols>
    <col min="1" max="1" width="2" customWidth="1"/>
    <col min="2" max="2" width="77.44140625" customWidth="1"/>
    <col min="3" max="3" width="34.109375" bestFit="1" customWidth="1"/>
    <col min="4" max="4" width="20.109375" bestFit="1" customWidth="1"/>
    <col min="7" max="7" width="12.5546875" customWidth="1"/>
  </cols>
  <sheetData>
    <row r="1" spans="1:7">
      <c r="A1" s="1" t="s">
        <v>0</v>
      </c>
    </row>
    <row r="2" spans="1:7">
      <c r="A2" s="147" t="s">
        <v>828</v>
      </c>
    </row>
    <row r="4" spans="1:7" s="146" customFormat="1"/>
    <row r="5" spans="1:7" s="146" customFormat="1">
      <c r="B5" s="146" t="s">
        <v>950</v>
      </c>
    </row>
    <row r="6" spans="1:7" s="146" customFormat="1" ht="15" thickBot="1"/>
    <row r="7" spans="1:7">
      <c r="B7" s="29"/>
      <c r="C7" s="30" t="s">
        <v>11</v>
      </c>
      <c r="D7" s="30" t="s">
        <v>225</v>
      </c>
      <c r="E7" s="8"/>
      <c r="F7" s="8"/>
      <c r="G7" s="10"/>
    </row>
    <row r="8" spans="1:7">
      <c r="B8" s="386" t="s">
        <v>1267</v>
      </c>
      <c r="C8" s="13" t="s">
        <v>27</v>
      </c>
      <c r="D8" s="120">
        <v>1164650.98</v>
      </c>
      <c r="E8" s="646" t="s">
        <v>727</v>
      </c>
      <c r="F8" s="13"/>
      <c r="G8" s="15"/>
    </row>
    <row r="9" spans="1:7" ht="15" thickBot="1">
      <c r="B9" s="20"/>
      <c r="C9" s="21"/>
      <c r="D9" s="119"/>
      <c r="E9" s="21"/>
      <c r="F9" s="21"/>
      <c r="G9" s="23"/>
    </row>
    <row r="10" spans="1:7" s="146" customFormat="1" ht="15" thickBot="1">
      <c r="B10" s="252"/>
      <c r="C10" s="252"/>
      <c r="D10" s="258"/>
      <c r="E10" s="252"/>
      <c r="F10" s="252"/>
      <c r="G10" s="252"/>
    </row>
    <row r="11" spans="1:7" s="264" customFormat="1">
      <c r="B11" s="280"/>
      <c r="C11" s="268"/>
      <c r="D11" s="268"/>
      <c r="E11" s="268"/>
      <c r="F11" s="268"/>
      <c r="G11" s="269"/>
    </row>
    <row r="12" spans="1:7" s="264" customFormat="1">
      <c r="B12" s="279" t="s">
        <v>1000</v>
      </c>
      <c r="C12" s="271"/>
      <c r="D12" s="271"/>
      <c r="E12" s="271"/>
      <c r="F12" s="271"/>
      <c r="G12" s="273"/>
    </row>
    <row r="13" spans="1:7" s="264" customFormat="1">
      <c r="B13" s="270"/>
      <c r="C13" s="274" t="s">
        <v>11</v>
      </c>
      <c r="D13" s="274" t="s">
        <v>225</v>
      </c>
      <c r="E13" s="271"/>
      <c r="F13" s="271"/>
      <c r="G13" s="273"/>
    </row>
    <row r="14" spans="1:7" s="264" customFormat="1">
      <c r="B14" s="279" t="s">
        <v>230</v>
      </c>
      <c r="C14" s="274"/>
      <c r="D14" s="274"/>
      <c r="E14" s="271"/>
      <c r="F14" s="271"/>
      <c r="G14" s="273"/>
    </row>
    <row r="15" spans="1:7" s="264" customFormat="1">
      <c r="B15" s="282" t="s">
        <v>1001</v>
      </c>
      <c r="C15" s="271" t="s">
        <v>1002</v>
      </c>
      <c r="D15" s="275">
        <v>931261</v>
      </c>
      <c r="E15" s="271"/>
      <c r="F15" s="271"/>
      <c r="G15" s="273"/>
    </row>
    <row r="16" spans="1:7" s="264" customFormat="1">
      <c r="B16" s="282" t="s">
        <v>1003</v>
      </c>
      <c r="C16" s="271" t="s">
        <v>1004</v>
      </c>
      <c r="D16" s="275">
        <v>0</v>
      </c>
      <c r="E16" s="271"/>
      <c r="F16" s="271"/>
      <c r="G16" s="273"/>
    </row>
    <row r="17" spans="2:7" s="264" customFormat="1">
      <c r="B17" s="282" t="s">
        <v>1005</v>
      </c>
      <c r="C17" s="271" t="s">
        <v>1006</v>
      </c>
      <c r="D17" s="275">
        <v>0</v>
      </c>
      <c r="E17" s="271"/>
      <c r="F17" s="265"/>
      <c r="G17" s="273"/>
    </row>
    <row r="18" spans="2:7" s="264" customFormat="1">
      <c r="B18" s="270" t="s">
        <v>1007</v>
      </c>
      <c r="C18" s="271" t="s">
        <v>1008</v>
      </c>
      <c r="D18" s="275">
        <v>0</v>
      </c>
      <c r="E18" s="271"/>
      <c r="F18" s="271"/>
      <c r="G18" s="273"/>
    </row>
    <row r="19" spans="2:7" s="146" customFormat="1">
      <c r="B19" s="282" t="s">
        <v>1009</v>
      </c>
      <c r="C19" s="271" t="s">
        <v>1010</v>
      </c>
      <c r="D19" s="275">
        <v>0</v>
      </c>
      <c r="E19" s="271"/>
      <c r="F19" s="271"/>
      <c r="G19" s="273"/>
    </row>
    <row r="20" spans="2:7" s="146" customFormat="1">
      <c r="B20" s="282" t="s">
        <v>1011</v>
      </c>
      <c r="C20" s="271" t="s">
        <v>1012</v>
      </c>
      <c r="D20" s="275">
        <v>7305051</v>
      </c>
      <c r="E20" s="271"/>
      <c r="F20" s="271"/>
      <c r="G20" s="273"/>
    </row>
    <row r="21" spans="2:7" s="146" customFormat="1">
      <c r="B21" s="282" t="s">
        <v>1013</v>
      </c>
      <c r="C21" s="271" t="s">
        <v>1014</v>
      </c>
      <c r="D21" s="275">
        <v>2064724</v>
      </c>
      <c r="E21" s="271"/>
      <c r="F21" s="271"/>
      <c r="G21" s="273"/>
    </row>
    <row r="22" spans="2:7" s="146" customFormat="1">
      <c r="B22" s="282" t="s">
        <v>1015</v>
      </c>
      <c r="C22" s="271" t="s">
        <v>1016</v>
      </c>
      <c r="D22" s="275">
        <v>450089</v>
      </c>
      <c r="E22" s="271"/>
      <c r="F22" s="271"/>
      <c r="G22" s="273"/>
    </row>
    <row r="23" spans="2:7" s="146" customFormat="1">
      <c r="B23" s="282"/>
      <c r="C23" s="271"/>
      <c r="D23" s="275"/>
      <c r="E23" s="271"/>
      <c r="F23" s="271"/>
      <c r="G23" s="273"/>
    </row>
    <row r="24" spans="2:7" s="146" customFormat="1">
      <c r="B24" s="270"/>
      <c r="C24" s="271"/>
      <c r="D24" s="266"/>
      <c r="E24" s="265"/>
      <c r="F24" s="271"/>
      <c r="G24" s="273"/>
    </row>
    <row r="25" spans="2:7" s="146" customFormat="1">
      <c r="B25" s="282"/>
      <c r="C25" s="284"/>
      <c r="D25" s="289">
        <f>SUM(D15:D24)</f>
        <v>10751125</v>
      </c>
      <c r="E25" s="271" t="s">
        <v>728</v>
      </c>
      <c r="F25" s="271"/>
      <c r="G25" s="273"/>
    </row>
    <row r="26" spans="2:7" s="146" customFormat="1">
      <c r="B26" s="279" t="s">
        <v>231</v>
      </c>
      <c r="C26" s="284"/>
      <c r="D26" s="289"/>
      <c r="E26" s="271"/>
      <c r="F26" s="271"/>
      <c r="G26" s="273"/>
    </row>
    <row r="27" spans="2:7" s="146" customFormat="1">
      <c r="B27" s="270"/>
      <c r="C27" s="271"/>
      <c r="D27" s="286"/>
      <c r="E27" s="271"/>
      <c r="F27" s="271"/>
      <c r="G27" s="273"/>
    </row>
    <row r="28" spans="2:7" s="621" customFormat="1">
      <c r="B28" s="644" t="s">
        <v>1017</v>
      </c>
      <c r="C28" s="646" t="s">
        <v>1018</v>
      </c>
      <c r="D28" s="651">
        <v>584453</v>
      </c>
      <c r="E28" s="646"/>
      <c r="F28" s="646"/>
      <c r="G28" s="648"/>
    </row>
    <row r="29" spans="2:7" s="610" customFormat="1">
      <c r="B29" s="618" t="s">
        <v>1567</v>
      </c>
      <c r="C29" s="646" t="s">
        <v>1019</v>
      </c>
      <c r="D29" s="617">
        <v>447823</v>
      </c>
      <c r="E29" s="611"/>
      <c r="F29" s="611"/>
      <c r="G29" s="612"/>
    </row>
    <row r="30" spans="2:7" s="610" customFormat="1">
      <c r="B30" s="618" t="s">
        <v>1023</v>
      </c>
      <c r="C30" s="616" t="s">
        <v>1020</v>
      </c>
      <c r="D30" s="617">
        <v>-363491</v>
      </c>
      <c r="E30" s="611"/>
      <c r="F30" s="611"/>
      <c r="G30" s="612"/>
    </row>
    <row r="31" spans="2:7" s="610" customFormat="1">
      <c r="B31" s="615" t="s">
        <v>1568</v>
      </c>
      <c r="C31" s="613" t="s">
        <v>1021</v>
      </c>
      <c r="D31" s="614">
        <v>2173817</v>
      </c>
      <c r="E31" s="611"/>
      <c r="F31" s="611"/>
      <c r="G31" s="612"/>
    </row>
    <row r="32" spans="2:7" s="146" customFormat="1">
      <c r="B32" s="282" t="s">
        <v>1569</v>
      </c>
      <c r="C32" s="271" t="s">
        <v>1535</v>
      </c>
      <c r="D32" s="275">
        <v>131024</v>
      </c>
      <c r="E32" s="271"/>
      <c r="F32" s="271"/>
      <c r="G32" s="273"/>
    </row>
    <row r="33" spans="2:7" s="146" customFormat="1">
      <c r="B33" s="282" t="s">
        <v>1570</v>
      </c>
      <c r="C33" s="271" t="s">
        <v>1533</v>
      </c>
      <c r="D33" s="491">
        <v>-297286</v>
      </c>
      <c r="E33" s="271"/>
      <c r="F33" s="271"/>
      <c r="G33" s="273"/>
    </row>
    <row r="34" spans="2:7" s="486" customFormat="1">
      <c r="B34" s="492" t="s">
        <v>1022</v>
      </c>
      <c r="C34" s="489" t="s">
        <v>1534</v>
      </c>
      <c r="D34" s="491">
        <v>-196580</v>
      </c>
      <c r="E34" s="489"/>
      <c r="F34" s="489"/>
      <c r="G34" s="490"/>
    </row>
    <row r="35" spans="2:7" s="486" customFormat="1">
      <c r="B35" s="488" t="s">
        <v>1571</v>
      </c>
      <c r="C35" s="489" t="s">
        <v>1566</v>
      </c>
      <c r="D35" s="487">
        <v>749405</v>
      </c>
      <c r="E35" s="489"/>
      <c r="F35" s="489"/>
      <c r="G35" s="490"/>
    </row>
    <row r="36" spans="2:7" s="146" customFormat="1">
      <c r="B36" s="282"/>
      <c r="C36" s="271"/>
      <c r="D36" s="289">
        <f>SUM(D27:D35)</f>
        <v>3229165</v>
      </c>
      <c r="E36" s="271" t="s">
        <v>748</v>
      </c>
      <c r="F36" s="271"/>
      <c r="G36" s="273"/>
    </row>
    <row r="37" spans="2:7" s="146" customFormat="1">
      <c r="B37" s="283"/>
      <c r="C37" s="271"/>
      <c r="D37" s="272"/>
      <c r="E37" s="271"/>
      <c r="F37" s="271"/>
      <c r="G37" s="273"/>
    </row>
    <row r="38" spans="2:7" s="146" customFormat="1">
      <c r="B38" s="285" t="s">
        <v>1024</v>
      </c>
      <c r="C38" s="284" t="s">
        <v>1025</v>
      </c>
      <c r="D38" s="267">
        <f>+D25+D36</f>
        <v>13980290</v>
      </c>
      <c r="E38" s="265"/>
      <c r="F38" s="284"/>
      <c r="G38" s="287"/>
    </row>
    <row r="39" spans="2:7" s="146" customFormat="1">
      <c r="B39" s="283"/>
      <c r="C39" s="271"/>
      <c r="D39" s="272"/>
      <c r="E39" s="271"/>
      <c r="F39" s="271"/>
      <c r="G39" s="273"/>
    </row>
    <row r="40" spans="2:7" s="146" customFormat="1" ht="15" thickBot="1">
      <c r="B40" s="285" t="s">
        <v>1026</v>
      </c>
      <c r="C40" s="284" t="s">
        <v>1027</v>
      </c>
      <c r="D40" s="288">
        <f>+D8+D36</f>
        <v>4393815.9800000004</v>
      </c>
      <c r="E40" s="271" t="s">
        <v>652</v>
      </c>
      <c r="F40" s="271"/>
      <c r="G40" s="273"/>
    </row>
    <row r="41" spans="2:7" s="146" customFormat="1" ht="15.6" thickTop="1" thickBot="1">
      <c r="B41" s="281"/>
      <c r="C41" s="276"/>
      <c r="D41" s="277"/>
      <c r="E41" s="276"/>
      <c r="F41" s="276"/>
      <c r="G41" s="278"/>
    </row>
    <row r="42" spans="2:7" s="146" customFormat="1">
      <c r="B42" s="157"/>
      <c r="C42" s="157"/>
      <c r="D42" s="177"/>
      <c r="E42" s="157"/>
      <c r="F42" s="157"/>
      <c r="G42" s="157"/>
    </row>
    <row r="43" spans="2:7" s="146" customFormat="1">
      <c r="B43" s="157" t="s">
        <v>830</v>
      </c>
      <c r="C43" s="157"/>
      <c r="D43" s="177"/>
      <c r="E43" s="157"/>
      <c r="F43" s="157"/>
      <c r="G43" s="157"/>
    </row>
    <row r="44" spans="2:7">
      <c r="B44" s="146" t="s">
        <v>831</v>
      </c>
      <c r="D44" s="4"/>
    </row>
    <row r="45" spans="2:7" s="146" customFormat="1">
      <c r="B45" s="36" t="s">
        <v>753</v>
      </c>
      <c r="D45" s="148"/>
    </row>
    <row r="46" spans="2:7" s="146" customFormat="1" ht="15" thickBot="1">
      <c r="D46" s="148"/>
    </row>
    <row r="47" spans="2:7">
      <c r="B47" s="29"/>
      <c r="C47" s="8"/>
      <c r="D47" s="9"/>
      <c r="E47" s="8"/>
      <c r="F47" s="8"/>
      <c r="G47" s="10"/>
    </row>
    <row r="48" spans="2:7">
      <c r="B48" s="28" t="s">
        <v>228</v>
      </c>
      <c r="C48" s="13"/>
      <c r="D48" s="14"/>
      <c r="E48" s="13"/>
      <c r="F48" s="13"/>
      <c r="G48" s="15"/>
    </row>
    <row r="49" spans="2:7">
      <c r="B49" s="11"/>
      <c r="C49" s="16" t="s">
        <v>11</v>
      </c>
      <c r="D49" s="17" t="s">
        <v>225</v>
      </c>
      <c r="E49" s="13"/>
      <c r="F49" s="13"/>
      <c r="G49" s="15"/>
    </row>
    <row r="50" spans="2:7">
      <c r="B50" s="11" t="s">
        <v>226</v>
      </c>
      <c r="C50" s="13" t="s">
        <v>27</v>
      </c>
      <c r="D50" s="651">
        <v>-11399616</v>
      </c>
      <c r="E50" s="157" t="s">
        <v>1272</v>
      </c>
      <c r="F50" s="13"/>
      <c r="G50" s="15"/>
    </row>
    <row r="51" spans="2:7">
      <c r="B51" s="11"/>
      <c r="C51" s="13"/>
      <c r="D51" s="158"/>
      <c r="E51" s="13"/>
      <c r="F51" s="13"/>
      <c r="G51" s="15"/>
    </row>
    <row r="52" spans="2:7">
      <c r="B52" s="155" t="s">
        <v>832</v>
      </c>
      <c r="C52" s="13"/>
      <c r="D52" s="158"/>
      <c r="E52" s="13"/>
      <c r="F52" s="13"/>
      <c r="G52" s="15"/>
    </row>
    <row r="53" spans="2:7">
      <c r="B53" s="155" t="s">
        <v>1493</v>
      </c>
      <c r="C53" s="13" t="s">
        <v>27</v>
      </c>
      <c r="D53" s="651">
        <v>3439331</v>
      </c>
      <c r="E53" s="157" t="s">
        <v>656</v>
      </c>
      <c r="F53" s="13"/>
      <c r="G53" s="15"/>
    </row>
    <row r="54" spans="2:7">
      <c r="B54" s="155" t="s">
        <v>1494</v>
      </c>
      <c r="C54" s="13" t="s">
        <v>27</v>
      </c>
      <c r="D54" s="651">
        <v>7448666</v>
      </c>
      <c r="E54" s="157" t="s">
        <v>1273</v>
      </c>
      <c r="F54" s="13"/>
      <c r="G54" s="15"/>
    </row>
    <row r="55" spans="2:7">
      <c r="B55" s="155" t="s">
        <v>1495</v>
      </c>
      <c r="C55" s="13" t="s">
        <v>27</v>
      </c>
      <c r="D55" s="651">
        <v>3343981</v>
      </c>
      <c r="E55" s="36" t="s">
        <v>763</v>
      </c>
      <c r="F55" s="13"/>
      <c r="G55" s="15"/>
    </row>
    <row r="56" spans="2:7">
      <c r="B56" s="155" t="s">
        <v>1496</v>
      </c>
      <c r="C56" s="13" t="s">
        <v>27</v>
      </c>
      <c r="D56" s="651">
        <v>67</v>
      </c>
      <c r="E56" s="13"/>
      <c r="F56" s="13"/>
      <c r="G56" s="15"/>
    </row>
    <row r="57" spans="2:7">
      <c r="B57" s="155" t="s">
        <v>1497</v>
      </c>
      <c r="C57" s="13" t="s">
        <v>27</v>
      </c>
      <c r="D57" s="651">
        <v>-5021</v>
      </c>
      <c r="E57" s="13"/>
      <c r="F57" s="13"/>
      <c r="G57" s="15"/>
    </row>
    <row r="58" spans="2:7">
      <c r="B58" s="582" t="s">
        <v>1498</v>
      </c>
      <c r="C58" s="13" t="s">
        <v>27</v>
      </c>
      <c r="D58" s="651">
        <v>0</v>
      </c>
      <c r="E58" s="13"/>
      <c r="F58" s="13"/>
      <c r="G58" s="15"/>
    </row>
    <row r="59" spans="2:7">
      <c r="B59" s="155" t="s">
        <v>1499</v>
      </c>
      <c r="C59" s="13" t="s">
        <v>27</v>
      </c>
      <c r="D59" s="651">
        <v>2540360</v>
      </c>
      <c r="E59" s="13"/>
      <c r="F59" s="13"/>
      <c r="G59" s="15"/>
    </row>
    <row r="60" spans="2:7">
      <c r="B60" s="155" t="s">
        <v>1500</v>
      </c>
      <c r="C60" s="13" t="s">
        <v>27</v>
      </c>
      <c r="D60" s="651">
        <v>-479364</v>
      </c>
      <c r="E60" s="13"/>
      <c r="F60" s="13"/>
      <c r="G60" s="15"/>
    </row>
    <row r="61" spans="2:7">
      <c r="B61" s="155" t="s">
        <v>1501</v>
      </c>
      <c r="C61" s="13" t="s">
        <v>27</v>
      </c>
      <c r="D61" s="651">
        <v>-115735.99</v>
      </c>
      <c r="E61" s="13"/>
      <c r="F61" s="13"/>
      <c r="G61" s="15"/>
    </row>
    <row r="62" spans="2:7" s="146" customFormat="1">
      <c r="B62" s="155" t="s">
        <v>285</v>
      </c>
      <c r="C62" s="157"/>
      <c r="D62" s="651">
        <v>5838</v>
      </c>
      <c r="E62" s="157"/>
      <c r="F62" s="157"/>
      <c r="G62" s="159"/>
    </row>
    <row r="63" spans="2:7">
      <c r="B63" s="11"/>
      <c r="C63" s="13"/>
      <c r="D63" s="625"/>
      <c r="E63" s="13"/>
      <c r="F63" s="13"/>
      <c r="G63" s="15"/>
    </row>
    <row r="64" spans="2:7">
      <c r="B64" s="155" t="s">
        <v>755</v>
      </c>
      <c r="C64" s="13"/>
      <c r="D64" s="14">
        <f>SUM(D53:D63)</f>
        <v>16178122.01</v>
      </c>
      <c r="E64" s="13"/>
      <c r="F64" s="13"/>
      <c r="G64" s="15"/>
    </row>
    <row r="65" spans="2:7">
      <c r="B65" s="11"/>
      <c r="C65" s="13"/>
      <c r="D65" s="14"/>
      <c r="E65" s="13"/>
      <c r="F65" s="13"/>
      <c r="G65" s="15"/>
    </row>
    <row r="66" spans="2:7" ht="15" thickBot="1">
      <c r="B66" s="11" t="s">
        <v>227</v>
      </c>
      <c r="C66" s="157" t="s">
        <v>754</v>
      </c>
      <c r="D66" s="24">
        <f>+D64+D50</f>
        <v>4778506.01</v>
      </c>
      <c r="E66" s="13" t="s">
        <v>1359</v>
      </c>
      <c r="F66" s="13"/>
      <c r="G66" s="15"/>
    </row>
    <row r="67" spans="2:7" ht="15.6" thickTop="1" thickBot="1">
      <c r="B67" s="31"/>
      <c r="C67" s="21"/>
      <c r="D67" s="21"/>
      <c r="E67" s="21"/>
      <c r="F67" s="21"/>
      <c r="G67" s="23"/>
    </row>
    <row r="68" spans="2:7" s="146" customFormat="1">
      <c r="B68" s="160"/>
      <c r="C68" s="157"/>
      <c r="D68" s="157"/>
      <c r="E68" s="157"/>
      <c r="F68" s="157"/>
      <c r="G68" s="157"/>
    </row>
    <row r="69" spans="2:7" s="146" customFormat="1">
      <c r="B69" s="157" t="s">
        <v>951</v>
      </c>
      <c r="C69" s="157"/>
      <c r="D69" s="157"/>
      <c r="E69" s="157"/>
      <c r="F69" s="157"/>
      <c r="G69" s="157"/>
    </row>
    <row r="70" spans="2:7" s="146" customFormat="1">
      <c r="B70" s="157" t="s">
        <v>952</v>
      </c>
      <c r="C70" s="157"/>
      <c r="D70" s="157"/>
      <c r="E70" s="157"/>
      <c r="F70" s="157"/>
      <c r="G70" s="157"/>
    </row>
    <row r="71" spans="2:7" s="146" customFormat="1">
      <c r="B71" s="163"/>
      <c r="C71" s="157"/>
      <c r="D71" s="157"/>
      <c r="E71" s="157"/>
      <c r="F71" s="157"/>
      <c r="G71" s="157"/>
    </row>
    <row r="72" spans="2:7" s="146" customFormat="1">
      <c r="B72" s="257" t="s">
        <v>998</v>
      </c>
      <c r="C72" s="157"/>
      <c r="D72" s="157"/>
      <c r="E72" s="157"/>
      <c r="F72" s="157"/>
      <c r="G72" s="157"/>
    </row>
    <row r="73" spans="2:7" s="146" customFormat="1">
      <c r="B73" s="257" t="s">
        <v>999</v>
      </c>
      <c r="C73" s="157"/>
      <c r="D73" s="157"/>
      <c r="E73" s="157"/>
      <c r="F73" s="157"/>
      <c r="G73" s="157"/>
    </row>
    <row r="74" spans="2:7">
      <c r="B74" s="257"/>
    </row>
    <row r="75" spans="2:7">
      <c r="B75" s="257" t="s">
        <v>996</v>
      </c>
    </row>
    <row r="76" spans="2:7">
      <c r="B76" s="257" t="s">
        <v>997</v>
      </c>
    </row>
    <row r="77" spans="2:7" ht="15" thickBot="1"/>
    <row r="78" spans="2:7">
      <c r="B78" s="29"/>
      <c r="C78" s="8"/>
      <c r="D78" s="8"/>
      <c r="E78" s="8"/>
      <c r="F78" s="8"/>
      <c r="G78" s="10"/>
    </row>
    <row r="79" spans="2:7">
      <c r="B79" s="28" t="s">
        <v>229</v>
      </c>
      <c r="C79" s="13"/>
      <c r="D79" s="13"/>
      <c r="E79" s="13"/>
      <c r="F79" s="13"/>
      <c r="G79" s="15"/>
    </row>
    <row r="80" spans="2:7">
      <c r="B80" s="11"/>
      <c r="C80" s="16" t="s">
        <v>11</v>
      </c>
      <c r="D80" s="16" t="s">
        <v>225</v>
      </c>
      <c r="E80" s="13"/>
      <c r="F80" s="13"/>
      <c r="G80" s="15"/>
    </row>
    <row r="81" spans="2:7">
      <c r="B81" s="28" t="s">
        <v>230</v>
      </c>
      <c r="C81" s="13"/>
      <c r="D81" s="13"/>
      <c r="E81" s="13"/>
      <c r="F81" s="13"/>
      <c r="G81" s="15"/>
    </row>
    <row r="82" spans="2:7">
      <c r="B82" s="32" t="s">
        <v>241</v>
      </c>
      <c r="C82" s="13"/>
      <c r="D82" s="162">
        <v>0</v>
      </c>
      <c r="E82" s="13"/>
      <c r="F82" s="13"/>
      <c r="G82" s="15"/>
    </row>
    <row r="83" spans="2:7">
      <c r="B83" s="11"/>
      <c r="C83" s="13"/>
      <c r="D83" s="149">
        <v>0</v>
      </c>
      <c r="E83" s="13"/>
      <c r="F83" s="13"/>
      <c r="G83" s="15"/>
    </row>
    <row r="84" spans="2:7">
      <c r="B84" s="28" t="s">
        <v>230</v>
      </c>
      <c r="C84" s="13"/>
      <c r="D84" s="14">
        <f>SUM(D82:D83)</f>
        <v>0</v>
      </c>
      <c r="E84" s="157" t="s">
        <v>727</v>
      </c>
      <c r="F84" s="13"/>
      <c r="G84" s="15"/>
    </row>
    <row r="85" spans="2:7">
      <c r="B85" s="11"/>
      <c r="C85" s="13"/>
      <c r="D85" s="14"/>
      <c r="E85" s="13"/>
      <c r="F85" s="13"/>
      <c r="G85" s="15"/>
    </row>
    <row r="86" spans="2:7">
      <c r="B86" s="28" t="s">
        <v>231</v>
      </c>
      <c r="C86" s="13"/>
      <c r="D86" s="14"/>
      <c r="E86" s="13"/>
      <c r="F86" s="13"/>
      <c r="G86" s="15"/>
    </row>
    <row r="87" spans="2:7">
      <c r="B87" s="11" t="s">
        <v>235</v>
      </c>
      <c r="C87" s="257" t="s">
        <v>994</v>
      </c>
      <c r="D87" s="162">
        <v>203790</v>
      </c>
      <c r="E87" s="257"/>
      <c r="F87" s="13"/>
      <c r="G87" s="15"/>
    </row>
    <row r="88" spans="2:7">
      <c r="B88" s="11" t="s">
        <v>234</v>
      </c>
      <c r="C88" s="13"/>
      <c r="D88" s="162">
        <v>0</v>
      </c>
      <c r="E88" s="13"/>
      <c r="F88" s="13"/>
      <c r="G88" s="15"/>
    </row>
    <row r="89" spans="2:7">
      <c r="B89" s="11" t="s">
        <v>233</v>
      </c>
      <c r="C89" s="257" t="s">
        <v>1575</v>
      </c>
      <c r="D89" s="162">
        <v>23951022</v>
      </c>
      <c r="E89" s="13"/>
      <c r="F89" s="13"/>
      <c r="G89" s="15"/>
    </row>
    <row r="90" spans="2:7">
      <c r="B90" s="11" t="s">
        <v>236</v>
      </c>
      <c r="C90" s="257" t="s">
        <v>1574</v>
      </c>
      <c r="D90" s="162">
        <f>1785272-84</f>
        <v>1785188</v>
      </c>
      <c r="E90" s="13"/>
      <c r="F90" s="13"/>
      <c r="G90" s="15"/>
    </row>
    <row r="91" spans="2:7">
      <c r="B91" s="155" t="s">
        <v>995</v>
      </c>
      <c r="C91" s="257" t="s">
        <v>1800</v>
      </c>
      <c r="D91" s="149">
        <v>2</v>
      </c>
      <c r="E91" s="157"/>
      <c r="F91" s="13"/>
      <c r="G91" s="15"/>
    </row>
    <row r="92" spans="2:7">
      <c r="B92" s="28" t="s">
        <v>239</v>
      </c>
      <c r="C92" s="36"/>
      <c r="D92" s="14">
        <f>SUM(D87:D91)</f>
        <v>25940002</v>
      </c>
      <c r="E92" s="13"/>
      <c r="F92" s="13"/>
      <c r="G92" s="15"/>
    </row>
    <row r="93" spans="2:7">
      <c r="B93" s="11"/>
      <c r="C93" s="13"/>
      <c r="D93" s="14"/>
      <c r="E93" s="13"/>
      <c r="F93" s="13"/>
      <c r="G93" s="15"/>
    </row>
    <row r="94" spans="2:7">
      <c r="B94" s="28" t="s">
        <v>232</v>
      </c>
      <c r="C94" s="13"/>
      <c r="D94" s="14"/>
      <c r="E94" s="13"/>
      <c r="F94" s="13"/>
      <c r="G94" s="15"/>
    </row>
    <row r="95" spans="2:7">
      <c r="B95" s="11" t="s">
        <v>237</v>
      </c>
      <c r="C95" s="257" t="s">
        <v>1576</v>
      </c>
      <c r="D95" s="162">
        <v>604884</v>
      </c>
      <c r="E95" s="13"/>
      <c r="F95" s="13"/>
      <c r="G95" s="15"/>
    </row>
    <row r="96" spans="2:7">
      <c r="B96" s="11" t="s">
        <v>165</v>
      </c>
      <c r="C96" s="252" t="s">
        <v>1577</v>
      </c>
      <c r="D96" s="149">
        <v>821431</v>
      </c>
      <c r="E96" s="13"/>
      <c r="F96" s="13"/>
      <c r="G96" s="15"/>
    </row>
    <row r="97" spans="2:7">
      <c r="B97" s="28" t="s">
        <v>238</v>
      </c>
      <c r="C97" s="13"/>
      <c r="D97" s="14">
        <f>SUM(D95:D96)</f>
        <v>1426315</v>
      </c>
      <c r="E97" s="157" t="s">
        <v>1274</v>
      </c>
      <c r="F97" s="13"/>
      <c r="G97" s="15"/>
    </row>
    <row r="98" spans="2:7">
      <c r="B98" s="11"/>
      <c r="C98" s="13"/>
      <c r="D98" s="14"/>
      <c r="E98" s="13"/>
      <c r="F98" s="13"/>
      <c r="G98" s="15"/>
    </row>
    <row r="99" spans="2:7" ht="15" thickBot="1">
      <c r="B99" s="11" t="s">
        <v>240</v>
      </c>
      <c r="C99" s="157" t="s">
        <v>756</v>
      </c>
      <c r="D99" s="24">
        <f>+D97+D92+D84</f>
        <v>27366317</v>
      </c>
      <c r="E99" s="13"/>
      <c r="F99" s="13"/>
      <c r="G99" s="15"/>
    </row>
    <row r="100" spans="2:7" ht="15" thickTop="1">
      <c r="B100" s="11"/>
      <c r="C100" s="13"/>
      <c r="D100" s="14"/>
      <c r="E100" s="13"/>
      <c r="F100" s="13"/>
      <c r="G100" s="15"/>
    </row>
    <row r="101" spans="2:7">
      <c r="B101" s="33"/>
      <c r="C101" s="13"/>
      <c r="D101" s="14"/>
      <c r="E101" s="13"/>
      <c r="F101" s="13"/>
      <c r="G101" s="15"/>
    </row>
    <row r="102" spans="2:7">
      <c r="B102" s="33"/>
      <c r="C102" s="13"/>
      <c r="D102" s="14"/>
      <c r="E102" s="13"/>
      <c r="F102" s="13"/>
      <c r="G102" s="15"/>
    </row>
    <row r="103" spans="2:7" s="172" customFormat="1" ht="15" thickBot="1">
      <c r="B103" s="171" t="s">
        <v>829</v>
      </c>
      <c r="C103" s="36" t="s">
        <v>1374</v>
      </c>
      <c r="D103" s="217">
        <f>+D84</f>
        <v>0</v>
      </c>
      <c r="E103" s="36" t="s">
        <v>893</v>
      </c>
      <c r="F103" s="36"/>
      <c r="G103" s="131"/>
    </row>
    <row r="104" spans="2:7" ht="15" thickTop="1">
      <c r="B104" s="33"/>
      <c r="C104" s="13"/>
      <c r="D104" s="14"/>
      <c r="E104" s="13"/>
      <c r="F104" s="13"/>
      <c r="G104" s="15"/>
    </row>
    <row r="105" spans="2:7" ht="15" thickBot="1">
      <c r="B105" s="31"/>
      <c r="C105" s="21"/>
      <c r="D105" s="22"/>
      <c r="E105" s="21"/>
      <c r="F105" s="21"/>
      <c r="G105" s="23"/>
    </row>
    <row r="106" spans="2:7">
      <c r="B106" s="1"/>
      <c r="D106" s="4"/>
    </row>
    <row r="107" spans="2:7">
      <c r="B107" s="257" t="s">
        <v>1536</v>
      </c>
    </row>
    <row r="108" spans="2:7">
      <c r="B108" s="257"/>
    </row>
    <row r="109" spans="2:7">
      <c r="B109" s="257"/>
    </row>
    <row r="110" spans="2:7" ht="15" thickBot="1"/>
    <row r="111" spans="2:7">
      <c r="B111" s="29"/>
      <c r="C111" s="152"/>
      <c r="D111" s="152"/>
      <c r="E111" s="152"/>
      <c r="F111" s="152"/>
      <c r="G111" s="154"/>
    </row>
    <row r="112" spans="2:7">
      <c r="B112" s="28" t="s">
        <v>216</v>
      </c>
      <c r="C112" s="252"/>
      <c r="D112" s="252"/>
      <c r="E112" s="252"/>
      <c r="F112" s="252"/>
      <c r="G112" s="159"/>
    </row>
    <row r="113" spans="2:7">
      <c r="B113" s="155"/>
      <c r="C113" s="160" t="s">
        <v>11</v>
      </c>
      <c r="D113" s="160" t="s">
        <v>225</v>
      </c>
      <c r="E113" s="252"/>
      <c r="F113" s="252"/>
      <c r="G113" s="159"/>
    </row>
    <row r="114" spans="2:7">
      <c r="B114" s="28"/>
      <c r="C114" s="252"/>
      <c r="D114" s="252"/>
      <c r="E114" s="252"/>
      <c r="F114" s="252"/>
      <c r="G114" s="159"/>
    </row>
    <row r="115" spans="2:7">
      <c r="B115" s="155" t="s">
        <v>217</v>
      </c>
      <c r="C115" s="252" t="s">
        <v>218</v>
      </c>
      <c r="D115" s="557">
        <f>+'FERC Form 1 Inputs'!J49</f>
        <v>140391735</v>
      </c>
      <c r="E115" s="252"/>
      <c r="F115" s="252"/>
      <c r="G115" s="159"/>
    </row>
    <row r="116" spans="2:7">
      <c r="B116" s="32" t="s">
        <v>1572</v>
      </c>
      <c r="C116" s="252" t="s">
        <v>27</v>
      </c>
      <c r="D116" s="256">
        <v>7065</v>
      </c>
      <c r="E116" s="252" t="s">
        <v>993</v>
      </c>
      <c r="F116" s="660"/>
      <c r="G116" s="159"/>
    </row>
    <row r="117" spans="2:7">
      <c r="B117" s="32" t="s">
        <v>1573</v>
      </c>
      <c r="C117" s="252" t="s">
        <v>27</v>
      </c>
      <c r="D117" s="254">
        <v>117657</v>
      </c>
      <c r="E117" s="252" t="s">
        <v>993</v>
      </c>
      <c r="F117" s="660"/>
      <c r="G117" s="159"/>
    </row>
    <row r="118" spans="2:7" s="146" customFormat="1">
      <c r="B118" s="32"/>
      <c r="C118" s="252"/>
      <c r="D118" s="255">
        <f>SUM(D115:D117)</f>
        <v>140516457</v>
      </c>
      <c r="E118" s="252" t="s">
        <v>1275</v>
      </c>
      <c r="F118" s="252"/>
      <c r="G118" s="159"/>
    </row>
    <row r="119" spans="2:7" ht="15" thickBot="1">
      <c r="B119" s="31"/>
      <c r="C119" s="165"/>
      <c r="D119" s="166"/>
      <c r="E119" s="165"/>
      <c r="F119" s="165"/>
      <c r="G119" s="167"/>
    </row>
    <row r="120" spans="2:7" ht="15" thickBot="1"/>
    <row r="121" spans="2:7">
      <c r="B121" s="301"/>
      <c r="C121" s="290"/>
      <c r="D121" s="290"/>
      <c r="E121" s="290"/>
      <c r="F121" s="290"/>
      <c r="G121" s="291"/>
    </row>
    <row r="122" spans="2:7">
      <c r="B122" s="371" t="s">
        <v>1030</v>
      </c>
      <c r="C122" s="293"/>
      <c r="D122" s="293"/>
      <c r="E122" s="293"/>
      <c r="F122" s="293"/>
      <c r="G122" s="295"/>
    </row>
    <row r="123" spans="2:7">
      <c r="B123" s="292"/>
      <c r="C123" s="296" t="s">
        <v>11</v>
      </c>
      <c r="D123" s="296" t="s">
        <v>225</v>
      </c>
      <c r="E123" s="293"/>
      <c r="F123" s="293"/>
      <c r="G123" s="295"/>
    </row>
    <row r="124" spans="2:7">
      <c r="B124" s="300"/>
      <c r="C124" s="293"/>
      <c r="D124" s="293"/>
      <c r="E124" s="293"/>
      <c r="F124" s="293"/>
      <c r="G124" s="295"/>
    </row>
    <row r="125" spans="2:7">
      <c r="B125" s="292" t="s">
        <v>217</v>
      </c>
      <c r="C125" s="326" t="s">
        <v>223</v>
      </c>
      <c r="D125" s="307">
        <f>+D118</f>
        <v>140516457</v>
      </c>
      <c r="E125" s="293"/>
      <c r="F125" s="293"/>
      <c r="G125" s="295"/>
    </row>
    <row r="126" spans="2:7" s="304" customFormat="1">
      <c r="B126" s="308" t="s">
        <v>219</v>
      </c>
      <c r="C126" s="318" t="s">
        <v>220</v>
      </c>
      <c r="D126" s="321">
        <v>2741216</v>
      </c>
      <c r="E126" s="305"/>
      <c r="F126" s="305"/>
      <c r="G126" s="306"/>
    </row>
    <row r="127" spans="2:7" s="304" customFormat="1">
      <c r="B127" s="308" t="s">
        <v>221</v>
      </c>
      <c r="C127" s="318" t="s">
        <v>222</v>
      </c>
      <c r="D127" s="321">
        <v>27366316</v>
      </c>
      <c r="E127" s="305"/>
      <c r="F127" s="305"/>
      <c r="G127" s="306"/>
    </row>
    <row r="128" spans="2:7" s="304" customFormat="1">
      <c r="B128" s="308" t="s">
        <v>707</v>
      </c>
      <c r="C128" s="318" t="s">
        <v>224</v>
      </c>
      <c r="D128" s="321">
        <v>4778506</v>
      </c>
      <c r="E128" s="305"/>
      <c r="F128" s="305"/>
      <c r="G128" s="306"/>
    </row>
    <row r="129" spans="2:7" s="304" customFormat="1">
      <c r="B129" s="309" t="s">
        <v>1028</v>
      </c>
      <c r="C129" s="326" t="s">
        <v>223</v>
      </c>
      <c r="D129" s="307">
        <f>+D40</f>
        <v>4393815.9800000004</v>
      </c>
      <c r="E129" s="305"/>
      <c r="F129" s="305"/>
      <c r="G129" s="306"/>
    </row>
    <row r="130" spans="2:7">
      <c r="B130" s="308" t="s">
        <v>242</v>
      </c>
      <c r="C130" s="318" t="s">
        <v>223</v>
      </c>
      <c r="D130" s="328">
        <f>+D97</f>
        <v>1426315</v>
      </c>
      <c r="E130" s="293"/>
      <c r="F130" s="293"/>
      <c r="G130" s="295"/>
    </row>
    <row r="131" spans="2:7">
      <c r="B131" s="308" t="s">
        <v>243</v>
      </c>
      <c r="C131" s="318" t="s">
        <v>223</v>
      </c>
      <c r="D131" s="311">
        <f>+D50</f>
        <v>-11399616</v>
      </c>
      <c r="E131" s="293"/>
      <c r="F131" s="293"/>
      <c r="G131" s="295"/>
    </row>
    <row r="132" spans="2:7">
      <c r="B132" s="303"/>
      <c r="C132" s="293"/>
      <c r="D132" s="294">
        <f>+D125-D126-D127-D128-D129+D130+D131</f>
        <v>91263302.019999996</v>
      </c>
      <c r="E132" s="293"/>
      <c r="F132" s="293"/>
      <c r="G132" s="295"/>
    </row>
    <row r="133" spans="2:7" s="310" customFormat="1">
      <c r="B133" s="334" t="s">
        <v>1031</v>
      </c>
      <c r="C133" s="318"/>
      <c r="D133" s="349">
        <f>('Schedule 13 Direct Assignment'!M82-'Schedule 13 Direct Assignment'!J82)/'Attachment H-1'!H108</f>
        <v>8.2681403155023432E-3</v>
      </c>
      <c r="E133" s="318"/>
      <c r="F133" s="318"/>
      <c r="G133" s="320"/>
    </row>
    <row r="134" spans="2:7" s="310" customFormat="1" ht="15" thickBot="1">
      <c r="B134" s="334" t="s">
        <v>1268</v>
      </c>
      <c r="C134" s="318"/>
      <c r="D134" s="355">
        <f>+D132*D133</f>
        <v>754577.78675742843</v>
      </c>
      <c r="E134" s="357" t="s">
        <v>816</v>
      </c>
      <c r="F134" s="318"/>
      <c r="G134" s="320"/>
    </row>
    <row r="135" spans="2:7" ht="15.6" thickTop="1" thickBot="1">
      <c r="B135" s="302"/>
      <c r="C135" s="297"/>
      <c r="D135" s="298"/>
      <c r="E135" s="297"/>
      <c r="F135" s="297"/>
      <c r="G135" s="299"/>
    </row>
  </sheetData>
  <pageMargins left="0.7" right="0.7" top="0.5" bottom="0.5" header="0.3" footer="0.3"/>
  <pageSetup scale="74" fitToHeight="0" orientation="landscape" r:id="rId1"/>
  <rowBreaks count="3" manualBreakCount="3">
    <brk id="46" max="16383" man="1"/>
    <brk id="76" max="16383" man="1"/>
    <brk id="11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topLeftCell="A16" zoomScale="70" zoomScaleNormal="70" zoomScaleSheetLayoutView="100" workbookViewId="0">
      <selection activeCell="K40" sqref="K40"/>
    </sheetView>
  </sheetViews>
  <sheetFormatPr defaultRowHeight="14.4"/>
  <cols>
    <col min="2" max="2" width="52.44140625" customWidth="1"/>
    <col min="3" max="3" width="34.109375" bestFit="1" customWidth="1"/>
    <col min="4" max="4" width="20.109375" bestFit="1" customWidth="1"/>
    <col min="5" max="5" width="21.6640625" bestFit="1" customWidth="1"/>
    <col min="6" max="6" width="24.88671875" bestFit="1" customWidth="1"/>
    <col min="7" max="7" width="10.33203125" bestFit="1" customWidth="1"/>
  </cols>
  <sheetData>
    <row r="1" spans="1:8">
      <c r="A1" s="1" t="s">
        <v>0</v>
      </c>
    </row>
    <row r="2" spans="1:8">
      <c r="A2" s="1" t="s">
        <v>261</v>
      </c>
    </row>
    <row r="5" spans="1:8" s="146" customFormat="1">
      <c r="B5" s="157" t="s">
        <v>953</v>
      </c>
    </row>
    <row r="6" spans="1:8" s="146" customFormat="1">
      <c r="B6" s="157" t="s">
        <v>764</v>
      </c>
    </row>
    <row r="7" spans="1:8" ht="15" thickBot="1">
      <c r="B7" s="13"/>
      <c r="C7" s="13"/>
      <c r="D7" s="13"/>
      <c r="E7" s="13"/>
      <c r="F7" s="13"/>
      <c r="G7" s="13"/>
      <c r="H7" s="13"/>
    </row>
    <row r="8" spans="1:8">
      <c r="B8" s="7" t="s">
        <v>262</v>
      </c>
      <c r="C8" s="51"/>
      <c r="D8" s="51"/>
      <c r="E8" s="51"/>
      <c r="F8" s="51"/>
      <c r="G8" s="8"/>
      <c r="H8" s="10"/>
    </row>
    <row r="9" spans="1:8">
      <c r="B9" s="32"/>
      <c r="C9" s="46" t="s">
        <v>11</v>
      </c>
      <c r="D9" s="46" t="s">
        <v>225</v>
      </c>
      <c r="E9" s="19"/>
      <c r="F9" s="19"/>
      <c r="G9" s="13"/>
      <c r="H9" s="15"/>
    </row>
    <row r="10" spans="1:8">
      <c r="B10" s="32" t="s">
        <v>263</v>
      </c>
      <c r="C10" s="19"/>
      <c r="D10" s="19"/>
      <c r="E10" s="19"/>
      <c r="F10" s="19"/>
      <c r="G10" s="13"/>
      <c r="H10" s="15"/>
    </row>
    <row r="11" spans="1:8">
      <c r="B11" s="32" t="s">
        <v>264</v>
      </c>
      <c r="C11" s="13" t="s">
        <v>267</v>
      </c>
      <c r="D11" s="555">
        <f>+'FERC Form 1 Inputs'!L33</f>
        <v>5452909</v>
      </c>
      <c r="E11" s="38"/>
      <c r="F11" s="19"/>
      <c r="G11" s="13"/>
      <c r="H11" s="15"/>
    </row>
    <row r="12" spans="1:8">
      <c r="B12" s="32" t="s">
        <v>265</v>
      </c>
      <c r="C12" s="13" t="s">
        <v>268</v>
      </c>
      <c r="D12" s="555">
        <f>+'FERC Form 1 Inputs'!L34</f>
        <v>37810</v>
      </c>
      <c r="E12" s="38"/>
      <c r="F12" s="19"/>
      <c r="G12" s="13"/>
      <c r="H12" s="15"/>
    </row>
    <row r="13" spans="1:8">
      <c r="B13" s="32" t="s">
        <v>266</v>
      </c>
      <c r="C13" s="36" t="s">
        <v>269</v>
      </c>
      <c r="D13" s="555">
        <f>+'FERC Form 1 Inputs'!L35</f>
        <v>173262</v>
      </c>
      <c r="E13" s="38"/>
      <c r="F13" s="19"/>
      <c r="G13" s="13"/>
      <c r="H13" s="15"/>
    </row>
    <row r="14" spans="1:8">
      <c r="B14" s="11" t="s">
        <v>285</v>
      </c>
      <c r="C14" s="36" t="s">
        <v>291</v>
      </c>
      <c r="D14" s="558">
        <f>+'FERC Form 1 Inputs'!L37</f>
        <v>-1350046</v>
      </c>
      <c r="E14" s="38"/>
      <c r="F14" s="19"/>
      <c r="G14" s="13"/>
      <c r="H14" s="15"/>
    </row>
    <row r="15" spans="1:8">
      <c r="B15" s="52" t="s">
        <v>274</v>
      </c>
      <c r="C15" s="19"/>
      <c r="D15" s="37">
        <f>SUM(D11:D14)</f>
        <v>4313935</v>
      </c>
      <c r="E15" s="36"/>
      <c r="F15" s="19"/>
      <c r="G15" s="13"/>
      <c r="H15" s="15"/>
    </row>
    <row r="16" spans="1:8">
      <c r="B16" s="52" t="s">
        <v>59</v>
      </c>
      <c r="C16" s="19"/>
      <c r="D16" s="40">
        <f>+'Attachment H-1'!H17</f>
        <v>5.6599999999999998E-2</v>
      </c>
      <c r="E16" s="38"/>
      <c r="F16" s="19"/>
      <c r="G16" s="13"/>
      <c r="H16" s="15"/>
    </row>
    <row r="17" spans="2:13">
      <c r="B17" s="53" t="s">
        <v>275</v>
      </c>
      <c r="C17" s="19"/>
      <c r="D17" s="37">
        <f>+D15*D16</f>
        <v>244168.72099999999</v>
      </c>
      <c r="E17" s="36"/>
      <c r="F17" s="19"/>
      <c r="G17" s="13"/>
      <c r="H17" s="15"/>
    </row>
    <row r="18" spans="2:13" s="146" customFormat="1">
      <c r="B18" s="171"/>
      <c r="C18" s="163"/>
      <c r="D18" s="143"/>
      <c r="E18" s="36"/>
      <c r="F18" s="163"/>
      <c r="G18" s="157"/>
      <c r="H18" s="159"/>
    </row>
    <row r="19" spans="2:13" s="146" customFormat="1">
      <c r="B19" s="170" t="s">
        <v>761</v>
      </c>
      <c r="C19" s="157" t="s">
        <v>760</v>
      </c>
      <c r="D19" s="143">
        <f>+E58</f>
        <v>157054.58559999999</v>
      </c>
      <c r="E19" s="36"/>
      <c r="F19" s="163"/>
      <c r="G19" s="157"/>
      <c r="H19" s="159"/>
    </row>
    <row r="20" spans="2:13" s="146" customFormat="1">
      <c r="B20" s="171"/>
      <c r="C20" s="163"/>
      <c r="D20" s="143"/>
      <c r="E20" s="36"/>
      <c r="F20" s="163"/>
      <c r="G20" s="157"/>
      <c r="H20" s="159"/>
    </row>
    <row r="21" spans="2:13" ht="15" thickBot="1">
      <c r="B21" s="28" t="s">
        <v>762</v>
      </c>
      <c r="C21" s="13"/>
      <c r="D21" s="205">
        <f>+D17+D19</f>
        <v>401223.30660000001</v>
      </c>
      <c r="E21" s="392" t="s">
        <v>657</v>
      </c>
      <c r="F21" s="19"/>
      <c r="G21" s="13"/>
      <c r="H21" s="15"/>
    </row>
    <row r="22" spans="2:13" ht="15" thickTop="1">
      <c r="B22" s="11"/>
      <c r="C22" s="13"/>
      <c r="D22" s="13"/>
      <c r="E22" s="38"/>
      <c r="F22" s="19"/>
      <c r="G22" s="13"/>
      <c r="H22" s="15"/>
    </row>
    <row r="23" spans="2:13">
      <c r="B23" s="54" t="s">
        <v>272</v>
      </c>
      <c r="C23" s="38" t="s">
        <v>270</v>
      </c>
      <c r="D23" s="555">
        <f>+'FERC Form 1 Inputs'!L36</f>
        <v>26075034</v>
      </c>
      <c r="E23" s="36"/>
      <c r="F23" s="19"/>
      <c r="G23" s="13"/>
      <c r="H23" s="15"/>
    </row>
    <row r="24" spans="2:13">
      <c r="B24" s="52" t="s">
        <v>271</v>
      </c>
      <c r="C24" s="19"/>
      <c r="D24" s="40">
        <f>+'Attachment H-1'!H25</f>
        <v>0.15029999999999999</v>
      </c>
      <c r="E24" s="38"/>
      <c r="F24" s="19"/>
      <c r="G24" s="13"/>
      <c r="H24" s="15"/>
    </row>
    <row r="25" spans="2:13">
      <c r="B25" s="170" t="s">
        <v>273</v>
      </c>
      <c r="C25" s="19"/>
      <c r="D25" s="37">
        <f>+D23*D24</f>
        <v>3919077.6101999995</v>
      </c>
      <c r="E25" s="38"/>
      <c r="F25" s="19"/>
      <c r="G25" s="13"/>
      <c r="H25" s="15"/>
    </row>
    <row r="26" spans="2:13" s="139" customFormat="1">
      <c r="B26" s="145"/>
      <c r="C26" s="142"/>
      <c r="D26" s="143"/>
      <c r="E26" s="144"/>
      <c r="F26" s="142"/>
      <c r="G26" s="140"/>
      <c r="H26" s="141"/>
    </row>
    <row r="27" spans="2:13" s="139" customFormat="1">
      <c r="B27" s="170" t="s">
        <v>589</v>
      </c>
      <c r="C27" s="157" t="s">
        <v>760</v>
      </c>
      <c r="D27" s="143">
        <f>+F58</f>
        <v>85112.936099999992</v>
      </c>
      <c r="E27" s="144"/>
      <c r="F27" s="142"/>
      <c r="G27" s="140"/>
      <c r="H27" s="141"/>
    </row>
    <row r="28" spans="2:13" s="139" customFormat="1">
      <c r="B28" s="171"/>
      <c r="C28" s="163"/>
      <c r="D28" s="143"/>
      <c r="E28" s="144"/>
      <c r="F28" s="142"/>
      <c r="G28" s="140"/>
      <c r="H28" s="141"/>
    </row>
    <row r="29" spans="2:13" s="139" customFormat="1">
      <c r="B29" s="397" t="s">
        <v>1093</v>
      </c>
      <c r="C29" s="163"/>
      <c r="D29" s="393">
        <f>+D27+D25</f>
        <v>4004190.5462999996</v>
      </c>
      <c r="E29" s="36"/>
      <c r="F29" s="142"/>
      <c r="G29" s="140"/>
      <c r="H29" s="141"/>
      <c r="L29" s="669"/>
      <c r="M29" s="668"/>
    </row>
    <row r="30" spans="2:13" s="381" customFormat="1">
      <c r="B30" s="397"/>
      <c r="C30" s="390"/>
      <c r="D30" s="393"/>
      <c r="E30" s="392"/>
      <c r="F30" s="390"/>
      <c r="G30" s="387"/>
      <c r="H30" s="389"/>
    </row>
    <row r="31" spans="2:13" s="381" customFormat="1">
      <c r="B31" s="396" t="s">
        <v>1094</v>
      </c>
      <c r="C31" s="415" t="s">
        <v>617</v>
      </c>
      <c r="D31" s="393">
        <f>+'Schedule 13 Direct Assignment'!M90</f>
        <v>178582.31124461294</v>
      </c>
      <c r="E31" s="392"/>
      <c r="F31" s="390"/>
      <c r="G31" s="387"/>
      <c r="H31" s="389"/>
    </row>
    <row r="32" spans="2:13" s="381" customFormat="1">
      <c r="B32" s="397"/>
      <c r="C32" s="390"/>
      <c r="D32" s="393"/>
      <c r="E32" s="392"/>
      <c r="F32" s="390"/>
      <c r="G32" s="387"/>
      <c r="H32" s="389"/>
    </row>
    <row r="33" spans="2:8" s="381" customFormat="1" ht="15" thickBot="1">
      <c r="B33" s="397" t="s">
        <v>590</v>
      </c>
      <c r="C33" s="390"/>
      <c r="D33" s="394">
        <f>+D29-D31</f>
        <v>3825608.2350553866</v>
      </c>
      <c r="E33" s="392" t="s">
        <v>1095</v>
      </c>
      <c r="F33" s="390"/>
      <c r="G33" s="387"/>
      <c r="H33" s="389"/>
    </row>
    <row r="34" spans="2:8" ht="15" thickTop="1">
      <c r="B34" s="32"/>
      <c r="C34" s="19"/>
      <c r="D34" s="37"/>
      <c r="E34" s="38"/>
      <c r="F34" s="19"/>
      <c r="G34" s="13"/>
      <c r="H34" s="15"/>
    </row>
    <row r="35" spans="2:8">
      <c r="B35" s="32"/>
      <c r="C35" s="19"/>
      <c r="D35" s="37"/>
      <c r="E35" s="36" t="s">
        <v>523</v>
      </c>
      <c r="F35" s="36" t="s">
        <v>523</v>
      </c>
      <c r="G35" s="13"/>
      <c r="H35" s="15"/>
    </row>
    <row r="36" spans="2:8">
      <c r="B36" s="53" t="s">
        <v>276</v>
      </c>
      <c r="C36" s="19"/>
      <c r="D36" s="109" t="s">
        <v>55</v>
      </c>
      <c r="E36" s="36" t="s">
        <v>521</v>
      </c>
      <c r="F36" s="36" t="s">
        <v>522</v>
      </c>
      <c r="G36" s="13"/>
      <c r="H36" s="15"/>
    </row>
    <row r="37" spans="2:8">
      <c r="B37" s="54" t="s">
        <v>277</v>
      </c>
      <c r="C37" s="13" t="s">
        <v>278</v>
      </c>
      <c r="D37" s="674">
        <v>-10572</v>
      </c>
      <c r="E37" s="674">
        <v>0</v>
      </c>
      <c r="F37" s="651">
        <f t="shared" ref="F37:F42" si="0">+D37-E37</f>
        <v>-10572</v>
      </c>
      <c r="G37" s="13"/>
      <c r="H37" s="15"/>
    </row>
    <row r="38" spans="2:8">
      <c r="B38" s="54" t="s">
        <v>279</v>
      </c>
      <c r="C38" s="13" t="s">
        <v>280</v>
      </c>
      <c r="D38" s="674">
        <v>5088631</v>
      </c>
      <c r="E38" s="674">
        <v>8052.4400000000014</v>
      </c>
      <c r="F38" s="651">
        <f t="shared" si="0"/>
        <v>5080578.5599999996</v>
      </c>
      <c r="G38" s="13"/>
      <c r="H38" s="15"/>
    </row>
    <row r="39" spans="2:8">
      <c r="B39" s="54" t="s">
        <v>281</v>
      </c>
      <c r="C39" s="13" t="s">
        <v>282</v>
      </c>
      <c r="D39" s="674">
        <v>7484</v>
      </c>
      <c r="E39" s="674">
        <v>0</v>
      </c>
      <c r="F39" s="651">
        <f t="shared" si="0"/>
        <v>7484</v>
      </c>
      <c r="G39" s="13"/>
      <c r="H39" s="15"/>
    </row>
    <row r="40" spans="2:8">
      <c r="B40" s="54" t="s">
        <v>283</v>
      </c>
      <c r="C40" s="36" t="s">
        <v>284</v>
      </c>
      <c r="D40" s="674">
        <v>4099</v>
      </c>
      <c r="E40" s="674">
        <v>0</v>
      </c>
      <c r="F40" s="651">
        <f t="shared" si="0"/>
        <v>4099</v>
      </c>
      <c r="G40" s="13"/>
      <c r="H40" s="15"/>
    </row>
    <row r="41" spans="2:8">
      <c r="B41" s="54" t="s">
        <v>285</v>
      </c>
      <c r="C41" s="36" t="s">
        <v>286</v>
      </c>
      <c r="D41" s="674">
        <f>2081331</f>
        <v>2081331</v>
      </c>
      <c r="E41" s="674">
        <v>896.94377857050529</v>
      </c>
      <c r="F41" s="651">
        <f t="shared" si="0"/>
        <v>2080434.0562214295</v>
      </c>
      <c r="G41" s="144"/>
      <c r="H41" s="15"/>
    </row>
    <row r="42" spans="2:8">
      <c r="B42" s="54" t="s">
        <v>287</v>
      </c>
      <c r="C42" s="36" t="s">
        <v>288</v>
      </c>
      <c r="D42" s="674">
        <v>-4</v>
      </c>
      <c r="E42" s="674">
        <v>0</v>
      </c>
      <c r="F42" s="651">
        <f t="shared" si="0"/>
        <v>-4</v>
      </c>
      <c r="G42" s="13"/>
      <c r="H42" s="15"/>
    </row>
    <row r="43" spans="2:8">
      <c r="B43" s="54" t="s">
        <v>289</v>
      </c>
      <c r="C43" s="36" t="s">
        <v>290</v>
      </c>
      <c r="D43" s="627">
        <v>2552814</v>
      </c>
      <c r="E43" s="627">
        <v>858750.78</v>
      </c>
      <c r="F43" s="625">
        <f>+D43-E43</f>
        <v>1694063.22</v>
      </c>
      <c r="G43" s="13"/>
      <c r="H43" s="15"/>
    </row>
    <row r="44" spans="2:8">
      <c r="B44" s="32"/>
      <c r="C44" s="19"/>
      <c r="D44" s="37">
        <f>SUM(D37:D43)</f>
        <v>9723783</v>
      </c>
      <c r="E44" s="37">
        <f>SUM(E37:E43)</f>
        <v>867700.16377857048</v>
      </c>
      <c r="F44" s="37">
        <f>SUM(F37:F43)</f>
        <v>8856082.8362214286</v>
      </c>
      <c r="G44" s="13"/>
      <c r="H44" s="15"/>
    </row>
    <row r="45" spans="2:8">
      <c r="B45" s="34"/>
      <c r="C45" s="19"/>
      <c r="D45" s="37"/>
      <c r="E45" s="219"/>
      <c r="F45" s="19"/>
      <c r="G45" s="13"/>
      <c r="H45" s="15"/>
    </row>
    <row r="46" spans="2:8" ht="15" thickBot="1">
      <c r="B46" s="28" t="s">
        <v>292</v>
      </c>
      <c r="C46" s="38" t="s">
        <v>293</v>
      </c>
      <c r="D46" s="41">
        <f>+D44+D23+D15</f>
        <v>40112752</v>
      </c>
      <c r="E46" s="38"/>
      <c r="F46" s="19"/>
      <c r="G46" s="13"/>
      <c r="H46" s="15"/>
    </row>
    <row r="47" spans="2:8" ht="15" thickTop="1">
      <c r="B47" s="34"/>
      <c r="C47" s="19"/>
      <c r="D47" s="37"/>
      <c r="E47" s="38"/>
      <c r="F47" s="19"/>
      <c r="G47" s="13"/>
      <c r="H47" s="15"/>
    </row>
    <row r="48" spans="2:8" ht="15" thickBot="1">
      <c r="B48" s="55"/>
      <c r="C48" s="56"/>
      <c r="D48" s="57"/>
      <c r="E48" s="56"/>
      <c r="F48" s="56"/>
      <c r="G48" s="21"/>
      <c r="H48" s="23"/>
    </row>
    <row r="49" spans="2:8">
      <c r="B49" s="35"/>
      <c r="C49" s="19"/>
      <c r="D49" s="39"/>
      <c r="E49" s="19"/>
      <c r="F49" s="19"/>
      <c r="G49" s="13"/>
      <c r="H49" s="13"/>
    </row>
    <row r="50" spans="2:8" s="146" customFormat="1">
      <c r="B50" s="163" t="s">
        <v>1550</v>
      </c>
      <c r="C50" s="163"/>
      <c r="D50" s="39"/>
      <c r="E50" s="163"/>
      <c r="F50" s="163"/>
      <c r="G50" s="157"/>
      <c r="H50" s="157"/>
    </row>
    <row r="51" spans="2:8" s="146" customFormat="1">
      <c r="B51" s="157" t="s">
        <v>833</v>
      </c>
      <c r="C51" s="163"/>
      <c r="D51" s="39"/>
      <c r="E51" s="163"/>
      <c r="F51" s="163"/>
      <c r="G51" s="157"/>
      <c r="H51" s="157"/>
    </row>
    <row r="52" spans="2:8" s="146" customFormat="1" ht="15" thickBot="1">
      <c r="B52" s="35"/>
      <c r="C52" s="163"/>
      <c r="D52" s="39"/>
      <c r="E52" s="163"/>
      <c r="F52" s="163"/>
      <c r="G52" s="157"/>
      <c r="H52" s="157"/>
    </row>
    <row r="53" spans="2:8" s="146" customFormat="1">
      <c r="B53" s="202"/>
      <c r="C53" s="51"/>
      <c r="D53" s="203"/>
      <c r="E53" s="51"/>
      <c r="F53" s="51"/>
      <c r="G53" s="152"/>
      <c r="H53" s="154"/>
    </row>
    <row r="54" spans="2:8" s="146" customFormat="1">
      <c r="B54" s="34"/>
      <c r="C54" s="163"/>
      <c r="D54" s="158" t="s">
        <v>55</v>
      </c>
      <c r="E54" s="157" t="s">
        <v>758</v>
      </c>
      <c r="F54" s="157" t="s">
        <v>759</v>
      </c>
      <c r="G54" s="157" t="s">
        <v>165</v>
      </c>
      <c r="H54" s="159"/>
    </row>
    <row r="55" spans="2:8">
      <c r="B55" s="28" t="s">
        <v>834</v>
      </c>
      <c r="C55" s="157" t="s">
        <v>223</v>
      </c>
      <c r="D55" s="39">
        <f>'Schedule 9 O&amp;M'!D55</f>
        <v>3343981</v>
      </c>
      <c r="E55" s="651">
        <v>2774816</v>
      </c>
      <c r="F55" s="651">
        <v>566287</v>
      </c>
      <c r="G55" s="651">
        <f>D55-E55-F55</f>
        <v>2878</v>
      </c>
      <c r="H55" s="159"/>
    </row>
    <row r="56" spans="2:8">
      <c r="B56" s="155"/>
      <c r="C56" s="157" t="s">
        <v>59</v>
      </c>
      <c r="D56" s="39"/>
      <c r="E56" s="26">
        <f>+D16</f>
        <v>5.6599999999999998E-2</v>
      </c>
      <c r="F56" s="158"/>
      <c r="G56" s="158"/>
      <c r="H56" s="159"/>
    </row>
    <row r="57" spans="2:8">
      <c r="B57" s="155"/>
      <c r="C57" s="157" t="s">
        <v>271</v>
      </c>
      <c r="D57" s="39"/>
      <c r="E57" s="168"/>
      <c r="F57" s="25">
        <f>+D24</f>
        <v>0.15029999999999999</v>
      </c>
      <c r="G57" s="168">
        <v>0</v>
      </c>
      <c r="H57" s="159"/>
    </row>
    <row r="58" spans="2:8">
      <c r="B58" s="171" t="s">
        <v>765</v>
      </c>
      <c r="D58" s="39">
        <f>SUM(E58:G58)</f>
        <v>242167.52169999998</v>
      </c>
      <c r="E58" s="158">
        <f>+E55*E56</f>
        <v>157054.58559999999</v>
      </c>
      <c r="F58" s="158">
        <f>+F55*F57</f>
        <v>85112.936099999992</v>
      </c>
      <c r="G58" s="158">
        <v>0</v>
      </c>
      <c r="H58" s="159"/>
    </row>
    <row r="59" spans="2:8">
      <c r="B59" s="32"/>
      <c r="C59" s="163"/>
      <c r="D59" s="39"/>
      <c r="E59" s="163"/>
      <c r="F59" s="163"/>
      <c r="G59" s="157"/>
      <c r="H59" s="159"/>
    </row>
    <row r="60" spans="2:8" ht="15" thickBot="1">
      <c r="B60" s="204"/>
      <c r="C60" s="56"/>
      <c r="D60" s="56"/>
      <c r="E60" s="56"/>
      <c r="F60" s="56"/>
      <c r="G60" s="165"/>
      <c r="H60" s="167"/>
    </row>
    <row r="61" spans="2:8">
      <c r="B61" s="5"/>
      <c r="C61" s="5"/>
      <c r="D61" s="5"/>
      <c r="E61" s="5"/>
      <c r="F61" s="5"/>
    </row>
    <row r="62" spans="2:8">
      <c r="B62" s="5"/>
      <c r="C62" s="5"/>
      <c r="D62" s="5"/>
      <c r="E62" s="5"/>
      <c r="F62" s="5"/>
    </row>
    <row r="63" spans="2:8">
      <c r="B63" s="5"/>
      <c r="C63" s="5"/>
      <c r="D63" s="5"/>
      <c r="E63" s="5"/>
      <c r="F63" s="5"/>
    </row>
    <row r="64" spans="2:8">
      <c r="B64" s="5"/>
      <c r="C64" s="5"/>
      <c r="D64" s="5"/>
      <c r="E64" s="5"/>
      <c r="F64" s="5"/>
    </row>
    <row r="65" spans="2:6">
      <c r="B65" s="5"/>
      <c r="C65" s="5"/>
      <c r="D65" s="5"/>
      <c r="E65" s="5"/>
      <c r="F65" s="5"/>
    </row>
    <row r="66" spans="2:6">
      <c r="B66" s="5"/>
      <c r="C66" s="5"/>
      <c r="D66" s="5"/>
      <c r="E66" s="5"/>
      <c r="F66" s="5"/>
    </row>
    <row r="67" spans="2:6">
      <c r="B67" s="5"/>
      <c r="C67" s="5"/>
      <c r="D67" s="5"/>
      <c r="E67" s="5"/>
      <c r="F67" s="5"/>
    </row>
    <row r="68" spans="2:6">
      <c r="B68" s="5"/>
      <c r="C68" s="5"/>
      <c r="D68" s="5"/>
      <c r="E68" s="5"/>
      <c r="F68" s="5"/>
    </row>
    <row r="69" spans="2:6">
      <c r="B69" s="5"/>
      <c r="C69" s="5"/>
      <c r="D69" s="5"/>
      <c r="E69" s="5"/>
      <c r="F69" s="5"/>
    </row>
    <row r="70" spans="2:6">
      <c r="B70" s="5"/>
      <c r="C70" s="5"/>
      <c r="D70" s="5"/>
      <c r="E70" s="5"/>
      <c r="F70" s="5"/>
    </row>
    <row r="71" spans="2:6">
      <c r="B71" s="5"/>
      <c r="C71" s="5"/>
      <c r="D71" s="5"/>
      <c r="E71" s="5"/>
      <c r="F71" s="5"/>
    </row>
    <row r="72" spans="2:6">
      <c r="B72" s="5"/>
      <c r="C72" s="5"/>
      <c r="D72" s="5"/>
      <c r="E72" s="5"/>
      <c r="F72" s="5"/>
    </row>
    <row r="73" spans="2:6">
      <c r="B73" s="5"/>
      <c r="C73" s="5"/>
      <c r="D73" s="5"/>
      <c r="E73" s="5"/>
      <c r="F73" s="5"/>
    </row>
    <row r="74" spans="2:6">
      <c r="B74" s="5"/>
      <c r="C74" s="5"/>
      <c r="D74" s="5"/>
      <c r="E74" s="5"/>
      <c r="F74" s="5"/>
    </row>
  </sheetData>
  <pageMargins left="0.7" right="0.7" top="0.3" bottom="0.3" header="0.3" footer="0.3"/>
  <pageSetup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topLeftCell="A4" zoomScale="60" zoomScaleNormal="90" workbookViewId="0">
      <selection activeCell="I15" sqref="I15"/>
    </sheetView>
  </sheetViews>
  <sheetFormatPr defaultColWidth="9.109375" defaultRowHeight="14.4"/>
  <cols>
    <col min="1" max="1" width="9.109375" style="60"/>
    <col min="2" max="2" width="61.44140625" style="60" customWidth="1"/>
    <col min="3" max="3" width="38.33203125" style="60" customWidth="1"/>
    <col min="4" max="4" width="15.6640625" style="60" customWidth="1"/>
    <col min="5" max="5" width="15.6640625" style="63" customWidth="1"/>
    <col min="6" max="6" width="15.6640625" style="60" customWidth="1"/>
    <col min="7" max="7" width="40.6640625" style="60" customWidth="1"/>
    <col min="8" max="12" width="15.6640625" style="60" customWidth="1"/>
    <col min="13" max="16384" width="9.109375" style="60"/>
  </cols>
  <sheetData>
    <row r="1" spans="1:8">
      <c r="A1" s="59" t="s">
        <v>0</v>
      </c>
    </row>
    <row r="2" spans="1:8">
      <c r="A2" s="59" t="s">
        <v>350</v>
      </c>
    </row>
    <row r="3" spans="1:8" s="121" customFormat="1">
      <c r="A3" s="59"/>
      <c r="E3" s="63"/>
    </row>
    <row r="4" spans="1:8" s="121" customFormat="1">
      <c r="A4" s="59"/>
      <c r="E4" s="63"/>
      <c r="G4" s="59"/>
    </row>
    <row r="5" spans="1:8" s="121" customFormat="1">
      <c r="A5" s="59"/>
      <c r="E5" s="63"/>
    </row>
    <row r="6" spans="1:8" s="121" customFormat="1">
      <c r="A6" s="59"/>
      <c r="E6" s="63"/>
    </row>
    <row r="7" spans="1:8" ht="15" thickBot="1"/>
    <row r="8" spans="1:8" s="62" customFormat="1" ht="28.8">
      <c r="B8" s="86" t="s">
        <v>372</v>
      </c>
      <c r="C8" s="72" t="s">
        <v>352</v>
      </c>
      <c r="D8" s="81" t="s">
        <v>1578</v>
      </c>
      <c r="E8" s="73" t="s">
        <v>306</v>
      </c>
      <c r="F8" s="72" t="s">
        <v>307</v>
      </c>
      <c r="G8" s="80" t="s">
        <v>5</v>
      </c>
    </row>
    <row r="9" spans="1:8">
      <c r="B9" s="74"/>
      <c r="C9" s="67"/>
      <c r="D9" s="67"/>
      <c r="E9" s="75"/>
      <c r="F9" s="67"/>
      <c r="G9" s="76"/>
    </row>
    <row r="10" spans="1:8">
      <c r="B10" s="74" t="s">
        <v>336</v>
      </c>
      <c r="C10" s="67" t="s">
        <v>358</v>
      </c>
      <c r="D10" s="238">
        <v>2540114</v>
      </c>
      <c r="E10" s="75">
        <f>F10/D10</f>
        <v>0.11798643682921317</v>
      </c>
      <c r="F10" s="238">
        <v>299699</v>
      </c>
      <c r="G10" s="76"/>
    </row>
    <row r="11" spans="1:8">
      <c r="B11" s="74" t="s">
        <v>334</v>
      </c>
      <c r="C11" s="67" t="s">
        <v>358</v>
      </c>
      <c r="D11" s="238">
        <v>342346</v>
      </c>
      <c r="E11" s="124">
        <f t="shared" ref="E11:E28" si="0">F11/D11</f>
        <v>0</v>
      </c>
      <c r="F11" s="238">
        <v>0</v>
      </c>
      <c r="G11" s="76"/>
      <c r="H11" s="121"/>
    </row>
    <row r="12" spans="1:8">
      <c r="B12" s="74" t="s">
        <v>333</v>
      </c>
      <c r="C12" s="67" t="s">
        <v>358</v>
      </c>
      <c r="D12" s="238">
        <v>617456</v>
      </c>
      <c r="E12" s="124">
        <f t="shared" si="0"/>
        <v>0</v>
      </c>
      <c r="F12" s="238">
        <v>0</v>
      </c>
      <c r="G12" s="76"/>
      <c r="H12" s="121"/>
    </row>
    <row r="13" spans="1:8">
      <c r="B13" s="74" t="s">
        <v>335</v>
      </c>
      <c r="C13" s="67" t="s">
        <v>358</v>
      </c>
      <c r="D13" s="238">
        <v>-103365</v>
      </c>
      <c r="E13" s="124">
        <f>F13/D13</f>
        <v>0</v>
      </c>
      <c r="F13" s="238">
        <v>0</v>
      </c>
      <c r="G13" s="76"/>
      <c r="H13" s="121"/>
    </row>
    <row r="14" spans="1:8">
      <c r="B14" s="74" t="s">
        <v>366</v>
      </c>
      <c r="C14" s="67" t="s">
        <v>358</v>
      </c>
      <c r="D14" s="238">
        <v>218621</v>
      </c>
      <c r="E14" s="124">
        <f t="shared" si="0"/>
        <v>0.17346458025532771</v>
      </c>
      <c r="F14" s="238">
        <v>37923</v>
      </c>
      <c r="G14" s="76"/>
      <c r="H14" s="121"/>
    </row>
    <row r="15" spans="1:8">
      <c r="B15" s="74" t="s">
        <v>337</v>
      </c>
      <c r="C15" s="67" t="s">
        <v>360</v>
      </c>
      <c r="D15" s="238">
        <v>477321</v>
      </c>
      <c r="E15" s="124">
        <f t="shared" si="0"/>
        <v>0.21798119085479165</v>
      </c>
      <c r="F15" s="238">
        <v>104047</v>
      </c>
      <c r="G15" s="76"/>
      <c r="H15" s="121"/>
    </row>
    <row r="16" spans="1:8">
      <c r="B16" s="74" t="s">
        <v>338</v>
      </c>
      <c r="C16" s="67" t="s">
        <v>360</v>
      </c>
      <c r="D16" s="238">
        <v>-147106</v>
      </c>
      <c r="E16" s="124">
        <f t="shared" si="0"/>
        <v>0</v>
      </c>
      <c r="F16" s="238">
        <v>0</v>
      </c>
      <c r="G16" s="76"/>
      <c r="H16" s="121"/>
    </row>
    <row r="17" spans="2:8">
      <c r="B17" s="74" t="s">
        <v>361</v>
      </c>
      <c r="C17" s="67" t="s">
        <v>360</v>
      </c>
      <c r="D17" s="238">
        <v>-33310</v>
      </c>
      <c r="E17" s="124">
        <f t="shared" si="0"/>
        <v>1</v>
      </c>
      <c r="F17" s="238">
        <v>-33310</v>
      </c>
      <c r="G17" s="76"/>
      <c r="H17" s="121"/>
    </row>
    <row r="18" spans="2:8">
      <c r="B18" s="74" t="s">
        <v>339</v>
      </c>
      <c r="C18" s="67" t="s">
        <v>358</v>
      </c>
      <c r="D18" s="238">
        <v>-10430138</v>
      </c>
      <c r="E18" s="124">
        <f t="shared" si="0"/>
        <v>0.30490210196643613</v>
      </c>
      <c r="F18" s="238">
        <v>-3180171</v>
      </c>
      <c r="G18" s="76"/>
      <c r="H18" s="121"/>
    </row>
    <row r="19" spans="2:8">
      <c r="B19" s="74" t="s">
        <v>370</v>
      </c>
      <c r="C19" s="67" t="s">
        <v>360</v>
      </c>
      <c r="D19" s="238">
        <v>-98179</v>
      </c>
      <c r="E19" s="124">
        <f t="shared" si="0"/>
        <v>0</v>
      </c>
      <c r="F19" s="238">
        <v>0</v>
      </c>
      <c r="G19" s="76"/>
      <c r="H19" s="121"/>
    </row>
    <row r="20" spans="2:8">
      <c r="B20" s="74" t="s">
        <v>367</v>
      </c>
      <c r="C20" s="67" t="s">
        <v>358</v>
      </c>
      <c r="D20" s="238">
        <v>-63357</v>
      </c>
      <c r="E20" s="124">
        <f t="shared" si="0"/>
        <v>0</v>
      </c>
      <c r="F20" s="238">
        <v>0</v>
      </c>
      <c r="G20" s="76"/>
      <c r="H20" s="121"/>
    </row>
    <row r="21" spans="2:8">
      <c r="B21" s="74" t="s">
        <v>368</v>
      </c>
      <c r="C21" s="67" t="s">
        <v>360</v>
      </c>
      <c r="D21" s="238">
        <v>-1673432</v>
      </c>
      <c r="E21" s="124">
        <f>F21/D21</f>
        <v>0</v>
      </c>
      <c r="F21" s="238">
        <v>0</v>
      </c>
      <c r="G21" s="76"/>
      <c r="H21" s="121"/>
    </row>
    <row r="22" spans="2:8">
      <c r="B22" s="74" t="s">
        <v>369</v>
      </c>
      <c r="C22" s="67" t="s">
        <v>360</v>
      </c>
      <c r="D22" s="238">
        <v>64</v>
      </c>
      <c r="E22" s="124">
        <f t="shared" si="0"/>
        <v>0</v>
      </c>
      <c r="F22" s="238">
        <v>0</v>
      </c>
      <c r="G22" s="76"/>
      <c r="H22" s="121"/>
    </row>
    <row r="23" spans="2:8">
      <c r="B23" s="74" t="s">
        <v>371</v>
      </c>
      <c r="C23" s="67" t="s">
        <v>358</v>
      </c>
      <c r="D23" s="238">
        <v>-556716</v>
      </c>
      <c r="E23" s="124">
        <f t="shared" si="0"/>
        <v>0</v>
      </c>
      <c r="F23" s="238">
        <v>0</v>
      </c>
      <c r="G23" s="76"/>
      <c r="H23" s="121"/>
    </row>
    <row r="24" spans="2:8" s="121" customFormat="1">
      <c r="B24" s="123" t="s">
        <v>963</v>
      </c>
      <c r="C24" s="122" t="s">
        <v>358</v>
      </c>
      <c r="D24" s="238">
        <v>5319</v>
      </c>
      <c r="E24" s="124">
        <f t="shared" si="0"/>
        <v>0</v>
      </c>
      <c r="F24" s="238">
        <v>0</v>
      </c>
      <c r="G24" s="125"/>
    </row>
    <row r="25" spans="2:8" s="121" customFormat="1">
      <c r="B25" s="123" t="s">
        <v>1524</v>
      </c>
      <c r="C25" s="122" t="s">
        <v>358</v>
      </c>
      <c r="D25" s="238">
        <v>8014</v>
      </c>
      <c r="E25" s="666">
        <f t="shared" si="0"/>
        <v>0</v>
      </c>
      <c r="F25" s="238">
        <v>0</v>
      </c>
      <c r="G25" s="398"/>
    </row>
    <row r="26" spans="2:8">
      <c r="B26" s="74" t="s">
        <v>340</v>
      </c>
      <c r="C26" s="67" t="s">
        <v>358</v>
      </c>
      <c r="D26" s="238">
        <v>27764</v>
      </c>
      <c r="E26" s="666">
        <f t="shared" si="0"/>
        <v>1</v>
      </c>
      <c r="F26" s="238">
        <v>27764</v>
      </c>
      <c r="G26" s="125" t="s">
        <v>1277</v>
      </c>
      <c r="H26" s="121"/>
    </row>
    <row r="27" spans="2:8" s="121" customFormat="1">
      <c r="B27" s="116" t="s">
        <v>977</v>
      </c>
      <c r="C27" s="126" t="s">
        <v>358</v>
      </c>
      <c r="D27" s="238">
        <v>-487500</v>
      </c>
      <c r="E27" s="666">
        <f t="shared" si="0"/>
        <v>0</v>
      </c>
      <c r="F27" s="238">
        <v>0</v>
      </c>
      <c r="G27" s="127"/>
    </row>
    <row r="28" spans="2:8" s="121" customFormat="1">
      <c r="B28" s="116" t="s">
        <v>1525</v>
      </c>
      <c r="C28" s="126" t="s">
        <v>358</v>
      </c>
      <c r="D28" s="238">
        <v>-8014</v>
      </c>
      <c r="E28" s="666">
        <f t="shared" si="0"/>
        <v>0</v>
      </c>
      <c r="F28" s="238">
        <v>0</v>
      </c>
      <c r="G28" s="403"/>
    </row>
    <row r="29" spans="2:8">
      <c r="B29" s="74"/>
      <c r="C29" s="67"/>
      <c r="D29" s="67"/>
      <c r="E29" s="75"/>
      <c r="F29" s="67"/>
      <c r="G29" s="76"/>
      <c r="H29" s="121"/>
    </row>
    <row r="30" spans="2:8" s="59" customFormat="1" ht="15" thickBot="1">
      <c r="B30" s="87" t="s">
        <v>373</v>
      </c>
      <c r="C30" s="88"/>
      <c r="D30" s="88">
        <f>SUM(D10:D29)</f>
        <v>-9364098</v>
      </c>
      <c r="E30" s="89"/>
      <c r="F30" s="88">
        <f>SUM(F10:F29)</f>
        <v>-2744048</v>
      </c>
      <c r="G30" s="192" t="s">
        <v>1276</v>
      </c>
      <c r="H30" s="121"/>
    </row>
    <row r="31" spans="2:8">
      <c r="B31" s="67"/>
      <c r="C31" s="67"/>
      <c r="D31" s="67"/>
      <c r="E31" s="75"/>
      <c r="F31" s="67"/>
      <c r="G31" s="67"/>
      <c r="H31" s="121"/>
    </row>
    <row r="32" spans="2:8" ht="15" thickBot="1">
      <c r="B32" s="67"/>
      <c r="C32" s="67"/>
      <c r="D32" s="67"/>
      <c r="E32" s="75"/>
      <c r="F32" s="67"/>
      <c r="G32" s="67"/>
      <c r="H32" s="121"/>
    </row>
    <row r="33" spans="2:8" ht="28.8">
      <c r="B33" s="86" t="s">
        <v>343</v>
      </c>
      <c r="C33" s="72" t="s">
        <v>352</v>
      </c>
      <c r="D33" s="81" t="s">
        <v>1578</v>
      </c>
      <c r="E33" s="73" t="s">
        <v>306</v>
      </c>
      <c r="F33" s="72" t="s">
        <v>307</v>
      </c>
      <c r="G33" s="80" t="s">
        <v>5</v>
      </c>
      <c r="H33" s="121"/>
    </row>
    <row r="34" spans="2:8">
      <c r="B34" s="74"/>
      <c r="C34" s="67"/>
      <c r="D34" s="67"/>
      <c r="E34" s="75"/>
      <c r="F34" s="67"/>
      <c r="G34" s="76"/>
      <c r="H34" s="121"/>
    </row>
    <row r="35" spans="2:8">
      <c r="B35" s="74" t="s">
        <v>1794</v>
      </c>
      <c r="C35" s="67" t="s">
        <v>358</v>
      </c>
      <c r="D35" s="238">
        <v>-24446</v>
      </c>
      <c r="E35" s="75">
        <f>+F35/D35</f>
        <v>7.6413319152417572E-2</v>
      </c>
      <c r="F35" s="238">
        <v>-1868</v>
      </c>
      <c r="G35" s="76"/>
      <c r="H35" s="121"/>
    </row>
    <row r="36" spans="2:8">
      <c r="B36" s="74" t="s">
        <v>1795</v>
      </c>
      <c r="C36" s="67" t="s">
        <v>358</v>
      </c>
      <c r="D36" s="238">
        <v>-712897</v>
      </c>
      <c r="E36" s="666">
        <f t="shared" ref="E36:E38" si="1">+F36/D36</f>
        <v>8.1672387455691359E-2</v>
      </c>
      <c r="F36" s="238">
        <v>-58224</v>
      </c>
      <c r="G36" s="76"/>
      <c r="H36" s="121"/>
    </row>
    <row r="37" spans="2:8" s="121" customFormat="1">
      <c r="B37" s="123" t="s">
        <v>1796</v>
      </c>
      <c r="C37" s="122" t="s">
        <v>358</v>
      </c>
      <c r="D37" s="238">
        <v>3169214</v>
      </c>
      <c r="E37" s="666">
        <f>+'Attachment H-1'!H28</f>
        <v>0.1459</v>
      </c>
      <c r="F37" s="706">
        <f>+D37*E37</f>
        <v>462388.32260000001</v>
      </c>
      <c r="G37" s="398"/>
    </row>
    <row r="38" spans="2:8">
      <c r="B38" s="74" t="s">
        <v>1797</v>
      </c>
      <c r="C38" s="122" t="s">
        <v>358</v>
      </c>
      <c r="D38" s="706">
        <v>1826484</v>
      </c>
      <c r="E38" s="666">
        <f t="shared" si="1"/>
        <v>0</v>
      </c>
      <c r="F38" s="706">
        <v>0</v>
      </c>
      <c r="G38" s="76"/>
      <c r="H38" s="121"/>
    </row>
    <row r="39" spans="2:8" s="121" customFormat="1">
      <c r="B39" s="123"/>
      <c r="C39" s="122"/>
      <c r="D39" s="122"/>
      <c r="E39" s="666"/>
      <c r="F39" s="122"/>
      <c r="G39" s="398"/>
    </row>
    <row r="40" spans="2:8" s="59" customFormat="1" ht="15" thickBot="1">
      <c r="B40" s="87" t="s">
        <v>342</v>
      </c>
      <c r="C40" s="88"/>
      <c r="D40" s="88">
        <f>SUM(D34:D38)</f>
        <v>4258355</v>
      </c>
      <c r="E40" s="89"/>
      <c r="F40" s="88">
        <f>SUM(F34:F38)</f>
        <v>402296.32260000001</v>
      </c>
      <c r="G40" s="192" t="s">
        <v>659</v>
      </c>
      <c r="H40" s="121"/>
    </row>
    <row r="41" spans="2:8">
      <c r="B41" s="91"/>
      <c r="C41" s="91"/>
      <c r="D41" s="91"/>
      <c r="E41" s="92"/>
      <c r="F41" s="91"/>
      <c r="G41" s="91"/>
      <c r="H41" s="121"/>
    </row>
    <row r="42" spans="2:8" ht="15" thickBot="1">
      <c r="B42" s="78"/>
      <c r="C42" s="78"/>
      <c r="D42" s="78"/>
      <c r="E42" s="79"/>
      <c r="F42" s="78"/>
      <c r="G42" s="78"/>
      <c r="H42" s="121"/>
    </row>
    <row r="43" spans="2:8" ht="28.8">
      <c r="B43" s="86" t="s">
        <v>344</v>
      </c>
      <c r="C43" s="72" t="s">
        <v>352</v>
      </c>
      <c r="D43" s="81" t="s">
        <v>1578</v>
      </c>
      <c r="E43" s="73" t="s">
        <v>306</v>
      </c>
      <c r="F43" s="72" t="s">
        <v>307</v>
      </c>
      <c r="G43" s="80" t="s">
        <v>5</v>
      </c>
      <c r="H43" s="121"/>
    </row>
    <row r="44" spans="2:8">
      <c r="B44" s="74"/>
      <c r="C44" s="67"/>
      <c r="D44" s="67"/>
      <c r="E44" s="75"/>
      <c r="F44" s="67"/>
      <c r="G44" s="76"/>
      <c r="H44" s="121"/>
    </row>
    <row r="45" spans="2:8">
      <c r="B45" s="74" t="s">
        <v>345</v>
      </c>
      <c r="C45" s="67" t="s">
        <v>358</v>
      </c>
      <c r="D45" s="238">
        <v>-1827676</v>
      </c>
      <c r="E45" s="75">
        <v>0</v>
      </c>
      <c r="F45" s="238">
        <v>0</v>
      </c>
      <c r="G45" s="76"/>
      <c r="H45" s="121"/>
    </row>
    <row r="46" spans="2:8">
      <c r="B46" s="74" t="s">
        <v>351</v>
      </c>
      <c r="C46" s="67" t="s">
        <v>358</v>
      </c>
      <c r="D46" s="238">
        <v>-19243</v>
      </c>
      <c r="E46" s="75">
        <v>1</v>
      </c>
      <c r="F46" s="706">
        <v>-19243</v>
      </c>
      <c r="G46" s="76"/>
      <c r="H46" s="121"/>
    </row>
    <row r="47" spans="2:8">
      <c r="B47" s="74" t="s">
        <v>346</v>
      </c>
      <c r="C47" s="67" t="s">
        <v>358</v>
      </c>
      <c r="D47" s="238">
        <v>-267696</v>
      </c>
      <c r="E47" s="75">
        <f>+F47/D47</f>
        <v>0.29849904369135138</v>
      </c>
      <c r="F47" s="706">
        <v>-79907</v>
      </c>
      <c r="G47" s="76"/>
      <c r="H47" s="121"/>
    </row>
    <row r="48" spans="2:8" s="121" customFormat="1">
      <c r="B48" s="123" t="s">
        <v>1492</v>
      </c>
      <c r="C48" s="122" t="s">
        <v>358</v>
      </c>
      <c r="D48" s="238">
        <v>-10638</v>
      </c>
      <c r="E48" s="666">
        <f>+F48/D48</f>
        <v>0</v>
      </c>
      <c r="F48" s="706">
        <v>0</v>
      </c>
      <c r="G48" s="125"/>
    </row>
    <row r="49" spans="2:8">
      <c r="B49" s="74"/>
      <c r="C49" s="67"/>
      <c r="D49" s="67"/>
      <c r="E49" s="75"/>
      <c r="F49" s="67"/>
      <c r="G49" s="76"/>
      <c r="H49" s="121"/>
    </row>
    <row r="50" spans="2:8" s="59" customFormat="1" ht="15" thickBot="1">
      <c r="B50" s="87" t="s">
        <v>347</v>
      </c>
      <c r="C50" s="88" t="s">
        <v>362</v>
      </c>
      <c r="D50" s="88">
        <f>SUM(D44:D49)</f>
        <v>-2125253</v>
      </c>
      <c r="E50" s="89"/>
      <c r="F50" s="88">
        <f>SUM(F44:F49)</f>
        <v>-99150</v>
      </c>
      <c r="G50" s="192" t="s">
        <v>1278</v>
      </c>
    </row>
    <row r="57" spans="2:8">
      <c r="B57" s="59"/>
      <c r="C57" s="59"/>
    </row>
  </sheetData>
  <pageMargins left="0.7" right="0.7" top="0.75" bottom="0.75" header="0.3" footer="0.3"/>
  <pageSetup scale="6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E22" sqref="E22"/>
    </sheetView>
  </sheetViews>
  <sheetFormatPr defaultRowHeight="14.4"/>
  <cols>
    <col min="1" max="1" width="6.109375" customWidth="1"/>
    <col min="2" max="2" width="47.109375" bestFit="1" customWidth="1"/>
    <col min="3" max="3" width="42.6640625" bestFit="1" customWidth="1"/>
    <col min="4" max="4" width="31.6640625" customWidth="1"/>
    <col min="5" max="5" width="23.109375" bestFit="1" customWidth="1"/>
  </cols>
  <sheetData>
    <row r="1" spans="1:10">
      <c r="A1" s="59" t="s">
        <v>0</v>
      </c>
    </row>
    <row r="2" spans="1:10">
      <c r="A2" s="59" t="s">
        <v>528</v>
      </c>
    </row>
    <row r="3" spans="1:10" s="146" customFormat="1">
      <c r="A3" s="59"/>
    </row>
    <row r="4" spans="1:10" s="146" customFormat="1">
      <c r="A4" s="59"/>
    </row>
    <row r="5" spans="1:10" ht="15" thickBot="1"/>
    <row r="6" spans="1:10">
      <c r="B6" s="29"/>
      <c r="C6" s="8"/>
      <c r="D6" s="8"/>
      <c r="E6" s="8"/>
      <c r="F6" s="10"/>
    </row>
    <row r="7" spans="1:10">
      <c r="B7" s="11"/>
      <c r="C7" s="12" t="s">
        <v>11</v>
      </c>
      <c r="D7" s="16" t="s">
        <v>531</v>
      </c>
      <c r="E7" s="12"/>
      <c r="F7" s="15"/>
    </row>
    <row r="8" spans="1:10" s="172" customFormat="1">
      <c r="B8" s="231" t="s">
        <v>669</v>
      </c>
      <c r="C8" s="36" t="s">
        <v>561</v>
      </c>
      <c r="D8" s="177">
        <f>+'Schedule12A FERC p328'!Z183</f>
        <v>381790</v>
      </c>
      <c r="E8" s="36" t="s">
        <v>766</v>
      </c>
      <c r="F8" s="131"/>
    </row>
    <row r="9" spans="1:10">
      <c r="B9" s="114"/>
      <c r="C9" s="13"/>
      <c r="D9" s="158"/>
      <c r="E9" s="13"/>
      <c r="F9" s="131"/>
      <c r="G9" s="101"/>
      <c r="H9" s="101"/>
      <c r="I9" s="101"/>
      <c r="J9" s="101"/>
    </row>
    <row r="10" spans="1:10">
      <c r="B10" s="114" t="s">
        <v>670</v>
      </c>
      <c r="C10" s="13"/>
      <c r="D10" s="158">
        <f>+'Schedule12A FERC p328'!AA183-D11</f>
        <v>1204558</v>
      </c>
      <c r="E10" s="157" t="s">
        <v>667</v>
      </c>
      <c r="F10" s="131"/>
      <c r="G10" s="101"/>
      <c r="H10" s="101"/>
      <c r="I10" s="101"/>
      <c r="J10" s="101"/>
    </row>
    <row r="11" spans="1:10">
      <c r="B11" s="114" t="s">
        <v>671</v>
      </c>
      <c r="C11" s="157"/>
      <c r="D11" s="168">
        <f>'Schedule12A FERC p328'!AA186</f>
        <v>0</v>
      </c>
      <c r="E11" s="157" t="s">
        <v>668</v>
      </c>
      <c r="F11" s="131"/>
      <c r="G11" s="101"/>
      <c r="H11" s="101"/>
      <c r="I11" s="101"/>
      <c r="J11" s="101"/>
    </row>
    <row r="12" spans="1:10" s="146" customFormat="1">
      <c r="B12" s="114" t="s">
        <v>769</v>
      </c>
      <c r="C12" s="36" t="s">
        <v>561</v>
      </c>
      <c r="D12" s="158">
        <f>+D10+D11</f>
        <v>1204558</v>
      </c>
      <c r="E12" s="157"/>
      <c r="F12" s="131"/>
      <c r="G12" s="172"/>
      <c r="H12" s="172"/>
      <c r="I12" s="172"/>
      <c r="J12" s="172"/>
    </row>
    <row r="13" spans="1:10" s="146" customFormat="1">
      <c r="B13" s="114"/>
      <c r="C13" s="157"/>
      <c r="D13" s="158"/>
      <c r="E13" s="157"/>
      <c r="F13" s="131"/>
      <c r="G13" s="172"/>
      <c r="H13" s="172"/>
      <c r="I13" s="172"/>
      <c r="J13" s="172"/>
    </row>
    <row r="14" spans="1:10" s="146" customFormat="1">
      <c r="B14" s="114" t="s">
        <v>556</v>
      </c>
      <c r="C14" s="157" t="s">
        <v>561</v>
      </c>
      <c r="D14" s="158">
        <f>+'Schedule12A FERC p328'!AB183</f>
        <v>658838</v>
      </c>
      <c r="E14" s="157" t="s">
        <v>672</v>
      </c>
      <c r="F14" s="131"/>
      <c r="G14" s="172"/>
      <c r="H14" s="172"/>
      <c r="I14" s="172"/>
      <c r="J14" s="172"/>
    </row>
    <row r="15" spans="1:10" ht="15" thickBot="1">
      <c r="B15" s="20"/>
      <c r="C15" s="21"/>
      <c r="D15" s="166"/>
      <c r="E15" s="21"/>
      <c r="F15" s="23"/>
    </row>
    <row r="16" spans="1:10">
      <c r="D16" s="148"/>
    </row>
    <row r="17" spans="2:6">
      <c r="D17" s="148"/>
    </row>
    <row r="18" spans="2:6" ht="15" thickBot="1">
      <c r="D18" s="148"/>
    </row>
    <row r="19" spans="2:6">
      <c r="B19" s="7" t="s">
        <v>529</v>
      </c>
      <c r="C19" s="8"/>
      <c r="D19" s="153"/>
      <c r="E19" s="8"/>
      <c r="F19" s="10"/>
    </row>
    <row r="20" spans="2:6">
      <c r="B20" s="11"/>
      <c r="C20" s="12" t="s">
        <v>11</v>
      </c>
      <c r="D20" s="161" t="s">
        <v>530</v>
      </c>
      <c r="F20" s="15"/>
    </row>
    <row r="21" spans="2:6">
      <c r="B21" s="11" t="s">
        <v>525</v>
      </c>
      <c r="C21" s="13" t="s">
        <v>524</v>
      </c>
      <c r="D21" s="207">
        <v>405268.4800000001</v>
      </c>
      <c r="E21" s="146" t="s">
        <v>1279</v>
      </c>
      <c r="F21" s="15"/>
    </row>
    <row r="22" spans="2:6">
      <c r="B22" s="11" t="s">
        <v>526</v>
      </c>
      <c r="C22" s="13" t="s">
        <v>524</v>
      </c>
      <c r="D22" s="208">
        <v>4253912.43</v>
      </c>
      <c r="F22" s="15"/>
    </row>
    <row r="23" spans="2:6">
      <c r="B23" s="155" t="s">
        <v>835</v>
      </c>
      <c r="C23" s="13" t="s">
        <v>527</v>
      </c>
      <c r="D23" s="158">
        <f>SUM(D21:D22)</f>
        <v>4659180.91</v>
      </c>
      <c r="F23" s="15"/>
    </row>
    <row r="24" spans="2:6">
      <c r="B24" s="11"/>
      <c r="C24" s="13"/>
      <c r="D24" s="158"/>
      <c r="E24" s="13"/>
      <c r="F24" s="15"/>
    </row>
    <row r="25" spans="2:6" ht="15" thickBot="1">
      <c r="B25" s="20"/>
      <c r="C25" s="21"/>
      <c r="D25" s="21"/>
      <c r="E25" s="21"/>
      <c r="F25" s="23"/>
    </row>
  </sheetData>
  <pageMargins left="0.7" right="0.7" top="0.75" bottom="0.75" header="0.3" footer="0.3"/>
  <pageSetup scale="7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4"/>
  <sheetViews>
    <sheetView topLeftCell="P13" zoomScaleNormal="100" workbookViewId="0">
      <selection activeCell="Q31" sqref="Q31"/>
    </sheetView>
  </sheetViews>
  <sheetFormatPr defaultRowHeight="13.2"/>
  <cols>
    <col min="1" max="1" width="13" style="112" customWidth="1"/>
    <col min="2" max="2" width="13.33203125" style="112" bestFit="1" customWidth="1"/>
    <col min="3" max="3" width="10.109375" style="112" hidden="1" customWidth="1"/>
    <col min="4" max="4" width="14.44140625" style="112" hidden="1" customWidth="1"/>
    <col min="5" max="5" width="11.5546875" style="112" hidden="1" customWidth="1"/>
    <col min="6" max="6" width="10.88671875" style="112" hidden="1" customWidth="1"/>
    <col min="7" max="7" width="31.6640625" style="112" bestFit="1" customWidth="1"/>
    <col min="8" max="8" width="28.5546875" style="112" customWidth="1"/>
    <col min="9" max="9" width="29.109375" style="112" customWidth="1"/>
    <col min="10" max="10" width="9" style="112" customWidth="1"/>
    <col min="11" max="11" width="15" style="112" customWidth="1"/>
    <col min="12" max="12" width="13.88671875" style="112" customWidth="1"/>
    <col min="13" max="13" width="8.88671875" style="112" customWidth="1"/>
    <col min="14" max="14" width="10" style="128" customWidth="1"/>
    <col min="15" max="16" width="12.33203125" style="128" customWidth="1"/>
    <col min="17" max="17" width="13.6640625" style="128" customWidth="1"/>
    <col min="18" max="18" width="12.5546875" style="128" customWidth="1"/>
    <col min="19" max="19" width="12.44140625" style="128" customWidth="1"/>
    <col min="20" max="20" width="11.33203125" style="128" customWidth="1"/>
    <col min="21" max="21" width="18.6640625" style="112" customWidth="1"/>
    <col min="22" max="22" width="11.33203125" style="112" customWidth="1"/>
    <col min="23" max="23" width="12.33203125" style="112" customWidth="1"/>
    <col min="24" max="24" width="12.109375" style="112" customWidth="1"/>
    <col min="25" max="25" width="11.88671875" style="112" customWidth="1"/>
    <col min="26" max="26" width="11.33203125" style="112" customWidth="1"/>
    <col min="27" max="27" width="11.33203125" style="112" bestFit="1" customWidth="1"/>
    <col min="28" max="28" width="12.88671875" style="112" customWidth="1"/>
    <col min="29" max="29" width="11.5546875" style="112" customWidth="1"/>
    <col min="30" max="30" width="12.5546875" style="112" customWidth="1"/>
    <col min="31" max="31" width="16.5546875" style="112" customWidth="1"/>
    <col min="32" max="32" width="12.33203125" style="112" customWidth="1"/>
    <col min="33" max="213" width="9.109375" style="112"/>
    <col min="214" max="214" width="13.33203125" style="112" bestFit="1" customWidth="1"/>
    <col min="215" max="215" width="10.109375" style="112" customWidth="1"/>
    <col min="216" max="216" width="14.44140625" style="112" customWidth="1"/>
    <col min="217" max="217" width="11.5546875" style="112" customWidth="1"/>
    <col min="218" max="218" width="10.88671875" style="112" customWidth="1"/>
    <col min="219" max="219" width="31.6640625" style="112" bestFit="1" customWidth="1"/>
    <col min="220" max="220" width="28.5546875" style="112" customWidth="1"/>
    <col min="221" max="221" width="29.109375" style="112" customWidth="1"/>
    <col min="222" max="222" width="16" style="112" bestFit="1" customWidth="1"/>
    <col min="223" max="223" width="15" style="112" customWidth="1"/>
    <col min="224" max="224" width="13.88671875" style="112" customWidth="1"/>
    <col min="225" max="225" width="16.88671875" style="112" customWidth="1"/>
    <col min="226" max="226" width="15.6640625" style="112" bestFit="1" customWidth="1"/>
    <col min="227" max="228" width="12.33203125" style="112" bestFit="1" customWidth="1"/>
    <col min="229" max="229" width="15.5546875" style="112" bestFit="1" customWidth="1"/>
    <col min="230" max="230" width="13.44140625" style="112" bestFit="1" customWidth="1"/>
    <col min="231" max="231" width="14" style="112" bestFit="1" customWidth="1"/>
    <col min="232" max="232" width="13.6640625" style="112" bestFit="1" customWidth="1"/>
    <col min="233" max="233" width="15.88671875" style="112" bestFit="1" customWidth="1"/>
    <col min="234" max="237" width="15.88671875" style="112" customWidth="1"/>
    <col min="238" max="238" width="12.44140625" style="112" bestFit="1" customWidth="1"/>
    <col min="239" max="241" width="12.44140625" style="112" customWidth="1"/>
    <col min="242" max="242" width="15.88671875" style="112" bestFit="1" customWidth="1"/>
    <col min="243" max="243" width="24.33203125" style="112" bestFit="1" customWidth="1"/>
    <col min="244" max="244" width="13.44140625" style="112" bestFit="1" customWidth="1"/>
    <col min="245" max="469" width="9.109375" style="112"/>
    <col min="470" max="470" width="13.33203125" style="112" bestFit="1" customWidth="1"/>
    <col min="471" max="471" width="10.109375" style="112" customWidth="1"/>
    <col min="472" max="472" width="14.44140625" style="112" customWidth="1"/>
    <col min="473" max="473" width="11.5546875" style="112" customWidth="1"/>
    <col min="474" max="474" width="10.88671875" style="112" customWidth="1"/>
    <col min="475" max="475" width="31.6640625" style="112" bestFit="1" customWidth="1"/>
    <col min="476" max="476" width="28.5546875" style="112" customWidth="1"/>
    <col min="477" max="477" width="29.109375" style="112" customWidth="1"/>
    <col min="478" max="478" width="16" style="112" bestFit="1" customWidth="1"/>
    <col min="479" max="479" width="15" style="112" customWidth="1"/>
    <col min="480" max="480" width="13.88671875" style="112" customWidth="1"/>
    <col min="481" max="481" width="16.88671875" style="112" customWidth="1"/>
    <col min="482" max="482" width="15.6640625" style="112" bestFit="1" customWidth="1"/>
    <col min="483" max="484" width="12.33203125" style="112" bestFit="1" customWidth="1"/>
    <col min="485" max="485" width="15.5546875" style="112" bestFit="1" customWidth="1"/>
    <col min="486" max="486" width="13.44140625" style="112" bestFit="1" customWidth="1"/>
    <col min="487" max="487" width="14" style="112" bestFit="1" customWidth="1"/>
    <col min="488" max="488" width="13.6640625" style="112" bestFit="1" customWidth="1"/>
    <col min="489" max="489" width="15.88671875" style="112" bestFit="1" customWidth="1"/>
    <col min="490" max="493" width="15.88671875" style="112" customWidth="1"/>
    <col min="494" max="494" width="12.44140625" style="112" bestFit="1" customWidth="1"/>
    <col min="495" max="497" width="12.44140625" style="112" customWidth="1"/>
    <col min="498" max="498" width="15.88671875" style="112" bestFit="1" customWidth="1"/>
    <col min="499" max="499" width="24.33203125" style="112" bestFit="1" customWidth="1"/>
    <col min="500" max="500" width="13.44140625" style="112" bestFit="1" customWidth="1"/>
    <col min="501" max="725" width="9.109375" style="112"/>
    <col min="726" max="726" width="13.33203125" style="112" bestFit="1" customWidth="1"/>
    <col min="727" max="727" width="10.109375" style="112" customWidth="1"/>
    <col min="728" max="728" width="14.44140625" style="112" customWidth="1"/>
    <col min="729" max="729" width="11.5546875" style="112" customWidth="1"/>
    <col min="730" max="730" width="10.88671875" style="112" customWidth="1"/>
    <col min="731" max="731" width="31.6640625" style="112" bestFit="1" customWidth="1"/>
    <col min="732" max="732" width="28.5546875" style="112" customWidth="1"/>
    <col min="733" max="733" width="29.109375" style="112" customWidth="1"/>
    <col min="734" max="734" width="16" style="112" bestFit="1" customWidth="1"/>
    <col min="735" max="735" width="15" style="112" customWidth="1"/>
    <col min="736" max="736" width="13.88671875" style="112" customWidth="1"/>
    <col min="737" max="737" width="16.88671875" style="112" customWidth="1"/>
    <col min="738" max="738" width="15.6640625" style="112" bestFit="1" customWidth="1"/>
    <col min="739" max="740" width="12.33203125" style="112" bestFit="1" customWidth="1"/>
    <col min="741" max="741" width="15.5546875" style="112" bestFit="1" customWidth="1"/>
    <col min="742" max="742" width="13.44140625" style="112" bestFit="1" customWidth="1"/>
    <col min="743" max="743" width="14" style="112" bestFit="1" customWidth="1"/>
    <col min="744" max="744" width="13.6640625" style="112" bestFit="1" customWidth="1"/>
    <col min="745" max="745" width="15.88671875" style="112" bestFit="1" customWidth="1"/>
    <col min="746" max="749" width="15.88671875" style="112" customWidth="1"/>
    <col min="750" max="750" width="12.44140625" style="112" bestFit="1" customWidth="1"/>
    <col min="751" max="753" width="12.44140625" style="112" customWidth="1"/>
    <col min="754" max="754" width="15.88671875" style="112" bestFit="1" customWidth="1"/>
    <col min="755" max="755" width="24.33203125" style="112" bestFit="1" customWidth="1"/>
    <col min="756" max="756" width="13.44140625" style="112" bestFit="1" customWidth="1"/>
    <col min="757" max="981" width="9.109375" style="112"/>
    <col min="982" max="982" width="13.33203125" style="112" bestFit="1" customWidth="1"/>
    <col min="983" max="983" width="10.109375" style="112" customWidth="1"/>
    <col min="984" max="984" width="14.44140625" style="112" customWidth="1"/>
    <col min="985" max="985" width="11.5546875" style="112" customWidth="1"/>
    <col min="986" max="986" width="10.88671875" style="112" customWidth="1"/>
    <col min="987" max="987" width="31.6640625" style="112" bestFit="1" customWidth="1"/>
    <col min="988" max="988" width="28.5546875" style="112" customWidth="1"/>
    <col min="989" max="989" width="29.109375" style="112" customWidth="1"/>
    <col min="990" max="990" width="16" style="112" bestFit="1" customWidth="1"/>
    <col min="991" max="991" width="15" style="112" customWidth="1"/>
    <col min="992" max="992" width="13.88671875" style="112" customWidth="1"/>
    <col min="993" max="993" width="16.88671875" style="112" customWidth="1"/>
    <col min="994" max="994" width="15.6640625" style="112" bestFit="1" customWidth="1"/>
    <col min="995" max="996" width="12.33203125" style="112" bestFit="1" customWidth="1"/>
    <col min="997" max="997" width="15.5546875" style="112" bestFit="1" customWidth="1"/>
    <col min="998" max="998" width="13.44140625" style="112" bestFit="1" customWidth="1"/>
    <col min="999" max="999" width="14" style="112" bestFit="1" customWidth="1"/>
    <col min="1000" max="1000" width="13.6640625" style="112" bestFit="1" customWidth="1"/>
    <col min="1001" max="1001" width="15.88671875" style="112" bestFit="1" customWidth="1"/>
    <col min="1002" max="1005" width="15.88671875" style="112" customWidth="1"/>
    <col min="1006" max="1006" width="12.44140625" style="112" bestFit="1" customWidth="1"/>
    <col min="1007" max="1009" width="12.44140625" style="112" customWidth="1"/>
    <col min="1010" max="1010" width="15.88671875" style="112" bestFit="1" customWidth="1"/>
    <col min="1011" max="1011" width="24.33203125" style="112" bestFit="1" customWidth="1"/>
    <col min="1012" max="1012" width="13.44140625" style="112" bestFit="1" customWidth="1"/>
    <col min="1013" max="1237" width="9.109375" style="112"/>
    <col min="1238" max="1238" width="13.33203125" style="112" bestFit="1" customWidth="1"/>
    <col min="1239" max="1239" width="10.109375" style="112" customWidth="1"/>
    <col min="1240" max="1240" width="14.44140625" style="112" customWidth="1"/>
    <col min="1241" max="1241" width="11.5546875" style="112" customWidth="1"/>
    <col min="1242" max="1242" width="10.88671875" style="112" customWidth="1"/>
    <col min="1243" max="1243" width="31.6640625" style="112" bestFit="1" customWidth="1"/>
    <col min="1244" max="1244" width="28.5546875" style="112" customWidth="1"/>
    <col min="1245" max="1245" width="29.109375" style="112" customWidth="1"/>
    <col min="1246" max="1246" width="16" style="112" bestFit="1" customWidth="1"/>
    <col min="1247" max="1247" width="15" style="112" customWidth="1"/>
    <col min="1248" max="1248" width="13.88671875" style="112" customWidth="1"/>
    <col min="1249" max="1249" width="16.88671875" style="112" customWidth="1"/>
    <col min="1250" max="1250" width="15.6640625" style="112" bestFit="1" customWidth="1"/>
    <col min="1251" max="1252" width="12.33203125" style="112" bestFit="1" customWidth="1"/>
    <col min="1253" max="1253" width="15.5546875" style="112" bestFit="1" customWidth="1"/>
    <col min="1254" max="1254" width="13.44140625" style="112" bestFit="1" customWidth="1"/>
    <col min="1255" max="1255" width="14" style="112" bestFit="1" customWidth="1"/>
    <col min="1256" max="1256" width="13.6640625" style="112" bestFit="1" customWidth="1"/>
    <col min="1257" max="1257" width="15.88671875" style="112" bestFit="1" customWidth="1"/>
    <col min="1258" max="1261" width="15.88671875" style="112" customWidth="1"/>
    <col min="1262" max="1262" width="12.44140625" style="112" bestFit="1" customWidth="1"/>
    <col min="1263" max="1265" width="12.44140625" style="112" customWidth="1"/>
    <col min="1266" max="1266" width="15.88671875" style="112" bestFit="1" customWidth="1"/>
    <col min="1267" max="1267" width="24.33203125" style="112" bestFit="1" customWidth="1"/>
    <col min="1268" max="1268" width="13.44140625" style="112" bestFit="1" customWidth="1"/>
    <col min="1269" max="1493" width="9.109375" style="112"/>
    <col min="1494" max="1494" width="13.33203125" style="112" bestFit="1" customWidth="1"/>
    <col min="1495" max="1495" width="10.109375" style="112" customWidth="1"/>
    <col min="1496" max="1496" width="14.44140625" style="112" customWidth="1"/>
    <col min="1497" max="1497" width="11.5546875" style="112" customWidth="1"/>
    <col min="1498" max="1498" width="10.88671875" style="112" customWidth="1"/>
    <col min="1499" max="1499" width="31.6640625" style="112" bestFit="1" customWidth="1"/>
    <col min="1500" max="1500" width="28.5546875" style="112" customWidth="1"/>
    <col min="1501" max="1501" width="29.109375" style="112" customWidth="1"/>
    <col min="1502" max="1502" width="16" style="112" bestFit="1" customWidth="1"/>
    <col min="1503" max="1503" width="15" style="112" customWidth="1"/>
    <col min="1504" max="1504" width="13.88671875" style="112" customWidth="1"/>
    <col min="1505" max="1505" width="16.88671875" style="112" customWidth="1"/>
    <col min="1506" max="1506" width="15.6640625" style="112" bestFit="1" customWidth="1"/>
    <col min="1507" max="1508" width="12.33203125" style="112" bestFit="1" customWidth="1"/>
    <col min="1509" max="1509" width="15.5546875" style="112" bestFit="1" customWidth="1"/>
    <col min="1510" max="1510" width="13.44140625" style="112" bestFit="1" customWidth="1"/>
    <col min="1511" max="1511" width="14" style="112" bestFit="1" customWidth="1"/>
    <col min="1512" max="1512" width="13.6640625" style="112" bestFit="1" customWidth="1"/>
    <col min="1513" max="1513" width="15.88671875" style="112" bestFit="1" customWidth="1"/>
    <col min="1514" max="1517" width="15.88671875" style="112" customWidth="1"/>
    <col min="1518" max="1518" width="12.44140625" style="112" bestFit="1" customWidth="1"/>
    <col min="1519" max="1521" width="12.44140625" style="112" customWidth="1"/>
    <col min="1522" max="1522" width="15.88671875" style="112" bestFit="1" customWidth="1"/>
    <col min="1523" max="1523" width="24.33203125" style="112" bestFit="1" customWidth="1"/>
    <col min="1524" max="1524" width="13.44140625" style="112" bestFit="1" customWidth="1"/>
    <col min="1525" max="1749" width="9.109375" style="112"/>
    <col min="1750" max="1750" width="13.33203125" style="112" bestFit="1" customWidth="1"/>
    <col min="1751" max="1751" width="10.109375" style="112" customWidth="1"/>
    <col min="1752" max="1752" width="14.44140625" style="112" customWidth="1"/>
    <col min="1753" max="1753" width="11.5546875" style="112" customWidth="1"/>
    <col min="1754" max="1754" width="10.88671875" style="112" customWidth="1"/>
    <col min="1755" max="1755" width="31.6640625" style="112" bestFit="1" customWidth="1"/>
    <col min="1756" max="1756" width="28.5546875" style="112" customWidth="1"/>
    <col min="1757" max="1757" width="29.109375" style="112" customWidth="1"/>
    <col min="1758" max="1758" width="16" style="112" bestFit="1" customWidth="1"/>
    <col min="1759" max="1759" width="15" style="112" customWidth="1"/>
    <col min="1760" max="1760" width="13.88671875" style="112" customWidth="1"/>
    <col min="1761" max="1761" width="16.88671875" style="112" customWidth="1"/>
    <col min="1762" max="1762" width="15.6640625" style="112" bestFit="1" customWidth="1"/>
    <col min="1763" max="1764" width="12.33203125" style="112" bestFit="1" customWidth="1"/>
    <col min="1765" max="1765" width="15.5546875" style="112" bestFit="1" customWidth="1"/>
    <col min="1766" max="1766" width="13.44140625" style="112" bestFit="1" customWidth="1"/>
    <col min="1767" max="1767" width="14" style="112" bestFit="1" customWidth="1"/>
    <col min="1768" max="1768" width="13.6640625" style="112" bestFit="1" customWidth="1"/>
    <col min="1769" max="1769" width="15.88671875" style="112" bestFit="1" customWidth="1"/>
    <col min="1770" max="1773" width="15.88671875" style="112" customWidth="1"/>
    <col min="1774" max="1774" width="12.44140625" style="112" bestFit="1" customWidth="1"/>
    <col min="1775" max="1777" width="12.44140625" style="112" customWidth="1"/>
    <col min="1778" max="1778" width="15.88671875" style="112" bestFit="1" customWidth="1"/>
    <col min="1779" max="1779" width="24.33203125" style="112" bestFit="1" customWidth="1"/>
    <col min="1780" max="1780" width="13.44140625" style="112" bestFit="1" customWidth="1"/>
    <col min="1781" max="2005" width="9.109375" style="112"/>
    <col min="2006" max="2006" width="13.33203125" style="112" bestFit="1" customWidth="1"/>
    <col min="2007" max="2007" width="10.109375" style="112" customWidth="1"/>
    <col min="2008" max="2008" width="14.44140625" style="112" customWidth="1"/>
    <col min="2009" max="2009" width="11.5546875" style="112" customWidth="1"/>
    <col min="2010" max="2010" width="10.88671875" style="112" customWidth="1"/>
    <col min="2011" max="2011" width="31.6640625" style="112" bestFit="1" customWidth="1"/>
    <col min="2012" max="2012" width="28.5546875" style="112" customWidth="1"/>
    <col min="2013" max="2013" width="29.109375" style="112" customWidth="1"/>
    <col min="2014" max="2014" width="16" style="112" bestFit="1" customWidth="1"/>
    <col min="2015" max="2015" width="15" style="112" customWidth="1"/>
    <col min="2016" max="2016" width="13.88671875" style="112" customWidth="1"/>
    <col min="2017" max="2017" width="16.88671875" style="112" customWidth="1"/>
    <col min="2018" max="2018" width="15.6640625" style="112" bestFit="1" customWidth="1"/>
    <col min="2019" max="2020" width="12.33203125" style="112" bestFit="1" customWidth="1"/>
    <col min="2021" max="2021" width="15.5546875" style="112" bestFit="1" customWidth="1"/>
    <col min="2022" max="2022" width="13.44140625" style="112" bestFit="1" customWidth="1"/>
    <col min="2023" max="2023" width="14" style="112" bestFit="1" customWidth="1"/>
    <col min="2024" max="2024" width="13.6640625" style="112" bestFit="1" customWidth="1"/>
    <col min="2025" max="2025" width="15.88671875" style="112" bestFit="1" customWidth="1"/>
    <col min="2026" max="2029" width="15.88671875" style="112" customWidth="1"/>
    <col min="2030" max="2030" width="12.44140625" style="112" bestFit="1" customWidth="1"/>
    <col min="2031" max="2033" width="12.44140625" style="112" customWidth="1"/>
    <col min="2034" max="2034" width="15.88671875" style="112" bestFit="1" customWidth="1"/>
    <col min="2035" max="2035" width="24.33203125" style="112" bestFit="1" customWidth="1"/>
    <col min="2036" max="2036" width="13.44140625" style="112" bestFit="1" customWidth="1"/>
    <col min="2037" max="2261" width="9.109375" style="112"/>
    <col min="2262" max="2262" width="13.33203125" style="112" bestFit="1" customWidth="1"/>
    <col min="2263" max="2263" width="10.109375" style="112" customWidth="1"/>
    <col min="2264" max="2264" width="14.44140625" style="112" customWidth="1"/>
    <col min="2265" max="2265" width="11.5546875" style="112" customWidth="1"/>
    <col min="2266" max="2266" width="10.88671875" style="112" customWidth="1"/>
    <col min="2267" max="2267" width="31.6640625" style="112" bestFit="1" customWidth="1"/>
    <col min="2268" max="2268" width="28.5546875" style="112" customWidth="1"/>
    <col min="2269" max="2269" width="29.109375" style="112" customWidth="1"/>
    <col min="2270" max="2270" width="16" style="112" bestFit="1" customWidth="1"/>
    <col min="2271" max="2271" width="15" style="112" customWidth="1"/>
    <col min="2272" max="2272" width="13.88671875" style="112" customWidth="1"/>
    <col min="2273" max="2273" width="16.88671875" style="112" customWidth="1"/>
    <col min="2274" max="2274" width="15.6640625" style="112" bestFit="1" customWidth="1"/>
    <col min="2275" max="2276" width="12.33203125" style="112" bestFit="1" customWidth="1"/>
    <col min="2277" max="2277" width="15.5546875" style="112" bestFit="1" customWidth="1"/>
    <col min="2278" max="2278" width="13.44140625" style="112" bestFit="1" customWidth="1"/>
    <col min="2279" max="2279" width="14" style="112" bestFit="1" customWidth="1"/>
    <col min="2280" max="2280" width="13.6640625" style="112" bestFit="1" customWidth="1"/>
    <col min="2281" max="2281" width="15.88671875" style="112" bestFit="1" customWidth="1"/>
    <col min="2282" max="2285" width="15.88671875" style="112" customWidth="1"/>
    <col min="2286" max="2286" width="12.44140625" style="112" bestFit="1" customWidth="1"/>
    <col min="2287" max="2289" width="12.44140625" style="112" customWidth="1"/>
    <col min="2290" max="2290" width="15.88671875" style="112" bestFit="1" customWidth="1"/>
    <col min="2291" max="2291" width="24.33203125" style="112" bestFit="1" customWidth="1"/>
    <col min="2292" max="2292" width="13.44140625" style="112" bestFit="1" customWidth="1"/>
    <col min="2293" max="2517" width="9.109375" style="112"/>
    <col min="2518" max="2518" width="13.33203125" style="112" bestFit="1" customWidth="1"/>
    <col min="2519" max="2519" width="10.109375" style="112" customWidth="1"/>
    <col min="2520" max="2520" width="14.44140625" style="112" customWidth="1"/>
    <col min="2521" max="2521" width="11.5546875" style="112" customWidth="1"/>
    <col min="2522" max="2522" width="10.88671875" style="112" customWidth="1"/>
    <col min="2523" max="2523" width="31.6640625" style="112" bestFit="1" customWidth="1"/>
    <col min="2524" max="2524" width="28.5546875" style="112" customWidth="1"/>
    <col min="2525" max="2525" width="29.109375" style="112" customWidth="1"/>
    <col min="2526" max="2526" width="16" style="112" bestFit="1" customWidth="1"/>
    <col min="2527" max="2527" width="15" style="112" customWidth="1"/>
    <col min="2528" max="2528" width="13.88671875" style="112" customWidth="1"/>
    <col min="2529" max="2529" width="16.88671875" style="112" customWidth="1"/>
    <col min="2530" max="2530" width="15.6640625" style="112" bestFit="1" customWidth="1"/>
    <col min="2531" max="2532" width="12.33203125" style="112" bestFit="1" customWidth="1"/>
    <col min="2533" max="2533" width="15.5546875" style="112" bestFit="1" customWidth="1"/>
    <col min="2534" max="2534" width="13.44140625" style="112" bestFit="1" customWidth="1"/>
    <col min="2535" max="2535" width="14" style="112" bestFit="1" customWidth="1"/>
    <col min="2536" max="2536" width="13.6640625" style="112" bestFit="1" customWidth="1"/>
    <col min="2537" max="2537" width="15.88671875" style="112" bestFit="1" customWidth="1"/>
    <col min="2538" max="2541" width="15.88671875" style="112" customWidth="1"/>
    <col min="2542" max="2542" width="12.44140625" style="112" bestFit="1" customWidth="1"/>
    <col min="2543" max="2545" width="12.44140625" style="112" customWidth="1"/>
    <col min="2546" max="2546" width="15.88671875" style="112" bestFit="1" customWidth="1"/>
    <col min="2547" max="2547" width="24.33203125" style="112" bestFit="1" customWidth="1"/>
    <col min="2548" max="2548" width="13.44140625" style="112" bestFit="1" customWidth="1"/>
    <col min="2549" max="2773" width="9.109375" style="112"/>
    <col min="2774" max="2774" width="13.33203125" style="112" bestFit="1" customWidth="1"/>
    <col min="2775" max="2775" width="10.109375" style="112" customWidth="1"/>
    <col min="2776" max="2776" width="14.44140625" style="112" customWidth="1"/>
    <col min="2777" max="2777" width="11.5546875" style="112" customWidth="1"/>
    <col min="2778" max="2778" width="10.88671875" style="112" customWidth="1"/>
    <col min="2779" max="2779" width="31.6640625" style="112" bestFit="1" customWidth="1"/>
    <col min="2780" max="2780" width="28.5546875" style="112" customWidth="1"/>
    <col min="2781" max="2781" width="29.109375" style="112" customWidth="1"/>
    <col min="2782" max="2782" width="16" style="112" bestFit="1" customWidth="1"/>
    <col min="2783" max="2783" width="15" style="112" customWidth="1"/>
    <col min="2784" max="2784" width="13.88671875" style="112" customWidth="1"/>
    <col min="2785" max="2785" width="16.88671875" style="112" customWidth="1"/>
    <col min="2786" max="2786" width="15.6640625" style="112" bestFit="1" customWidth="1"/>
    <col min="2787" max="2788" width="12.33203125" style="112" bestFit="1" customWidth="1"/>
    <col min="2789" max="2789" width="15.5546875" style="112" bestFit="1" customWidth="1"/>
    <col min="2790" max="2790" width="13.44140625" style="112" bestFit="1" customWidth="1"/>
    <col min="2791" max="2791" width="14" style="112" bestFit="1" customWidth="1"/>
    <col min="2792" max="2792" width="13.6640625" style="112" bestFit="1" customWidth="1"/>
    <col min="2793" max="2793" width="15.88671875" style="112" bestFit="1" customWidth="1"/>
    <col min="2794" max="2797" width="15.88671875" style="112" customWidth="1"/>
    <col min="2798" max="2798" width="12.44140625" style="112" bestFit="1" customWidth="1"/>
    <col min="2799" max="2801" width="12.44140625" style="112" customWidth="1"/>
    <col min="2802" max="2802" width="15.88671875" style="112" bestFit="1" customWidth="1"/>
    <col min="2803" max="2803" width="24.33203125" style="112" bestFit="1" customWidth="1"/>
    <col min="2804" max="2804" width="13.44140625" style="112" bestFit="1" customWidth="1"/>
    <col min="2805" max="3029" width="9.109375" style="112"/>
    <col min="3030" max="3030" width="13.33203125" style="112" bestFit="1" customWidth="1"/>
    <col min="3031" max="3031" width="10.109375" style="112" customWidth="1"/>
    <col min="3032" max="3032" width="14.44140625" style="112" customWidth="1"/>
    <col min="3033" max="3033" width="11.5546875" style="112" customWidth="1"/>
    <col min="3034" max="3034" width="10.88671875" style="112" customWidth="1"/>
    <col min="3035" max="3035" width="31.6640625" style="112" bestFit="1" customWidth="1"/>
    <col min="3036" max="3036" width="28.5546875" style="112" customWidth="1"/>
    <col min="3037" max="3037" width="29.109375" style="112" customWidth="1"/>
    <col min="3038" max="3038" width="16" style="112" bestFit="1" customWidth="1"/>
    <col min="3039" max="3039" width="15" style="112" customWidth="1"/>
    <col min="3040" max="3040" width="13.88671875" style="112" customWidth="1"/>
    <col min="3041" max="3041" width="16.88671875" style="112" customWidth="1"/>
    <col min="3042" max="3042" width="15.6640625" style="112" bestFit="1" customWidth="1"/>
    <col min="3043" max="3044" width="12.33203125" style="112" bestFit="1" customWidth="1"/>
    <col min="3045" max="3045" width="15.5546875" style="112" bestFit="1" customWidth="1"/>
    <col min="3046" max="3046" width="13.44140625" style="112" bestFit="1" customWidth="1"/>
    <col min="3047" max="3047" width="14" style="112" bestFit="1" customWidth="1"/>
    <col min="3048" max="3048" width="13.6640625" style="112" bestFit="1" customWidth="1"/>
    <col min="3049" max="3049" width="15.88671875" style="112" bestFit="1" customWidth="1"/>
    <col min="3050" max="3053" width="15.88671875" style="112" customWidth="1"/>
    <col min="3054" max="3054" width="12.44140625" style="112" bestFit="1" customWidth="1"/>
    <col min="3055" max="3057" width="12.44140625" style="112" customWidth="1"/>
    <col min="3058" max="3058" width="15.88671875" style="112" bestFit="1" customWidth="1"/>
    <col min="3059" max="3059" width="24.33203125" style="112" bestFit="1" customWidth="1"/>
    <col min="3060" max="3060" width="13.44140625" style="112" bestFit="1" customWidth="1"/>
    <col min="3061" max="3285" width="9.109375" style="112"/>
    <col min="3286" max="3286" width="13.33203125" style="112" bestFit="1" customWidth="1"/>
    <col min="3287" max="3287" width="10.109375" style="112" customWidth="1"/>
    <col min="3288" max="3288" width="14.44140625" style="112" customWidth="1"/>
    <col min="3289" max="3289" width="11.5546875" style="112" customWidth="1"/>
    <col min="3290" max="3290" width="10.88671875" style="112" customWidth="1"/>
    <col min="3291" max="3291" width="31.6640625" style="112" bestFit="1" customWidth="1"/>
    <col min="3292" max="3292" width="28.5546875" style="112" customWidth="1"/>
    <col min="3293" max="3293" width="29.109375" style="112" customWidth="1"/>
    <col min="3294" max="3294" width="16" style="112" bestFit="1" customWidth="1"/>
    <col min="3295" max="3295" width="15" style="112" customWidth="1"/>
    <col min="3296" max="3296" width="13.88671875" style="112" customWidth="1"/>
    <col min="3297" max="3297" width="16.88671875" style="112" customWidth="1"/>
    <col min="3298" max="3298" width="15.6640625" style="112" bestFit="1" customWidth="1"/>
    <col min="3299" max="3300" width="12.33203125" style="112" bestFit="1" customWidth="1"/>
    <col min="3301" max="3301" width="15.5546875" style="112" bestFit="1" customWidth="1"/>
    <col min="3302" max="3302" width="13.44140625" style="112" bestFit="1" customWidth="1"/>
    <col min="3303" max="3303" width="14" style="112" bestFit="1" customWidth="1"/>
    <col min="3304" max="3304" width="13.6640625" style="112" bestFit="1" customWidth="1"/>
    <col min="3305" max="3305" width="15.88671875" style="112" bestFit="1" customWidth="1"/>
    <col min="3306" max="3309" width="15.88671875" style="112" customWidth="1"/>
    <col min="3310" max="3310" width="12.44140625" style="112" bestFit="1" customWidth="1"/>
    <col min="3311" max="3313" width="12.44140625" style="112" customWidth="1"/>
    <col min="3314" max="3314" width="15.88671875" style="112" bestFit="1" customWidth="1"/>
    <col min="3315" max="3315" width="24.33203125" style="112" bestFit="1" customWidth="1"/>
    <col min="3316" max="3316" width="13.44140625" style="112" bestFit="1" customWidth="1"/>
    <col min="3317" max="3541" width="9.109375" style="112"/>
    <col min="3542" max="3542" width="13.33203125" style="112" bestFit="1" customWidth="1"/>
    <col min="3543" max="3543" width="10.109375" style="112" customWidth="1"/>
    <col min="3544" max="3544" width="14.44140625" style="112" customWidth="1"/>
    <col min="3545" max="3545" width="11.5546875" style="112" customWidth="1"/>
    <col min="3546" max="3546" width="10.88671875" style="112" customWidth="1"/>
    <col min="3547" max="3547" width="31.6640625" style="112" bestFit="1" customWidth="1"/>
    <col min="3548" max="3548" width="28.5546875" style="112" customWidth="1"/>
    <col min="3549" max="3549" width="29.109375" style="112" customWidth="1"/>
    <col min="3550" max="3550" width="16" style="112" bestFit="1" customWidth="1"/>
    <col min="3551" max="3551" width="15" style="112" customWidth="1"/>
    <col min="3552" max="3552" width="13.88671875" style="112" customWidth="1"/>
    <col min="3553" max="3553" width="16.88671875" style="112" customWidth="1"/>
    <col min="3554" max="3554" width="15.6640625" style="112" bestFit="1" customWidth="1"/>
    <col min="3555" max="3556" width="12.33203125" style="112" bestFit="1" customWidth="1"/>
    <col min="3557" max="3557" width="15.5546875" style="112" bestFit="1" customWidth="1"/>
    <col min="3558" max="3558" width="13.44140625" style="112" bestFit="1" customWidth="1"/>
    <col min="3559" max="3559" width="14" style="112" bestFit="1" customWidth="1"/>
    <col min="3560" max="3560" width="13.6640625" style="112" bestFit="1" customWidth="1"/>
    <col min="3561" max="3561" width="15.88671875" style="112" bestFit="1" customWidth="1"/>
    <col min="3562" max="3565" width="15.88671875" style="112" customWidth="1"/>
    <col min="3566" max="3566" width="12.44140625" style="112" bestFit="1" customWidth="1"/>
    <col min="3567" max="3569" width="12.44140625" style="112" customWidth="1"/>
    <col min="3570" max="3570" width="15.88671875" style="112" bestFit="1" customWidth="1"/>
    <col min="3571" max="3571" width="24.33203125" style="112" bestFit="1" customWidth="1"/>
    <col min="3572" max="3572" width="13.44140625" style="112" bestFit="1" customWidth="1"/>
    <col min="3573" max="3797" width="9.109375" style="112"/>
    <col min="3798" max="3798" width="13.33203125" style="112" bestFit="1" customWidth="1"/>
    <col min="3799" max="3799" width="10.109375" style="112" customWidth="1"/>
    <col min="3800" max="3800" width="14.44140625" style="112" customWidth="1"/>
    <col min="3801" max="3801" width="11.5546875" style="112" customWidth="1"/>
    <col min="3802" max="3802" width="10.88671875" style="112" customWidth="1"/>
    <col min="3803" max="3803" width="31.6640625" style="112" bestFit="1" customWidth="1"/>
    <col min="3804" max="3804" width="28.5546875" style="112" customWidth="1"/>
    <col min="3805" max="3805" width="29.109375" style="112" customWidth="1"/>
    <col min="3806" max="3806" width="16" style="112" bestFit="1" customWidth="1"/>
    <col min="3807" max="3807" width="15" style="112" customWidth="1"/>
    <col min="3808" max="3808" width="13.88671875" style="112" customWidth="1"/>
    <col min="3809" max="3809" width="16.88671875" style="112" customWidth="1"/>
    <col min="3810" max="3810" width="15.6640625" style="112" bestFit="1" customWidth="1"/>
    <col min="3811" max="3812" width="12.33203125" style="112" bestFit="1" customWidth="1"/>
    <col min="3813" max="3813" width="15.5546875" style="112" bestFit="1" customWidth="1"/>
    <col min="3814" max="3814" width="13.44140625" style="112" bestFit="1" customWidth="1"/>
    <col min="3815" max="3815" width="14" style="112" bestFit="1" customWidth="1"/>
    <col min="3816" max="3816" width="13.6640625" style="112" bestFit="1" customWidth="1"/>
    <col min="3817" max="3817" width="15.88671875" style="112" bestFit="1" customWidth="1"/>
    <col min="3818" max="3821" width="15.88671875" style="112" customWidth="1"/>
    <col min="3822" max="3822" width="12.44140625" style="112" bestFit="1" customWidth="1"/>
    <col min="3823" max="3825" width="12.44140625" style="112" customWidth="1"/>
    <col min="3826" max="3826" width="15.88671875" style="112" bestFit="1" customWidth="1"/>
    <col min="3827" max="3827" width="24.33203125" style="112" bestFit="1" customWidth="1"/>
    <col min="3828" max="3828" width="13.44140625" style="112" bestFit="1" customWidth="1"/>
    <col min="3829" max="4053" width="9.109375" style="112"/>
    <col min="4054" max="4054" width="13.33203125" style="112" bestFit="1" customWidth="1"/>
    <col min="4055" max="4055" width="10.109375" style="112" customWidth="1"/>
    <col min="4056" max="4056" width="14.44140625" style="112" customWidth="1"/>
    <col min="4057" max="4057" width="11.5546875" style="112" customWidth="1"/>
    <col min="4058" max="4058" width="10.88671875" style="112" customWidth="1"/>
    <col min="4059" max="4059" width="31.6640625" style="112" bestFit="1" customWidth="1"/>
    <col min="4060" max="4060" width="28.5546875" style="112" customWidth="1"/>
    <col min="4061" max="4061" width="29.109375" style="112" customWidth="1"/>
    <col min="4062" max="4062" width="16" style="112" bestFit="1" customWidth="1"/>
    <col min="4063" max="4063" width="15" style="112" customWidth="1"/>
    <col min="4064" max="4064" width="13.88671875" style="112" customWidth="1"/>
    <col min="4065" max="4065" width="16.88671875" style="112" customWidth="1"/>
    <col min="4066" max="4066" width="15.6640625" style="112" bestFit="1" customWidth="1"/>
    <col min="4067" max="4068" width="12.33203125" style="112" bestFit="1" customWidth="1"/>
    <col min="4069" max="4069" width="15.5546875" style="112" bestFit="1" customWidth="1"/>
    <col min="4070" max="4070" width="13.44140625" style="112" bestFit="1" customWidth="1"/>
    <col min="4071" max="4071" width="14" style="112" bestFit="1" customWidth="1"/>
    <col min="4072" max="4072" width="13.6640625" style="112" bestFit="1" customWidth="1"/>
    <col min="4073" max="4073" width="15.88671875" style="112" bestFit="1" customWidth="1"/>
    <col min="4074" max="4077" width="15.88671875" style="112" customWidth="1"/>
    <col min="4078" max="4078" width="12.44140625" style="112" bestFit="1" customWidth="1"/>
    <col min="4079" max="4081" width="12.44140625" style="112" customWidth="1"/>
    <col min="4082" max="4082" width="15.88671875" style="112" bestFit="1" customWidth="1"/>
    <col min="4083" max="4083" width="24.33203125" style="112" bestFit="1" customWidth="1"/>
    <col min="4084" max="4084" width="13.44140625" style="112" bestFit="1" customWidth="1"/>
    <col min="4085" max="4309" width="9.109375" style="112"/>
    <col min="4310" max="4310" width="13.33203125" style="112" bestFit="1" customWidth="1"/>
    <col min="4311" max="4311" width="10.109375" style="112" customWidth="1"/>
    <col min="4312" max="4312" width="14.44140625" style="112" customWidth="1"/>
    <col min="4313" max="4313" width="11.5546875" style="112" customWidth="1"/>
    <col min="4314" max="4314" width="10.88671875" style="112" customWidth="1"/>
    <col min="4315" max="4315" width="31.6640625" style="112" bestFit="1" customWidth="1"/>
    <col min="4316" max="4316" width="28.5546875" style="112" customWidth="1"/>
    <col min="4317" max="4317" width="29.109375" style="112" customWidth="1"/>
    <col min="4318" max="4318" width="16" style="112" bestFit="1" customWidth="1"/>
    <col min="4319" max="4319" width="15" style="112" customWidth="1"/>
    <col min="4320" max="4320" width="13.88671875" style="112" customWidth="1"/>
    <col min="4321" max="4321" width="16.88671875" style="112" customWidth="1"/>
    <col min="4322" max="4322" width="15.6640625" style="112" bestFit="1" customWidth="1"/>
    <col min="4323" max="4324" width="12.33203125" style="112" bestFit="1" customWidth="1"/>
    <col min="4325" max="4325" width="15.5546875" style="112" bestFit="1" customWidth="1"/>
    <col min="4326" max="4326" width="13.44140625" style="112" bestFit="1" customWidth="1"/>
    <col min="4327" max="4327" width="14" style="112" bestFit="1" customWidth="1"/>
    <col min="4328" max="4328" width="13.6640625" style="112" bestFit="1" customWidth="1"/>
    <col min="4329" max="4329" width="15.88671875" style="112" bestFit="1" customWidth="1"/>
    <col min="4330" max="4333" width="15.88671875" style="112" customWidth="1"/>
    <col min="4334" max="4334" width="12.44140625" style="112" bestFit="1" customWidth="1"/>
    <col min="4335" max="4337" width="12.44140625" style="112" customWidth="1"/>
    <col min="4338" max="4338" width="15.88671875" style="112" bestFit="1" customWidth="1"/>
    <col min="4339" max="4339" width="24.33203125" style="112" bestFit="1" customWidth="1"/>
    <col min="4340" max="4340" width="13.44140625" style="112" bestFit="1" customWidth="1"/>
    <col min="4341" max="4565" width="9.109375" style="112"/>
    <col min="4566" max="4566" width="13.33203125" style="112" bestFit="1" customWidth="1"/>
    <col min="4567" max="4567" width="10.109375" style="112" customWidth="1"/>
    <col min="4568" max="4568" width="14.44140625" style="112" customWidth="1"/>
    <col min="4569" max="4569" width="11.5546875" style="112" customWidth="1"/>
    <col min="4570" max="4570" width="10.88671875" style="112" customWidth="1"/>
    <col min="4571" max="4571" width="31.6640625" style="112" bestFit="1" customWidth="1"/>
    <col min="4572" max="4572" width="28.5546875" style="112" customWidth="1"/>
    <col min="4573" max="4573" width="29.109375" style="112" customWidth="1"/>
    <col min="4574" max="4574" width="16" style="112" bestFit="1" customWidth="1"/>
    <col min="4575" max="4575" width="15" style="112" customWidth="1"/>
    <col min="4576" max="4576" width="13.88671875" style="112" customWidth="1"/>
    <col min="4577" max="4577" width="16.88671875" style="112" customWidth="1"/>
    <col min="4578" max="4578" width="15.6640625" style="112" bestFit="1" customWidth="1"/>
    <col min="4579" max="4580" width="12.33203125" style="112" bestFit="1" customWidth="1"/>
    <col min="4581" max="4581" width="15.5546875" style="112" bestFit="1" customWidth="1"/>
    <col min="4582" max="4582" width="13.44140625" style="112" bestFit="1" customWidth="1"/>
    <col min="4583" max="4583" width="14" style="112" bestFit="1" customWidth="1"/>
    <col min="4584" max="4584" width="13.6640625" style="112" bestFit="1" customWidth="1"/>
    <col min="4585" max="4585" width="15.88671875" style="112" bestFit="1" customWidth="1"/>
    <col min="4586" max="4589" width="15.88671875" style="112" customWidth="1"/>
    <col min="4590" max="4590" width="12.44140625" style="112" bestFit="1" customWidth="1"/>
    <col min="4591" max="4593" width="12.44140625" style="112" customWidth="1"/>
    <col min="4594" max="4594" width="15.88671875" style="112" bestFit="1" customWidth="1"/>
    <col min="4595" max="4595" width="24.33203125" style="112" bestFit="1" customWidth="1"/>
    <col min="4596" max="4596" width="13.44140625" style="112" bestFit="1" customWidth="1"/>
    <col min="4597" max="4821" width="9.109375" style="112"/>
    <col min="4822" max="4822" width="13.33203125" style="112" bestFit="1" customWidth="1"/>
    <col min="4823" max="4823" width="10.109375" style="112" customWidth="1"/>
    <col min="4824" max="4824" width="14.44140625" style="112" customWidth="1"/>
    <col min="4825" max="4825" width="11.5546875" style="112" customWidth="1"/>
    <col min="4826" max="4826" width="10.88671875" style="112" customWidth="1"/>
    <col min="4827" max="4827" width="31.6640625" style="112" bestFit="1" customWidth="1"/>
    <col min="4828" max="4828" width="28.5546875" style="112" customWidth="1"/>
    <col min="4829" max="4829" width="29.109375" style="112" customWidth="1"/>
    <col min="4830" max="4830" width="16" style="112" bestFit="1" customWidth="1"/>
    <col min="4831" max="4831" width="15" style="112" customWidth="1"/>
    <col min="4832" max="4832" width="13.88671875" style="112" customWidth="1"/>
    <col min="4833" max="4833" width="16.88671875" style="112" customWidth="1"/>
    <col min="4834" max="4834" width="15.6640625" style="112" bestFit="1" customWidth="1"/>
    <col min="4835" max="4836" width="12.33203125" style="112" bestFit="1" customWidth="1"/>
    <col min="4837" max="4837" width="15.5546875" style="112" bestFit="1" customWidth="1"/>
    <col min="4838" max="4838" width="13.44140625" style="112" bestFit="1" customWidth="1"/>
    <col min="4839" max="4839" width="14" style="112" bestFit="1" customWidth="1"/>
    <col min="4840" max="4840" width="13.6640625" style="112" bestFit="1" customWidth="1"/>
    <col min="4841" max="4841" width="15.88671875" style="112" bestFit="1" customWidth="1"/>
    <col min="4842" max="4845" width="15.88671875" style="112" customWidth="1"/>
    <col min="4846" max="4846" width="12.44140625" style="112" bestFit="1" customWidth="1"/>
    <col min="4847" max="4849" width="12.44140625" style="112" customWidth="1"/>
    <col min="4850" max="4850" width="15.88671875" style="112" bestFit="1" customWidth="1"/>
    <col min="4851" max="4851" width="24.33203125" style="112" bestFit="1" customWidth="1"/>
    <col min="4852" max="4852" width="13.44140625" style="112" bestFit="1" customWidth="1"/>
    <col min="4853" max="5077" width="9.109375" style="112"/>
    <col min="5078" max="5078" width="13.33203125" style="112" bestFit="1" customWidth="1"/>
    <col min="5079" max="5079" width="10.109375" style="112" customWidth="1"/>
    <col min="5080" max="5080" width="14.44140625" style="112" customWidth="1"/>
    <col min="5081" max="5081" width="11.5546875" style="112" customWidth="1"/>
    <col min="5082" max="5082" width="10.88671875" style="112" customWidth="1"/>
    <col min="5083" max="5083" width="31.6640625" style="112" bestFit="1" customWidth="1"/>
    <col min="5084" max="5084" width="28.5546875" style="112" customWidth="1"/>
    <col min="5085" max="5085" width="29.109375" style="112" customWidth="1"/>
    <col min="5086" max="5086" width="16" style="112" bestFit="1" customWidth="1"/>
    <col min="5087" max="5087" width="15" style="112" customWidth="1"/>
    <col min="5088" max="5088" width="13.88671875" style="112" customWidth="1"/>
    <col min="5089" max="5089" width="16.88671875" style="112" customWidth="1"/>
    <col min="5090" max="5090" width="15.6640625" style="112" bestFit="1" customWidth="1"/>
    <col min="5091" max="5092" width="12.33203125" style="112" bestFit="1" customWidth="1"/>
    <col min="5093" max="5093" width="15.5546875" style="112" bestFit="1" customWidth="1"/>
    <col min="5094" max="5094" width="13.44140625" style="112" bestFit="1" customWidth="1"/>
    <col min="5095" max="5095" width="14" style="112" bestFit="1" customWidth="1"/>
    <col min="5096" max="5096" width="13.6640625" style="112" bestFit="1" customWidth="1"/>
    <col min="5097" max="5097" width="15.88671875" style="112" bestFit="1" customWidth="1"/>
    <col min="5098" max="5101" width="15.88671875" style="112" customWidth="1"/>
    <col min="5102" max="5102" width="12.44140625" style="112" bestFit="1" customWidth="1"/>
    <col min="5103" max="5105" width="12.44140625" style="112" customWidth="1"/>
    <col min="5106" max="5106" width="15.88671875" style="112" bestFit="1" customWidth="1"/>
    <col min="5107" max="5107" width="24.33203125" style="112" bestFit="1" customWidth="1"/>
    <col min="5108" max="5108" width="13.44140625" style="112" bestFit="1" customWidth="1"/>
    <col min="5109" max="5333" width="9.109375" style="112"/>
    <col min="5334" max="5334" width="13.33203125" style="112" bestFit="1" customWidth="1"/>
    <col min="5335" max="5335" width="10.109375" style="112" customWidth="1"/>
    <col min="5336" max="5336" width="14.44140625" style="112" customWidth="1"/>
    <col min="5337" max="5337" width="11.5546875" style="112" customWidth="1"/>
    <col min="5338" max="5338" width="10.88671875" style="112" customWidth="1"/>
    <col min="5339" max="5339" width="31.6640625" style="112" bestFit="1" customWidth="1"/>
    <col min="5340" max="5340" width="28.5546875" style="112" customWidth="1"/>
    <col min="5341" max="5341" width="29.109375" style="112" customWidth="1"/>
    <col min="5342" max="5342" width="16" style="112" bestFit="1" customWidth="1"/>
    <col min="5343" max="5343" width="15" style="112" customWidth="1"/>
    <col min="5344" max="5344" width="13.88671875" style="112" customWidth="1"/>
    <col min="5345" max="5345" width="16.88671875" style="112" customWidth="1"/>
    <col min="5346" max="5346" width="15.6640625" style="112" bestFit="1" customWidth="1"/>
    <col min="5347" max="5348" width="12.33203125" style="112" bestFit="1" customWidth="1"/>
    <col min="5349" max="5349" width="15.5546875" style="112" bestFit="1" customWidth="1"/>
    <col min="5350" max="5350" width="13.44140625" style="112" bestFit="1" customWidth="1"/>
    <col min="5351" max="5351" width="14" style="112" bestFit="1" customWidth="1"/>
    <col min="5352" max="5352" width="13.6640625" style="112" bestFit="1" customWidth="1"/>
    <col min="5353" max="5353" width="15.88671875" style="112" bestFit="1" customWidth="1"/>
    <col min="5354" max="5357" width="15.88671875" style="112" customWidth="1"/>
    <col min="5358" max="5358" width="12.44140625" style="112" bestFit="1" customWidth="1"/>
    <col min="5359" max="5361" width="12.44140625" style="112" customWidth="1"/>
    <col min="5362" max="5362" width="15.88671875" style="112" bestFit="1" customWidth="1"/>
    <col min="5363" max="5363" width="24.33203125" style="112" bestFit="1" customWidth="1"/>
    <col min="5364" max="5364" width="13.44140625" style="112" bestFit="1" customWidth="1"/>
    <col min="5365" max="5589" width="9.109375" style="112"/>
    <col min="5590" max="5590" width="13.33203125" style="112" bestFit="1" customWidth="1"/>
    <col min="5591" max="5591" width="10.109375" style="112" customWidth="1"/>
    <col min="5592" max="5592" width="14.44140625" style="112" customWidth="1"/>
    <col min="5593" max="5593" width="11.5546875" style="112" customWidth="1"/>
    <col min="5594" max="5594" width="10.88671875" style="112" customWidth="1"/>
    <col min="5595" max="5595" width="31.6640625" style="112" bestFit="1" customWidth="1"/>
    <col min="5596" max="5596" width="28.5546875" style="112" customWidth="1"/>
    <col min="5597" max="5597" width="29.109375" style="112" customWidth="1"/>
    <col min="5598" max="5598" width="16" style="112" bestFit="1" customWidth="1"/>
    <col min="5599" max="5599" width="15" style="112" customWidth="1"/>
    <col min="5600" max="5600" width="13.88671875" style="112" customWidth="1"/>
    <col min="5601" max="5601" width="16.88671875" style="112" customWidth="1"/>
    <col min="5602" max="5602" width="15.6640625" style="112" bestFit="1" customWidth="1"/>
    <col min="5603" max="5604" width="12.33203125" style="112" bestFit="1" customWidth="1"/>
    <col min="5605" max="5605" width="15.5546875" style="112" bestFit="1" customWidth="1"/>
    <col min="5606" max="5606" width="13.44140625" style="112" bestFit="1" customWidth="1"/>
    <col min="5607" max="5607" width="14" style="112" bestFit="1" customWidth="1"/>
    <col min="5608" max="5608" width="13.6640625" style="112" bestFit="1" customWidth="1"/>
    <col min="5609" max="5609" width="15.88671875" style="112" bestFit="1" customWidth="1"/>
    <col min="5610" max="5613" width="15.88671875" style="112" customWidth="1"/>
    <col min="5614" max="5614" width="12.44140625" style="112" bestFit="1" customWidth="1"/>
    <col min="5615" max="5617" width="12.44140625" style="112" customWidth="1"/>
    <col min="5618" max="5618" width="15.88671875" style="112" bestFit="1" customWidth="1"/>
    <col min="5619" max="5619" width="24.33203125" style="112" bestFit="1" customWidth="1"/>
    <col min="5620" max="5620" width="13.44140625" style="112" bestFit="1" customWidth="1"/>
    <col min="5621" max="5845" width="9.109375" style="112"/>
    <col min="5846" max="5846" width="13.33203125" style="112" bestFit="1" customWidth="1"/>
    <col min="5847" max="5847" width="10.109375" style="112" customWidth="1"/>
    <col min="5848" max="5848" width="14.44140625" style="112" customWidth="1"/>
    <col min="5849" max="5849" width="11.5546875" style="112" customWidth="1"/>
    <col min="5850" max="5850" width="10.88671875" style="112" customWidth="1"/>
    <col min="5851" max="5851" width="31.6640625" style="112" bestFit="1" customWidth="1"/>
    <col min="5852" max="5852" width="28.5546875" style="112" customWidth="1"/>
    <col min="5853" max="5853" width="29.109375" style="112" customWidth="1"/>
    <col min="5854" max="5854" width="16" style="112" bestFit="1" customWidth="1"/>
    <col min="5855" max="5855" width="15" style="112" customWidth="1"/>
    <col min="5856" max="5856" width="13.88671875" style="112" customWidth="1"/>
    <col min="5857" max="5857" width="16.88671875" style="112" customWidth="1"/>
    <col min="5858" max="5858" width="15.6640625" style="112" bestFit="1" customWidth="1"/>
    <col min="5859" max="5860" width="12.33203125" style="112" bestFit="1" customWidth="1"/>
    <col min="5861" max="5861" width="15.5546875" style="112" bestFit="1" customWidth="1"/>
    <col min="5862" max="5862" width="13.44140625" style="112" bestFit="1" customWidth="1"/>
    <col min="5863" max="5863" width="14" style="112" bestFit="1" customWidth="1"/>
    <col min="5864" max="5864" width="13.6640625" style="112" bestFit="1" customWidth="1"/>
    <col min="5865" max="5865" width="15.88671875" style="112" bestFit="1" customWidth="1"/>
    <col min="5866" max="5869" width="15.88671875" style="112" customWidth="1"/>
    <col min="5870" max="5870" width="12.44140625" style="112" bestFit="1" customWidth="1"/>
    <col min="5871" max="5873" width="12.44140625" style="112" customWidth="1"/>
    <col min="5874" max="5874" width="15.88671875" style="112" bestFit="1" customWidth="1"/>
    <col min="5875" max="5875" width="24.33203125" style="112" bestFit="1" customWidth="1"/>
    <col min="5876" max="5876" width="13.44140625" style="112" bestFit="1" customWidth="1"/>
    <col min="5877" max="6101" width="9.109375" style="112"/>
    <col min="6102" max="6102" width="13.33203125" style="112" bestFit="1" customWidth="1"/>
    <col min="6103" max="6103" width="10.109375" style="112" customWidth="1"/>
    <col min="6104" max="6104" width="14.44140625" style="112" customWidth="1"/>
    <col min="6105" max="6105" width="11.5546875" style="112" customWidth="1"/>
    <col min="6106" max="6106" width="10.88671875" style="112" customWidth="1"/>
    <col min="6107" max="6107" width="31.6640625" style="112" bestFit="1" customWidth="1"/>
    <col min="6108" max="6108" width="28.5546875" style="112" customWidth="1"/>
    <col min="6109" max="6109" width="29.109375" style="112" customWidth="1"/>
    <col min="6110" max="6110" width="16" style="112" bestFit="1" customWidth="1"/>
    <col min="6111" max="6111" width="15" style="112" customWidth="1"/>
    <col min="6112" max="6112" width="13.88671875" style="112" customWidth="1"/>
    <col min="6113" max="6113" width="16.88671875" style="112" customWidth="1"/>
    <col min="6114" max="6114" width="15.6640625" style="112" bestFit="1" customWidth="1"/>
    <col min="6115" max="6116" width="12.33203125" style="112" bestFit="1" customWidth="1"/>
    <col min="6117" max="6117" width="15.5546875" style="112" bestFit="1" customWidth="1"/>
    <col min="6118" max="6118" width="13.44140625" style="112" bestFit="1" customWidth="1"/>
    <col min="6119" max="6119" width="14" style="112" bestFit="1" customWidth="1"/>
    <col min="6120" max="6120" width="13.6640625" style="112" bestFit="1" customWidth="1"/>
    <col min="6121" max="6121" width="15.88671875" style="112" bestFit="1" customWidth="1"/>
    <col min="6122" max="6125" width="15.88671875" style="112" customWidth="1"/>
    <col min="6126" max="6126" width="12.44140625" style="112" bestFit="1" customWidth="1"/>
    <col min="6127" max="6129" width="12.44140625" style="112" customWidth="1"/>
    <col min="6130" max="6130" width="15.88671875" style="112" bestFit="1" customWidth="1"/>
    <col min="6131" max="6131" width="24.33203125" style="112" bestFit="1" customWidth="1"/>
    <col min="6132" max="6132" width="13.44140625" style="112" bestFit="1" customWidth="1"/>
    <col min="6133" max="6357" width="9.109375" style="112"/>
    <col min="6358" max="6358" width="13.33203125" style="112" bestFit="1" customWidth="1"/>
    <col min="6359" max="6359" width="10.109375" style="112" customWidth="1"/>
    <col min="6360" max="6360" width="14.44140625" style="112" customWidth="1"/>
    <col min="6361" max="6361" width="11.5546875" style="112" customWidth="1"/>
    <col min="6362" max="6362" width="10.88671875" style="112" customWidth="1"/>
    <col min="6363" max="6363" width="31.6640625" style="112" bestFit="1" customWidth="1"/>
    <col min="6364" max="6364" width="28.5546875" style="112" customWidth="1"/>
    <col min="6365" max="6365" width="29.109375" style="112" customWidth="1"/>
    <col min="6366" max="6366" width="16" style="112" bestFit="1" customWidth="1"/>
    <col min="6367" max="6367" width="15" style="112" customWidth="1"/>
    <col min="6368" max="6368" width="13.88671875" style="112" customWidth="1"/>
    <col min="6369" max="6369" width="16.88671875" style="112" customWidth="1"/>
    <col min="6370" max="6370" width="15.6640625" style="112" bestFit="1" customWidth="1"/>
    <col min="6371" max="6372" width="12.33203125" style="112" bestFit="1" customWidth="1"/>
    <col min="6373" max="6373" width="15.5546875" style="112" bestFit="1" customWidth="1"/>
    <col min="6374" max="6374" width="13.44140625" style="112" bestFit="1" customWidth="1"/>
    <col min="6375" max="6375" width="14" style="112" bestFit="1" customWidth="1"/>
    <col min="6376" max="6376" width="13.6640625" style="112" bestFit="1" customWidth="1"/>
    <col min="6377" max="6377" width="15.88671875" style="112" bestFit="1" customWidth="1"/>
    <col min="6378" max="6381" width="15.88671875" style="112" customWidth="1"/>
    <col min="6382" max="6382" width="12.44140625" style="112" bestFit="1" customWidth="1"/>
    <col min="6383" max="6385" width="12.44140625" style="112" customWidth="1"/>
    <col min="6386" max="6386" width="15.88671875" style="112" bestFit="1" customWidth="1"/>
    <col min="6387" max="6387" width="24.33203125" style="112" bestFit="1" customWidth="1"/>
    <col min="6388" max="6388" width="13.44140625" style="112" bestFit="1" customWidth="1"/>
    <col min="6389" max="6613" width="9.109375" style="112"/>
    <col min="6614" max="6614" width="13.33203125" style="112" bestFit="1" customWidth="1"/>
    <col min="6615" max="6615" width="10.109375" style="112" customWidth="1"/>
    <col min="6616" max="6616" width="14.44140625" style="112" customWidth="1"/>
    <col min="6617" max="6617" width="11.5546875" style="112" customWidth="1"/>
    <col min="6618" max="6618" width="10.88671875" style="112" customWidth="1"/>
    <col min="6619" max="6619" width="31.6640625" style="112" bestFit="1" customWidth="1"/>
    <col min="6620" max="6620" width="28.5546875" style="112" customWidth="1"/>
    <col min="6621" max="6621" width="29.109375" style="112" customWidth="1"/>
    <col min="6622" max="6622" width="16" style="112" bestFit="1" customWidth="1"/>
    <col min="6623" max="6623" width="15" style="112" customWidth="1"/>
    <col min="6624" max="6624" width="13.88671875" style="112" customWidth="1"/>
    <col min="6625" max="6625" width="16.88671875" style="112" customWidth="1"/>
    <col min="6626" max="6626" width="15.6640625" style="112" bestFit="1" customWidth="1"/>
    <col min="6627" max="6628" width="12.33203125" style="112" bestFit="1" customWidth="1"/>
    <col min="6629" max="6629" width="15.5546875" style="112" bestFit="1" customWidth="1"/>
    <col min="6630" max="6630" width="13.44140625" style="112" bestFit="1" customWidth="1"/>
    <col min="6631" max="6631" width="14" style="112" bestFit="1" customWidth="1"/>
    <col min="6632" max="6632" width="13.6640625" style="112" bestFit="1" customWidth="1"/>
    <col min="6633" max="6633" width="15.88671875" style="112" bestFit="1" customWidth="1"/>
    <col min="6634" max="6637" width="15.88671875" style="112" customWidth="1"/>
    <col min="6638" max="6638" width="12.44140625" style="112" bestFit="1" customWidth="1"/>
    <col min="6639" max="6641" width="12.44140625" style="112" customWidth="1"/>
    <col min="6642" max="6642" width="15.88671875" style="112" bestFit="1" customWidth="1"/>
    <col min="6643" max="6643" width="24.33203125" style="112" bestFit="1" customWidth="1"/>
    <col min="6644" max="6644" width="13.44140625" style="112" bestFit="1" customWidth="1"/>
    <col min="6645" max="6869" width="9.109375" style="112"/>
    <col min="6870" max="6870" width="13.33203125" style="112" bestFit="1" customWidth="1"/>
    <col min="6871" max="6871" width="10.109375" style="112" customWidth="1"/>
    <col min="6872" max="6872" width="14.44140625" style="112" customWidth="1"/>
    <col min="6873" max="6873" width="11.5546875" style="112" customWidth="1"/>
    <col min="6874" max="6874" width="10.88671875" style="112" customWidth="1"/>
    <col min="6875" max="6875" width="31.6640625" style="112" bestFit="1" customWidth="1"/>
    <col min="6876" max="6876" width="28.5546875" style="112" customWidth="1"/>
    <col min="6877" max="6877" width="29.109375" style="112" customWidth="1"/>
    <col min="6878" max="6878" width="16" style="112" bestFit="1" customWidth="1"/>
    <col min="6879" max="6879" width="15" style="112" customWidth="1"/>
    <col min="6880" max="6880" width="13.88671875" style="112" customWidth="1"/>
    <col min="6881" max="6881" width="16.88671875" style="112" customWidth="1"/>
    <col min="6882" max="6882" width="15.6640625" style="112" bestFit="1" customWidth="1"/>
    <col min="6883" max="6884" width="12.33203125" style="112" bestFit="1" customWidth="1"/>
    <col min="6885" max="6885" width="15.5546875" style="112" bestFit="1" customWidth="1"/>
    <col min="6886" max="6886" width="13.44140625" style="112" bestFit="1" customWidth="1"/>
    <col min="6887" max="6887" width="14" style="112" bestFit="1" customWidth="1"/>
    <col min="6888" max="6888" width="13.6640625" style="112" bestFit="1" customWidth="1"/>
    <col min="6889" max="6889" width="15.88671875" style="112" bestFit="1" customWidth="1"/>
    <col min="6890" max="6893" width="15.88671875" style="112" customWidth="1"/>
    <col min="6894" max="6894" width="12.44140625" style="112" bestFit="1" customWidth="1"/>
    <col min="6895" max="6897" width="12.44140625" style="112" customWidth="1"/>
    <col min="6898" max="6898" width="15.88671875" style="112" bestFit="1" customWidth="1"/>
    <col min="6899" max="6899" width="24.33203125" style="112" bestFit="1" customWidth="1"/>
    <col min="6900" max="6900" width="13.44140625" style="112" bestFit="1" customWidth="1"/>
    <col min="6901" max="7125" width="9.109375" style="112"/>
    <col min="7126" max="7126" width="13.33203125" style="112" bestFit="1" customWidth="1"/>
    <col min="7127" max="7127" width="10.109375" style="112" customWidth="1"/>
    <col min="7128" max="7128" width="14.44140625" style="112" customWidth="1"/>
    <col min="7129" max="7129" width="11.5546875" style="112" customWidth="1"/>
    <col min="7130" max="7130" width="10.88671875" style="112" customWidth="1"/>
    <col min="7131" max="7131" width="31.6640625" style="112" bestFit="1" customWidth="1"/>
    <col min="7132" max="7132" width="28.5546875" style="112" customWidth="1"/>
    <col min="7133" max="7133" width="29.109375" style="112" customWidth="1"/>
    <col min="7134" max="7134" width="16" style="112" bestFit="1" customWidth="1"/>
    <col min="7135" max="7135" width="15" style="112" customWidth="1"/>
    <col min="7136" max="7136" width="13.88671875" style="112" customWidth="1"/>
    <col min="7137" max="7137" width="16.88671875" style="112" customWidth="1"/>
    <col min="7138" max="7138" width="15.6640625" style="112" bestFit="1" customWidth="1"/>
    <col min="7139" max="7140" width="12.33203125" style="112" bestFit="1" customWidth="1"/>
    <col min="7141" max="7141" width="15.5546875" style="112" bestFit="1" customWidth="1"/>
    <col min="7142" max="7142" width="13.44140625" style="112" bestFit="1" customWidth="1"/>
    <col min="7143" max="7143" width="14" style="112" bestFit="1" customWidth="1"/>
    <col min="7144" max="7144" width="13.6640625" style="112" bestFit="1" customWidth="1"/>
    <col min="7145" max="7145" width="15.88671875" style="112" bestFit="1" customWidth="1"/>
    <col min="7146" max="7149" width="15.88671875" style="112" customWidth="1"/>
    <col min="7150" max="7150" width="12.44140625" style="112" bestFit="1" customWidth="1"/>
    <col min="7151" max="7153" width="12.44140625" style="112" customWidth="1"/>
    <col min="7154" max="7154" width="15.88671875" style="112" bestFit="1" customWidth="1"/>
    <col min="7155" max="7155" width="24.33203125" style="112" bestFit="1" customWidth="1"/>
    <col min="7156" max="7156" width="13.44140625" style="112" bestFit="1" customWidth="1"/>
    <col min="7157" max="7381" width="9.109375" style="112"/>
    <col min="7382" max="7382" width="13.33203125" style="112" bestFit="1" customWidth="1"/>
    <col min="7383" max="7383" width="10.109375" style="112" customWidth="1"/>
    <col min="7384" max="7384" width="14.44140625" style="112" customWidth="1"/>
    <col min="7385" max="7385" width="11.5546875" style="112" customWidth="1"/>
    <col min="7386" max="7386" width="10.88671875" style="112" customWidth="1"/>
    <col min="7387" max="7387" width="31.6640625" style="112" bestFit="1" customWidth="1"/>
    <col min="7388" max="7388" width="28.5546875" style="112" customWidth="1"/>
    <col min="7389" max="7389" width="29.109375" style="112" customWidth="1"/>
    <col min="7390" max="7390" width="16" style="112" bestFit="1" customWidth="1"/>
    <col min="7391" max="7391" width="15" style="112" customWidth="1"/>
    <col min="7392" max="7392" width="13.88671875" style="112" customWidth="1"/>
    <col min="7393" max="7393" width="16.88671875" style="112" customWidth="1"/>
    <col min="7394" max="7394" width="15.6640625" style="112" bestFit="1" customWidth="1"/>
    <col min="7395" max="7396" width="12.33203125" style="112" bestFit="1" customWidth="1"/>
    <col min="7397" max="7397" width="15.5546875" style="112" bestFit="1" customWidth="1"/>
    <col min="7398" max="7398" width="13.44140625" style="112" bestFit="1" customWidth="1"/>
    <col min="7399" max="7399" width="14" style="112" bestFit="1" customWidth="1"/>
    <col min="7400" max="7400" width="13.6640625" style="112" bestFit="1" customWidth="1"/>
    <col min="7401" max="7401" width="15.88671875" style="112" bestFit="1" customWidth="1"/>
    <col min="7402" max="7405" width="15.88671875" style="112" customWidth="1"/>
    <col min="7406" max="7406" width="12.44140625" style="112" bestFit="1" customWidth="1"/>
    <col min="7407" max="7409" width="12.44140625" style="112" customWidth="1"/>
    <col min="7410" max="7410" width="15.88671875" style="112" bestFit="1" customWidth="1"/>
    <col min="7411" max="7411" width="24.33203125" style="112" bestFit="1" customWidth="1"/>
    <col min="7412" max="7412" width="13.44140625" style="112" bestFit="1" customWidth="1"/>
    <col min="7413" max="7637" width="9.109375" style="112"/>
    <col min="7638" max="7638" width="13.33203125" style="112" bestFit="1" customWidth="1"/>
    <col min="7639" max="7639" width="10.109375" style="112" customWidth="1"/>
    <col min="7640" max="7640" width="14.44140625" style="112" customWidth="1"/>
    <col min="7641" max="7641" width="11.5546875" style="112" customWidth="1"/>
    <col min="7642" max="7642" width="10.88671875" style="112" customWidth="1"/>
    <col min="7643" max="7643" width="31.6640625" style="112" bestFit="1" customWidth="1"/>
    <col min="7644" max="7644" width="28.5546875" style="112" customWidth="1"/>
    <col min="7645" max="7645" width="29.109375" style="112" customWidth="1"/>
    <col min="7646" max="7646" width="16" style="112" bestFit="1" customWidth="1"/>
    <col min="7647" max="7647" width="15" style="112" customWidth="1"/>
    <col min="7648" max="7648" width="13.88671875" style="112" customWidth="1"/>
    <col min="7649" max="7649" width="16.88671875" style="112" customWidth="1"/>
    <col min="7650" max="7650" width="15.6640625" style="112" bestFit="1" customWidth="1"/>
    <col min="7651" max="7652" width="12.33203125" style="112" bestFit="1" customWidth="1"/>
    <col min="7653" max="7653" width="15.5546875" style="112" bestFit="1" customWidth="1"/>
    <col min="7654" max="7654" width="13.44140625" style="112" bestFit="1" customWidth="1"/>
    <col min="7655" max="7655" width="14" style="112" bestFit="1" customWidth="1"/>
    <col min="7656" max="7656" width="13.6640625" style="112" bestFit="1" customWidth="1"/>
    <col min="7657" max="7657" width="15.88671875" style="112" bestFit="1" customWidth="1"/>
    <col min="7658" max="7661" width="15.88671875" style="112" customWidth="1"/>
    <col min="7662" max="7662" width="12.44140625" style="112" bestFit="1" customWidth="1"/>
    <col min="7663" max="7665" width="12.44140625" style="112" customWidth="1"/>
    <col min="7666" max="7666" width="15.88671875" style="112" bestFit="1" customWidth="1"/>
    <col min="7667" max="7667" width="24.33203125" style="112" bestFit="1" customWidth="1"/>
    <col min="7668" max="7668" width="13.44140625" style="112" bestFit="1" customWidth="1"/>
    <col min="7669" max="7893" width="9.109375" style="112"/>
    <col min="7894" max="7894" width="13.33203125" style="112" bestFit="1" customWidth="1"/>
    <col min="7895" max="7895" width="10.109375" style="112" customWidth="1"/>
    <col min="7896" max="7896" width="14.44140625" style="112" customWidth="1"/>
    <col min="7897" max="7897" width="11.5546875" style="112" customWidth="1"/>
    <col min="7898" max="7898" width="10.88671875" style="112" customWidth="1"/>
    <col min="7899" max="7899" width="31.6640625" style="112" bestFit="1" customWidth="1"/>
    <col min="7900" max="7900" width="28.5546875" style="112" customWidth="1"/>
    <col min="7901" max="7901" width="29.109375" style="112" customWidth="1"/>
    <col min="7902" max="7902" width="16" style="112" bestFit="1" customWidth="1"/>
    <col min="7903" max="7903" width="15" style="112" customWidth="1"/>
    <col min="7904" max="7904" width="13.88671875" style="112" customWidth="1"/>
    <col min="7905" max="7905" width="16.88671875" style="112" customWidth="1"/>
    <col min="7906" max="7906" width="15.6640625" style="112" bestFit="1" customWidth="1"/>
    <col min="7907" max="7908" width="12.33203125" style="112" bestFit="1" customWidth="1"/>
    <col min="7909" max="7909" width="15.5546875" style="112" bestFit="1" customWidth="1"/>
    <col min="7910" max="7910" width="13.44140625" style="112" bestFit="1" customWidth="1"/>
    <col min="7911" max="7911" width="14" style="112" bestFit="1" customWidth="1"/>
    <col min="7912" max="7912" width="13.6640625" style="112" bestFit="1" customWidth="1"/>
    <col min="7913" max="7913" width="15.88671875" style="112" bestFit="1" customWidth="1"/>
    <col min="7914" max="7917" width="15.88671875" style="112" customWidth="1"/>
    <col min="7918" max="7918" width="12.44140625" style="112" bestFit="1" customWidth="1"/>
    <col min="7919" max="7921" width="12.44140625" style="112" customWidth="1"/>
    <col min="7922" max="7922" width="15.88671875" style="112" bestFit="1" customWidth="1"/>
    <col min="7923" max="7923" width="24.33203125" style="112" bestFit="1" customWidth="1"/>
    <col min="7924" max="7924" width="13.44140625" style="112" bestFit="1" customWidth="1"/>
    <col min="7925" max="8149" width="9.109375" style="112"/>
    <col min="8150" max="8150" width="13.33203125" style="112" bestFit="1" customWidth="1"/>
    <col min="8151" max="8151" width="10.109375" style="112" customWidth="1"/>
    <col min="8152" max="8152" width="14.44140625" style="112" customWidth="1"/>
    <col min="8153" max="8153" width="11.5546875" style="112" customWidth="1"/>
    <col min="8154" max="8154" width="10.88671875" style="112" customWidth="1"/>
    <col min="8155" max="8155" width="31.6640625" style="112" bestFit="1" customWidth="1"/>
    <col min="8156" max="8156" width="28.5546875" style="112" customWidth="1"/>
    <col min="8157" max="8157" width="29.109375" style="112" customWidth="1"/>
    <col min="8158" max="8158" width="16" style="112" bestFit="1" customWidth="1"/>
    <col min="8159" max="8159" width="15" style="112" customWidth="1"/>
    <col min="8160" max="8160" width="13.88671875" style="112" customWidth="1"/>
    <col min="8161" max="8161" width="16.88671875" style="112" customWidth="1"/>
    <col min="8162" max="8162" width="15.6640625" style="112" bestFit="1" customWidth="1"/>
    <col min="8163" max="8164" width="12.33203125" style="112" bestFit="1" customWidth="1"/>
    <col min="8165" max="8165" width="15.5546875" style="112" bestFit="1" customWidth="1"/>
    <col min="8166" max="8166" width="13.44140625" style="112" bestFit="1" customWidth="1"/>
    <col min="8167" max="8167" width="14" style="112" bestFit="1" customWidth="1"/>
    <col min="8168" max="8168" width="13.6640625" style="112" bestFit="1" customWidth="1"/>
    <col min="8169" max="8169" width="15.88671875" style="112" bestFit="1" customWidth="1"/>
    <col min="8170" max="8173" width="15.88671875" style="112" customWidth="1"/>
    <col min="8174" max="8174" width="12.44140625" style="112" bestFit="1" customWidth="1"/>
    <col min="8175" max="8177" width="12.44140625" style="112" customWidth="1"/>
    <col min="8178" max="8178" width="15.88671875" style="112" bestFit="1" customWidth="1"/>
    <col min="8179" max="8179" width="24.33203125" style="112" bestFit="1" customWidth="1"/>
    <col min="8180" max="8180" width="13.44140625" style="112" bestFit="1" customWidth="1"/>
    <col min="8181" max="8405" width="9.109375" style="112"/>
    <col min="8406" max="8406" width="13.33203125" style="112" bestFit="1" customWidth="1"/>
    <col min="8407" max="8407" width="10.109375" style="112" customWidth="1"/>
    <col min="8408" max="8408" width="14.44140625" style="112" customWidth="1"/>
    <col min="8409" max="8409" width="11.5546875" style="112" customWidth="1"/>
    <col min="8410" max="8410" width="10.88671875" style="112" customWidth="1"/>
    <col min="8411" max="8411" width="31.6640625" style="112" bestFit="1" customWidth="1"/>
    <col min="8412" max="8412" width="28.5546875" style="112" customWidth="1"/>
    <col min="8413" max="8413" width="29.109375" style="112" customWidth="1"/>
    <col min="8414" max="8414" width="16" style="112" bestFit="1" customWidth="1"/>
    <col min="8415" max="8415" width="15" style="112" customWidth="1"/>
    <col min="8416" max="8416" width="13.88671875" style="112" customWidth="1"/>
    <col min="8417" max="8417" width="16.88671875" style="112" customWidth="1"/>
    <col min="8418" max="8418" width="15.6640625" style="112" bestFit="1" customWidth="1"/>
    <col min="8419" max="8420" width="12.33203125" style="112" bestFit="1" customWidth="1"/>
    <col min="8421" max="8421" width="15.5546875" style="112" bestFit="1" customWidth="1"/>
    <col min="8422" max="8422" width="13.44140625" style="112" bestFit="1" customWidth="1"/>
    <col min="8423" max="8423" width="14" style="112" bestFit="1" customWidth="1"/>
    <col min="8424" max="8424" width="13.6640625" style="112" bestFit="1" customWidth="1"/>
    <col min="8425" max="8425" width="15.88671875" style="112" bestFit="1" customWidth="1"/>
    <col min="8426" max="8429" width="15.88671875" style="112" customWidth="1"/>
    <col min="8430" max="8430" width="12.44140625" style="112" bestFit="1" customWidth="1"/>
    <col min="8431" max="8433" width="12.44140625" style="112" customWidth="1"/>
    <col min="8434" max="8434" width="15.88671875" style="112" bestFit="1" customWidth="1"/>
    <col min="8435" max="8435" width="24.33203125" style="112" bestFit="1" customWidth="1"/>
    <col min="8436" max="8436" width="13.44140625" style="112" bestFit="1" customWidth="1"/>
    <col min="8437" max="8661" width="9.109375" style="112"/>
    <col min="8662" max="8662" width="13.33203125" style="112" bestFit="1" customWidth="1"/>
    <col min="8663" max="8663" width="10.109375" style="112" customWidth="1"/>
    <col min="8664" max="8664" width="14.44140625" style="112" customWidth="1"/>
    <col min="8665" max="8665" width="11.5546875" style="112" customWidth="1"/>
    <col min="8666" max="8666" width="10.88671875" style="112" customWidth="1"/>
    <col min="8667" max="8667" width="31.6640625" style="112" bestFit="1" customWidth="1"/>
    <col min="8668" max="8668" width="28.5546875" style="112" customWidth="1"/>
    <col min="8669" max="8669" width="29.109375" style="112" customWidth="1"/>
    <col min="8670" max="8670" width="16" style="112" bestFit="1" customWidth="1"/>
    <col min="8671" max="8671" width="15" style="112" customWidth="1"/>
    <col min="8672" max="8672" width="13.88671875" style="112" customWidth="1"/>
    <col min="8673" max="8673" width="16.88671875" style="112" customWidth="1"/>
    <col min="8674" max="8674" width="15.6640625" style="112" bestFit="1" customWidth="1"/>
    <col min="8675" max="8676" width="12.33203125" style="112" bestFit="1" customWidth="1"/>
    <col min="8677" max="8677" width="15.5546875" style="112" bestFit="1" customWidth="1"/>
    <col min="8678" max="8678" width="13.44140625" style="112" bestFit="1" customWidth="1"/>
    <col min="8679" max="8679" width="14" style="112" bestFit="1" customWidth="1"/>
    <col min="8680" max="8680" width="13.6640625" style="112" bestFit="1" customWidth="1"/>
    <col min="8681" max="8681" width="15.88671875" style="112" bestFit="1" customWidth="1"/>
    <col min="8682" max="8685" width="15.88671875" style="112" customWidth="1"/>
    <col min="8686" max="8686" width="12.44140625" style="112" bestFit="1" customWidth="1"/>
    <col min="8687" max="8689" width="12.44140625" style="112" customWidth="1"/>
    <col min="8690" max="8690" width="15.88671875" style="112" bestFit="1" customWidth="1"/>
    <col min="8691" max="8691" width="24.33203125" style="112" bestFit="1" customWidth="1"/>
    <col min="8692" max="8692" width="13.44140625" style="112" bestFit="1" customWidth="1"/>
    <col min="8693" max="8917" width="9.109375" style="112"/>
    <col min="8918" max="8918" width="13.33203125" style="112" bestFit="1" customWidth="1"/>
    <col min="8919" max="8919" width="10.109375" style="112" customWidth="1"/>
    <col min="8920" max="8920" width="14.44140625" style="112" customWidth="1"/>
    <col min="8921" max="8921" width="11.5546875" style="112" customWidth="1"/>
    <col min="8922" max="8922" width="10.88671875" style="112" customWidth="1"/>
    <col min="8923" max="8923" width="31.6640625" style="112" bestFit="1" customWidth="1"/>
    <col min="8924" max="8924" width="28.5546875" style="112" customWidth="1"/>
    <col min="8925" max="8925" width="29.109375" style="112" customWidth="1"/>
    <col min="8926" max="8926" width="16" style="112" bestFit="1" customWidth="1"/>
    <col min="8927" max="8927" width="15" style="112" customWidth="1"/>
    <col min="8928" max="8928" width="13.88671875" style="112" customWidth="1"/>
    <col min="8929" max="8929" width="16.88671875" style="112" customWidth="1"/>
    <col min="8930" max="8930" width="15.6640625" style="112" bestFit="1" customWidth="1"/>
    <col min="8931" max="8932" width="12.33203125" style="112" bestFit="1" customWidth="1"/>
    <col min="8933" max="8933" width="15.5546875" style="112" bestFit="1" customWidth="1"/>
    <col min="8934" max="8934" width="13.44140625" style="112" bestFit="1" customWidth="1"/>
    <col min="8935" max="8935" width="14" style="112" bestFit="1" customWidth="1"/>
    <col min="8936" max="8936" width="13.6640625" style="112" bestFit="1" customWidth="1"/>
    <col min="8937" max="8937" width="15.88671875" style="112" bestFit="1" customWidth="1"/>
    <col min="8938" max="8941" width="15.88671875" style="112" customWidth="1"/>
    <col min="8942" max="8942" width="12.44140625" style="112" bestFit="1" customWidth="1"/>
    <col min="8943" max="8945" width="12.44140625" style="112" customWidth="1"/>
    <col min="8946" max="8946" width="15.88671875" style="112" bestFit="1" customWidth="1"/>
    <col min="8947" max="8947" width="24.33203125" style="112" bestFit="1" customWidth="1"/>
    <col min="8948" max="8948" width="13.44140625" style="112" bestFit="1" customWidth="1"/>
    <col min="8949" max="9173" width="9.109375" style="112"/>
    <col min="9174" max="9174" width="13.33203125" style="112" bestFit="1" customWidth="1"/>
    <col min="9175" max="9175" width="10.109375" style="112" customWidth="1"/>
    <col min="9176" max="9176" width="14.44140625" style="112" customWidth="1"/>
    <col min="9177" max="9177" width="11.5546875" style="112" customWidth="1"/>
    <col min="9178" max="9178" width="10.88671875" style="112" customWidth="1"/>
    <col min="9179" max="9179" width="31.6640625" style="112" bestFit="1" customWidth="1"/>
    <col min="9180" max="9180" width="28.5546875" style="112" customWidth="1"/>
    <col min="9181" max="9181" width="29.109375" style="112" customWidth="1"/>
    <col min="9182" max="9182" width="16" style="112" bestFit="1" customWidth="1"/>
    <col min="9183" max="9183" width="15" style="112" customWidth="1"/>
    <col min="9184" max="9184" width="13.88671875" style="112" customWidth="1"/>
    <col min="9185" max="9185" width="16.88671875" style="112" customWidth="1"/>
    <col min="9186" max="9186" width="15.6640625" style="112" bestFit="1" customWidth="1"/>
    <col min="9187" max="9188" width="12.33203125" style="112" bestFit="1" customWidth="1"/>
    <col min="9189" max="9189" width="15.5546875" style="112" bestFit="1" customWidth="1"/>
    <col min="9190" max="9190" width="13.44140625" style="112" bestFit="1" customWidth="1"/>
    <col min="9191" max="9191" width="14" style="112" bestFit="1" customWidth="1"/>
    <col min="9192" max="9192" width="13.6640625" style="112" bestFit="1" customWidth="1"/>
    <col min="9193" max="9193" width="15.88671875" style="112" bestFit="1" customWidth="1"/>
    <col min="9194" max="9197" width="15.88671875" style="112" customWidth="1"/>
    <col min="9198" max="9198" width="12.44140625" style="112" bestFit="1" customWidth="1"/>
    <col min="9199" max="9201" width="12.44140625" style="112" customWidth="1"/>
    <col min="9202" max="9202" width="15.88671875" style="112" bestFit="1" customWidth="1"/>
    <col min="9203" max="9203" width="24.33203125" style="112" bestFit="1" customWidth="1"/>
    <col min="9204" max="9204" width="13.44140625" style="112" bestFit="1" customWidth="1"/>
    <col min="9205" max="9429" width="9.109375" style="112"/>
    <col min="9430" max="9430" width="13.33203125" style="112" bestFit="1" customWidth="1"/>
    <col min="9431" max="9431" width="10.109375" style="112" customWidth="1"/>
    <col min="9432" max="9432" width="14.44140625" style="112" customWidth="1"/>
    <col min="9433" max="9433" width="11.5546875" style="112" customWidth="1"/>
    <col min="9434" max="9434" width="10.88671875" style="112" customWidth="1"/>
    <col min="9435" max="9435" width="31.6640625" style="112" bestFit="1" customWidth="1"/>
    <col min="9436" max="9436" width="28.5546875" style="112" customWidth="1"/>
    <col min="9437" max="9437" width="29.109375" style="112" customWidth="1"/>
    <col min="9438" max="9438" width="16" style="112" bestFit="1" customWidth="1"/>
    <col min="9439" max="9439" width="15" style="112" customWidth="1"/>
    <col min="9440" max="9440" width="13.88671875" style="112" customWidth="1"/>
    <col min="9441" max="9441" width="16.88671875" style="112" customWidth="1"/>
    <col min="9442" max="9442" width="15.6640625" style="112" bestFit="1" customWidth="1"/>
    <col min="9443" max="9444" width="12.33203125" style="112" bestFit="1" customWidth="1"/>
    <col min="9445" max="9445" width="15.5546875" style="112" bestFit="1" customWidth="1"/>
    <col min="9446" max="9446" width="13.44140625" style="112" bestFit="1" customWidth="1"/>
    <col min="9447" max="9447" width="14" style="112" bestFit="1" customWidth="1"/>
    <col min="9448" max="9448" width="13.6640625" style="112" bestFit="1" customWidth="1"/>
    <col min="9449" max="9449" width="15.88671875" style="112" bestFit="1" customWidth="1"/>
    <col min="9450" max="9453" width="15.88671875" style="112" customWidth="1"/>
    <col min="9454" max="9454" width="12.44140625" style="112" bestFit="1" customWidth="1"/>
    <col min="9455" max="9457" width="12.44140625" style="112" customWidth="1"/>
    <col min="9458" max="9458" width="15.88671875" style="112" bestFit="1" customWidth="1"/>
    <col min="9459" max="9459" width="24.33203125" style="112" bestFit="1" customWidth="1"/>
    <col min="9460" max="9460" width="13.44140625" style="112" bestFit="1" customWidth="1"/>
    <col min="9461" max="9685" width="9.109375" style="112"/>
    <col min="9686" max="9686" width="13.33203125" style="112" bestFit="1" customWidth="1"/>
    <col min="9687" max="9687" width="10.109375" style="112" customWidth="1"/>
    <col min="9688" max="9688" width="14.44140625" style="112" customWidth="1"/>
    <col min="9689" max="9689" width="11.5546875" style="112" customWidth="1"/>
    <col min="9690" max="9690" width="10.88671875" style="112" customWidth="1"/>
    <col min="9691" max="9691" width="31.6640625" style="112" bestFit="1" customWidth="1"/>
    <col min="9692" max="9692" width="28.5546875" style="112" customWidth="1"/>
    <col min="9693" max="9693" width="29.109375" style="112" customWidth="1"/>
    <col min="9694" max="9694" width="16" style="112" bestFit="1" customWidth="1"/>
    <col min="9695" max="9695" width="15" style="112" customWidth="1"/>
    <col min="9696" max="9696" width="13.88671875" style="112" customWidth="1"/>
    <col min="9697" max="9697" width="16.88671875" style="112" customWidth="1"/>
    <col min="9698" max="9698" width="15.6640625" style="112" bestFit="1" customWidth="1"/>
    <col min="9699" max="9700" width="12.33203125" style="112" bestFit="1" customWidth="1"/>
    <col min="9701" max="9701" width="15.5546875" style="112" bestFit="1" customWidth="1"/>
    <col min="9702" max="9702" width="13.44140625" style="112" bestFit="1" customWidth="1"/>
    <col min="9703" max="9703" width="14" style="112" bestFit="1" customWidth="1"/>
    <col min="9704" max="9704" width="13.6640625" style="112" bestFit="1" customWidth="1"/>
    <col min="9705" max="9705" width="15.88671875" style="112" bestFit="1" customWidth="1"/>
    <col min="9706" max="9709" width="15.88671875" style="112" customWidth="1"/>
    <col min="9710" max="9710" width="12.44140625" style="112" bestFit="1" customWidth="1"/>
    <col min="9711" max="9713" width="12.44140625" style="112" customWidth="1"/>
    <col min="9714" max="9714" width="15.88671875" style="112" bestFit="1" customWidth="1"/>
    <col min="9715" max="9715" width="24.33203125" style="112" bestFit="1" customWidth="1"/>
    <col min="9716" max="9716" width="13.44140625" style="112" bestFit="1" customWidth="1"/>
    <col min="9717" max="9941" width="9.109375" style="112"/>
    <col min="9942" max="9942" width="13.33203125" style="112" bestFit="1" customWidth="1"/>
    <col min="9943" max="9943" width="10.109375" style="112" customWidth="1"/>
    <col min="9944" max="9944" width="14.44140625" style="112" customWidth="1"/>
    <col min="9945" max="9945" width="11.5546875" style="112" customWidth="1"/>
    <col min="9946" max="9946" width="10.88671875" style="112" customWidth="1"/>
    <col min="9947" max="9947" width="31.6640625" style="112" bestFit="1" customWidth="1"/>
    <col min="9948" max="9948" width="28.5546875" style="112" customWidth="1"/>
    <col min="9949" max="9949" width="29.109375" style="112" customWidth="1"/>
    <col min="9950" max="9950" width="16" style="112" bestFit="1" customWidth="1"/>
    <col min="9951" max="9951" width="15" style="112" customWidth="1"/>
    <col min="9952" max="9952" width="13.88671875" style="112" customWidth="1"/>
    <col min="9953" max="9953" width="16.88671875" style="112" customWidth="1"/>
    <col min="9954" max="9954" width="15.6640625" style="112" bestFit="1" customWidth="1"/>
    <col min="9955" max="9956" width="12.33203125" style="112" bestFit="1" customWidth="1"/>
    <col min="9957" max="9957" width="15.5546875" style="112" bestFit="1" customWidth="1"/>
    <col min="9958" max="9958" width="13.44140625" style="112" bestFit="1" customWidth="1"/>
    <col min="9959" max="9959" width="14" style="112" bestFit="1" customWidth="1"/>
    <col min="9960" max="9960" width="13.6640625" style="112" bestFit="1" customWidth="1"/>
    <col min="9961" max="9961" width="15.88671875" style="112" bestFit="1" customWidth="1"/>
    <col min="9962" max="9965" width="15.88671875" style="112" customWidth="1"/>
    <col min="9966" max="9966" width="12.44140625" style="112" bestFit="1" customWidth="1"/>
    <col min="9967" max="9969" width="12.44140625" style="112" customWidth="1"/>
    <col min="9970" max="9970" width="15.88671875" style="112" bestFit="1" customWidth="1"/>
    <col min="9971" max="9971" width="24.33203125" style="112" bestFit="1" customWidth="1"/>
    <col min="9972" max="9972" width="13.44140625" style="112" bestFit="1" customWidth="1"/>
    <col min="9973" max="10197" width="9.109375" style="112"/>
    <col min="10198" max="10198" width="13.33203125" style="112" bestFit="1" customWidth="1"/>
    <col min="10199" max="10199" width="10.109375" style="112" customWidth="1"/>
    <col min="10200" max="10200" width="14.44140625" style="112" customWidth="1"/>
    <col min="10201" max="10201" width="11.5546875" style="112" customWidth="1"/>
    <col min="10202" max="10202" width="10.88671875" style="112" customWidth="1"/>
    <col min="10203" max="10203" width="31.6640625" style="112" bestFit="1" customWidth="1"/>
    <col min="10204" max="10204" width="28.5546875" style="112" customWidth="1"/>
    <col min="10205" max="10205" width="29.109375" style="112" customWidth="1"/>
    <col min="10206" max="10206" width="16" style="112" bestFit="1" customWidth="1"/>
    <col min="10207" max="10207" width="15" style="112" customWidth="1"/>
    <col min="10208" max="10208" width="13.88671875" style="112" customWidth="1"/>
    <col min="10209" max="10209" width="16.88671875" style="112" customWidth="1"/>
    <col min="10210" max="10210" width="15.6640625" style="112" bestFit="1" customWidth="1"/>
    <col min="10211" max="10212" width="12.33203125" style="112" bestFit="1" customWidth="1"/>
    <col min="10213" max="10213" width="15.5546875" style="112" bestFit="1" customWidth="1"/>
    <col min="10214" max="10214" width="13.44140625" style="112" bestFit="1" customWidth="1"/>
    <col min="10215" max="10215" width="14" style="112" bestFit="1" customWidth="1"/>
    <col min="10216" max="10216" width="13.6640625" style="112" bestFit="1" customWidth="1"/>
    <col min="10217" max="10217" width="15.88671875" style="112" bestFit="1" customWidth="1"/>
    <col min="10218" max="10221" width="15.88671875" style="112" customWidth="1"/>
    <col min="10222" max="10222" width="12.44140625" style="112" bestFit="1" customWidth="1"/>
    <col min="10223" max="10225" width="12.44140625" style="112" customWidth="1"/>
    <col min="10226" max="10226" width="15.88671875" style="112" bestFit="1" customWidth="1"/>
    <col min="10227" max="10227" width="24.33203125" style="112" bestFit="1" customWidth="1"/>
    <col min="10228" max="10228" width="13.44140625" style="112" bestFit="1" customWidth="1"/>
    <col min="10229" max="10453" width="9.109375" style="112"/>
    <col min="10454" max="10454" width="13.33203125" style="112" bestFit="1" customWidth="1"/>
    <col min="10455" max="10455" width="10.109375" style="112" customWidth="1"/>
    <col min="10456" max="10456" width="14.44140625" style="112" customWidth="1"/>
    <col min="10457" max="10457" width="11.5546875" style="112" customWidth="1"/>
    <col min="10458" max="10458" width="10.88671875" style="112" customWidth="1"/>
    <col min="10459" max="10459" width="31.6640625" style="112" bestFit="1" customWidth="1"/>
    <col min="10460" max="10460" width="28.5546875" style="112" customWidth="1"/>
    <col min="10461" max="10461" width="29.109375" style="112" customWidth="1"/>
    <col min="10462" max="10462" width="16" style="112" bestFit="1" customWidth="1"/>
    <col min="10463" max="10463" width="15" style="112" customWidth="1"/>
    <col min="10464" max="10464" width="13.88671875" style="112" customWidth="1"/>
    <col min="10465" max="10465" width="16.88671875" style="112" customWidth="1"/>
    <col min="10466" max="10466" width="15.6640625" style="112" bestFit="1" customWidth="1"/>
    <col min="10467" max="10468" width="12.33203125" style="112" bestFit="1" customWidth="1"/>
    <col min="10469" max="10469" width="15.5546875" style="112" bestFit="1" customWidth="1"/>
    <col min="10470" max="10470" width="13.44140625" style="112" bestFit="1" customWidth="1"/>
    <col min="10471" max="10471" width="14" style="112" bestFit="1" customWidth="1"/>
    <col min="10472" max="10472" width="13.6640625" style="112" bestFit="1" customWidth="1"/>
    <col min="10473" max="10473" width="15.88671875" style="112" bestFit="1" customWidth="1"/>
    <col min="10474" max="10477" width="15.88671875" style="112" customWidth="1"/>
    <col min="10478" max="10478" width="12.44140625" style="112" bestFit="1" customWidth="1"/>
    <col min="10479" max="10481" width="12.44140625" style="112" customWidth="1"/>
    <col min="10482" max="10482" width="15.88671875" style="112" bestFit="1" customWidth="1"/>
    <col min="10483" max="10483" width="24.33203125" style="112" bestFit="1" customWidth="1"/>
    <col min="10484" max="10484" width="13.44140625" style="112" bestFit="1" customWidth="1"/>
    <col min="10485" max="10709" width="9.109375" style="112"/>
    <col min="10710" max="10710" width="13.33203125" style="112" bestFit="1" customWidth="1"/>
    <col min="10711" max="10711" width="10.109375" style="112" customWidth="1"/>
    <col min="10712" max="10712" width="14.44140625" style="112" customWidth="1"/>
    <col min="10713" max="10713" width="11.5546875" style="112" customWidth="1"/>
    <col min="10714" max="10714" width="10.88671875" style="112" customWidth="1"/>
    <col min="10715" max="10715" width="31.6640625" style="112" bestFit="1" customWidth="1"/>
    <col min="10716" max="10716" width="28.5546875" style="112" customWidth="1"/>
    <col min="10717" max="10717" width="29.109375" style="112" customWidth="1"/>
    <col min="10718" max="10718" width="16" style="112" bestFit="1" customWidth="1"/>
    <col min="10719" max="10719" width="15" style="112" customWidth="1"/>
    <col min="10720" max="10720" width="13.88671875" style="112" customWidth="1"/>
    <col min="10721" max="10721" width="16.88671875" style="112" customWidth="1"/>
    <col min="10722" max="10722" width="15.6640625" style="112" bestFit="1" customWidth="1"/>
    <col min="10723" max="10724" width="12.33203125" style="112" bestFit="1" customWidth="1"/>
    <col min="10725" max="10725" width="15.5546875" style="112" bestFit="1" customWidth="1"/>
    <col min="10726" max="10726" width="13.44140625" style="112" bestFit="1" customWidth="1"/>
    <col min="10727" max="10727" width="14" style="112" bestFit="1" customWidth="1"/>
    <col min="10728" max="10728" width="13.6640625" style="112" bestFit="1" customWidth="1"/>
    <col min="10729" max="10729" width="15.88671875" style="112" bestFit="1" customWidth="1"/>
    <col min="10730" max="10733" width="15.88671875" style="112" customWidth="1"/>
    <col min="10734" max="10734" width="12.44140625" style="112" bestFit="1" customWidth="1"/>
    <col min="10735" max="10737" width="12.44140625" style="112" customWidth="1"/>
    <col min="10738" max="10738" width="15.88671875" style="112" bestFit="1" customWidth="1"/>
    <col min="10739" max="10739" width="24.33203125" style="112" bestFit="1" customWidth="1"/>
    <col min="10740" max="10740" width="13.44140625" style="112" bestFit="1" customWidth="1"/>
    <col min="10741" max="10965" width="9.109375" style="112"/>
    <col min="10966" max="10966" width="13.33203125" style="112" bestFit="1" customWidth="1"/>
    <col min="10967" max="10967" width="10.109375" style="112" customWidth="1"/>
    <col min="10968" max="10968" width="14.44140625" style="112" customWidth="1"/>
    <col min="10969" max="10969" width="11.5546875" style="112" customWidth="1"/>
    <col min="10970" max="10970" width="10.88671875" style="112" customWidth="1"/>
    <col min="10971" max="10971" width="31.6640625" style="112" bestFit="1" customWidth="1"/>
    <col min="10972" max="10972" width="28.5546875" style="112" customWidth="1"/>
    <col min="10973" max="10973" width="29.109375" style="112" customWidth="1"/>
    <col min="10974" max="10974" width="16" style="112" bestFit="1" customWidth="1"/>
    <col min="10975" max="10975" width="15" style="112" customWidth="1"/>
    <col min="10976" max="10976" width="13.88671875" style="112" customWidth="1"/>
    <col min="10977" max="10977" width="16.88671875" style="112" customWidth="1"/>
    <col min="10978" max="10978" width="15.6640625" style="112" bestFit="1" customWidth="1"/>
    <col min="10979" max="10980" width="12.33203125" style="112" bestFit="1" customWidth="1"/>
    <col min="10981" max="10981" width="15.5546875" style="112" bestFit="1" customWidth="1"/>
    <col min="10982" max="10982" width="13.44140625" style="112" bestFit="1" customWidth="1"/>
    <col min="10983" max="10983" width="14" style="112" bestFit="1" customWidth="1"/>
    <col min="10984" max="10984" width="13.6640625" style="112" bestFit="1" customWidth="1"/>
    <col min="10985" max="10985" width="15.88671875" style="112" bestFit="1" customWidth="1"/>
    <col min="10986" max="10989" width="15.88671875" style="112" customWidth="1"/>
    <col min="10990" max="10990" width="12.44140625" style="112" bestFit="1" customWidth="1"/>
    <col min="10991" max="10993" width="12.44140625" style="112" customWidth="1"/>
    <col min="10994" max="10994" width="15.88671875" style="112" bestFit="1" customWidth="1"/>
    <col min="10995" max="10995" width="24.33203125" style="112" bestFit="1" customWidth="1"/>
    <col min="10996" max="10996" width="13.44140625" style="112" bestFit="1" customWidth="1"/>
    <col min="10997" max="11221" width="9.109375" style="112"/>
    <col min="11222" max="11222" width="13.33203125" style="112" bestFit="1" customWidth="1"/>
    <col min="11223" max="11223" width="10.109375" style="112" customWidth="1"/>
    <col min="11224" max="11224" width="14.44140625" style="112" customWidth="1"/>
    <col min="11225" max="11225" width="11.5546875" style="112" customWidth="1"/>
    <col min="11226" max="11226" width="10.88671875" style="112" customWidth="1"/>
    <col min="11227" max="11227" width="31.6640625" style="112" bestFit="1" customWidth="1"/>
    <col min="11228" max="11228" width="28.5546875" style="112" customWidth="1"/>
    <col min="11229" max="11229" width="29.109375" style="112" customWidth="1"/>
    <col min="11230" max="11230" width="16" style="112" bestFit="1" customWidth="1"/>
    <col min="11231" max="11231" width="15" style="112" customWidth="1"/>
    <col min="11232" max="11232" width="13.88671875" style="112" customWidth="1"/>
    <col min="11233" max="11233" width="16.88671875" style="112" customWidth="1"/>
    <col min="11234" max="11234" width="15.6640625" style="112" bestFit="1" customWidth="1"/>
    <col min="11235" max="11236" width="12.33203125" style="112" bestFit="1" customWidth="1"/>
    <col min="11237" max="11237" width="15.5546875" style="112" bestFit="1" customWidth="1"/>
    <col min="11238" max="11238" width="13.44140625" style="112" bestFit="1" customWidth="1"/>
    <col min="11239" max="11239" width="14" style="112" bestFit="1" customWidth="1"/>
    <col min="11240" max="11240" width="13.6640625" style="112" bestFit="1" customWidth="1"/>
    <col min="11241" max="11241" width="15.88671875" style="112" bestFit="1" customWidth="1"/>
    <col min="11242" max="11245" width="15.88671875" style="112" customWidth="1"/>
    <col min="11246" max="11246" width="12.44140625" style="112" bestFit="1" customWidth="1"/>
    <col min="11247" max="11249" width="12.44140625" style="112" customWidth="1"/>
    <col min="11250" max="11250" width="15.88671875" style="112" bestFit="1" customWidth="1"/>
    <col min="11251" max="11251" width="24.33203125" style="112" bestFit="1" customWidth="1"/>
    <col min="11252" max="11252" width="13.44140625" style="112" bestFit="1" customWidth="1"/>
    <col min="11253" max="11477" width="9.109375" style="112"/>
    <col min="11478" max="11478" width="13.33203125" style="112" bestFit="1" customWidth="1"/>
    <col min="11479" max="11479" width="10.109375" style="112" customWidth="1"/>
    <col min="11480" max="11480" width="14.44140625" style="112" customWidth="1"/>
    <col min="11481" max="11481" width="11.5546875" style="112" customWidth="1"/>
    <col min="11482" max="11482" width="10.88671875" style="112" customWidth="1"/>
    <col min="11483" max="11483" width="31.6640625" style="112" bestFit="1" customWidth="1"/>
    <col min="11484" max="11484" width="28.5546875" style="112" customWidth="1"/>
    <col min="11485" max="11485" width="29.109375" style="112" customWidth="1"/>
    <col min="11486" max="11486" width="16" style="112" bestFit="1" customWidth="1"/>
    <col min="11487" max="11487" width="15" style="112" customWidth="1"/>
    <col min="11488" max="11488" width="13.88671875" style="112" customWidth="1"/>
    <col min="11489" max="11489" width="16.88671875" style="112" customWidth="1"/>
    <col min="11490" max="11490" width="15.6640625" style="112" bestFit="1" customWidth="1"/>
    <col min="11491" max="11492" width="12.33203125" style="112" bestFit="1" customWidth="1"/>
    <col min="11493" max="11493" width="15.5546875" style="112" bestFit="1" customWidth="1"/>
    <col min="11494" max="11494" width="13.44140625" style="112" bestFit="1" customWidth="1"/>
    <col min="11495" max="11495" width="14" style="112" bestFit="1" customWidth="1"/>
    <col min="11496" max="11496" width="13.6640625" style="112" bestFit="1" customWidth="1"/>
    <col min="11497" max="11497" width="15.88671875" style="112" bestFit="1" customWidth="1"/>
    <col min="11498" max="11501" width="15.88671875" style="112" customWidth="1"/>
    <col min="11502" max="11502" width="12.44140625" style="112" bestFit="1" customWidth="1"/>
    <col min="11503" max="11505" width="12.44140625" style="112" customWidth="1"/>
    <col min="11506" max="11506" width="15.88671875" style="112" bestFit="1" customWidth="1"/>
    <col min="11507" max="11507" width="24.33203125" style="112" bestFit="1" customWidth="1"/>
    <col min="11508" max="11508" width="13.44140625" style="112" bestFit="1" customWidth="1"/>
    <col min="11509" max="11733" width="9.109375" style="112"/>
    <col min="11734" max="11734" width="13.33203125" style="112" bestFit="1" customWidth="1"/>
    <col min="11735" max="11735" width="10.109375" style="112" customWidth="1"/>
    <col min="11736" max="11736" width="14.44140625" style="112" customWidth="1"/>
    <col min="11737" max="11737" width="11.5546875" style="112" customWidth="1"/>
    <col min="11738" max="11738" width="10.88671875" style="112" customWidth="1"/>
    <col min="11739" max="11739" width="31.6640625" style="112" bestFit="1" customWidth="1"/>
    <col min="11740" max="11740" width="28.5546875" style="112" customWidth="1"/>
    <col min="11741" max="11741" width="29.109375" style="112" customWidth="1"/>
    <col min="11742" max="11742" width="16" style="112" bestFit="1" customWidth="1"/>
    <col min="11743" max="11743" width="15" style="112" customWidth="1"/>
    <col min="11744" max="11744" width="13.88671875" style="112" customWidth="1"/>
    <col min="11745" max="11745" width="16.88671875" style="112" customWidth="1"/>
    <col min="11746" max="11746" width="15.6640625" style="112" bestFit="1" customWidth="1"/>
    <col min="11747" max="11748" width="12.33203125" style="112" bestFit="1" customWidth="1"/>
    <col min="11749" max="11749" width="15.5546875" style="112" bestFit="1" customWidth="1"/>
    <col min="11750" max="11750" width="13.44140625" style="112" bestFit="1" customWidth="1"/>
    <col min="11751" max="11751" width="14" style="112" bestFit="1" customWidth="1"/>
    <col min="11752" max="11752" width="13.6640625" style="112" bestFit="1" customWidth="1"/>
    <col min="11753" max="11753" width="15.88671875" style="112" bestFit="1" customWidth="1"/>
    <col min="11754" max="11757" width="15.88671875" style="112" customWidth="1"/>
    <col min="11758" max="11758" width="12.44140625" style="112" bestFit="1" customWidth="1"/>
    <col min="11759" max="11761" width="12.44140625" style="112" customWidth="1"/>
    <col min="11762" max="11762" width="15.88671875" style="112" bestFit="1" customWidth="1"/>
    <col min="11763" max="11763" width="24.33203125" style="112" bestFit="1" customWidth="1"/>
    <col min="11764" max="11764" width="13.44140625" style="112" bestFit="1" customWidth="1"/>
    <col min="11765" max="11989" width="9.109375" style="112"/>
    <col min="11990" max="11990" width="13.33203125" style="112" bestFit="1" customWidth="1"/>
    <col min="11991" max="11991" width="10.109375" style="112" customWidth="1"/>
    <col min="11992" max="11992" width="14.44140625" style="112" customWidth="1"/>
    <col min="11993" max="11993" width="11.5546875" style="112" customWidth="1"/>
    <col min="11994" max="11994" width="10.88671875" style="112" customWidth="1"/>
    <col min="11995" max="11995" width="31.6640625" style="112" bestFit="1" customWidth="1"/>
    <col min="11996" max="11996" width="28.5546875" style="112" customWidth="1"/>
    <col min="11997" max="11997" width="29.109375" style="112" customWidth="1"/>
    <col min="11998" max="11998" width="16" style="112" bestFit="1" customWidth="1"/>
    <col min="11999" max="11999" width="15" style="112" customWidth="1"/>
    <col min="12000" max="12000" width="13.88671875" style="112" customWidth="1"/>
    <col min="12001" max="12001" width="16.88671875" style="112" customWidth="1"/>
    <col min="12002" max="12002" width="15.6640625" style="112" bestFit="1" customWidth="1"/>
    <col min="12003" max="12004" width="12.33203125" style="112" bestFit="1" customWidth="1"/>
    <col min="12005" max="12005" width="15.5546875" style="112" bestFit="1" customWidth="1"/>
    <col min="12006" max="12006" width="13.44140625" style="112" bestFit="1" customWidth="1"/>
    <col min="12007" max="12007" width="14" style="112" bestFit="1" customWidth="1"/>
    <col min="12008" max="12008" width="13.6640625" style="112" bestFit="1" customWidth="1"/>
    <col min="12009" max="12009" width="15.88671875" style="112" bestFit="1" customWidth="1"/>
    <col min="12010" max="12013" width="15.88671875" style="112" customWidth="1"/>
    <col min="12014" max="12014" width="12.44140625" style="112" bestFit="1" customWidth="1"/>
    <col min="12015" max="12017" width="12.44140625" style="112" customWidth="1"/>
    <col min="12018" max="12018" width="15.88671875" style="112" bestFit="1" customWidth="1"/>
    <col min="12019" max="12019" width="24.33203125" style="112" bestFit="1" customWidth="1"/>
    <col min="12020" max="12020" width="13.44140625" style="112" bestFit="1" customWidth="1"/>
    <col min="12021" max="12245" width="9.109375" style="112"/>
    <col min="12246" max="12246" width="13.33203125" style="112" bestFit="1" customWidth="1"/>
    <col min="12247" max="12247" width="10.109375" style="112" customWidth="1"/>
    <col min="12248" max="12248" width="14.44140625" style="112" customWidth="1"/>
    <col min="12249" max="12249" width="11.5546875" style="112" customWidth="1"/>
    <col min="12250" max="12250" width="10.88671875" style="112" customWidth="1"/>
    <col min="12251" max="12251" width="31.6640625" style="112" bestFit="1" customWidth="1"/>
    <col min="12252" max="12252" width="28.5546875" style="112" customWidth="1"/>
    <col min="12253" max="12253" width="29.109375" style="112" customWidth="1"/>
    <col min="12254" max="12254" width="16" style="112" bestFit="1" customWidth="1"/>
    <col min="12255" max="12255" width="15" style="112" customWidth="1"/>
    <col min="12256" max="12256" width="13.88671875" style="112" customWidth="1"/>
    <col min="12257" max="12257" width="16.88671875" style="112" customWidth="1"/>
    <col min="12258" max="12258" width="15.6640625" style="112" bestFit="1" customWidth="1"/>
    <col min="12259" max="12260" width="12.33203125" style="112" bestFit="1" customWidth="1"/>
    <col min="12261" max="12261" width="15.5546875" style="112" bestFit="1" customWidth="1"/>
    <col min="12262" max="12262" width="13.44140625" style="112" bestFit="1" customWidth="1"/>
    <col min="12263" max="12263" width="14" style="112" bestFit="1" customWidth="1"/>
    <col min="12264" max="12264" width="13.6640625" style="112" bestFit="1" customWidth="1"/>
    <col min="12265" max="12265" width="15.88671875" style="112" bestFit="1" customWidth="1"/>
    <col min="12266" max="12269" width="15.88671875" style="112" customWidth="1"/>
    <col min="12270" max="12270" width="12.44140625" style="112" bestFit="1" customWidth="1"/>
    <col min="12271" max="12273" width="12.44140625" style="112" customWidth="1"/>
    <col min="12274" max="12274" width="15.88671875" style="112" bestFit="1" customWidth="1"/>
    <col min="12275" max="12275" width="24.33203125" style="112" bestFit="1" customWidth="1"/>
    <col min="12276" max="12276" width="13.44140625" style="112" bestFit="1" customWidth="1"/>
    <col min="12277" max="12501" width="9.109375" style="112"/>
    <col min="12502" max="12502" width="13.33203125" style="112" bestFit="1" customWidth="1"/>
    <col min="12503" max="12503" width="10.109375" style="112" customWidth="1"/>
    <col min="12504" max="12504" width="14.44140625" style="112" customWidth="1"/>
    <col min="12505" max="12505" width="11.5546875" style="112" customWidth="1"/>
    <col min="12506" max="12506" width="10.88671875" style="112" customWidth="1"/>
    <col min="12507" max="12507" width="31.6640625" style="112" bestFit="1" customWidth="1"/>
    <col min="12508" max="12508" width="28.5546875" style="112" customWidth="1"/>
    <col min="12509" max="12509" width="29.109375" style="112" customWidth="1"/>
    <col min="12510" max="12510" width="16" style="112" bestFit="1" customWidth="1"/>
    <col min="12511" max="12511" width="15" style="112" customWidth="1"/>
    <col min="12512" max="12512" width="13.88671875" style="112" customWidth="1"/>
    <col min="12513" max="12513" width="16.88671875" style="112" customWidth="1"/>
    <col min="12514" max="12514" width="15.6640625" style="112" bestFit="1" customWidth="1"/>
    <col min="12515" max="12516" width="12.33203125" style="112" bestFit="1" customWidth="1"/>
    <col min="12517" max="12517" width="15.5546875" style="112" bestFit="1" customWidth="1"/>
    <col min="12518" max="12518" width="13.44140625" style="112" bestFit="1" customWidth="1"/>
    <col min="12519" max="12519" width="14" style="112" bestFit="1" customWidth="1"/>
    <col min="12520" max="12520" width="13.6640625" style="112" bestFit="1" customWidth="1"/>
    <col min="12521" max="12521" width="15.88671875" style="112" bestFit="1" customWidth="1"/>
    <col min="12522" max="12525" width="15.88671875" style="112" customWidth="1"/>
    <col min="12526" max="12526" width="12.44140625" style="112" bestFit="1" customWidth="1"/>
    <col min="12527" max="12529" width="12.44140625" style="112" customWidth="1"/>
    <col min="12530" max="12530" width="15.88671875" style="112" bestFit="1" customWidth="1"/>
    <col min="12531" max="12531" width="24.33203125" style="112" bestFit="1" customWidth="1"/>
    <col min="12532" max="12532" width="13.44140625" style="112" bestFit="1" customWidth="1"/>
    <col min="12533" max="12757" width="9.109375" style="112"/>
    <col min="12758" max="12758" width="13.33203125" style="112" bestFit="1" customWidth="1"/>
    <col min="12759" max="12759" width="10.109375" style="112" customWidth="1"/>
    <col min="12760" max="12760" width="14.44140625" style="112" customWidth="1"/>
    <col min="12761" max="12761" width="11.5546875" style="112" customWidth="1"/>
    <col min="12762" max="12762" width="10.88671875" style="112" customWidth="1"/>
    <col min="12763" max="12763" width="31.6640625" style="112" bestFit="1" customWidth="1"/>
    <col min="12764" max="12764" width="28.5546875" style="112" customWidth="1"/>
    <col min="12765" max="12765" width="29.109375" style="112" customWidth="1"/>
    <col min="12766" max="12766" width="16" style="112" bestFit="1" customWidth="1"/>
    <col min="12767" max="12767" width="15" style="112" customWidth="1"/>
    <col min="12768" max="12768" width="13.88671875" style="112" customWidth="1"/>
    <col min="12769" max="12769" width="16.88671875" style="112" customWidth="1"/>
    <col min="12770" max="12770" width="15.6640625" style="112" bestFit="1" customWidth="1"/>
    <col min="12771" max="12772" width="12.33203125" style="112" bestFit="1" customWidth="1"/>
    <col min="12773" max="12773" width="15.5546875" style="112" bestFit="1" customWidth="1"/>
    <col min="12774" max="12774" width="13.44140625" style="112" bestFit="1" customWidth="1"/>
    <col min="12775" max="12775" width="14" style="112" bestFit="1" customWidth="1"/>
    <col min="12776" max="12776" width="13.6640625" style="112" bestFit="1" customWidth="1"/>
    <col min="12777" max="12777" width="15.88671875" style="112" bestFit="1" customWidth="1"/>
    <col min="12778" max="12781" width="15.88671875" style="112" customWidth="1"/>
    <col min="12782" max="12782" width="12.44140625" style="112" bestFit="1" customWidth="1"/>
    <col min="12783" max="12785" width="12.44140625" style="112" customWidth="1"/>
    <col min="12786" max="12786" width="15.88671875" style="112" bestFit="1" customWidth="1"/>
    <col min="12787" max="12787" width="24.33203125" style="112" bestFit="1" customWidth="1"/>
    <col min="12788" max="12788" width="13.44140625" style="112" bestFit="1" customWidth="1"/>
    <col min="12789" max="13013" width="9.109375" style="112"/>
    <col min="13014" max="13014" width="13.33203125" style="112" bestFit="1" customWidth="1"/>
    <col min="13015" max="13015" width="10.109375" style="112" customWidth="1"/>
    <col min="13016" max="13016" width="14.44140625" style="112" customWidth="1"/>
    <col min="13017" max="13017" width="11.5546875" style="112" customWidth="1"/>
    <col min="13018" max="13018" width="10.88671875" style="112" customWidth="1"/>
    <col min="13019" max="13019" width="31.6640625" style="112" bestFit="1" customWidth="1"/>
    <col min="13020" max="13020" width="28.5546875" style="112" customWidth="1"/>
    <col min="13021" max="13021" width="29.109375" style="112" customWidth="1"/>
    <col min="13022" max="13022" width="16" style="112" bestFit="1" customWidth="1"/>
    <col min="13023" max="13023" width="15" style="112" customWidth="1"/>
    <col min="13024" max="13024" width="13.88671875" style="112" customWidth="1"/>
    <col min="13025" max="13025" width="16.88671875" style="112" customWidth="1"/>
    <col min="13026" max="13026" width="15.6640625" style="112" bestFit="1" customWidth="1"/>
    <col min="13027" max="13028" width="12.33203125" style="112" bestFit="1" customWidth="1"/>
    <col min="13029" max="13029" width="15.5546875" style="112" bestFit="1" customWidth="1"/>
    <col min="13030" max="13030" width="13.44140625" style="112" bestFit="1" customWidth="1"/>
    <col min="13031" max="13031" width="14" style="112" bestFit="1" customWidth="1"/>
    <col min="13032" max="13032" width="13.6640625" style="112" bestFit="1" customWidth="1"/>
    <col min="13033" max="13033" width="15.88671875" style="112" bestFit="1" customWidth="1"/>
    <col min="13034" max="13037" width="15.88671875" style="112" customWidth="1"/>
    <col min="13038" max="13038" width="12.44140625" style="112" bestFit="1" customWidth="1"/>
    <col min="13039" max="13041" width="12.44140625" style="112" customWidth="1"/>
    <col min="13042" max="13042" width="15.88671875" style="112" bestFit="1" customWidth="1"/>
    <col min="13043" max="13043" width="24.33203125" style="112" bestFit="1" customWidth="1"/>
    <col min="13044" max="13044" width="13.44140625" style="112" bestFit="1" customWidth="1"/>
    <col min="13045" max="13269" width="9.109375" style="112"/>
    <col min="13270" max="13270" width="13.33203125" style="112" bestFit="1" customWidth="1"/>
    <col min="13271" max="13271" width="10.109375" style="112" customWidth="1"/>
    <col min="13272" max="13272" width="14.44140625" style="112" customWidth="1"/>
    <col min="13273" max="13273" width="11.5546875" style="112" customWidth="1"/>
    <col min="13274" max="13274" width="10.88671875" style="112" customWidth="1"/>
    <col min="13275" max="13275" width="31.6640625" style="112" bestFit="1" customWidth="1"/>
    <col min="13276" max="13276" width="28.5546875" style="112" customWidth="1"/>
    <col min="13277" max="13277" width="29.109375" style="112" customWidth="1"/>
    <col min="13278" max="13278" width="16" style="112" bestFit="1" customWidth="1"/>
    <col min="13279" max="13279" width="15" style="112" customWidth="1"/>
    <col min="13280" max="13280" width="13.88671875" style="112" customWidth="1"/>
    <col min="13281" max="13281" width="16.88671875" style="112" customWidth="1"/>
    <col min="13282" max="13282" width="15.6640625" style="112" bestFit="1" customWidth="1"/>
    <col min="13283" max="13284" width="12.33203125" style="112" bestFit="1" customWidth="1"/>
    <col min="13285" max="13285" width="15.5546875" style="112" bestFit="1" customWidth="1"/>
    <col min="13286" max="13286" width="13.44140625" style="112" bestFit="1" customWidth="1"/>
    <col min="13287" max="13287" width="14" style="112" bestFit="1" customWidth="1"/>
    <col min="13288" max="13288" width="13.6640625" style="112" bestFit="1" customWidth="1"/>
    <col min="13289" max="13289" width="15.88671875" style="112" bestFit="1" customWidth="1"/>
    <col min="13290" max="13293" width="15.88671875" style="112" customWidth="1"/>
    <col min="13294" max="13294" width="12.44140625" style="112" bestFit="1" customWidth="1"/>
    <col min="13295" max="13297" width="12.44140625" style="112" customWidth="1"/>
    <col min="13298" max="13298" width="15.88671875" style="112" bestFit="1" customWidth="1"/>
    <col min="13299" max="13299" width="24.33203125" style="112" bestFit="1" customWidth="1"/>
    <col min="13300" max="13300" width="13.44140625" style="112" bestFit="1" customWidth="1"/>
    <col min="13301" max="13525" width="9.109375" style="112"/>
    <col min="13526" max="13526" width="13.33203125" style="112" bestFit="1" customWidth="1"/>
    <col min="13527" max="13527" width="10.109375" style="112" customWidth="1"/>
    <col min="13528" max="13528" width="14.44140625" style="112" customWidth="1"/>
    <col min="13529" max="13529" width="11.5546875" style="112" customWidth="1"/>
    <col min="13530" max="13530" width="10.88671875" style="112" customWidth="1"/>
    <col min="13531" max="13531" width="31.6640625" style="112" bestFit="1" customWidth="1"/>
    <col min="13532" max="13532" width="28.5546875" style="112" customWidth="1"/>
    <col min="13533" max="13533" width="29.109375" style="112" customWidth="1"/>
    <col min="13534" max="13534" width="16" style="112" bestFit="1" customWidth="1"/>
    <col min="13535" max="13535" width="15" style="112" customWidth="1"/>
    <col min="13536" max="13536" width="13.88671875" style="112" customWidth="1"/>
    <col min="13537" max="13537" width="16.88671875" style="112" customWidth="1"/>
    <col min="13538" max="13538" width="15.6640625" style="112" bestFit="1" customWidth="1"/>
    <col min="13539" max="13540" width="12.33203125" style="112" bestFit="1" customWidth="1"/>
    <col min="13541" max="13541" width="15.5546875" style="112" bestFit="1" customWidth="1"/>
    <col min="13542" max="13542" width="13.44140625" style="112" bestFit="1" customWidth="1"/>
    <col min="13543" max="13543" width="14" style="112" bestFit="1" customWidth="1"/>
    <col min="13544" max="13544" width="13.6640625" style="112" bestFit="1" customWidth="1"/>
    <col min="13545" max="13545" width="15.88671875" style="112" bestFit="1" customWidth="1"/>
    <col min="13546" max="13549" width="15.88671875" style="112" customWidth="1"/>
    <col min="13550" max="13550" width="12.44140625" style="112" bestFit="1" customWidth="1"/>
    <col min="13551" max="13553" width="12.44140625" style="112" customWidth="1"/>
    <col min="13554" max="13554" width="15.88671875" style="112" bestFit="1" customWidth="1"/>
    <col min="13555" max="13555" width="24.33203125" style="112" bestFit="1" customWidth="1"/>
    <col min="13556" max="13556" width="13.44140625" style="112" bestFit="1" customWidth="1"/>
    <col min="13557" max="13781" width="9.109375" style="112"/>
    <col min="13782" max="13782" width="13.33203125" style="112" bestFit="1" customWidth="1"/>
    <col min="13783" max="13783" width="10.109375" style="112" customWidth="1"/>
    <col min="13784" max="13784" width="14.44140625" style="112" customWidth="1"/>
    <col min="13785" max="13785" width="11.5546875" style="112" customWidth="1"/>
    <col min="13786" max="13786" width="10.88671875" style="112" customWidth="1"/>
    <col min="13787" max="13787" width="31.6640625" style="112" bestFit="1" customWidth="1"/>
    <col min="13788" max="13788" width="28.5546875" style="112" customWidth="1"/>
    <col min="13789" max="13789" width="29.109375" style="112" customWidth="1"/>
    <col min="13790" max="13790" width="16" style="112" bestFit="1" customWidth="1"/>
    <col min="13791" max="13791" width="15" style="112" customWidth="1"/>
    <col min="13792" max="13792" width="13.88671875" style="112" customWidth="1"/>
    <col min="13793" max="13793" width="16.88671875" style="112" customWidth="1"/>
    <col min="13794" max="13794" width="15.6640625" style="112" bestFit="1" customWidth="1"/>
    <col min="13795" max="13796" width="12.33203125" style="112" bestFit="1" customWidth="1"/>
    <col min="13797" max="13797" width="15.5546875" style="112" bestFit="1" customWidth="1"/>
    <col min="13798" max="13798" width="13.44140625" style="112" bestFit="1" customWidth="1"/>
    <col min="13799" max="13799" width="14" style="112" bestFit="1" customWidth="1"/>
    <col min="13800" max="13800" width="13.6640625" style="112" bestFit="1" customWidth="1"/>
    <col min="13801" max="13801" width="15.88671875" style="112" bestFit="1" customWidth="1"/>
    <col min="13802" max="13805" width="15.88671875" style="112" customWidth="1"/>
    <col min="13806" max="13806" width="12.44140625" style="112" bestFit="1" customWidth="1"/>
    <col min="13807" max="13809" width="12.44140625" style="112" customWidth="1"/>
    <col min="13810" max="13810" width="15.88671875" style="112" bestFit="1" customWidth="1"/>
    <col min="13811" max="13811" width="24.33203125" style="112" bestFit="1" customWidth="1"/>
    <col min="13812" max="13812" width="13.44140625" style="112" bestFit="1" customWidth="1"/>
    <col min="13813" max="14037" width="9.109375" style="112"/>
    <col min="14038" max="14038" width="13.33203125" style="112" bestFit="1" customWidth="1"/>
    <col min="14039" max="14039" width="10.109375" style="112" customWidth="1"/>
    <col min="14040" max="14040" width="14.44140625" style="112" customWidth="1"/>
    <col min="14041" max="14041" width="11.5546875" style="112" customWidth="1"/>
    <col min="14042" max="14042" width="10.88671875" style="112" customWidth="1"/>
    <col min="14043" max="14043" width="31.6640625" style="112" bestFit="1" customWidth="1"/>
    <col min="14044" max="14044" width="28.5546875" style="112" customWidth="1"/>
    <col min="14045" max="14045" width="29.109375" style="112" customWidth="1"/>
    <col min="14046" max="14046" width="16" style="112" bestFit="1" customWidth="1"/>
    <col min="14047" max="14047" width="15" style="112" customWidth="1"/>
    <col min="14048" max="14048" width="13.88671875" style="112" customWidth="1"/>
    <col min="14049" max="14049" width="16.88671875" style="112" customWidth="1"/>
    <col min="14050" max="14050" width="15.6640625" style="112" bestFit="1" customWidth="1"/>
    <col min="14051" max="14052" width="12.33203125" style="112" bestFit="1" customWidth="1"/>
    <col min="14053" max="14053" width="15.5546875" style="112" bestFit="1" customWidth="1"/>
    <col min="14054" max="14054" width="13.44140625" style="112" bestFit="1" customWidth="1"/>
    <col min="14055" max="14055" width="14" style="112" bestFit="1" customWidth="1"/>
    <col min="14056" max="14056" width="13.6640625" style="112" bestFit="1" customWidth="1"/>
    <col min="14057" max="14057" width="15.88671875" style="112" bestFit="1" customWidth="1"/>
    <col min="14058" max="14061" width="15.88671875" style="112" customWidth="1"/>
    <col min="14062" max="14062" width="12.44140625" style="112" bestFit="1" customWidth="1"/>
    <col min="14063" max="14065" width="12.44140625" style="112" customWidth="1"/>
    <col min="14066" max="14066" width="15.88671875" style="112" bestFit="1" customWidth="1"/>
    <col min="14067" max="14067" width="24.33203125" style="112" bestFit="1" customWidth="1"/>
    <col min="14068" max="14068" width="13.44140625" style="112" bestFit="1" customWidth="1"/>
    <col min="14069" max="14293" width="9.109375" style="112"/>
    <col min="14294" max="14294" width="13.33203125" style="112" bestFit="1" customWidth="1"/>
    <col min="14295" max="14295" width="10.109375" style="112" customWidth="1"/>
    <col min="14296" max="14296" width="14.44140625" style="112" customWidth="1"/>
    <col min="14297" max="14297" width="11.5546875" style="112" customWidth="1"/>
    <col min="14298" max="14298" width="10.88671875" style="112" customWidth="1"/>
    <col min="14299" max="14299" width="31.6640625" style="112" bestFit="1" customWidth="1"/>
    <col min="14300" max="14300" width="28.5546875" style="112" customWidth="1"/>
    <col min="14301" max="14301" width="29.109375" style="112" customWidth="1"/>
    <col min="14302" max="14302" width="16" style="112" bestFit="1" customWidth="1"/>
    <col min="14303" max="14303" width="15" style="112" customWidth="1"/>
    <col min="14304" max="14304" width="13.88671875" style="112" customWidth="1"/>
    <col min="14305" max="14305" width="16.88671875" style="112" customWidth="1"/>
    <col min="14306" max="14306" width="15.6640625" style="112" bestFit="1" customWidth="1"/>
    <col min="14307" max="14308" width="12.33203125" style="112" bestFit="1" customWidth="1"/>
    <col min="14309" max="14309" width="15.5546875" style="112" bestFit="1" customWidth="1"/>
    <col min="14310" max="14310" width="13.44140625" style="112" bestFit="1" customWidth="1"/>
    <col min="14311" max="14311" width="14" style="112" bestFit="1" customWidth="1"/>
    <col min="14312" max="14312" width="13.6640625" style="112" bestFit="1" customWidth="1"/>
    <col min="14313" max="14313" width="15.88671875" style="112" bestFit="1" customWidth="1"/>
    <col min="14314" max="14317" width="15.88671875" style="112" customWidth="1"/>
    <col min="14318" max="14318" width="12.44140625" style="112" bestFit="1" customWidth="1"/>
    <col min="14319" max="14321" width="12.44140625" style="112" customWidth="1"/>
    <col min="14322" max="14322" width="15.88671875" style="112" bestFit="1" customWidth="1"/>
    <col min="14323" max="14323" width="24.33203125" style="112" bestFit="1" customWidth="1"/>
    <col min="14324" max="14324" width="13.44140625" style="112" bestFit="1" customWidth="1"/>
    <col min="14325" max="14549" width="9.109375" style="112"/>
    <col min="14550" max="14550" width="13.33203125" style="112" bestFit="1" customWidth="1"/>
    <col min="14551" max="14551" width="10.109375" style="112" customWidth="1"/>
    <col min="14552" max="14552" width="14.44140625" style="112" customWidth="1"/>
    <col min="14553" max="14553" width="11.5546875" style="112" customWidth="1"/>
    <col min="14554" max="14554" width="10.88671875" style="112" customWidth="1"/>
    <col min="14555" max="14555" width="31.6640625" style="112" bestFit="1" customWidth="1"/>
    <col min="14556" max="14556" width="28.5546875" style="112" customWidth="1"/>
    <col min="14557" max="14557" width="29.109375" style="112" customWidth="1"/>
    <col min="14558" max="14558" width="16" style="112" bestFit="1" customWidth="1"/>
    <col min="14559" max="14559" width="15" style="112" customWidth="1"/>
    <col min="14560" max="14560" width="13.88671875" style="112" customWidth="1"/>
    <col min="14561" max="14561" width="16.88671875" style="112" customWidth="1"/>
    <col min="14562" max="14562" width="15.6640625" style="112" bestFit="1" customWidth="1"/>
    <col min="14563" max="14564" width="12.33203125" style="112" bestFit="1" customWidth="1"/>
    <col min="14565" max="14565" width="15.5546875" style="112" bestFit="1" customWidth="1"/>
    <col min="14566" max="14566" width="13.44140625" style="112" bestFit="1" customWidth="1"/>
    <col min="14567" max="14567" width="14" style="112" bestFit="1" customWidth="1"/>
    <col min="14568" max="14568" width="13.6640625" style="112" bestFit="1" customWidth="1"/>
    <col min="14569" max="14569" width="15.88671875" style="112" bestFit="1" customWidth="1"/>
    <col min="14570" max="14573" width="15.88671875" style="112" customWidth="1"/>
    <col min="14574" max="14574" width="12.44140625" style="112" bestFit="1" customWidth="1"/>
    <col min="14575" max="14577" width="12.44140625" style="112" customWidth="1"/>
    <col min="14578" max="14578" width="15.88671875" style="112" bestFit="1" customWidth="1"/>
    <col min="14579" max="14579" width="24.33203125" style="112" bestFit="1" customWidth="1"/>
    <col min="14580" max="14580" width="13.44140625" style="112" bestFit="1" customWidth="1"/>
    <col min="14581" max="14805" width="9.109375" style="112"/>
    <col min="14806" max="14806" width="13.33203125" style="112" bestFit="1" customWidth="1"/>
    <col min="14807" max="14807" width="10.109375" style="112" customWidth="1"/>
    <col min="14808" max="14808" width="14.44140625" style="112" customWidth="1"/>
    <col min="14809" max="14809" width="11.5546875" style="112" customWidth="1"/>
    <col min="14810" max="14810" width="10.88671875" style="112" customWidth="1"/>
    <col min="14811" max="14811" width="31.6640625" style="112" bestFit="1" customWidth="1"/>
    <col min="14812" max="14812" width="28.5546875" style="112" customWidth="1"/>
    <col min="14813" max="14813" width="29.109375" style="112" customWidth="1"/>
    <col min="14814" max="14814" width="16" style="112" bestFit="1" customWidth="1"/>
    <col min="14815" max="14815" width="15" style="112" customWidth="1"/>
    <col min="14816" max="14816" width="13.88671875" style="112" customWidth="1"/>
    <col min="14817" max="14817" width="16.88671875" style="112" customWidth="1"/>
    <col min="14818" max="14818" width="15.6640625" style="112" bestFit="1" customWidth="1"/>
    <col min="14819" max="14820" width="12.33203125" style="112" bestFit="1" customWidth="1"/>
    <col min="14821" max="14821" width="15.5546875" style="112" bestFit="1" customWidth="1"/>
    <col min="14822" max="14822" width="13.44140625" style="112" bestFit="1" customWidth="1"/>
    <col min="14823" max="14823" width="14" style="112" bestFit="1" customWidth="1"/>
    <col min="14824" max="14824" width="13.6640625" style="112" bestFit="1" customWidth="1"/>
    <col min="14825" max="14825" width="15.88671875" style="112" bestFit="1" customWidth="1"/>
    <col min="14826" max="14829" width="15.88671875" style="112" customWidth="1"/>
    <col min="14830" max="14830" width="12.44140625" style="112" bestFit="1" customWidth="1"/>
    <col min="14831" max="14833" width="12.44140625" style="112" customWidth="1"/>
    <col min="14834" max="14834" width="15.88671875" style="112" bestFit="1" customWidth="1"/>
    <col min="14835" max="14835" width="24.33203125" style="112" bestFit="1" customWidth="1"/>
    <col min="14836" max="14836" width="13.44140625" style="112" bestFit="1" customWidth="1"/>
    <col min="14837" max="15061" width="9.109375" style="112"/>
    <col min="15062" max="15062" width="13.33203125" style="112" bestFit="1" customWidth="1"/>
    <col min="15063" max="15063" width="10.109375" style="112" customWidth="1"/>
    <col min="15064" max="15064" width="14.44140625" style="112" customWidth="1"/>
    <col min="15065" max="15065" width="11.5546875" style="112" customWidth="1"/>
    <col min="15066" max="15066" width="10.88671875" style="112" customWidth="1"/>
    <col min="15067" max="15067" width="31.6640625" style="112" bestFit="1" customWidth="1"/>
    <col min="15068" max="15068" width="28.5546875" style="112" customWidth="1"/>
    <col min="15069" max="15069" width="29.109375" style="112" customWidth="1"/>
    <col min="15070" max="15070" width="16" style="112" bestFit="1" customWidth="1"/>
    <col min="15071" max="15071" width="15" style="112" customWidth="1"/>
    <col min="15072" max="15072" width="13.88671875" style="112" customWidth="1"/>
    <col min="15073" max="15073" width="16.88671875" style="112" customWidth="1"/>
    <col min="15074" max="15074" width="15.6640625" style="112" bestFit="1" customWidth="1"/>
    <col min="15075" max="15076" width="12.33203125" style="112" bestFit="1" customWidth="1"/>
    <col min="15077" max="15077" width="15.5546875" style="112" bestFit="1" customWidth="1"/>
    <col min="15078" max="15078" width="13.44140625" style="112" bestFit="1" customWidth="1"/>
    <col min="15079" max="15079" width="14" style="112" bestFit="1" customWidth="1"/>
    <col min="15080" max="15080" width="13.6640625" style="112" bestFit="1" customWidth="1"/>
    <col min="15081" max="15081" width="15.88671875" style="112" bestFit="1" customWidth="1"/>
    <col min="15082" max="15085" width="15.88671875" style="112" customWidth="1"/>
    <col min="15086" max="15086" width="12.44140625" style="112" bestFit="1" customWidth="1"/>
    <col min="15087" max="15089" width="12.44140625" style="112" customWidth="1"/>
    <col min="15090" max="15090" width="15.88671875" style="112" bestFit="1" customWidth="1"/>
    <col min="15091" max="15091" width="24.33203125" style="112" bestFit="1" customWidth="1"/>
    <col min="15092" max="15092" width="13.44140625" style="112" bestFit="1" customWidth="1"/>
    <col min="15093" max="15317" width="9.109375" style="112"/>
    <col min="15318" max="15318" width="13.33203125" style="112" bestFit="1" customWidth="1"/>
    <col min="15319" max="15319" width="10.109375" style="112" customWidth="1"/>
    <col min="15320" max="15320" width="14.44140625" style="112" customWidth="1"/>
    <col min="15321" max="15321" width="11.5546875" style="112" customWidth="1"/>
    <col min="15322" max="15322" width="10.88671875" style="112" customWidth="1"/>
    <col min="15323" max="15323" width="31.6640625" style="112" bestFit="1" customWidth="1"/>
    <col min="15324" max="15324" width="28.5546875" style="112" customWidth="1"/>
    <col min="15325" max="15325" width="29.109375" style="112" customWidth="1"/>
    <col min="15326" max="15326" width="16" style="112" bestFit="1" customWidth="1"/>
    <col min="15327" max="15327" width="15" style="112" customWidth="1"/>
    <col min="15328" max="15328" width="13.88671875" style="112" customWidth="1"/>
    <col min="15329" max="15329" width="16.88671875" style="112" customWidth="1"/>
    <col min="15330" max="15330" width="15.6640625" style="112" bestFit="1" customWidth="1"/>
    <col min="15331" max="15332" width="12.33203125" style="112" bestFit="1" customWidth="1"/>
    <col min="15333" max="15333" width="15.5546875" style="112" bestFit="1" customWidth="1"/>
    <col min="15334" max="15334" width="13.44140625" style="112" bestFit="1" customWidth="1"/>
    <col min="15335" max="15335" width="14" style="112" bestFit="1" customWidth="1"/>
    <col min="15336" max="15336" width="13.6640625" style="112" bestFit="1" customWidth="1"/>
    <col min="15337" max="15337" width="15.88671875" style="112" bestFit="1" customWidth="1"/>
    <col min="15338" max="15341" width="15.88671875" style="112" customWidth="1"/>
    <col min="15342" max="15342" width="12.44140625" style="112" bestFit="1" customWidth="1"/>
    <col min="15343" max="15345" width="12.44140625" style="112" customWidth="1"/>
    <col min="15346" max="15346" width="15.88671875" style="112" bestFit="1" customWidth="1"/>
    <col min="15347" max="15347" width="24.33203125" style="112" bestFit="1" customWidth="1"/>
    <col min="15348" max="15348" width="13.44140625" style="112" bestFit="1" customWidth="1"/>
    <col min="15349" max="15573" width="9.109375" style="112"/>
    <col min="15574" max="15574" width="13.33203125" style="112" bestFit="1" customWidth="1"/>
    <col min="15575" max="15575" width="10.109375" style="112" customWidth="1"/>
    <col min="15576" max="15576" width="14.44140625" style="112" customWidth="1"/>
    <col min="15577" max="15577" width="11.5546875" style="112" customWidth="1"/>
    <col min="15578" max="15578" width="10.88671875" style="112" customWidth="1"/>
    <col min="15579" max="15579" width="31.6640625" style="112" bestFit="1" customWidth="1"/>
    <col min="15580" max="15580" width="28.5546875" style="112" customWidth="1"/>
    <col min="15581" max="15581" width="29.109375" style="112" customWidth="1"/>
    <col min="15582" max="15582" width="16" style="112" bestFit="1" customWidth="1"/>
    <col min="15583" max="15583" width="15" style="112" customWidth="1"/>
    <col min="15584" max="15584" width="13.88671875" style="112" customWidth="1"/>
    <col min="15585" max="15585" width="16.88671875" style="112" customWidth="1"/>
    <col min="15586" max="15586" width="15.6640625" style="112" bestFit="1" customWidth="1"/>
    <col min="15587" max="15588" width="12.33203125" style="112" bestFit="1" customWidth="1"/>
    <col min="15589" max="15589" width="15.5546875" style="112" bestFit="1" customWidth="1"/>
    <col min="15590" max="15590" width="13.44140625" style="112" bestFit="1" customWidth="1"/>
    <col min="15591" max="15591" width="14" style="112" bestFit="1" customWidth="1"/>
    <col min="15592" max="15592" width="13.6640625" style="112" bestFit="1" customWidth="1"/>
    <col min="15593" max="15593" width="15.88671875" style="112" bestFit="1" customWidth="1"/>
    <col min="15594" max="15597" width="15.88671875" style="112" customWidth="1"/>
    <col min="15598" max="15598" width="12.44140625" style="112" bestFit="1" customWidth="1"/>
    <col min="15599" max="15601" width="12.44140625" style="112" customWidth="1"/>
    <col min="15602" max="15602" width="15.88671875" style="112" bestFit="1" customWidth="1"/>
    <col min="15603" max="15603" width="24.33203125" style="112" bestFit="1" customWidth="1"/>
    <col min="15604" max="15604" width="13.44140625" style="112" bestFit="1" customWidth="1"/>
    <col min="15605" max="15829" width="9.109375" style="112"/>
    <col min="15830" max="15830" width="13.33203125" style="112" bestFit="1" customWidth="1"/>
    <col min="15831" max="15831" width="10.109375" style="112" customWidth="1"/>
    <col min="15832" max="15832" width="14.44140625" style="112" customWidth="1"/>
    <col min="15833" max="15833" width="11.5546875" style="112" customWidth="1"/>
    <col min="15834" max="15834" width="10.88671875" style="112" customWidth="1"/>
    <col min="15835" max="15835" width="31.6640625" style="112" bestFit="1" customWidth="1"/>
    <col min="15836" max="15836" width="28.5546875" style="112" customWidth="1"/>
    <col min="15837" max="15837" width="29.109375" style="112" customWidth="1"/>
    <col min="15838" max="15838" width="16" style="112" bestFit="1" customWidth="1"/>
    <col min="15839" max="15839" width="15" style="112" customWidth="1"/>
    <col min="15840" max="15840" width="13.88671875" style="112" customWidth="1"/>
    <col min="15841" max="15841" width="16.88671875" style="112" customWidth="1"/>
    <col min="15842" max="15842" width="15.6640625" style="112" bestFit="1" customWidth="1"/>
    <col min="15843" max="15844" width="12.33203125" style="112" bestFit="1" customWidth="1"/>
    <col min="15845" max="15845" width="15.5546875" style="112" bestFit="1" customWidth="1"/>
    <col min="15846" max="15846" width="13.44140625" style="112" bestFit="1" customWidth="1"/>
    <col min="15847" max="15847" width="14" style="112" bestFit="1" customWidth="1"/>
    <col min="15848" max="15848" width="13.6640625" style="112" bestFit="1" customWidth="1"/>
    <col min="15849" max="15849" width="15.88671875" style="112" bestFit="1" customWidth="1"/>
    <col min="15850" max="15853" width="15.88671875" style="112" customWidth="1"/>
    <col min="15854" max="15854" width="12.44140625" style="112" bestFit="1" customWidth="1"/>
    <col min="15855" max="15857" width="12.44140625" style="112" customWidth="1"/>
    <col min="15858" max="15858" width="15.88671875" style="112" bestFit="1" customWidth="1"/>
    <col min="15859" max="15859" width="24.33203125" style="112" bestFit="1" customWidth="1"/>
    <col min="15860" max="15860" width="13.44140625" style="112" bestFit="1" customWidth="1"/>
    <col min="15861" max="16085" width="9.109375" style="112"/>
    <col min="16086" max="16086" width="13.33203125" style="112" bestFit="1" customWidth="1"/>
    <col min="16087" max="16087" width="10.109375" style="112" customWidth="1"/>
    <col min="16088" max="16088" width="14.44140625" style="112" customWidth="1"/>
    <col min="16089" max="16089" width="11.5546875" style="112" customWidth="1"/>
    <col min="16090" max="16090" width="10.88671875" style="112" customWidth="1"/>
    <col min="16091" max="16091" width="31.6640625" style="112" bestFit="1" customWidth="1"/>
    <col min="16092" max="16092" width="28.5546875" style="112" customWidth="1"/>
    <col min="16093" max="16093" width="29.109375" style="112" customWidth="1"/>
    <col min="16094" max="16094" width="16" style="112" bestFit="1" customWidth="1"/>
    <col min="16095" max="16095" width="15" style="112" customWidth="1"/>
    <col min="16096" max="16096" width="13.88671875" style="112" customWidth="1"/>
    <col min="16097" max="16097" width="16.88671875" style="112" customWidth="1"/>
    <col min="16098" max="16098" width="15.6640625" style="112" bestFit="1" customWidth="1"/>
    <col min="16099" max="16100" width="12.33203125" style="112" bestFit="1" customWidth="1"/>
    <col min="16101" max="16101" width="15.5546875" style="112" bestFit="1" customWidth="1"/>
    <col min="16102" max="16102" width="13.44140625" style="112" bestFit="1" customWidth="1"/>
    <col min="16103" max="16103" width="14" style="112" bestFit="1" customWidth="1"/>
    <col min="16104" max="16104" width="13.6640625" style="112" bestFit="1" customWidth="1"/>
    <col min="16105" max="16105" width="15.88671875" style="112" bestFit="1" customWidth="1"/>
    <col min="16106" max="16109" width="15.88671875" style="112" customWidth="1"/>
    <col min="16110" max="16110" width="12.44140625" style="112" bestFit="1" customWidth="1"/>
    <col min="16111" max="16113" width="12.44140625" style="112" customWidth="1"/>
    <col min="16114" max="16114" width="15.88671875" style="112" bestFit="1" customWidth="1"/>
    <col min="16115" max="16115" width="24.33203125" style="112" bestFit="1" customWidth="1"/>
    <col min="16116" max="16116" width="13.44140625" style="112" bestFit="1" customWidth="1"/>
    <col min="16117" max="16383" width="9.109375" style="112"/>
    <col min="16384" max="16384" width="9.109375" style="112" customWidth="1"/>
  </cols>
  <sheetData>
    <row r="1" spans="1:32" ht="14.4">
      <c r="A1" s="59" t="s">
        <v>0</v>
      </c>
    </row>
    <row r="2" spans="1:32" ht="14.4">
      <c r="A2" s="59" t="s">
        <v>559</v>
      </c>
    </row>
    <row r="3" spans="1:32" ht="14.4">
      <c r="B3" s="59"/>
    </row>
    <row r="4" spans="1:32" ht="14.4">
      <c r="B4" s="59"/>
    </row>
    <row r="5" spans="1:32" ht="13.8" thickBot="1">
      <c r="B5" s="112" t="s">
        <v>767</v>
      </c>
    </row>
    <row r="6" spans="1:32">
      <c r="B6" s="111"/>
      <c r="U6" s="130" t="s">
        <v>560</v>
      </c>
      <c r="V6" s="676"/>
      <c r="W6" s="676"/>
      <c r="X6" s="676"/>
      <c r="Y6" s="676"/>
      <c r="Z6" s="676"/>
      <c r="AA6" s="676"/>
      <c r="AB6" s="676"/>
      <c r="AC6" s="676"/>
      <c r="AD6" s="676"/>
      <c r="AE6" s="676"/>
      <c r="AF6" s="677"/>
    </row>
    <row r="7" spans="1:32">
      <c r="B7" s="111"/>
      <c r="U7" s="693"/>
      <c r="V7" s="738"/>
      <c r="W7" s="738"/>
      <c r="X7" s="738"/>
      <c r="Y7" s="738"/>
      <c r="Z7" s="738"/>
      <c r="AA7" s="738"/>
      <c r="AB7" s="738"/>
      <c r="AC7" s="738"/>
      <c r="AD7" s="738"/>
      <c r="AE7" s="738"/>
      <c r="AF7" s="678"/>
    </row>
    <row r="8" spans="1:32" s="210" customFormat="1" ht="27" customHeight="1">
      <c r="A8" s="210" t="s">
        <v>768</v>
      </c>
      <c r="B8" s="210" t="s">
        <v>772</v>
      </c>
      <c r="C8" s="210" t="s">
        <v>535</v>
      </c>
      <c r="D8" s="210" t="s">
        <v>536</v>
      </c>
      <c r="E8" s="210" t="s">
        <v>537</v>
      </c>
      <c r="F8" s="210" t="s">
        <v>538</v>
      </c>
      <c r="G8" s="210" t="s">
        <v>539</v>
      </c>
      <c r="H8" s="210" t="s">
        <v>540</v>
      </c>
      <c r="I8" s="210" t="s">
        <v>541</v>
      </c>
      <c r="J8" s="210" t="s">
        <v>542</v>
      </c>
      <c r="K8" s="210" t="s">
        <v>543</v>
      </c>
      <c r="L8" s="210" t="s">
        <v>544</v>
      </c>
      <c r="M8" s="210" t="s">
        <v>545</v>
      </c>
      <c r="N8" s="211" t="s">
        <v>546</v>
      </c>
      <c r="O8" s="211" t="s">
        <v>547</v>
      </c>
      <c r="P8" s="211" t="s">
        <v>548</v>
      </c>
      <c r="Q8" s="211" t="s">
        <v>549</v>
      </c>
      <c r="R8" s="211" t="s">
        <v>550</v>
      </c>
      <c r="S8" s="211" t="s">
        <v>551</v>
      </c>
      <c r="T8" s="211" t="s">
        <v>552</v>
      </c>
      <c r="U8" s="212" t="s">
        <v>553</v>
      </c>
      <c r="V8" s="213" t="s">
        <v>554</v>
      </c>
      <c r="W8" s="213" t="s">
        <v>555</v>
      </c>
      <c r="X8" s="213" t="s">
        <v>774</v>
      </c>
      <c r="Y8" s="213" t="s">
        <v>775</v>
      </c>
      <c r="Z8" s="213" t="s">
        <v>446</v>
      </c>
      <c r="AA8" s="213" t="s">
        <v>447</v>
      </c>
      <c r="AB8" s="213" t="s">
        <v>556</v>
      </c>
      <c r="AC8" s="213" t="s">
        <v>773</v>
      </c>
      <c r="AD8" s="213" t="s">
        <v>557</v>
      </c>
      <c r="AE8" s="213" t="s">
        <v>558</v>
      </c>
      <c r="AF8" s="749" t="s">
        <v>55</v>
      </c>
    </row>
    <row r="9" spans="1:32">
      <c r="A9" s="737" t="s">
        <v>1596</v>
      </c>
      <c r="B9" s="745">
        <v>1</v>
      </c>
      <c r="C9" s="745">
        <v>1</v>
      </c>
      <c r="D9" s="745">
        <v>0</v>
      </c>
      <c r="E9" s="745" t="s">
        <v>1597</v>
      </c>
      <c r="F9" s="745" t="s">
        <v>1598</v>
      </c>
      <c r="G9" s="745" t="s">
        <v>1599</v>
      </c>
      <c r="H9" s="745" t="s">
        <v>1600</v>
      </c>
      <c r="I9" s="745" t="s">
        <v>1601</v>
      </c>
      <c r="J9" s="745" t="s">
        <v>1602</v>
      </c>
      <c r="K9" s="745" t="s">
        <v>1603</v>
      </c>
      <c r="L9" s="745" t="s">
        <v>1604</v>
      </c>
      <c r="M9" s="745" t="s">
        <v>1605</v>
      </c>
      <c r="N9" s="745">
        <v>90</v>
      </c>
      <c r="O9" s="745">
        <v>756</v>
      </c>
      <c r="P9" s="745">
        <v>732</v>
      </c>
      <c r="Q9" s="745">
        <v>2656800</v>
      </c>
      <c r="R9" s="745">
        <v>0</v>
      </c>
      <c r="S9" s="745">
        <v>0</v>
      </c>
      <c r="T9" s="745">
        <v>2656800</v>
      </c>
      <c r="U9" s="739">
        <f>+T9</f>
        <v>2656800</v>
      </c>
      <c r="V9" s="740"/>
      <c r="W9" s="740">
        <f>+R9</f>
        <v>0</v>
      </c>
      <c r="X9" s="740"/>
      <c r="Y9" s="740"/>
      <c r="Z9" s="740"/>
      <c r="AA9" s="740"/>
      <c r="AB9" s="740"/>
      <c r="AC9" s="740"/>
      <c r="AD9" s="740"/>
      <c r="AE9" s="740"/>
      <c r="AF9" s="742">
        <f>SUM(U9:AE9)</f>
        <v>2656800</v>
      </c>
    </row>
    <row r="10" spans="1:32">
      <c r="A10" s="737" t="s">
        <v>1596</v>
      </c>
      <c r="B10" s="745">
        <v>2</v>
      </c>
      <c r="C10" s="745">
        <v>2</v>
      </c>
      <c r="D10" s="745">
        <v>0</v>
      </c>
      <c r="E10" s="745" t="s">
        <v>1606</v>
      </c>
      <c r="F10" s="745" t="s">
        <v>1598</v>
      </c>
      <c r="G10" s="745" t="s">
        <v>1599</v>
      </c>
      <c r="H10" s="745" t="s">
        <v>1607</v>
      </c>
      <c r="I10" s="745" t="s">
        <v>1601</v>
      </c>
      <c r="J10" s="745" t="s">
        <v>1602</v>
      </c>
      <c r="K10" s="745" t="s">
        <v>1603</v>
      </c>
      <c r="L10" s="745" t="s">
        <v>1608</v>
      </c>
      <c r="M10" s="745" t="s">
        <v>1605</v>
      </c>
      <c r="N10" s="745">
        <v>0</v>
      </c>
      <c r="O10" s="745">
        <v>203417</v>
      </c>
      <c r="P10" s="745">
        <v>196964</v>
      </c>
      <c r="Q10" s="745">
        <v>0</v>
      </c>
      <c r="R10" s="745">
        <v>0</v>
      </c>
      <c r="S10" s="745">
        <v>0</v>
      </c>
      <c r="T10" s="745">
        <v>0</v>
      </c>
      <c r="U10" s="739"/>
      <c r="V10" s="740"/>
      <c r="W10" s="740">
        <f t="shared" ref="W10:W73" si="0">+R10</f>
        <v>0</v>
      </c>
      <c r="X10" s="740"/>
      <c r="Y10" s="740"/>
      <c r="Z10" s="740"/>
      <c r="AA10" s="740"/>
      <c r="AB10" s="740"/>
      <c r="AC10" s="740"/>
      <c r="AD10" s="740"/>
      <c r="AE10" s="740"/>
      <c r="AF10" s="742">
        <f t="shared" ref="AF10:AF73" si="1">SUM(U10:AE10)</f>
        <v>0</v>
      </c>
    </row>
    <row r="11" spans="1:32">
      <c r="A11" s="737" t="s">
        <v>1596</v>
      </c>
      <c r="B11" s="745">
        <v>3</v>
      </c>
      <c r="C11" s="745">
        <v>3</v>
      </c>
      <c r="D11" s="745">
        <v>0</v>
      </c>
      <c r="E11" s="745" t="s">
        <v>1609</v>
      </c>
      <c r="F11" s="745" t="s">
        <v>1598</v>
      </c>
      <c r="G11" s="745" t="s">
        <v>1610</v>
      </c>
      <c r="H11" s="745" t="s">
        <v>1611</v>
      </c>
      <c r="I11" s="745" t="s">
        <v>1611</v>
      </c>
      <c r="J11" s="745" t="s">
        <v>1612</v>
      </c>
      <c r="K11" s="745" t="s">
        <v>1603</v>
      </c>
      <c r="L11" s="745" t="s">
        <v>1613</v>
      </c>
      <c r="M11" s="745" t="s">
        <v>1614</v>
      </c>
      <c r="N11" s="745">
        <v>0</v>
      </c>
      <c r="O11" s="745">
        <v>341</v>
      </c>
      <c r="P11" s="745">
        <v>341</v>
      </c>
      <c r="Q11" s="745">
        <v>79049</v>
      </c>
      <c r="R11" s="745">
        <v>343</v>
      </c>
      <c r="S11" s="745">
        <v>0</v>
      </c>
      <c r="T11" s="745">
        <v>79392</v>
      </c>
      <c r="U11" s="739"/>
      <c r="V11" s="740"/>
      <c r="W11" s="740">
        <f t="shared" si="0"/>
        <v>343</v>
      </c>
      <c r="X11" s="740">
        <v>903</v>
      </c>
      <c r="Y11" s="740">
        <v>1266</v>
      </c>
      <c r="Z11" s="740">
        <v>76880</v>
      </c>
      <c r="AA11" s="740"/>
      <c r="AB11" s="740"/>
      <c r="AC11" s="740"/>
      <c r="AD11" s="740"/>
      <c r="AE11" s="740"/>
      <c r="AF11" s="742">
        <f t="shared" si="1"/>
        <v>79392</v>
      </c>
    </row>
    <row r="12" spans="1:32">
      <c r="A12" s="737" t="s">
        <v>1596</v>
      </c>
      <c r="B12" s="745">
        <v>4</v>
      </c>
      <c r="C12" s="745">
        <v>4</v>
      </c>
      <c r="D12" s="745">
        <v>0</v>
      </c>
      <c r="E12" s="745" t="s">
        <v>1615</v>
      </c>
      <c r="F12" s="745" t="s">
        <v>1598</v>
      </c>
      <c r="G12" s="745" t="s">
        <v>1616</v>
      </c>
      <c r="H12" s="745" t="s">
        <v>1617</v>
      </c>
      <c r="I12" s="745" t="s">
        <v>1617</v>
      </c>
      <c r="J12" s="745" t="s">
        <v>1618</v>
      </c>
      <c r="K12" s="745" t="s">
        <v>1603</v>
      </c>
      <c r="L12" s="745" t="s">
        <v>1605</v>
      </c>
      <c r="M12" s="745" t="s">
        <v>1605</v>
      </c>
      <c r="N12" s="745">
        <v>0</v>
      </c>
      <c r="O12" s="745">
        <v>46</v>
      </c>
      <c r="P12" s="745">
        <v>46</v>
      </c>
      <c r="Q12" s="745">
        <v>722</v>
      </c>
      <c r="R12" s="745">
        <v>55</v>
      </c>
      <c r="S12" s="745">
        <v>0</v>
      </c>
      <c r="T12" s="745">
        <v>777</v>
      </c>
      <c r="U12" s="739"/>
      <c r="V12" s="740"/>
      <c r="W12" s="740">
        <f t="shared" si="0"/>
        <v>55</v>
      </c>
      <c r="X12" s="740">
        <v>7</v>
      </c>
      <c r="Y12" s="740">
        <v>7</v>
      </c>
      <c r="Z12" s="740"/>
      <c r="AA12" s="740">
        <v>708</v>
      </c>
      <c r="AB12" s="740"/>
      <c r="AC12" s="740"/>
      <c r="AD12" s="740"/>
      <c r="AE12" s="740"/>
      <c r="AF12" s="742">
        <f t="shared" si="1"/>
        <v>777</v>
      </c>
    </row>
    <row r="13" spans="1:32">
      <c r="A13" s="737" t="s">
        <v>1596</v>
      </c>
      <c r="B13" s="745">
        <v>5</v>
      </c>
      <c r="C13" s="745">
        <v>5</v>
      </c>
      <c r="D13" s="745">
        <v>0</v>
      </c>
      <c r="E13" s="745" t="s">
        <v>1619</v>
      </c>
      <c r="F13" s="745" t="s">
        <v>1598</v>
      </c>
      <c r="G13" s="745" t="s">
        <v>1620</v>
      </c>
      <c r="H13" s="745" t="s">
        <v>1617</v>
      </c>
      <c r="I13" s="745" t="s">
        <v>1600</v>
      </c>
      <c r="J13" s="745" t="s">
        <v>1618</v>
      </c>
      <c r="K13" s="745" t="s">
        <v>1603</v>
      </c>
      <c r="L13" s="745" t="s">
        <v>1605</v>
      </c>
      <c r="M13" s="745" t="s">
        <v>1604</v>
      </c>
      <c r="N13" s="745">
        <v>0</v>
      </c>
      <c r="O13" s="745">
        <v>10</v>
      </c>
      <c r="P13" s="745">
        <v>10</v>
      </c>
      <c r="Q13" s="745">
        <v>61</v>
      </c>
      <c r="R13" s="745">
        <v>10</v>
      </c>
      <c r="S13" s="745">
        <v>0</v>
      </c>
      <c r="T13" s="745">
        <v>71</v>
      </c>
      <c r="U13" s="739"/>
      <c r="V13" s="740"/>
      <c r="W13" s="740">
        <f t="shared" si="0"/>
        <v>10</v>
      </c>
      <c r="X13" s="740">
        <v>0</v>
      </c>
      <c r="Y13" s="740">
        <v>1</v>
      </c>
      <c r="Z13" s="740"/>
      <c r="AA13" s="740">
        <v>60</v>
      </c>
      <c r="AB13" s="740"/>
      <c r="AC13" s="740"/>
      <c r="AD13" s="740"/>
      <c r="AE13" s="740"/>
      <c r="AF13" s="742">
        <f t="shared" si="1"/>
        <v>71</v>
      </c>
    </row>
    <row r="14" spans="1:32">
      <c r="A14" s="737" t="s">
        <v>1596</v>
      </c>
      <c r="B14" s="745">
        <v>6</v>
      </c>
      <c r="C14" s="745">
        <v>6</v>
      </c>
      <c r="D14" s="745">
        <v>0</v>
      </c>
      <c r="E14" s="745" t="s">
        <v>1621</v>
      </c>
      <c r="F14" s="745" t="s">
        <v>1598</v>
      </c>
      <c r="G14" s="745" t="s">
        <v>1620</v>
      </c>
      <c r="H14" s="745" t="s">
        <v>1607</v>
      </c>
      <c r="I14" s="745" t="s">
        <v>1600</v>
      </c>
      <c r="J14" s="745" t="s">
        <v>1618</v>
      </c>
      <c r="K14" s="745" t="s">
        <v>1603</v>
      </c>
      <c r="L14" s="745" t="s">
        <v>1622</v>
      </c>
      <c r="M14" s="745" t="s">
        <v>1604</v>
      </c>
      <c r="N14" s="745">
        <v>0</v>
      </c>
      <c r="O14" s="745">
        <v>0</v>
      </c>
      <c r="P14" s="745">
        <v>0</v>
      </c>
      <c r="Q14" s="745">
        <v>92</v>
      </c>
      <c r="R14" s="745">
        <v>0</v>
      </c>
      <c r="S14" s="745">
        <v>0</v>
      </c>
      <c r="T14" s="745">
        <v>92</v>
      </c>
      <c r="U14" s="739"/>
      <c r="V14" s="740"/>
      <c r="W14" s="740">
        <f t="shared" si="0"/>
        <v>0</v>
      </c>
      <c r="X14" s="740">
        <v>1</v>
      </c>
      <c r="Y14" s="740">
        <v>1</v>
      </c>
      <c r="Z14" s="740">
        <v>0</v>
      </c>
      <c r="AA14" s="740">
        <v>90</v>
      </c>
      <c r="AB14" s="740"/>
      <c r="AC14" s="740"/>
      <c r="AD14" s="740"/>
      <c r="AE14" s="740"/>
      <c r="AF14" s="742">
        <f t="shared" si="1"/>
        <v>92</v>
      </c>
    </row>
    <row r="15" spans="1:32">
      <c r="A15" s="737" t="s">
        <v>1596</v>
      </c>
      <c r="B15" s="745">
        <v>7</v>
      </c>
      <c r="C15" s="745">
        <v>7</v>
      </c>
      <c r="D15" s="745">
        <v>0</v>
      </c>
      <c r="E15" s="745" t="s">
        <v>1623</v>
      </c>
      <c r="F15" s="745" t="s">
        <v>1598</v>
      </c>
      <c r="G15" s="745" t="s">
        <v>1624</v>
      </c>
      <c r="H15" s="745" t="s">
        <v>1600</v>
      </c>
      <c r="I15" s="745" t="s">
        <v>1601</v>
      </c>
      <c r="J15" s="745" t="s">
        <v>1618</v>
      </c>
      <c r="K15" s="745" t="s">
        <v>1603</v>
      </c>
      <c r="L15" s="745" t="s">
        <v>1604</v>
      </c>
      <c r="M15" s="745" t="s">
        <v>1605</v>
      </c>
      <c r="N15" s="745">
        <v>0</v>
      </c>
      <c r="O15" s="745">
        <v>15</v>
      </c>
      <c r="P15" s="745">
        <v>15</v>
      </c>
      <c r="Q15" s="745">
        <v>92</v>
      </c>
      <c r="R15" s="745">
        <v>15</v>
      </c>
      <c r="S15" s="745">
        <v>0</v>
      </c>
      <c r="T15" s="745">
        <v>107</v>
      </c>
      <c r="U15" s="739"/>
      <c r="V15" s="740"/>
      <c r="W15" s="740">
        <f t="shared" si="0"/>
        <v>15</v>
      </c>
      <c r="X15" s="740">
        <v>1</v>
      </c>
      <c r="Y15" s="740">
        <v>1</v>
      </c>
      <c r="Z15" s="740"/>
      <c r="AA15" s="740">
        <v>90</v>
      </c>
      <c r="AB15" s="740"/>
      <c r="AC15" s="740"/>
      <c r="AD15" s="740"/>
      <c r="AE15" s="740"/>
      <c r="AF15" s="742">
        <f t="shared" si="1"/>
        <v>107</v>
      </c>
    </row>
    <row r="16" spans="1:32">
      <c r="A16" s="737" t="s">
        <v>1596</v>
      </c>
      <c r="B16" s="745">
        <v>8</v>
      </c>
      <c r="C16" s="745">
        <v>8</v>
      </c>
      <c r="D16" s="745">
        <v>0</v>
      </c>
      <c r="E16" s="745" t="s">
        <v>1625</v>
      </c>
      <c r="F16" s="745" t="s">
        <v>1598</v>
      </c>
      <c r="G16" s="745" t="s">
        <v>1626</v>
      </c>
      <c r="H16" s="745" t="s">
        <v>1607</v>
      </c>
      <c r="I16" s="745" t="s">
        <v>1601</v>
      </c>
      <c r="J16" s="745" t="s">
        <v>1627</v>
      </c>
      <c r="K16" s="745" t="s">
        <v>1603</v>
      </c>
      <c r="L16" s="745" t="s">
        <v>1628</v>
      </c>
      <c r="M16" s="745" t="s">
        <v>1605</v>
      </c>
      <c r="N16" s="745">
        <v>0</v>
      </c>
      <c r="O16" s="745">
        <v>0</v>
      </c>
      <c r="P16" s="745">
        <v>0</v>
      </c>
      <c r="Q16" s="745">
        <v>0</v>
      </c>
      <c r="R16" s="745">
        <v>0</v>
      </c>
      <c r="S16" s="745">
        <v>35821</v>
      </c>
      <c r="T16" s="745">
        <v>35821</v>
      </c>
      <c r="U16" s="739"/>
      <c r="V16" s="740"/>
      <c r="W16" s="740">
        <f t="shared" si="0"/>
        <v>0</v>
      </c>
      <c r="X16" s="740">
        <v>0</v>
      </c>
      <c r="Y16" s="740">
        <v>0</v>
      </c>
      <c r="Z16" s="740">
        <v>0</v>
      </c>
      <c r="AA16" s="740">
        <v>0</v>
      </c>
      <c r="AB16" s="740">
        <v>35821</v>
      </c>
      <c r="AC16" s="740"/>
      <c r="AD16" s="740"/>
      <c r="AE16" s="740"/>
      <c r="AF16" s="742">
        <f t="shared" si="1"/>
        <v>35821</v>
      </c>
    </row>
    <row r="17" spans="1:32">
      <c r="A17" s="737" t="s">
        <v>1596</v>
      </c>
      <c r="B17" s="745">
        <v>9</v>
      </c>
      <c r="C17" s="745">
        <v>9</v>
      </c>
      <c r="D17" s="745">
        <v>0</v>
      </c>
      <c r="E17" s="745" t="s">
        <v>1629</v>
      </c>
      <c r="F17" s="745" t="s">
        <v>1598</v>
      </c>
      <c r="G17" s="745" t="s">
        <v>1630</v>
      </c>
      <c r="H17" s="745" t="s">
        <v>1607</v>
      </c>
      <c r="I17" s="745" t="s">
        <v>1601</v>
      </c>
      <c r="J17" s="745" t="s">
        <v>1627</v>
      </c>
      <c r="K17" s="745" t="s">
        <v>1603</v>
      </c>
      <c r="L17" s="745" t="s">
        <v>1631</v>
      </c>
      <c r="M17" s="745" t="s">
        <v>1605</v>
      </c>
      <c r="N17" s="745">
        <v>0</v>
      </c>
      <c r="O17" s="745">
        <v>0</v>
      </c>
      <c r="P17" s="745">
        <v>0</v>
      </c>
      <c r="Q17" s="745">
        <v>0</v>
      </c>
      <c r="R17" s="745">
        <v>0</v>
      </c>
      <c r="S17" s="745">
        <v>82109</v>
      </c>
      <c r="T17" s="745">
        <v>82109</v>
      </c>
      <c r="U17" s="739"/>
      <c r="V17" s="740"/>
      <c r="W17" s="740"/>
      <c r="X17" s="740"/>
      <c r="Y17" s="740"/>
      <c r="Z17" s="740"/>
      <c r="AA17" s="740"/>
      <c r="AB17" s="740">
        <v>82109</v>
      </c>
      <c r="AC17" s="740"/>
      <c r="AD17" s="740"/>
      <c r="AE17" s="740"/>
      <c r="AF17" s="742">
        <f t="shared" si="1"/>
        <v>82109</v>
      </c>
    </row>
    <row r="18" spans="1:32">
      <c r="A18" s="737" t="s">
        <v>1596</v>
      </c>
      <c r="B18" s="745">
        <v>10</v>
      </c>
      <c r="C18" s="745">
        <v>10</v>
      </c>
      <c r="D18" s="745">
        <v>0</v>
      </c>
      <c r="E18" s="745" t="s">
        <v>1632</v>
      </c>
      <c r="F18" s="745" t="s">
        <v>1598</v>
      </c>
      <c r="G18" s="745" t="s">
        <v>1630</v>
      </c>
      <c r="H18" s="745" t="s">
        <v>1600</v>
      </c>
      <c r="I18" s="745" t="s">
        <v>1601</v>
      </c>
      <c r="J18" s="745" t="s">
        <v>1627</v>
      </c>
      <c r="K18" s="745" t="s">
        <v>1603</v>
      </c>
      <c r="L18" s="745" t="s">
        <v>1604</v>
      </c>
      <c r="M18" s="745" t="s">
        <v>1605</v>
      </c>
      <c r="N18" s="745">
        <v>0</v>
      </c>
      <c r="O18" s="745">
        <v>0</v>
      </c>
      <c r="P18" s="745">
        <v>0</v>
      </c>
      <c r="Q18" s="745">
        <v>0</v>
      </c>
      <c r="R18" s="745">
        <v>0</v>
      </c>
      <c r="S18" s="745">
        <v>166437</v>
      </c>
      <c r="T18" s="745">
        <v>166437</v>
      </c>
      <c r="U18" s="739"/>
      <c r="V18" s="740"/>
      <c r="W18" s="740">
        <f t="shared" si="0"/>
        <v>0</v>
      </c>
      <c r="X18" s="740"/>
      <c r="Y18" s="740"/>
      <c r="Z18" s="740"/>
      <c r="AA18" s="740"/>
      <c r="AB18" s="740">
        <v>166437</v>
      </c>
      <c r="AC18" s="740"/>
      <c r="AD18" s="740"/>
      <c r="AE18" s="740"/>
      <c r="AF18" s="742">
        <f t="shared" si="1"/>
        <v>166437</v>
      </c>
    </row>
    <row r="19" spans="1:32">
      <c r="A19" s="737" t="s">
        <v>1596</v>
      </c>
      <c r="B19" s="745">
        <v>11</v>
      </c>
      <c r="C19" s="745">
        <v>11</v>
      </c>
      <c r="D19" s="745">
        <v>0</v>
      </c>
      <c r="E19" s="745" t="s">
        <v>1633</v>
      </c>
      <c r="F19" s="745" t="s">
        <v>1598</v>
      </c>
      <c r="G19" s="745" t="s">
        <v>1630</v>
      </c>
      <c r="H19" s="745" t="s">
        <v>1600</v>
      </c>
      <c r="I19" s="745" t="s">
        <v>1601</v>
      </c>
      <c r="J19" s="745" t="s">
        <v>1627</v>
      </c>
      <c r="K19" s="745" t="s">
        <v>1603</v>
      </c>
      <c r="L19" s="745" t="s">
        <v>1604</v>
      </c>
      <c r="M19" s="745" t="s">
        <v>1605</v>
      </c>
      <c r="N19" s="745">
        <v>0</v>
      </c>
      <c r="O19" s="745">
        <v>0</v>
      </c>
      <c r="P19" s="745">
        <v>0</v>
      </c>
      <c r="Q19" s="745">
        <v>0</v>
      </c>
      <c r="R19" s="745">
        <v>0</v>
      </c>
      <c r="S19" s="745">
        <v>277396</v>
      </c>
      <c r="T19" s="745">
        <v>277396</v>
      </c>
      <c r="U19" s="739"/>
      <c r="V19" s="740"/>
      <c r="W19" s="740">
        <f t="shared" si="0"/>
        <v>0</v>
      </c>
      <c r="X19" s="740"/>
      <c r="Y19" s="740"/>
      <c r="Z19" s="740"/>
      <c r="AA19" s="740"/>
      <c r="AB19" s="740">
        <v>277396</v>
      </c>
      <c r="AC19" s="740"/>
      <c r="AD19" s="740"/>
      <c r="AE19" s="740"/>
      <c r="AF19" s="742">
        <f t="shared" si="1"/>
        <v>277396</v>
      </c>
    </row>
    <row r="20" spans="1:32">
      <c r="A20" s="737" t="s">
        <v>1596</v>
      </c>
      <c r="B20" s="745">
        <v>12</v>
      </c>
      <c r="C20" s="745">
        <v>12</v>
      </c>
      <c r="D20" s="745">
        <v>0</v>
      </c>
      <c r="E20" s="745" t="s">
        <v>1634</v>
      </c>
      <c r="F20" s="745" t="s">
        <v>1598</v>
      </c>
      <c r="G20" s="745" t="s">
        <v>1635</v>
      </c>
      <c r="H20" s="745" t="s">
        <v>1601</v>
      </c>
      <c r="I20" s="745" t="s">
        <v>1601</v>
      </c>
      <c r="J20" s="745" t="s">
        <v>1618</v>
      </c>
      <c r="K20" s="745" t="s">
        <v>1603</v>
      </c>
      <c r="L20" s="745" t="s">
        <v>1605</v>
      </c>
      <c r="M20" s="745" t="s">
        <v>1605</v>
      </c>
      <c r="N20" s="745">
        <v>0</v>
      </c>
      <c r="O20" s="745">
        <v>100</v>
      </c>
      <c r="P20" s="745">
        <v>100</v>
      </c>
      <c r="Q20" s="745">
        <v>612</v>
      </c>
      <c r="R20" s="745">
        <v>130</v>
      </c>
      <c r="S20" s="745">
        <v>0</v>
      </c>
      <c r="T20" s="745">
        <v>742</v>
      </c>
      <c r="U20" s="739"/>
      <c r="V20" s="740"/>
      <c r="W20" s="740">
        <f t="shared" si="0"/>
        <v>130</v>
      </c>
      <c r="X20" s="740">
        <v>5</v>
      </c>
      <c r="Y20" s="740">
        <v>7</v>
      </c>
      <c r="Z20" s="740"/>
      <c r="AA20" s="740">
        <v>600</v>
      </c>
      <c r="AB20" s="740"/>
      <c r="AC20" s="740"/>
      <c r="AD20" s="740"/>
      <c r="AE20" s="740"/>
      <c r="AF20" s="742">
        <f t="shared" si="1"/>
        <v>742</v>
      </c>
    </row>
    <row r="21" spans="1:32">
      <c r="A21" s="737" t="s">
        <v>1596</v>
      </c>
      <c r="B21" s="745">
        <v>13</v>
      </c>
      <c r="C21" s="745">
        <v>13</v>
      </c>
      <c r="D21" s="745">
        <v>0</v>
      </c>
      <c r="E21" s="745" t="s">
        <v>1636</v>
      </c>
      <c r="F21" s="745" t="s">
        <v>1598</v>
      </c>
      <c r="G21" s="745" t="s">
        <v>1635</v>
      </c>
      <c r="H21" s="745" t="s">
        <v>1600</v>
      </c>
      <c r="I21" s="745" t="s">
        <v>1601</v>
      </c>
      <c r="J21" s="745" t="s">
        <v>1618</v>
      </c>
      <c r="K21" s="745" t="s">
        <v>1603</v>
      </c>
      <c r="L21" s="745" t="s">
        <v>1604</v>
      </c>
      <c r="M21" s="745" t="s">
        <v>1605</v>
      </c>
      <c r="N21" s="745">
        <v>0</v>
      </c>
      <c r="O21" s="745">
        <v>1101</v>
      </c>
      <c r="P21" s="745">
        <v>1101</v>
      </c>
      <c r="Q21" s="745">
        <v>10871</v>
      </c>
      <c r="R21" s="745">
        <v>1292</v>
      </c>
      <c r="S21" s="745">
        <v>0</v>
      </c>
      <c r="T21" s="745">
        <v>12163</v>
      </c>
      <c r="U21" s="739"/>
      <c r="V21" s="740"/>
      <c r="W21" s="740">
        <f t="shared" si="0"/>
        <v>1292</v>
      </c>
      <c r="X21" s="740">
        <v>84</v>
      </c>
      <c r="Y21" s="740">
        <v>117</v>
      </c>
      <c r="Z21" s="740">
        <v>0</v>
      </c>
      <c r="AA21" s="740">
        <v>10670</v>
      </c>
      <c r="AB21" s="740"/>
      <c r="AC21" s="740"/>
      <c r="AD21" s="740"/>
      <c r="AE21" s="740"/>
      <c r="AF21" s="742">
        <f t="shared" si="1"/>
        <v>12163</v>
      </c>
    </row>
    <row r="22" spans="1:32">
      <c r="A22" s="737" t="s">
        <v>1596</v>
      </c>
      <c r="B22" s="745">
        <v>14</v>
      </c>
      <c r="C22" s="745">
        <v>14</v>
      </c>
      <c r="D22" s="745">
        <v>0</v>
      </c>
      <c r="E22" s="745" t="s">
        <v>1637</v>
      </c>
      <c r="F22" s="745" t="s">
        <v>1598</v>
      </c>
      <c r="G22" s="745" t="s">
        <v>1635</v>
      </c>
      <c r="H22" s="745" t="s">
        <v>1601</v>
      </c>
      <c r="I22" s="745" t="s">
        <v>1600</v>
      </c>
      <c r="J22" s="745" t="s">
        <v>1618</v>
      </c>
      <c r="K22" s="745" t="s">
        <v>1603</v>
      </c>
      <c r="L22" s="745" t="s">
        <v>1605</v>
      </c>
      <c r="M22" s="745" t="s">
        <v>1604</v>
      </c>
      <c r="N22" s="745">
        <v>0</v>
      </c>
      <c r="O22" s="745">
        <v>9691</v>
      </c>
      <c r="P22" s="745">
        <v>9691</v>
      </c>
      <c r="Q22" s="745">
        <v>55413</v>
      </c>
      <c r="R22" s="745">
        <v>7943</v>
      </c>
      <c r="S22" s="745">
        <v>0</v>
      </c>
      <c r="T22" s="745">
        <v>63356</v>
      </c>
      <c r="U22" s="739"/>
      <c r="V22" s="740"/>
      <c r="W22" s="740">
        <f t="shared" si="0"/>
        <v>7943</v>
      </c>
      <c r="X22" s="740">
        <v>472</v>
      </c>
      <c r="Y22" s="740">
        <v>662</v>
      </c>
      <c r="Z22" s="740"/>
      <c r="AA22" s="740">
        <v>54279</v>
      </c>
      <c r="AB22" s="740"/>
      <c r="AC22" s="740"/>
      <c r="AD22" s="740"/>
      <c r="AE22" s="740"/>
      <c r="AF22" s="742">
        <f t="shared" si="1"/>
        <v>63356</v>
      </c>
    </row>
    <row r="23" spans="1:32">
      <c r="A23" s="737" t="s">
        <v>1596</v>
      </c>
      <c r="B23" s="745">
        <v>15</v>
      </c>
      <c r="C23" s="745">
        <v>15</v>
      </c>
      <c r="D23" s="745">
        <v>0</v>
      </c>
      <c r="E23" s="745" t="s">
        <v>1638</v>
      </c>
      <c r="F23" s="745" t="s">
        <v>1598</v>
      </c>
      <c r="G23" s="745" t="s">
        <v>1635</v>
      </c>
      <c r="H23" s="745" t="s">
        <v>1601</v>
      </c>
      <c r="I23" s="745" t="s">
        <v>1601</v>
      </c>
      <c r="J23" s="745" t="s">
        <v>1618</v>
      </c>
      <c r="K23" s="745" t="s">
        <v>1603</v>
      </c>
      <c r="L23" s="745" t="s">
        <v>1605</v>
      </c>
      <c r="M23" s="745" t="s">
        <v>1605</v>
      </c>
      <c r="N23" s="745">
        <v>0</v>
      </c>
      <c r="O23" s="745">
        <v>250</v>
      </c>
      <c r="P23" s="745">
        <v>250</v>
      </c>
      <c r="Q23" s="745">
        <v>1836</v>
      </c>
      <c r="R23" s="745">
        <v>188</v>
      </c>
      <c r="S23" s="745">
        <v>0</v>
      </c>
      <c r="T23" s="745">
        <v>2024</v>
      </c>
      <c r="U23" s="739"/>
      <c r="V23" s="740"/>
      <c r="W23" s="740">
        <f t="shared" si="0"/>
        <v>188</v>
      </c>
      <c r="X23" s="740">
        <v>14</v>
      </c>
      <c r="Y23" s="740">
        <v>20</v>
      </c>
      <c r="Z23" s="740"/>
      <c r="AA23" s="740">
        <v>1802</v>
      </c>
      <c r="AB23" s="740"/>
      <c r="AC23" s="740"/>
      <c r="AD23" s="740"/>
      <c r="AE23" s="740"/>
      <c r="AF23" s="742">
        <f t="shared" si="1"/>
        <v>2024</v>
      </c>
    </row>
    <row r="24" spans="1:32">
      <c r="A24" s="737" t="s">
        <v>1596</v>
      </c>
      <c r="B24" s="745">
        <v>16</v>
      </c>
      <c r="C24" s="745">
        <v>16</v>
      </c>
      <c r="D24" s="745">
        <v>0</v>
      </c>
      <c r="E24" s="745" t="s">
        <v>1639</v>
      </c>
      <c r="F24" s="745" t="s">
        <v>1598</v>
      </c>
      <c r="G24" s="745" t="s">
        <v>1635</v>
      </c>
      <c r="H24" s="745" t="s">
        <v>1607</v>
      </c>
      <c r="I24" s="745" t="s">
        <v>1600</v>
      </c>
      <c r="J24" s="745" t="s">
        <v>1618</v>
      </c>
      <c r="K24" s="745" t="s">
        <v>1603</v>
      </c>
      <c r="L24" s="745" t="s">
        <v>1622</v>
      </c>
      <c r="M24" s="745" t="s">
        <v>1604</v>
      </c>
      <c r="N24" s="745">
        <v>0</v>
      </c>
      <c r="O24" s="745">
        <v>7785</v>
      </c>
      <c r="P24" s="745">
        <v>7785</v>
      </c>
      <c r="Q24" s="745">
        <v>47350</v>
      </c>
      <c r="R24" s="745">
        <v>6663</v>
      </c>
      <c r="S24" s="745">
        <v>0</v>
      </c>
      <c r="T24" s="745">
        <v>54013</v>
      </c>
      <c r="U24" s="739"/>
      <c r="V24" s="740"/>
      <c r="W24" s="740">
        <f t="shared" si="0"/>
        <v>6663</v>
      </c>
      <c r="X24" s="740">
        <v>393</v>
      </c>
      <c r="Y24" s="740">
        <v>552</v>
      </c>
      <c r="Z24" s="740"/>
      <c r="AA24" s="740">
        <v>46405</v>
      </c>
      <c r="AB24" s="740"/>
      <c r="AC24" s="740"/>
      <c r="AD24" s="740"/>
      <c r="AE24" s="740"/>
      <c r="AF24" s="742">
        <f t="shared" si="1"/>
        <v>54013</v>
      </c>
    </row>
    <row r="25" spans="1:32">
      <c r="A25" s="737" t="s">
        <v>1596</v>
      </c>
      <c r="B25" s="745">
        <v>17</v>
      </c>
      <c r="C25" s="745">
        <v>17</v>
      </c>
      <c r="D25" s="745">
        <v>0</v>
      </c>
      <c r="E25" s="745" t="s">
        <v>1640</v>
      </c>
      <c r="F25" s="745" t="s">
        <v>1598</v>
      </c>
      <c r="G25" s="745" t="s">
        <v>1635</v>
      </c>
      <c r="H25" s="745" t="s">
        <v>1600</v>
      </c>
      <c r="I25" s="745" t="s">
        <v>1607</v>
      </c>
      <c r="J25" s="745" t="s">
        <v>1618</v>
      </c>
      <c r="K25" s="745" t="s">
        <v>1603</v>
      </c>
      <c r="L25" s="745" t="s">
        <v>1604</v>
      </c>
      <c r="M25" s="745" t="s">
        <v>1622</v>
      </c>
      <c r="N25" s="745">
        <v>0</v>
      </c>
      <c r="O25" s="745">
        <v>215</v>
      </c>
      <c r="P25" s="745">
        <v>215</v>
      </c>
      <c r="Q25" s="745">
        <v>1320</v>
      </c>
      <c r="R25" s="745">
        <v>164</v>
      </c>
      <c r="S25" s="745">
        <v>0</v>
      </c>
      <c r="T25" s="745">
        <v>1484</v>
      </c>
      <c r="U25" s="739"/>
      <c r="V25" s="740"/>
      <c r="W25" s="740">
        <f t="shared" si="0"/>
        <v>164</v>
      </c>
      <c r="X25" s="740">
        <v>11</v>
      </c>
      <c r="Y25" s="740">
        <v>16</v>
      </c>
      <c r="Z25" s="740"/>
      <c r="AA25" s="740">
        <v>1293</v>
      </c>
      <c r="AB25" s="740"/>
      <c r="AC25" s="740"/>
      <c r="AD25" s="740"/>
      <c r="AE25" s="740"/>
      <c r="AF25" s="742">
        <f t="shared" si="1"/>
        <v>1484</v>
      </c>
    </row>
    <row r="26" spans="1:32">
      <c r="A26" s="737" t="s">
        <v>1596</v>
      </c>
      <c r="B26" s="745">
        <v>18</v>
      </c>
      <c r="C26" s="745">
        <v>18</v>
      </c>
      <c r="D26" s="745">
        <v>0</v>
      </c>
      <c r="E26" s="745" t="s">
        <v>1641</v>
      </c>
      <c r="F26" s="745" t="s">
        <v>1598</v>
      </c>
      <c r="G26" s="745" t="s">
        <v>1642</v>
      </c>
      <c r="H26" s="745" t="s">
        <v>1607</v>
      </c>
      <c r="I26" s="745" t="s">
        <v>1601</v>
      </c>
      <c r="J26" s="745" t="s">
        <v>1643</v>
      </c>
      <c r="K26" s="745" t="s">
        <v>1644</v>
      </c>
      <c r="L26" s="745" t="s">
        <v>1622</v>
      </c>
      <c r="M26" s="745" t="s">
        <v>1605</v>
      </c>
      <c r="N26" s="745">
        <v>50</v>
      </c>
      <c r="O26" s="745">
        <v>258411</v>
      </c>
      <c r="P26" s="745">
        <v>258411</v>
      </c>
      <c r="Q26" s="745">
        <v>93744</v>
      </c>
      <c r="R26" s="745">
        <v>0</v>
      </c>
      <c r="S26" s="745">
        <v>0</v>
      </c>
      <c r="T26" s="745">
        <v>93744</v>
      </c>
      <c r="U26" s="739"/>
      <c r="V26" s="740">
        <f>+T26</f>
        <v>93744</v>
      </c>
      <c r="W26" s="740">
        <f t="shared" si="0"/>
        <v>0</v>
      </c>
      <c r="X26" s="740"/>
      <c r="Y26" s="740"/>
      <c r="Z26" s="740"/>
      <c r="AA26" s="740"/>
      <c r="AB26" s="740"/>
      <c r="AC26" s="740"/>
      <c r="AD26" s="740"/>
      <c r="AE26" s="740"/>
      <c r="AF26" s="742">
        <f t="shared" si="1"/>
        <v>93744</v>
      </c>
    </row>
    <row r="27" spans="1:32">
      <c r="A27" s="737" t="s">
        <v>1596</v>
      </c>
      <c r="B27" s="745">
        <v>19</v>
      </c>
      <c r="C27" s="745">
        <v>19</v>
      </c>
      <c r="D27" s="745">
        <v>0</v>
      </c>
      <c r="E27" s="745" t="s">
        <v>1645</v>
      </c>
      <c r="F27" s="745" t="s">
        <v>1598</v>
      </c>
      <c r="G27" s="745" t="s">
        <v>1646</v>
      </c>
      <c r="H27" s="745" t="s">
        <v>1607</v>
      </c>
      <c r="I27" s="745" t="s">
        <v>1647</v>
      </c>
      <c r="J27" s="745" t="s">
        <v>1648</v>
      </c>
      <c r="K27" s="745" t="s">
        <v>1603</v>
      </c>
      <c r="L27" s="745" t="s">
        <v>1598</v>
      </c>
      <c r="M27" s="745" t="s">
        <v>1598</v>
      </c>
      <c r="N27" s="745">
        <v>0</v>
      </c>
      <c r="O27" s="745">
        <v>39124</v>
      </c>
      <c r="P27" s="745">
        <v>39124</v>
      </c>
      <c r="Q27" s="745">
        <v>223002</v>
      </c>
      <c r="R27" s="745">
        <v>424928</v>
      </c>
      <c r="S27" s="745">
        <v>11619</v>
      </c>
      <c r="T27" s="745">
        <v>659549</v>
      </c>
      <c r="U27" s="739">
        <f>+T27</f>
        <v>659549</v>
      </c>
      <c r="V27" s="740"/>
      <c r="W27" s="740"/>
      <c r="X27" s="740"/>
      <c r="Y27" s="740"/>
      <c r="Z27" s="740"/>
      <c r="AA27" s="740"/>
      <c r="AB27" s="740"/>
      <c r="AC27" s="740"/>
      <c r="AD27" s="740"/>
      <c r="AE27" s="740"/>
      <c r="AF27" s="742">
        <f t="shared" si="1"/>
        <v>659549</v>
      </c>
    </row>
    <row r="28" spans="1:32">
      <c r="A28" s="737" t="s">
        <v>1596</v>
      </c>
      <c r="B28" s="745">
        <v>20</v>
      </c>
      <c r="C28" s="745">
        <v>20</v>
      </c>
      <c r="D28" s="745">
        <v>0</v>
      </c>
      <c r="E28" s="745" t="s">
        <v>1649</v>
      </c>
      <c r="F28" s="745" t="s">
        <v>1598</v>
      </c>
      <c r="G28" s="745" t="s">
        <v>1650</v>
      </c>
      <c r="H28" s="745" t="s">
        <v>1607</v>
      </c>
      <c r="I28" s="745" t="s">
        <v>1651</v>
      </c>
      <c r="J28" s="745" t="s">
        <v>1643</v>
      </c>
      <c r="K28" s="745" t="s">
        <v>1652</v>
      </c>
      <c r="L28" s="745" t="s">
        <v>1622</v>
      </c>
      <c r="M28" s="745" t="s">
        <v>1653</v>
      </c>
      <c r="N28" s="745">
        <v>43</v>
      </c>
      <c r="O28" s="745">
        <v>193551</v>
      </c>
      <c r="P28" s="745">
        <v>193551</v>
      </c>
      <c r="Q28" s="745">
        <v>57888</v>
      </c>
      <c r="R28" s="745">
        <v>0</v>
      </c>
      <c r="S28" s="745">
        <v>0</v>
      </c>
      <c r="T28" s="745">
        <v>57888</v>
      </c>
      <c r="U28" s="739"/>
      <c r="V28" s="740">
        <v>57888</v>
      </c>
      <c r="W28" s="740"/>
      <c r="X28" s="740"/>
      <c r="Y28" s="740"/>
      <c r="Z28" s="740"/>
      <c r="AA28" s="740"/>
      <c r="AB28" s="740"/>
      <c r="AC28" s="740"/>
      <c r="AD28" s="740"/>
      <c r="AE28" s="740"/>
      <c r="AF28" s="742">
        <f t="shared" si="1"/>
        <v>57888</v>
      </c>
    </row>
    <row r="29" spans="1:32">
      <c r="A29" s="737" t="s">
        <v>1596</v>
      </c>
      <c r="B29" s="745">
        <v>21</v>
      </c>
      <c r="C29" s="745">
        <v>21</v>
      </c>
      <c r="D29" s="745">
        <v>0</v>
      </c>
      <c r="E29" s="745" t="s">
        <v>1654</v>
      </c>
      <c r="F29" s="745" t="s">
        <v>1598</v>
      </c>
      <c r="G29" s="745" t="s">
        <v>1655</v>
      </c>
      <c r="H29" s="745" t="s">
        <v>1607</v>
      </c>
      <c r="I29" s="745" t="s">
        <v>1656</v>
      </c>
      <c r="J29" s="745" t="s">
        <v>1648</v>
      </c>
      <c r="K29" s="745" t="s">
        <v>1603</v>
      </c>
      <c r="L29" s="745" t="s">
        <v>1598</v>
      </c>
      <c r="M29" s="745" t="s">
        <v>1598</v>
      </c>
      <c r="N29" s="745">
        <v>0</v>
      </c>
      <c r="O29" s="745">
        <v>185004</v>
      </c>
      <c r="P29" s="745">
        <v>185004</v>
      </c>
      <c r="Q29" s="745">
        <v>951574</v>
      </c>
      <c r="R29" s="745">
        <v>243677</v>
      </c>
      <c r="S29" s="745">
        <v>63606</v>
      </c>
      <c r="T29" s="745">
        <v>1258857</v>
      </c>
      <c r="U29" s="739">
        <f t="shared" ref="U29" si="2">+T29</f>
        <v>1258857</v>
      </c>
      <c r="V29" s="740"/>
      <c r="W29" s="740"/>
      <c r="X29" s="740"/>
      <c r="Y29" s="740"/>
      <c r="Z29" s="740"/>
      <c r="AA29" s="740"/>
      <c r="AB29" s="740"/>
      <c r="AC29" s="740"/>
      <c r="AD29" s="740"/>
      <c r="AE29" s="740"/>
      <c r="AF29" s="742">
        <f t="shared" si="1"/>
        <v>1258857</v>
      </c>
    </row>
    <row r="30" spans="1:32">
      <c r="A30" s="737" t="s">
        <v>1596</v>
      </c>
      <c r="B30" s="745">
        <v>22</v>
      </c>
      <c r="C30" s="745">
        <v>22</v>
      </c>
      <c r="D30" s="745">
        <v>0</v>
      </c>
      <c r="E30" s="745" t="s">
        <v>1657</v>
      </c>
      <c r="F30" s="745" t="s">
        <v>1598</v>
      </c>
      <c r="G30" s="745" t="s">
        <v>1658</v>
      </c>
      <c r="H30" s="745" t="s">
        <v>1601</v>
      </c>
      <c r="I30" s="745" t="s">
        <v>1659</v>
      </c>
      <c r="J30" s="745" t="s">
        <v>1612</v>
      </c>
      <c r="K30" s="745" t="s">
        <v>1603</v>
      </c>
      <c r="L30" s="745" t="s">
        <v>1605</v>
      </c>
      <c r="M30" s="745" t="s">
        <v>1660</v>
      </c>
      <c r="N30" s="745">
        <v>0</v>
      </c>
      <c r="O30" s="745">
        <v>29428</v>
      </c>
      <c r="P30" s="745">
        <v>29428</v>
      </c>
      <c r="Q30" s="745">
        <v>139076</v>
      </c>
      <c r="R30" s="745">
        <v>25652</v>
      </c>
      <c r="S30" s="745">
        <v>0</v>
      </c>
      <c r="T30" s="745">
        <v>164728</v>
      </c>
      <c r="U30" s="739"/>
      <c r="V30" s="740"/>
      <c r="W30" s="740">
        <f t="shared" si="0"/>
        <v>25652</v>
      </c>
      <c r="X30" s="740">
        <v>1665</v>
      </c>
      <c r="Y30" s="740">
        <v>2333</v>
      </c>
      <c r="Z30" s="740">
        <v>130255</v>
      </c>
      <c r="AA30" s="740">
        <v>4823</v>
      </c>
      <c r="AB30" s="740"/>
      <c r="AC30" s="740"/>
      <c r="AD30" s="740"/>
      <c r="AE30" s="740"/>
      <c r="AF30" s="742">
        <f t="shared" si="1"/>
        <v>164728</v>
      </c>
    </row>
    <row r="31" spans="1:32">
      <c r="A31" s="737" t="s">
        <v>1596</v>
      </c>
      <c r="B31" s="745">
        <v>23</v>
      </c>
      <c r="C31" s="745">
        <v>23</v>
      </c>
      <c r="D31" s="745">
        <v>0</v>
      </c>
      <c r="E31" s="745" t="s">
        <v>1661</v>
      </c>
      <c r="F31" s="745" t="s">
        <v>1598</v>
      </c>
      <c r="G31" s="745" t="s">
        <v>1662</v>
      </c>
      <c r="H31" s="745" t="s">
        <v>1601</v>
      </c>
      <c r="I31" s="745" t="s">
        <v>1659</v>
      </c>
      <c r="J31" s="745" t="s">
        <v>1618</v>
      </c>
      <c r="K31" s="745" t="s">
        <v>1603</v>
      </c>
      <c r="L31" s="745" t="s">
        <v>1605</v>
      </c>
      <c r="M31" s="745" t="s">
        <v>1660</v>
      </c>
      <c r="N31" s="745">
        <v>0</v>
      </c>
      <c r="O31" s="745">
        <v>7076</v>
      </c>
      <c r="P31" s="745">
        <v>7076</v>
      </c>
      <c r="Q31" s="745">
        <v>31342</v>
      </c>
      <c r="R31" s="745">
        <v>5671</v>
      </c>
      <c r="S31" s="745">
        <v>0</v>
      </c>
      <c r="T31" s="745">
        <v>37013</v>
      </c>
      <c r="U31" s="739"/>
      <c r="V31" s="740"/>
      <c r="W31" s="740">
        <f t="shared" si="0"/>
        <v>5671</v>
      </c>
      <c r="X31" s="740">
        <v>384</v>
      </c>
      <c r="Y31" s="740">
        <v>539</v>
      </c>
      <c r="Z31" s="740"/>
      <c r="AA31" s="740">
        <v>30419</v>
      </c>
      <c r="AB31" s="740"/>
      <c r="AC31" s="740"/>
      <c r="AD31" s="740"/>
      <c r="AE31" s="740"/>
      <c r="AF31" s="742">
        <f t="shared" si="1"/>
        <v>37013</v>
      </c>
    </row>
    <row r="32" spans="1:32">
      <c r="A32" s="737" t="s">
        <v>1596</v>
      </c>
      <c r="B32" s="745">
        <v>24</v>
      </c>
      <c r="C32" s="745">
        <v>24</v>
      </c>
      <c r="D32" s="745">
        <v>0</v>
      </c>
      <c r="E32" s="745" t="s">
        <v>1663</v>
      </c>
      <c r="F32" s="745" t="s">
        <v>1598</v>
      </c>
      <c r="G32" s="745" t="s">
        <v>1664</v>
      </c>
      <c r="H32" s="745" t="s">
        <v>1601</v>
      </c>
      <c r="I32" s="745" t="s">
        <v>1659</v>
      </c>
      <c r="J32" s="745" t="s">
        <v>1602</v>
      </c>
      <c r="K32" s="745" t="s">
        <v>1603</v>
      </c>
      <c r="L32" s="745" t="s">
        <v>1605</v>
      </c>
      <c r="M32" s="745" t="s">
        <v>1660</v>
      </c>
      <c r="N32" s="745">
        <v>104</v>
      </c>
      <c r="O32" s="745">
        <v>549855</v>
      </c>
      <c r="P32" s="745">
        <v>549855</v>
      </c>
      <c r="Q32" s="745">
        <v>3070080</v>
      </c>
      <c r="R32" s="745">
        <v>0</v>
      </c>
      <c r="S32" s="745">
        <v>0</v>
      </c>
      <c r="T32" s="745">
        <v>3070080</v>
      </c>
      <c r="U32" s="739">
        <v>3070080</v>
      </c>
      <c r="V32" s="740"/>
      <c r="W32" s="740">
        <f t="shared" si="0"/>
        <v>0</v>
      </c>
      <c r="X32" s="740"/>
      <c r="Y32" s="740"/>
      <c r="Z32" s="740"/>
      <c r="AA32" s="740"/>
      <c r="AB32" s="740"/>
      <c r="AC32" s="740"/>
      <c r="AD32" s="740"/>
      <c r="AE32" s="740"/>
      <c r="AF32" s="742">
        <f t="shared" si="1"/>
        <v>3070080</v>
      </c>
    </row>
    <row r="33" spans="1:32">
      <c r="A33" s="737" t="s">
        <v>1596</v>
      </c>
      <c r="B33" s="745">
        <v>25</v>
      </c>
      <c r="C33" s="745">
        <v>25</v>
      </c>
      <c r="D33" s="745">
        <v>0</v>
      </c>
      <c r="E33" s="745" t="s">
        <v>1665</v>
      </c>
      <c r="F33" s="745" t="s">
        <v>1598</v>
      </c>
      <c r="G33" s="745" t="s">
        <v>1662</v>
      </c>
      <c r="H33" s="745" t="s">
        <v>1600</v>
      </c>
      <c r="I33" s="745" t="s">
        <v>1659</v>
      </c>
      <c r="J33" s="745" t="s">
        <v>1618</v>
      </c>
      <c r="K33" s="745" t="s">
        <v>1603</v>
      </c>
      <c r="L33" s="745" t="s">
        <v>1666</v>
      </c>
      <c r="M33" s="745" t="s">
        <v>1667</v>
      </c>
      <c r="N33" s="745">
        <v>0</v>
      </c>
      <c r="O33" s="745">
        <v>206</v>
      </c>
      <c r="P33" s="745">
        <v>206</v>
      </c>
      <c r="Q33" s="745">
        <v>1640</v>
      </c>
      <c r="R33" s="745">
        <v>268</v>
      </c>
      <c r="S33" s="745">
        <v>0</v>
      </c>
      <c r="T33" s="745">
        <v>1908</v>
      </c>
      <c r="U33" s="739"/>
      <c r="V33" s="740"/>
      <c r="W33" s="740">
        <f t="shared" si="0"/>
        <v>268</v>
      </c>
      <c r="X33" s="740">
        <v>13</v>
      </c>
      <c r="Y33" s="740">
        <v>18</v>
      </c>
      <c r="Z33" s="740"/>
      <c r="AA33" s="740">
        <v>1609</v>
      </c>
      <c r="AB33" s="740"/>
      <c r="AC33" s="740"/>
      <c r="AD33" s="740"/>
      <c r="AE33" s="740"/>
      <c r="AF33" s="742">
        <f t="shared" si="1"/>
        <v>1908</v>
      </c>
    </row>
    <row r="34" spans="1:32">
      <c r="A34" s="737" t="s">
        <v>1596</v>
      </c>
      <c r="B34" s="745">
        <v>26</v>
      </c>
      <c r="C34" s="745">
        <v>26</v>
      </c>
      <c r="D34" s="745">
        <v>0</v>
      </c>
      <c r="E34" s="745" t="s">
        <v>1668</v>
      </c>
      <c r="F34" s="745" t="s">
        <v>1598</v>
      </c>
      <c r="G34" s="745" t="s">
        <v>1662</v>
      </c>
      <c r="H34" s="745" t="s">
        <v>1601</v>
      </c>
      <c r="I34" s="745" t="s">
        <v>1669</v>
      </c>
      <c r="J34" s="745" t="s">
        <v>1618</v>
      </c>
      <c r="K34" s="745" t="s">
        <v>1603</v>
      </c>
      <c r="L34" s="745" t="s">
        <v>1605</v>
      </c>
      <c r="M34" s="745" t="s">
        <v>1670</v>
      </c>
      <c r="N34" s="745">
        <v>0</v>
      </c>
      <c r="O34" s="745">
        <v>11568</v>
      </c>
      <c r="P34" s="745">
        <v>11568</v>
      </c>
      <c r="Q34" s="745">
        <v>0</v>
      </c>
      <c r="R34" s="745">
        <v>0</v>
      </c>
      <c r="S34" s="745">
        <v>0</v>
      </c>
      <c r="T34" s="745">
        <v>0</v>
      </c>
      <c r="U34" s="739">
        <f>+T34</f>
        <v>0</v>
      </c>
      <c r="V34" s="740"/>
      <c r="W34" s="740">
        <f t="shared" si="0"/>
        <v>0</v>
      </c>
      <c r="X34" s="740"/>
      <c r="Y34" s="740"/>
      <c r="Z34" s="740"/>
      <c r="AA34" s="740"/>
      <c r="AB34" s="740"/>
      <c r="AC34" s="740"/>
      <c r="AD34" s="740"/>
      <c r="AE34" s="740"/>
      <c r="AF34" s="742">
        <f t="shared" si="1"/>
        <v>0</v>
      </c>
    </row>
    <row r="35" spans="1:32">
      <c r="A35" s="737" t="s">
        <v>1596</v>
      </c>
      <c r="B35" s="745">
        <v>27</v>
      </c>
      <c r="C35" s="745">
        <v>27</v>
      </c>
      <c r="D35" s="745">
        <v>0</v>
      </c>
      <c r="E35" s="745" t="s">
        <v>1671</v>
      </c>
      <c r="F35" s="745" t="s">
        <v>1598</v>
      </c>
      <c r="G35" s="745" t="s">
        <v>1662</v>
      </c>
      <c r="H35" s="745" t="s">
        <v>1601</v>
      </c>
      <c r="I35" s="745" t="s">
        <v>1669</v>
      </c>
      <c r="J35" s="745" t="s">
        <v>1618</v>
      </c>
      <c r="K35" s="745" t="s">
        <v>1603</v>
      </c>
      <c r="L35" s="745" t="s">
        <v>1605</v>
      </c>
      <c r="M35" s="745" t="s">
        <v>1670</v>
      </c>
      <c r="N35" s="745">
        <v>0</v>
      </c>
      <c r="O35" s="745">
        <v>1048</v>
      </c>
      <c r="P35" s="745">
        <v>1048</v>
      </c>
      <c r="Q35" s="745">
        <v>0</v>
      </c>
      <c r="R35" s="745">
        <v>0</v>
      </c>
      <c r="S35" s="745">
        <v>0</v>
      </c>
      <c r="T35" s="745">
        <v>0</v>
      </c>
      <c r="U35" s="739">
        <f t="shared" ref="U35:U36" si="3">+T35</f>
        <v>0</v>
      </c>
      <c r="V35" s="740"/>
      <c r="W35" s="740"/>
      <c r="X35" s="740"/>
      <c r="Y35" s="740"/>
      <c r="Z35" s="740"/>
      <c r="AA35" s="740"/>
      <c r="AB35" s="740"/>
      <c r="AC35" s="740"/>
      <c r="AD35" s="740"/>
      <c r="AE35" s="740"/>
      <c r="AF35" s="742">
        <f t="shared" si="1"/>
        <v>0</v>
      </c>
    </row>
    <row r="36" spans="1:32">
      <c r="A36" s="737" t="s">
        <v>1596</v>
      </c>
      <c r="B36" s="745">
        <v>28</v>
      </c>
      <c r="C36" s="745">
        <v>28</v>
      </c>
      <c r="D36" s="745">
        <v>0</v>
      </c>
      <c r="E36" s="745" t="s">
        <v>1672</v>
      </c>
      <c r="F36" s="745" t="s">
        <v>1598</v>
      </c>
      <c r="G36" s="745" t="s">
        <v>1664</v>
      </c>
      <c r="H36" s="745" t="s">
        <v>1607</v>
      </c>
      <c r="I36" s="745" t="s">
        <v>1659</v>
      </c>
      <c r="J36" s="745" t="s">
        <v>1602</v>
      </c>
      <c r="K36" s="745" t="s">
        <v>1603</v>
      </c>
      <c r="L36" s="745" t="s">
        <v>1673</v>
      </c>
      <c r="M36" s="745" t="s">
        <v>1674</v>
      </c>
      <c r="N36" s="745">
        <v>0</v>
      </c>
      <c r="O36" s="745">
        <v>2196</v>
      </c>
      <c r="P36" s="745">
        <v>2196</v>
      </c>
      <c r="Q36" s="745">
        <v>0</v>
      </c>
      <c r="R36" s="745">
        <v>0</v>
      </c>
      <c r="S36" s="745">
        <v>0</v>
      </c>
      <c r="T36" s="745">
        <v>0</v>
      </c>
      <c r="U36" s="739">
        <f t="shared" si="3"/>
        <v>0</v>
      </c>
      <c r="V36" s="740"/>
      <c r="W36" s="740"/>
      <c r="X36" s="740"/>
      <c r="Y36" s="740"/>
      <c r="Z36" s="740"/>
      <c r="AA36" s="740"/>
      <c r="AB36" s="740"/>
      <c r="AC36" s="740"/>
      <c r="AD36" s="740"/>
      <c r="AE36" s="740"/>
      <c r="AF36" s="742">
        <f t="shared" si="1"/>
        <v>0</v>
      </c>
    </row>
    <row r="37" spans="1:32">
      <c r="A37" s="737" t="s">
        <v>1596</v>
      </c>
      <c r="B37" s="745">
        <v>29</v>
      </c>
      <c r="C37" s="745">
        <v>29</v>
      </c>
      <c r="D37" s="745">
        <v>0</v>
      </c>
      <c r="E37" s="745" t="s">
        <v>1675</v>
      </c>
      <c r="F37" s="745" t="s">
        <v>1598</v>
      </c>
      <c r="G37" s="745" t="s">
        <v>1664</v>
      </c>
      <c r="H37" s="745" t="s">
        <v>1607</v>
      </c>
      <c r="I37" s="745" t="s">
        <v>1659</v>
      </c>
      <c r="J37" s="745" t="s">
        <v>1602</v>
      </c>
      <c r="K37" s="745" t="s">
        <v>1603</v>
      </c>
      <c r="L37" s="745" t="s">
        <v>1673</v>
      </c>
      <c r="M37" s="745" t="s">
        <v>1674</v>
      </c>
      <c r="N37" s="745">
        <v>0</v>
      </c>
      <c r="O37" s="745">
        <v>548</v>
      </c>
      <c r="P37" s="745">
        <v>548</v>
      </c>
      <c r="Q37" s="745">
        <v>0</v>
      </c>
      <c r="R37" s="745">
        <v>0</v>
      </c>
      <c r="S37" s="745">
        <v>0</v>
      </c>
      <c r="T37" s="745">
        <v>0</v>
      </c>
      <c r="U37" s="739"/>
      <c r="V37" s="740"/>
      <c r="W37" s="740">
        <f t="shared" si="0"/>
        <v>0</v>
      </c>
      <c r="X37" s="740"/>
      <c r="Y37" s="740"/>
      <c r="Z37" s="740"/>
      <c r="AA37" s="740"/>
      <c r="AB37" s="740"/>
      <c r="AC37" s="740"/>
      <c r="AD37" s="740"/>
      <c r="AE37" s="740"/>
      <c r="AF37" s="742">
        <f t="shared" si="1"/>
        <v>0</v>
      </c>
    </row>
    <row r="38" spans="1:32">
      <c r="A38" s="737" t="s">
        <v>1596</v>
      </c>
      <c r="B38" s="745">
        <v>30</v>
      </c>
      <c r="C38" s="745">
        <v>30</v>
      </c>
      <c r="D38" s="745">
        <v>0</v>
      </c>
      <c r="E38" s="745" t="s">
        <v>1676</v>
      </c>
      <c r="F38" s="745" t="s">
        <v>1598</v>
      </c>
      <c r="G38" s="745" t="s">
        <v>1662</v>
      </c>
      <c r="H38" s="745" t="s">
        <v>1659</v>
      </c>
      <c r="I38" s="745" t="s">
        <v>1607</v>
      </c>
      <c r="J38" s="745" t="s">
        <v>1618</v>
      </c>
      <c r="K38" s="745" t="s">
        <v>1603</v>
      </c>
      <c r="L38" s="745" t="s">
        <v>1674</v>
      </c>
      <c r="M38" s="745" t="s">
        <v>1673</v>
      </c>
      <c r="N38" s="745">
        <v>0</v>
      </c>
      <c r="O38" s="745">
        <v>178</v>
      </c>
      <c r="P38" s="745">
        <v>178</v>
      </c>
      <c r="Q38" s="745">
        <v>0</v>
      </c>
      <c r="R38" s="745">
        <v>0</v>
      </c>
      <c r="S38" s="745">
        <v>0</v>
      </c>
      <c r="T38" s="745">
        <v>0</v>
      </c>
      <c r="U38" s="739"/>
      <c r="V38" s="740"/>
      <c r="W38" s="740">
        <f t="shared" si="0"/>
        <v>0</v>
      </c>
      <c r="X38" s="740"/>
      <c r="Y38" s="740"/>
      <c r="Z38" s="740"/>
      <c r="AA38" s="740"/>
      <c r="AB38" s="740"/>
      <c r="AC38" s="740"/>
      <c r="AD38" s="740"/>
      <c r="AE38" s="740"/>
      <c r="AF38" s="742">
        <f t="shared" si="1"/>
        <v>0</v>
      </c>
    </row>
    <row r="39" spans="1:32">
      <c r="A39" s="737" t="s">
        <v>1596</v>
      </c>
      <c r="B39" s="745">
        <v>31</v>
      </c>
      <c r="C39" s="745">
        <v>31</v>
      </c>
      <c r="D39" s="745">
        <v>0</v>
      </c>
      <c r="E39" s="745" t="s">
        <v>1677</v>
      </c>
      <c r="F39" s="745" t="s">
        <v>1598</v>
      </c>
      <c r="G39" s="745" t="s">
        <v>1662</v>
      </c>
      <c r="H39" s="745" t="s">
        <v>1659</v>
      </c>
      <c r="I39" s="745" t="s">
        <v>1607</v>
      </c>
      <c r="J39" s="745" t="s">
        <v>1618</v>
      </c>
      <c r="K39" s="745" t="s">
        <v>1603</v>
      </c>
      <c r="L39" s="745" t="s">
        <v>1674</v>
      </c>
      <c r="M39" s="745" t="s">
        <v>1673</v>
      </c>
      <c r="N39" s="745">
        <v>0</v>
      </c>
      <c r="O39" s="745">
        <v>6683</v>
      </c>
      <c r="P39" s="745">
        <v>6683</v>
      </c>
      <c r="Q39" s="745">
        <v>0</v>
      </c>
      <c r="R39" s="745">
        <v>0</v>
      </c>
      <c r="S39" s="745">
        <v>0</v>
      </c>
      <c r="T39" s="745">
        <v>0</v>
      </c>
      <c r="U39" s="739"/>
      <c r="V39" s="740"/>
      <c r="W39" s="740">
        <f t="shared" si="0"/>
        <v>0</v>
      </c>
      <c r="X39" s="740"/>
      <c r="Y39" s="740"/>
      <c r="Z39" s="740"/>
      <c r="AA39" s="740"/>
      <c r="AB39" s="740"/>
      <c r="AC39" s="740"/>
      <c r="AD39" s="740"/>
      <c r="AE39" s="740"/>
      <c r="AF39" s="742">
        <f t="shared" si="1"/>
        <v>0</v>
      </c>
    </row>
    <row r="40" spans="1:32">
      <c r="A40" s="737" t="s">
        <v>1596</v>
      </c>
      <c r="B40" s="745">
        <v>32</v>
      </c>
      <c r="C40" s="745">
        <v>32</v>
      </c>
      <c r="D40" s="745">
        <v>0</v>
      </c>
      <c r="E40" s="745" t="s">
        <v>1678</v>
      </c>
      <c r="F40" s="745" t="s">
        <v>1598</v>
      </c>
      <c r="G40" s="745" t="s">
        <v>1662</v>
      </c>
      <c r="H40" s="745" t="s">
        <v>1607</v>
      </c>
      <c r="I40" s="745" t="s">
        <v>1659</v>
      </c>
      <c r="J40" s="745" t="s">
        <v>1618</v>
      </c>
      <c r="K40" s="745" t="s">
        <v>1603</v>
      </c>
      <c r="L40" s="745" t="s">
        <v>1673</v>
      </c>
      <c r="M40" s="745" t="s">
        <v>1679</v>
      </c>
      <c r="N40" s="745">
        <v>0</v>
      </c>
      <c r="O40" s="745">
        <v>906</v>
      </c>
      <c r="P40" s="745">
        <v>906</v>
      </c>
      <c r="Q40" s="745">
        <v>0</v>
      </c>
      <c r="R40" s="745">
        <v>0</v>
      </c>
      <c r="S40" s="745">
        <v>0</v>
      </c>
      <c r="T40" s="745">
        <v>0</v>
      </c>
      <c r="U40" s="739"/>
      <c r="V40" s="740"/>
      <c r="W40" s="740">
        <f t="shared" si="0"/>
        <v>0</v>
      </c>
      <c r="X40" s="740"/>
      <c r="Y40" s="740"/>
      <c r="Z40" s="740"/>
      <c r="AA40" s="740"/>
      <c r="AB40" s="740"/>
      <c r="AC40" s="740"/>
      <c r="AD40" s="740"/>
      <c r="AE40" s="740"/>
      <c r="AF40" s="742">
        <f t="shared" si="1"/>
        <v>0</v>
      </c>
    </row>
    <row r="41" spans="1:32">
      <c r="A41" s="737" t="s">
        <v>1596</v>
      </c>
      <c r="B41" s="745">
        <v>33</v>
      </c>
      <c r="C41" s="745">
        <v>33</v>
      </c>
      <c r="D41" s="745">
        <v>0</v>
      </c>
      <c r="E41" s="745" t="s">
        <v>1680</v>
      </c>
      <c r="F41" s="745" t="s">
        <v>1598</v>
      </c>
      <c r="G41" s="745" t="s">
        <v>1662</v>
      </c>
      <c r="H41" s="745" t="s">
        <v>1659</v>
      </c>
      <c r="I41" s="745" t="s">
        <v>1607</v>
      </c>
      <c r="J41" s="745" t="s">
        <v>1618</v>
      </c>
      <c r="K41" s="745" t="s">
        <v>1603</v>
      </c>
      <c r="L41" s="745" t="s">
        <v>1679</v>
      </c>
      <c r="M41" s="745" t="s">
        <v>1673</v>
      </c>
      <c r="N41" s="745">
        <v>0</v>
      </c>
      <c r="O41" s="745">
        <v>8838</v>
      </c>
      <c r="P41" s="745">
        <v>8838</v>
      </c>
      <c r="Q41" s="745">
        <v>0</v>
      </c>
      <c r="R41" s="745">
        <v>0</v>
      </c>
      <c r="S41" s="745">
        <v>0</v>
      </c>
      <c r="T41" s="745">
        <v>0</v>
      </c>
      <c r="U41" s="739"/>
      <c r="V41" s="740"/>
      <c r="W41" s="740">
        <f t="shared" si="0"/>
        <v>0</v>
      </c>
      <c r="X41" s="740"/>
      <c r="Y41" s="740"/>
      <c r="Z41" s="740"/>
      <c r="AA41" s="740"/>
      <c r="AB41" s="740"/>
      <c r="AC41" s="740"/>
      <c r="AD41" s="740"/>
      <c r="AE41" s="740"/>
      <c r="AF41" s="742">
        <f t="shared" si="1"/>
        <v>0</v>
      </c>
    </row>
    <row r="42" spans="1:32">
      <c r="A42" s="737" t="s">
        <v>1596</v>
      </c>
      <c r="B42" s="745">
        <v>34</v>
      </c>
      <c r="C42" s="745">
        <v>34</v>
      </c>
      <c r="D42" s="745">
        <v>0</v>
      </c>
      <c r="E42" s="745" t="s">
        <v>1681</v>
      </c>
      <c r="F42" s="745" t="s">
        <v>1598</v>
      </c>
      <c r="G42" s="745" t="s">
        <v>1664</v>
      </c>
      <c r="H42" s="745" t="s">
        <v>1659</v>
      </c>
      <c r="I42" s="745" t="s">
        <v>1607</v>
      </c>
      <c r="J42" s="745" t="s">
        <v>1602</v>
      </c>
      <c r="K42" s="745" t="s">
        <v>1603</v>
      </c>
      <c r="L42" s="745" t="s">
        <v>1679</v>
      </c>
      <c r="M42" s="745" t="s">
        <v>1673</v>
      </c>
      <c r="N42" s="745">
        <v>0</v>
      </c>
      <c r="O42" s="745">
        <v>14144</v>
      </c>
      <c r="P42" s="745">
        <v>14144</v>
      </c>
      <c r="Q42" s="745">
        <v>0</v>
      </c>
      <c r="R42" s="745">
        <v>0</v>
      </c>
      <c r="S42" s="745">
        <v>0</v>
      </c>
      <c r="T42" s="745">
        <v>0</v>
      </c>
      <c r="U42" s="739"/>
      <c r="V42" s="740"/>
      <c r="W42" s="740">
        <f t="shared" si="0"/>
        <v>0</v>
      </c>
      <c r="X42" s="740"/>
      <c r="Y42" s="740"/>
      <c r="Z42" s="740"/>
      <c r="AA42" s="740"/>
      <c r="AB42" s="740"/>
      <c r="AC42" s="740"/>
      <c r="AD42" s="740"/>
      <c r="AE42" s="740"/>
      <c r="AF42" s="742">
        <f t="shared" si="1"/>
        <v>0</v>
      </c>
    </row>
    <row r="43" spans="1:32">
      <c r="A43" s="737" t="s">
        <v>1682</v>
      </c>
      <c r="B43" s="745">
        <v>1</v>
      </c>
      <c r="C43" s="745">
        <v>1</v>
      </c>
      <c r="D43" s="745">
        <v>1</v>
      </c>
      <c r="E43" s="745" t="s">
        <v>1597</v>
      </c>
      <c r="F43" s="745" t="s">
        <v>1598</v>
      </c>
      <c r="G43" s="745" t="s">
        <v>1664</v>
      </c>
      <c r="H43" s="745" t="s">
        <v>1659</v>
      </c>
      <c r="I43" s="745" t="s">
        <v>1607</v>
      </c>
      <c r="J43" s="745" t="s">
        <v>1602</v>
      </c>
      <c r="K43" s="745" t="s">
        <v>1603</v>
      </c>
      <c r="L43" s="745" t="s">
        <v>1679</v>
      </c>
      <c r="M43" s="745" t="s">
        <v>1673</v>
      </c>
      <c r="N43" s="745">
        <v>0</v>
      </c>
      <c r="O43" s="745">
        <v>6257</v>
      </c>
      <c r="P43" s="745">
        <v>6257</v>
      </c>
      <c r="Q43" s="745">
        <v>0</v>
      </c>
      <c r="R43" s="745">
        <v>0</v>
      </c>
      <c r="S43" s="745">
        <v>0</v>
      </c>
      <c r="T43" s="745">
        <v>0</v>
      </c>
      <c r="U43" s="739"/>
      <c r="V43" s="740"/>
      <c r="W43" s="740">
        <f t="shared" si="0"/>
        <v>0</v>
      </c>
      <c r="X43" s="740"/>
      <c r="Y43" s="740"/>
      <c r="Z43" s="740"/>
      <c r="AA43" s="740"/>
      <c r="AB43" s="740"/>
      <c r="AC43" s="740"/>
      <c r="AD43" s="740"/>
      <c r="AE43" s="740"/>
      <c r="AF43" s="742">
        <f t="shared" si="1"/>
        <v>0</v>
      </c>
    </row>
    <row r="44" spans="1:32">
      <c r="A44" s="737" t="s">
        <v>1682</v>
      </c>
      <c r="B44" s="745">
        <v>2</v>
      </c>
      <c r="C44" s="745">
        <v>2</v>
      </c>
      <c r="D44" s="745">
        <v>1</v>
      </c>
      <c r="E44" s="745" t="s">
        <v>1606</v>
      </c>
      <c r="F44" s="745" t="s">
        <v>1598</v>
      </c>
      <c r="G44" s="745" t="s">
        <v>1664</v>
      </c>
      <c r="H44" s="745" t="s">
        <v>1607</v>
      </c>
      <c r="I44" s="745" t="s">
        <v>1659</v>
      </c>
      <c r="J44" s="745" t="s">
        <v>1602</v>
      </c>
      <c r="K44" s="745" t="s">
        <v>1603</v>
      </c>
      <c r="L44" s="745" t="s">
        <v>1673</v>
      </c>
      <c r="M44" s="745" t="s">
        <v>1679</v>
      </c>
      <c r="N44" s="745">
        <v>0</v>
      </c>
      <c r="O44" s="745">
        <v>1379</v>
      </c>
      <c r="P44" s="745">
        <v>1379</v>
      </c>
      <c r="Q44" s="745">
        <v>0</v>
      </c>
      <c r="R44" s="745">
        <v>0</v>
      </c>
      <c r="S44" s="745">
        <v>0</v>
      </c>
      <c r="T44" s="745">
        <v>0</v>
      </c>
      <c r="U44" s="739"/>
      <c r="V44" s="740"/>
      <c r="W44" s="740">
        <f t="shared" si="0"/>
        <v>0</v>
      </c>
      <c r="X44" s="740"/>
      <c r="Y44" s="740"/>
      <c r="Z44" s="740"/>
      <c r="AA44" s="740"/>
      <c r="AB44" s="740"/>
      <c r="AC44" s="740"/>
      <c r="AD44" s="740"/>
      <c r="AE44" s="740"/>
      <c r="AF44" s="742">
        <f t="shared" si="1"/>
        <v>0</v>
      </c>
    </row>
    <row r="45" spans="1:32">
      <c r="A45" s="737" t="s">
        <v>1682</v>
      </c>
      <c r="B45" s="745">
        <v>3</v>
      </c>
      <c r="C45" s="745">
        <v>3</v>
      </c>
      <c r="D45" s="745">
        <v>1</v>
      </c>
      <c r="E45" s="745" t="s">
        <v>1609</v>
      </c>
      <c r="F45" s="745" t="s">
        <v>1598</v>
      </c>
      <c r="G45" s="745" t="s">
        <v>1664</v>
      </c>
      <c r="H45" s="745" t="s">
        <v>1659</v>
      </c>
      <c r="I45" s="745" t="s">
        <v>1607</v>
      </c>
      <c r="J45" s="745" t="s">
        <v>1602</v>
      </c>
      <c r="K45" s="745" t="s">
        <v>1603</v>
      </c>
      <c r="L45" s="745" t="s">
        <v>1674</v>
      </c>
      <c r="M45" s="745" t="s">
        <v>1673</v>
      </c>
      <c r="N45" s="745">
        <v>0</v>
      </c>
      <c r="O45" s="745">
        <v>240</v>
      </c>
      <c r="P45" s="745">
        <v>240</v>
      </c>
      <c r="Q45" s="745">
        <v>0</v>
      </c>
      <c r="R45" s="745">
        <v>0</v>
      </c>
      <c r="S45" s="745">
        <v>0</v>
      </c>
      <c r="T45" s="745">
        <v>0</v>
      </c>
      <c r="U45" s="739"/>
      <c r="V45" s="740"/>
      <c r="W45" s="740">
        <f t="shared" si="0"/>
        <v>0</v>
      </c>
      <c r="X45" s="740"/>
      <c r="Y45" s="740"/>
      <c r="Z45" s="740"/>
      <c r="AA45" s="740"/>
      <c r="AB45" s="740"/>
      <c r="AC45" s="740"/>
      <c r="AD45" s="740"/>
      <c r="AE45" s="740"/>
      <c r="AF45" s="742">
        <f t="shared" si="1"/>
        <v>0</v>
      </c>
    </row>
    <row r="46" spans="1:32">
      <c r="A46" s="737" t="s">
        <v>1682</v>
      </c>
      <c r="B46" s="745">
        <v>4</v>
      </c>
      <c r="C46" s="745">
        <v>4</v>
      </c>
      <c r="D46" s="745">
        <v>1</v>
      </c>
      <c r="E46" s="745" t="s">
        <v>1615</v>
      </c>
      <c r="F46" s="745" t="s">
        <v>1598</v>
      </c>
      <c r="G46" s="745" t="s">
        <v>1662</v>
      </c>
      <c r="H46" s="745" t="s">
        <v>1607</v>
      </c>
      <c r="I46" s="745" t="s">
        <v>1659</v>
      </c>
      <c r="J46" s="745" t="s">
        <v>1618</v>
      </c>
      <c r="K46" s="745" t="s">
        <v>1603</v>
      </c>
      <c r="L46" s="745" t="s">
        <v>1673</v>
      </c>
      <c r="M46" s="745" t="s">
        <v>1679</v>
      </c>
      <c r="N46" s="745">
        <v>0</v>
      </c>
      <c r="O46" s="745">
        <v>1</v>
      </c>
      <c r="P46" s="745">
        <v>1</v>
      </c>
      <c r="Q46" s="745">
        <v>5</v>
      </c>
      <c r="R46" s="745">
        <v>1</v>
      </c>
      <c r="S46" s="745">
        <v>0</v>
      </c>
      <c r="T46" s="745">
        <v>6</v>
      </c>
      <c r="U46" s="739"/>
      <c r="V46" s="740"/>
      <c r="W46" s="740">
        <f t="shared" si="0"/>
        <v>1</v>
      </c>
      <c r="X46" s="740">
        <v>0</v>
      </c>
      <c r="Y46" s="740">
        <v>0</v>
      </c>
      <c r="Z46" s="740"/>
      <c r="AA46" s="740">
        <v>5</v>
      </c>
      <c r="AB46" s="740"/>
      <c r="AC46" s="740"/>
      <c r="AD46" s="740"/>
      <c r="AE46" s="740"/>
      <c r="AF46" s="742">
        <f t="shared" si="1"/>
        <v>6</v>
      </c>
    </row>
    <row r="47" spans="1:32">
      <c r="A47" s="737" t="s">
        <v>1682</v>
      </c>
      <c r="B47" s="745">
        <v>5</v>
      </c>
      <c r="C47" s="745">
        <v>5</v>
      </c>
      <c r="D47" s="745">
        <v>1</v>
      </c>
      <c r="E47" s="745" t="s">
        <v>1619</v>
      </c>
      <c r="F47" s="745" t="s">
        <v>1598</v>
      </c>
      <c r="G47" s="745" t="s">
        <v>1662</v>
      </c>
      <c r="H47" s="745" t="s">
        <v>1601</v>
      </c>
      <c r="I47" s="745" t="s">
        <v>1659</v>
      </c>
      <c r="J47" s="745" t="s">
        <v>1618</v>
      </c>
      <c r="K47" s="745" t="s">
        <v>1603</v>
      </c>
      <c r="L47" s="745" t="s">
        <v>1605</v>
      </c>
      <c r="M47" s="745" t="s">
        <v>1660</v>
      </c>
      <c r="N47" s="745">
        <v>0</v>
      </c>
      <c r="O47" s="745">
        <v>4407</v>
      </c>
      <c r="P47" s="745">
        <v>4407</v>
      </c>
      <c r="Q47" s="745">
        <v>31442</v>
      </c>
      <c r="R47" s="745">
        <v>3610</v>
      </c>
      <c r="S47" s="745">
        <v>0</v>
      </c>
      <c r="T47" s="745">
        <v>35052</v>
      </c>
      <c r="U47" s="739"/>
      <c r="V47" s="740"/>
      <c r="W47" s="740">
        <f t="shared" si="0"/>
        <v>3610</v>
      </c>
      <c r="X47" s="740">
        <v>248</v>
      </c>
      <c r="Y47" s="740">
        <v>348</v>
      </c>
      <c r="Z47" s="740"/>
      <c r="AA47" s="740">
        <v>30846</v>
      </c>
      <c r="AB47" s="740"/>
      <c r="AC47" s="740"/>
      <c r="AD47" s="740"/>
      <c r="AE47" s="740"/>
      <c r="AF47" s="742">
        <f t="shared" si="1"/>
        <v>35052</v>
      </c>
    </row>
    <row r="48" spans="1:32">
      <c r="A48" s="737" t="s">
        <v>1682</v>
      </c>
      <c r="B48" s="745">
        <v>6</v>
      </c>
      <c r="C48" s="745">
        <v>6</v>
      </c>
      <c r="D48" s="745">
        <v>1</v>
      </c>
      <c r="E48" s="745" t="s">
        <v>1621</v>
      </c>
      <c r="F48" s="745" t="s">
        <v>1598</v>
      </c>
      <c r="G48" s="745" t="s">
        <v>1664</v>
      </c>
      <c r="H48" s="745" t="s">
        <v>1601</v>
      </c>
      <c r="I48" s="745" t="s">
        <v>1659</v>
      </c>
      <c r="J48" s="745" t="s">
        <v>1602</v>
      </c>
      <c r="K48" s="745" t="s">
        <v>1603</v>
      </c>
      <c r="L48" s="745" t="s">
        <v>1605</v>
      </c>
      <c r="M48" s="745" t="s">
        <v>1660</v>
      </c>
      <c r="N48" s="745">
        <v>0</v>
      </c>
      <c r="O48" s="745">
        <v>602</v>
      </c>
      <c r="P48" s="745">
        <v>602</v>
      </c>
      <c r="Q48" s="745">
        <v>4193</v>
      </c>
      <c r="R48" s="745">
        <v>562</v>
      </c>
      <c r="S48" s="745">
        <v>0</v>
      </c>
      <c r="T48" s="745">
        <v>4755</v>
      </c>
      <c r="U48" s="739">
        <v>4755</v>
      </c>
      <c r="V48" s="740"/>
      <c r="W48" s="740"/>
      <c r="X48" s="740"/>
      <c r="Y48" s="740"/>
      <c r="Z48" s="740"/>
      <c r="AA48" s="740"/>
      <c r="AB48" s="740"/>
      <c r="AC48" s="740"/>
      <c r="AD48" s="740"/>
      <c r="AE48" s="740"/>
      <c r="AF48" s="742">
        <f t="shared" si="1"/>
        <v>4755</v>
      </c>
    </row>
    <row r="49" spans="1:32">
      <c r="A49" s="737" t="s">
        <v>1682</v>
      </c>
      <c r="B49" s="745">
        <v>7</v>
      </c>
      <c r="C49" s="745">
        <v>7</v>
      </c>
      <c r="D49" s="745">
        <v>1</v>
      </c>
      <c r="E49" s="745" t="s">
        <v>1623</v>
      </c>
      <c r="F49" s="745" t="s">
        <v>1598</v>
      </c>
      <c r="G49" s="745" t="s">
        <v>1662</v>
      </c>
      <c r="H49" s="745" t="s">
        <v>1659</v>
      </c>
      <c r="I49" s="745" t="s">
        <v>1659</v>
      </c>
      <c r="J49" s="745" t="s">
        <v>1618</v>
      </c>
      <c r="K49" s="745" t="s">
        <v>1603</v>
      </c>
      <c r="L49" s="745" t="s">
        <v>1683</v>
      </c>
      <c r="M49" s="745" t="s">
        <v>1683</v>
      </c>
      <c r="N49" s="745">
        <v>0</v>
      </c>
      <c r="O49" s="745">
        <v>10110</v>
      </c>
      <c r="P49" s="745">
        <v>10110</v>
      </c>
      <c r="Q49" s="745">
        <v>66658</v>
      </c>
      <c r="R49" s="745">
        <v>11726</v>
      </c>
      <c r="S49" s="745">
        <v>0</v>
      </c>
      <c r="T49" s="745">
        <v>78384</v>
      </c>
      <c r="U49" s="739"/>
      <c r="V49" s="740"/>
      <c r="W49" s="740">
        <f t="shared" si="0"/>
        <v>11726</v>
      </c>
      <c r="X49" s="740">
        <v>525</v>
      </c>
      <c r="Y49" s="740">
        <v>737</v>
      </c>
      <c r="Z49" s="740"/>
      <c r="AA49" s="740">
        <v>65396</v>
      </c>
      <c r="AB49" s="740"/>
      <c r="AC49" s="740"/>
      <c r="AD49" s="740"/>
      <c r="AE49" s="740"/>
      <c r="AF49" s="742">
        <f t="shared" si="1"/>
        <v>78384</v>
      </c>
    </row>
    <row r="50" spans="1:32">
      <c r="A50" s="737" t="s">
        <v>1682</v>
      </c>
      <c r="B50" s="745">
        <v>8</v>
      </c>
      <c r="C50" s="745">
        <v>8</v>
      </c>
      <c r="D50" s="745">
        <v>1</v>
      </c>
      <c r="E50" s="745" t="s">
        <v>1625</v>
      </c>
      <c r="F50" s="745" t="s">
        <v>1598</v>
      </c>
      <c r="G50" s="745" t="s">
        <v>1662</v>
      </c>
      <c r="H50" s="745" t="s">
        <v>1607</v>
      </c>
      <c r="I50" s="745" t="s">
        <v>1669</v>
      </c>
      <c r="J50" s="745" t="s">
        <v>1618</v>
      </c>
      <c r="K50" s="745" t="s">
        <v>1603</v>
      </c>
      <c r="L50" s="745" t="s">
        <v>1622</v>
      </c>
      <c r="M50" s="745" t="s">
        <v>1670</v>
      </c>
      <c r="N50" s="745">
        <v>0</v>
      </c>
      <c r="O50" s="745">
        <v>51</v>
      </c>
      <c r="P50" s="745">
        <v>51</v>
      </c>
      <c r="Q50" s="745">
        <v>1769</v>
      </c>
      <c r="R50" s="745">
        <v>52</v>
      </c>
      <c r="S50" s="745">
        <v>0</v>
      </c>
      <c r="T50" s="745">
        <v>1821</v>
      </c>
      <c r="U50" s="739"/>
      <c r="V50" s="740"/>
      <c r="W50" s="740">
        <f t="shared" si="0"/>
        <v>52</v>
      </c>
      <c r="X50" s="740">
        <v>14</v>
      </c>
      <c r="Y50" s="740">
        <v>19</v>
      </c>
      <c r="Z50" s="740"/>
      <c r="AA50" s="740">
        <v>1736</v>
      </c>
      <c r="AB50" s="740"/>
      <c r="AC50" s="740"/>
      <c r="AD50" s="740"/>
      <c r="AE50" s="740"/>
      <c r="AF50" s="742">
        <f t="shared" si="1"/>
        <v>1821</v>
      </c>
    </row>
    <row r="51" spans="1:32">
      <c r="A51" s="737" t="s">
        <v>1682</v>
      </c>
      <c r="B51" s="745">
        <v>9</v>
      </c>
      <c r="C51" s="745">
        <v>9</v>
      </c>
      <c r="D51" s="745">
        <v>1</v>
      </c>
      <c r="E51" s="745" t="s">
        <v>1629</v>
      </c>
      <c r="F51" s="745" t="s">
        <v>1598</v>
      </c>
      <c r="G51" s="745" t="s">
        <v>1662</v>
      </c>
      <c r="H51" s="745" t="s">
        <v>1601</v>
      </c>
      <c r="I51" s="745" t="s">
        <v>1601</v>
      </c>
      <c r="J51" s="745" t="s">
        <v>1618</v>
      </c>
      <c r="K51" s="745" t="s">
        <v>1603</v>
      </c>
      <c r="L51" s="745" t="s">
        <v>1684</v>
      </c>
      <c r="M51" s="745" t="s">
        <v>1684</v>
      </c>
      <c r="N51" s="745">
        <v>0</v>
      </c>
      <c r="O51" s="745">
        <v>0</v>
      </c>
      <c r="P51" s="745">
        <v>0</v>
      </c>
      <c r="Q51" s="745">
        <v>162</v>
      </c>
      <c r="R51" s="745">
        <v>0</v>
      </c>
      <c r="S51" s="745">
        <v>0</v>
      </c>
      <c r="T51" s="745">
        <v>162</v>
      </c>
      <c r="U51" s="739"/>
      <c r="V51" s="740"/>
      <c r="W51" s="740">
        <f t="shared" si="0"/>
        <v>0</v>
      </c>
      <c r="X51" s="740">
        <v>1</v>
      </c>
      <c r="Y51" s="740">
        <v>2</v>
      </c>
      <c r="Z51" s="740"/>
      <c r="AA51" s="740">
        <v>159</v>
      </c>
      <c r="AB51" s="740"/>
      <c r="AC51" s="740"/>
      <c r="AD51" s="740"/>
      <c r="AE51" s="740"/>
      <c r="AF51" s="742">
        <f t="shared" si="1"/>
        <v>162</v>
      </c>
    </row>
    <row r="52" spans="1:32">
      <c r="A52" s="737" t="s">
        <v>1682</v>
      </c>
      <c r="B52" s="745">
        <v>10</v>
      </c>
      <c r="C52" s="745">
        <v>10</v>
      </c>
      <c r="D52" s="745">
        <v>1</v>
      </c>
      <c r="E52" s="745" t="s">
        <v>1632</v>
      </c>
      <c r="F52" s="745" t="s">
        <v>1598</v>
      </c>
      <c r="G52" s="745" t="s">
        <v>1662</v>
      </c>
      <c r="H52" s="745" t="s">
        <v>1669</v>
      </c>
      <c r="I52" s="745" t="s">
        <v>1669</v>
      </c>
      <c r="J52" s="745" t="s">
        <v>1618</v>
      </c>
      <c r="K52" s="745" t="s">
        <v>1603</v>
      </c>
      <c r="L52" s="745" t="s">
        <v>1685</v>
      </c>
      <c r="M52" s="745" t="s">
        <v>1670</v>
      </c>
      <c r="N52" s="745">
        <v>0</v>
      </c>
      <c r="O52" s="745">
        <v>0</v>
      </c>
      <c r="P52" s="745">
        <v>0</v>
      </c>
      <c r="Q52" s="745">
        <v>857</v>
      </c>
      <c r="R52" s="745">
        <v>0</v>
      </c>
      <c r="S52" s="745">
        <v>0</v>
      </c>
      <c r="T52" s="745">
        <v>857</v>
      </c>
      <c r="U52" s="739"/>
      <c r="V52" s="740"/>
      <c r="W52" s="740">
        <f t="shared" si="0"/>
        <v>0</v>
      </c>
      <c r="X52" s="740">
        <v>7</v>
      </c>
      <c r="Y52" s="740">
        <v>9</v>
      </c>
      <c r="Z52" s="740"/>
      <c r="AA52" s="740">
        <v>841</v>
      </c>
      <c r="AB52" s="740"/>
      <c r="AC52" s="740"/>
      <c r="AD52" s="740"/>
      <c r="AE52" s="740"/>
      <c r="AF52" s="742">
        <f t="shared" si="1"/>
        <v>857</v>
      </c>
    </row>
    <row r="53" spans="1:32">
      <c r="A53" s="737" t="s">
        <v>1682</v>
      </c>
      <c r="B53" s="745">
        <v>11</v>
      </c>
      <c r="C53" s="745">
        <v>11</v>
      </c>
      <c r="D53" s="745">
        <v>1</v>
      </c>
      <c r="E53" s="745" t="s">
        <v>1633</v>
      </c>
      <c r="F53" s="745" t="s">
        <v>1598</v>
      </c>
      <c r="G53" s="745" t="s">
        <v>1686</v>
      </c>
      <c r="H53" s="745" t="s">
        <v>1601</v>
      </c>
      <c r="I53" s="745" t="s">
        <v>1659</v>
      </c>
      <c r="J53" s="745" t="s">
        <v>1602</v>
      </c>
      <c r="K53" s="745" t="s">
        <v>1603</v>
      </c>
      <c r="L53" s="745" t="s">
        <v>1605</v>
      </c>
      <c r="M53" s="745" t="s">
        <v>1660</v>
      </c>
      <c r="N53" s="745">
        <v>20</v>
      </c>
      <c r="O53" s="745">
        <v>96779</v>
      </c>
      <c r="P53" s="745">
        <v>96779</v>
      </c>
      <c r="Q53" s="745">
        <v>590400</v>
      </c>
      <c r="R53" s="745">
        <v>0</v>
      </c>
      <c r="S53" s="745">
        <v>0</v>
      </c>
      <c r="T53" s="745">
        <v>590400</v>
      </c>
      <c r="U53" s="739">
        <v>590400</v>
      </c>
      <c r="V53" s="740"/>
      <c r="W53" s="740">
        <f t="shared" si="0"/>
        <v>0</v>
      </c>
      <c r="X53" s="740"/>
      <c r="Y53" s="740"/>
      <c r="Z53" s="740"/>
      <c r="AA53" s="740"/>
      <c r="AB53" s="740"/>
      <c r="AC53" s="740"/>
      <c r="AD53" s="740"/>
      <c r="AE53" s="740"/>
      <c r="AF53" s="742">
        <f t="shared" si="1"/>
        <v>590400</v>
      </c>
    </row>
    <row r="54" spans="1:32">
      <c r="A54" s="737" t="s">
        <v>1682</v>
      </c>
      <c r="B54" s="745">
        <v>12</v>
      </c>
      <c r="C54" s="745">
        <v>12</v>
      </c>
      <c r="D54" s="745">
        <v>1</v>
      </c>
      <c r="E54" s="745" t="s">
        <v>1634</v>
      </c>
      <c r="F54" s="745" t="s">
        <v>1598</v>
      </c>
      <c r="G54" s="745" t="s">
        <v>1687</v>
      </c>
      <c r="H54" s="745" t="s">
        <v>1607</v>
      </c>
      <c r="I54" s="745" t="s">
        <v>1688</v>
      </c>
      <c r="J54" s="745" t="s">
        <v>1618</v>
      </c>
      <c r="K54" s="745" t="s">
        <v>1603</v>
      </c>
      <c r="L54" s="745" t="s">
        <v>1622</v>
      </c>
      <c r="M54" s="745" t="s">
        <v>1689</v>
      </c>
      <c r="N54" s="745">
        <v>0</v>
      </c>
      <c r="O54" s="745">
        <v>1265</v>
      </c>
      <c r="P54" s="745">
        <v>1265</v>
      </c>
      <c r="Q54" s="745">
        <v>6522</v>
      </c>
      <c r="R54" s="745">
        <v>1339</v>
      </c>
      <c r="S54" s="745">
        <v>0</v>
      </c>
      <c r="T54" s="745">
        <v>7861</v>
      </c>
      <c r="U54" s="739"/>
      <c r="V54" s="740"/>
      <c r="W54" s="740">
        <f t="shared" si="0"/>
        <v>1339</v>
      </c>
      <c r="X54" s="740">
        <v>75</v>
      </c>
      <c r="Y54" s="740">
        <v>104</v>
      </c>
      <c r="Z54" s="740">
        <v>2403</v>
      </c>
      <c r="AA54" s="740">
        <v>3940</v>
      </c>
      <c r="AB54" s="740"/>
      <c r="AC54" s="740"/>
      <c r="AD54" s="740"/>
      <c r="AE54" s="740"/>
      <c r="AF54" s="742">
        <f t="shared" si="1"/>
        <v>7861</v>
      </c>
    </row>
    <row r="55" spans="1:32">
      <c r="A55" s="737" t="s">
        <v>1682</v>
      </c>
      <c r="B55" s="745">
        <v>13</v>
      </c>
      <c r="C55" s="745">
        <v>13</v>
      </c>
      <c r="D55" s="745">
        <v>1</v>
      </c>
      <c r="E55" s="745" t="s">
        <v>1636</v>
      </c>
      <c r="F55" s="745" t="s">
        <v>1598</v>
      </c>
      <c r="G55" s="745" t="s">
        <v>1690</v>
      </c>
      <c r="H55" s="745" t="s">
        <v>1607</v>
      </c>
      <c r="I55" s="745" t="s">
        <v>1601</v>
      </c>
      <c r="J55" s="745" t="s">
        <v>1627</v>
      </c>
      <c r="K55" s="745" t="s">
        <v>1603</v>
      </c>
      <c r="L55" s="745" t="s">
        <v>1691</v>
      </c>
      <c r="M55" s="745" t="s">
        <v>1605</v>
      </c>
      <c r="N55" s="745">
        <v>0</v>
      </c>
      <c r="O55" s="745">
        <v>0</v>
      </c>
      <c r="P55" s="745">
        <v>0</v>
      </c>
      <c r="Q55" s="745">
        <v>49650</v>
      </c>
      <c r="R55" s="745">
        <v>0</v>
      </c>
      <c r="S55" s="745">
        <v>0</v>
      </c>
      <c r="T55" s="745">
        <v>49650</v>
      </c>
      <c r="U55" s="739"/>
      <c r="V55" s="740"/>
      <c r="W55" s="740">
        <f t="shared" si="0"/>
        <v>0</v>
      </c>
      <c r="X55" s="740"/>
      <c r="Y55" s="740"/>
      <c r="Z55" s="740"/>
      <c r="AA55" s="740"/>
      <c r="AB55" s="740">
        <f>T55</f>
        <v>49650</v>
      </c>
      <c r="AC55" s="740"/>
      <c r="AD55" s="740"/>
      <c r="AE55" s="740"/>
      <c r="AF55" s="742">
        <f t="shared" si="1"/>
        <v>49650</v>
      </c>
    </row>
    <row r="56" spans="1:32">
      <c r="A56" s="737" t="s">
        <v>1682</v>
      </c>
      <c r="B56" s="745">
        <v>14</v>
      </c>
      <c r="C56" s="745">
        <v>14</v>
      </c>
      <c r="D56" s="745">
        <v>1</v>
      </c>
      <c r="E56" s="745" t="s">
        <v>1637</v>
      </c>
      <c r="F56" s="745" t="s">
        <v>1598</v>
      </c>
      <c r="G56" s="745" t="s">
        <v>1690</v>
      </c>
      <c r="H56" s="745" t="s">
        <v>1607</v>
      </c>
      <c r="I56" s="745" t="s">
        <v>1601</v>
      </c>
      <c r="J56" s="745" t="s">
        <v>1627</v>
      </c>
      <c r="K56" s="745" t="s">
        <v>1603</v>
      </c>
      <c r="L56" s="745" t="s">
        <v>1691</v>
      </c>
      <c r="M56" s="745" t="s">
        <v>1605</v>
      </c>
      <c r="N56" s="745">
        <v>0</v>
      </c>
      <c r="O56" s="745">
        <v>0</v>
      </c>
      <c r="P56" s="745">
        <v>0</v>
      </c>
      <c r="Q56" s="745">
        <v>47425</v>
      </c>
      <c r="R56" s="745">
        <v>0</v>
      </c>
      <c r="S56" s="745">
        <v>0</v>
      </c>
      <c r="T56" s="745">
        <v>47425</v>
      </c>
      <c r="U56" s="739"/>
      <c r="V56" s="740"/>
      <c r="W56" s="740"/>
      <c r="X56" s="740"/>
      <c r="Y56" s="740"/>
      <c r="Z56" s="740"/>
      <c r="AA56" s="740"/>
      <c r="AB56" s="740">
        <f>T56</f>
        <v>47425</v>
      </c>
      <c r="AC56" s="740"/>
      <c r="AD56" s="740"/>
      <c r="AE56" s="740"/>
      <c r="AF56" s="742">
        <f t="shared" si="1"/>
        <v>47425</v>
      </c>
    </row>
    <row r="57" spans="1:32">
      <c r="A57" s="737" t="s">
        <v>1682</v>
      </c>
      <c r="B57" s="745">
        <v>15</v>
      </c>
      <c r="C57" s="745">
        <v>15</v>
      </c>
      <c r="D57" s="745">
        <v>1</v>
      </c>
      <c r="E57" s="745" t="s">
        <v>1638</v>
      </c>
      <c r="F57" s="745" t="s">
        <v>1598</v>
      </c>
      <c r="G57" s="745" t="s">
        <v>1692</v>
      </c>
      <c r="H57" s="745" t="s">
        <v>1607</v>
      </c>
      <c r="I57" s="745" t="s">
        <v>1601</v>
      </c>
      <c r="J57" s="745" t="s">
        <v>1602</v>
      </c>
      <c r="K57" s="745" t="s">
        <v>1603</v>
      </c>
      <c r="L57" s="745" t="s">
        <v>1631</v>
      </c>
      <c r="M57" s="745" t="s">
        <v>1605</v>
      </c>
      <c r="N57" s="745">
        <v>100</v>
      </c>
      <c r="O57" s="745">
        <v>116843</v>
      </c>
      <c r="P57" s="745">
        <v>113138</v>
      </c>
      <c r="Q57" s="745">
        <v>2438400</v>
      </c>
      <c r="R57" s="745">
        <v>0</v>
      </c>
      <c r="S57" s="745">
        <v>0</v>
      </c>
      <c r="T57" s="745">
        <v>2438400</v>
      </c>
      <c r="U57" s="739">
        <v>2438400</v>
      </c>
      <c r="V57" s="740"/>
      <c r="W57" s="740"/>
      <c r="X57" s="740"/>
      <c r="Y57" s="740"/>
      <c r="Z57" s="740"/>
      <c r="AA57" s="740"/>
      <c r="AB57" s="740"/>
      <c r="AC57" s="740"/>
      <c r="AD57" s="740"/>
      <c r="AE57" s="740"/>
      <c r="AF57" s="742">
        <f t="shared" si="1"/>
        <v>2438400</v>
      </c>
    </row>
    <row r="58" spans="1:32">
      <c r="A58" s="737" t="s">
        <v>1682</v>
      </c>
      <c r="B58" s="745">
        <v>16</v>
      </c>
      <c r="C58" s="745">
        <v>16</v>
      </c>
      <c r="D58" s="745">
        <v>1</v>
      </c>
      <c r="E58" s="745" t="s">
        <v>1639</v>
      </c>
      <c r="F58" s="745" t="s">
        <v>1598</v>
      </c>
      <c r="G58" s="745" t="s">
        <v>1693</v>
      </c>
      <c r="H58" s="745" t="s">
        <v>1611</v>
      </c>
      <c r="I58" s="745" t="s">
        <v>1601</v>
      </c>
      <c r="J58" s="745" t="s">
        <v>1612</v>
      </c>
      <c r="K58" s="745" t="s">
        <v>1603</v>
      </c>
      <c r="L58" s="745" t="s">
        <v>1613</v>
      </c>
      <c r="M58" s="745" t="s">
        <v>1694</v>
      </c>
      <c r="N58" s="745">
        <v>0</v>
      </c>
      <c r="O58" s="745">
        <v>140</v>
      </c>
      <c r="P58" s="745">
        <v>140</v>
      </c>
      <c r="Q58" s="745">
        <v>857</v>
      </c>
      <c r="R58" s="745">
        <v>141</v>
      </c>
      <c r="S58" s="745">
        <v>0</v>
      </c>
      <c r="T58" s="745">
        <v>998</v>
      </c>
      <c r="U58" s="739"/>
      <c r="V58" s="740"/>
      <c r="W58" s="740">
        <f>R58</f>
        <v>141</v>
      </c>
      <c r="X58" s="740">
        <v>7</v>
      </c>
      <c r="Y58" s="740">
        <v>9</v>
      </c>
      <c r="Z58" s="740">
        <v>841</v>
      </c>
      <c r="AA58" s="740"/>
      <c r="AB58" s="740"/>
      <c r="AC58" s="740"/>
      <c r="AD58" s="740"/>
      <c r="AE58" s="740"/>
      <c r="AF58" s="742">
        <f t="shared" si="1"/>
        <v>998</v>
      </c>
    </row>
    <row r="59" spans="1:32">
      <c r="A59" s="737" t="s">
        <v>1682</v>
      </c>
      <c r="B59" s="745">
        <v>17</v>
      </c>
      <c r="C59" s="745">
        <v>17</v>
      </c>
      <c r="D59" s="745">
        <v>1</v>
      </c>
      <c r="E59" s="745" t="s">
        <v>1640</v>
      </c>
      <c r="F59" s="745" t="s">
        <v>1598</v>
      </c>
      <c r="G59" s="745" t="s">
        <v>1695</v>
      </c>
      <c r="H59" s="745" t="s">
        <v>1696</v>
      </c>
      <c r="I59" s="745" t="s">
        <v>1607</v>
      </c>
      <c r="J59" s="745" t="s">
        <v>1612</v>
      </c>
      <c r="K59" s="745" t="s">
        <v>1603</v>
      </c>
      <c r="L59" s="745" t="s">
        <v>1697</v>
      </c>
      <c r="M59" s="745" t="s">
        <v>1622</v>
      </c>
      <c r="N59" s="745">
        <v>0</v>
      </c>
      <c r="O59" s="745">
        <v>809</v>
      </c>
      <c r="P59" s="745">
        <v>809</v>
      </c>
      <c r="Q59" s="745">
        <v>87961</v>
      </c>
      <c r="R59" s="745">
        <v>84</v>
      </c>
      <c r="S59" s="745">
        <v>0</v>
      </c>
      <c r="T59" s="745">
        <v>88045</v>
      </c>
      <c r="U59" s="739"/>
      <c r="V59" s="740"/>
      <c r="W59" s="740">
        <f t="shared" si="0"/>
        <v>84</v>
      </c>
      <c r="X59" s="740">
        <v>1050</v>
      </c>
      <c r="Y59" s="740">
        <v>1751</v>
      </c>
      <c r="Z59" s="740">
        <v>85100</v>
      </c>
      <c r="AA59" s="740">
        <v>60</v>
      </c>
      <c r="AB59" s="740"/>
      <c r="AC59" s="740"/>
      <c r="AD59" s="740"/>
      <c r="AE59" s="740"/>
      <c r="AF59" s="742">
        <f t="shared" si="1"/>
        <v>88045</v>
      </c>
    </row>
    <row r="60" spans="1:32">
      <c r="A60" s="737" t="s">
        <v>1682</v>
      </c>
      <c r="B60" s="745">
        <v>18</v>
      </c>
      <c r="C60" s="745">
        <v>18</v>
      </c>
      <c r="D60" s="745">
        <v>1</v>
      </c>
      <c r="E60" s="745" t="s">
        <v>1641</v>
      </c>
      <c r="F60" s="745" t="s">
        <v>1598</v>
      </c>
      <c r="G60" s="745" t="s">
        <v>1698</v>
      </c>
      <c r="H60" s="745" t="s">
        <v>1696</v>
      </c>
      <c r="I60" s="745" t="s">
        <v>1607</v>
      </c>
      <c r="J60" s="745" t="s">
        <v>1612</v>
      </c>
      <c r="K60" s="745" t="s">
        <v>1603</v>
      </c>
      <c r="L60" s="745" t="s">
        <v>1697</v>
      </c>
      <c r="M60" s="745" t="s">
        <v>1622</v>
      </c>
      <c r="N60" s="745">
        <v>0</v>
      </c>
      <c r="O60" s="745">
        <v>0</v>
      </c>
      <c r="P60" s="745">
        <v>0</v>
      </c>
      <c r="Q60" s="745">
        <v>8893</v>
      </c>
      <c r="R60" s="745">
        <v>0</v>
      </c>
      <c r="S60" s="745">
        <v>0</v>
      </c>
      <c r="T60" s="745">
        <v>8893</v>
      </c>
      <c r="U60" s="739"/>
      <c r="V60" s="740"/>
      <c r="W60" s="740">
        <f t="shared" si="0"/>
        <v>0</v>
      </c>
      <c r="X60" s="740">
        <v>102</v>
      </c>
      <c r="Y60" s="740">
        <v>142</v>
      </c>
      <c r="Z60" s="740">
        <v>8649</v>
      </c>
      <c r="AA60" s="740"/>
      <c r="AB60" s="740"/>
      <c r="AC60" s="740"/>
      <c r="AD60" s="740"/>
      <c r="AE60" s="740"/>
      <c r="AF60" s="742">
        <f t="shared" si="1"/>
        <v>8893</v>
      </c>
    </row>
    <row r="61" spans="1:32">
      <c r="A61" s="737" t="s">
        <v>1682</v>
      </c>
      <c r="B61" s="745">
        <v>19</v>
      </c>
      <c r="C61" s="745">
        <v>19</v>
      </c>
      <c r="D61" s="745">
        <v>1</v>
      </c>
      <c r="E61" s="745" t="s">
        <v>1645</v>
      </c>
      <c r="F61" s="745" t="s">
        <v>1598</v>
      </c>
      <c r="G61" s="745" t="s">
        <v>1699</v>
      </c>
      <c r="H61" s="745" t="s">
        <v>1607</v>
      </c>
      <c r="I61" s="745" t="s">
        <v>1700</v>
      </c>
      <c r="J61" s="745" t="s">
        <v>1648</v>
      </c>
      <c r="K61" s="745" t="s">
        <v>1603</v>
      </c>
      <c r="L61" s="745" t="s">
        <v>1598</v>
      </c>
      <c r="M61" s="745" t="s">
        <v>1598</v>
      </c>
      <c r="N61" s="745">
        <v>0</v>
      </c>
      <c r="O61" s="745">
        <v>10848</v>
      </c>
      <c r="P61" s="745">
        <v>10848</v>
      </c>
      <c r="Q61" s="745">
        <v>101340</v>
      </c>
      <c r="R61" s="745">
        <v>12140</v>
      </c>
      <c r="S61" s="745">
        <v>6528</v>
      </c>
      <c r="T61" s="745">
        <v>120008</v>
      </c>
      <c r="U61" s="739">
        <f>T61</f>
        <v>120008</v>
      </c>
      <c r="V61" s="740"/>
      <c r="W61" s="740"/>
      <c r="X61" s="740"/>
      <c r="Y61" s="740"/>
      <c r="Z61" s="740"/>
      <c r="AA61" s="740"/>
      <c r="AB61" s="740"/>
      <c r="AC61" s="740"/>
      <c r="AD61" s="740"/>
      <c r="AE61" s="740"/>
      <c r="AF61" s="742">
        <f t="shared" si="1"/>
        <v>120008</v>
      </c>
    </row>
    <row r="62" spans="1:32">
      <c r="A62" s="737" t="s">
        <v>1682</v>
      </c>
      <c r="B62" s="745">
        <v>20</v>
      </c>
      <c r="C62" s="745">
        <v>20</v>
      </c>
      <c r="D62" s="745">
        <v>1</v>
      </c>
      <c r="E62" s="745" t="s">
        <v>1649</v>
      </c>
      <c r="F62" s="745" t="s">
        <v>1598</v>
      </c>
      <c r="G62" s="745" t="s">
        <v>1701</v>
      </c>
      <c r="H62" s="745" t="s">
        <v>1702</v>
      </c>
      <c r="I62" s="745" t="s">
        <v>1703</v>
      </c>
      <c r="J62" s="745" t="s">
        <v>1648</v>
      </c>
      <c r="K62" s="745" t="s">
        <v>1603</v>
      </c>
      <c r="L62" s="745" t="s">
        <v>1598</v>
      </c>
      <c r="M62" s="745" t="s">
        <v>1598</v>
      </c>
      <c r="N62" s="745">
        <v>0</v>
      </c>
      <c r="O62" s="745">
        <v>375047</v>
      </c>
      <c r="P62" s="745">
        <v>375047</v>
      </c>
      <c r="Q62" s="745">
        <v>1487252</v>
      </c>
      <c r="R62" s="745">
        <v>399120</v>
      </c>
      <c r="S62" s="745">
        <v>103207</v>
      </c>
      <c r="T62" s="745">
        <v>1989579</v>
      </c>
      <c r="U62" s="739">
        <f>T62</f>
        <v>1989579</v>
      </c>
      <c r="V62" s="740"/>
      <c r="W62" s="740"/>
      <c r="X62" s="740"/>
      <c r="Y62" s="740"/>
      <c r="Z62" s="740"/>
      <c r="AA62" s="740"/>
      <c r="AB62" s="740"/>
      <c r="AC62" s="740"/>
      <c r="AD62" s="740"/>
      <c r="AE62" s="740"/>
      <c r="AF62" s="742">
        <f t="shared" si="1"/>
        <v>1989579</v>
      </c>
    </row>
    <row r="63" spans="1:32">
      <c r="A63" s="737" t="s">
        <v>1682</v>
      </c>
      <c r="B63" s="745">
        <v>21</v>
      </c>
      <c r="C63" s="745">
        <v>21</v>
      </c>
      <c r="D63" s="745">
        <v>1</v>
      </c>
      <c r="E63" s="745" t="s">
        <v>1654</v>
      </c>
      <c r="F63" s="745" t="s">
        <v>1598</v>
      </c>
      <c r="G63" s="745" t="s">
        <v>1704</v>
      </c>
      <c r="H63" s="745" t="s">
        <v>1705</v>
      </c>
      <c r="I63" s="745" t="s">
        <v>1705</v>
      </c>
      <c r="J63" s="745" t="s">
        <v>1648</v>
      </c>
      <c r="K63" s="745" t="s">
        <v>1603</v>
      </c>
      <c r="L63" s="745" t="s">
        <v>1598</v>
      </c>
      <c r="M63" s="745" t="s">
        <v>1598</v>
      </c>
      <c r="N63" s="745">
        <v>0</v>
      </c>
      <c r="O63" s="745">
        <v>371348</v>
      </c>
      <c r="P63" s="745">
        <v>371348</v>
      </c>
      <c r="Q63" s="745">
        <v>920897</v>
      </c>
      <c r="R63" s="745">
        <v>182669</v>
      </c>
      <c r="S63" s="745">
        <v>65253</v>
      </c>
      <c r="T63" s="745">
        <v>1168819</v>
      </c>
      <c r="U63" s="739">
        <f>T63</f>
        <v>1168819</v>
      </c>
      <c r="V63" s="740"/>
      <c r="W63" s="740"/>
      <c r="X63" s="740"/>
      <c r="Y63" s="740"/>
      <c r="Z63" s="740"/>
      <c r="AA63" s="740"/>
      <c r="AB63" s="740"/>
      <c r="AC63" s="740"/>
      <c r="AD63" s="740"/>
      <c r="AE63" s="740"/>
      <c r="AF63" s="742">
        <f t="shared" si="1"/>
        <v>1168819</v>
      </c>
    </row>
    <row r="64" spans="1:32">
      <c r="A64" s="737" t="s">
        <v>1682</v>
      </c>
      <c r="B64" s="745">
        <v>22</v>
      </c>
      <c r="C64" s="745">
        <v>22</v>
      </c>
      <c r="D64" s="745">
        <v>1</v>
      </c>
      <c r="E64" s="745" t="s">
        <v>1657</v>
      </c>
      <c r="F64" s="745" t="s">
        <v>1598</v>
      </c>
      <c r="G64" s="745" t="s">
        <v>1706</v>
      </c>
      <c r="H64" s="745" t="s">
        <v>1611</v>
      </c>
      <c r="I64" s="745" t="s">
        <v>1601</v>
      </c>
      <c r="J64" s="745" t="s">
        <v>1612</v>
      </c>
      <c r="K64" s="745" t="s">
        <v>1603</v>
      </c>
      <c r="L64" s="745" t="s">
        <v>1613</v>
      </c>
      <c r="M64" s="745" t="s">
        <v>1694</v>
      </c>
      <c r="N64" s="745">
        <v>0</v>
      </c>
      <c r="O64" s="745">
        <v>4257</v>
      </c>
      <c r="P64" s="745">
        <v>4257</v>
      </c>
      <c r="Q64" s="745">
        <v>39524</v>
      </c>
      <c r="R64" s="745">
        <v>3189</v>
      </c>
      <c r="S64" s="745">
        <v>0</v>
      </c>
      <c r="T64" s="745">
        <v>42713</v>
      </c>
      <c r="U64" s="739"/>
      <c r="V64" s="740"/>
      <c r="W64" s="740">
        <f t="shared" si="0"/>
        <v>3189</v>
      </c>
      <c r="X64" s="740">
        <v>452</v>
      </c>
      <c r="Y64" s="740">
        <v>633</v>
      </c>
      <c r="Z64" s="740">
        <v>38439</v>
      </c>
      <c r="AA64" s="740"/>
      <c r="AB64" s="740"/>
      <c r="AC64" s="740"/>
      <c r="AD64" s="740"/>
      <c r="AE64" s="740"/>
      <c r="AF64" s="742">
        <f t="shared" si="1"/>
        <v>42713</v>
      </c>
    </row>
    <row r="65" spans="1:32">
      <c r="A65" s="737" t="s">
        <v>1682</v>
      </c>
      <c r="B65" s="745">
        <v>23</v>
      </c>
      <c r="C65" s="745">
        <v>23</v>
      </c>
      <c r="D65" s="745">
        <v>1</v>
      </c>
      <c r="E65" s="745" t="s">
        <v>1661</v>
      </c>
      <c r="F65" s="745" t="s">
        <v>1598</v>
      </c>
      <c r="G65" s="745" t="s">
        <v>1707</v>
      </c>
      <c r="H65" s="745" t="s">
        <v>1601</v>
      </c>
      <c r="I65" s="745" t="s">
        <v>1601</v>
      </c>
      <c r="J65" s="745" t="s">
        <v>1612</v>
      </c>
      <c r="K65" s="745" t="s">
        <v>1603</v>
      </c>
      <c r="L65" s="745" t="s">
        <v>1605</v>
      </c>
      <c r="M65" s="745" t="s">
        <v>1605</v>
      </c>
      <c r="N65" s="745">
        <v>0</v>
      </c>
      <c r="O65" s="745">
        <v>100</v>
      </c>
      <c r="P65" s="745">
        <v>100</v>
      </c>
      <c r="Q65" s="745">
        <v>918</v>
      </c>
      <c r="R65" s="745">
        <v>107</v>
      </c>
      <c r="S65" s="745">
        <v>0</v>
      </c>
      <c r="T65" s="745">
        <v>1025</v>
      </c>
      <c r="U65" s="739"/>
      <c r="V65" s="740"/>
      <c r="W65" s="740">
        <f t="shared" si="0"/>
        <v>107</v>
      </c>
      <c r="X65" s="740">
        <v>7</v>
      </c>
      <c r="Y65" s="740">
        <v>10</v>
      </c>
      <c r="Z65" s="740"/>
      <c r="AA65" s="740">
        <v>901</v>
      </c>
      <c r="AB65" s="740"/>
      <c r="AC65" s="740"/>
      <c r="AD65" s="740"/>
      <c r="AE65" s="740"/>
      <c r="AF65" s="742">
        <f t="shared" si="1"/>
        <v>1025</v>
      </c>
    </row>
    <row r="66" spans="1:32">
      <c r="A66" s="737" t="s">
        <v>1682</v>
      </c>
      <c r="B66" s="745">
        <v>24</v>
      </c>
      <c r="C66" s="745">
        <v>24</v>
      </c>
      <c r="D66" s="745">
        <v>1</v>
      </c>
      <c r="E66" s="745" t="s">
        <v>1663</v>
      </c>
      <c r="F66" s="745" t="s">
        <v>1598</v>
      </c>
      <c r="G66" s="745" t="s">
        <v>1708</v>
      </c>
      <c r="H66" s="745" t="s">
        <v>1601</v>
      </c>
      <c r="I66" s="745" t="s">
        <v>1709</v>
      </c>
      <c r="J66" s="745" t="s">
        <v>1618</v>
      </c>
      <c r="K66" s="745" t="s">
        <v>1603</v>
      </c>
      <c r="L66" s="745" t="s">
        <v>1605</v>
      </c>
      <c r="M66" s="745" t="s">
        <v>1604</v>
      </c>
      <c r="N66" s="745">
        <v>0</v>
      </c>
      <c r="O66" s="745">
        <v>4295</v>
      </c>
      <c r="P66" s="745">
        <v>4295</v>
      </c>
      <c r="Q66" s="745">
        <v>39742</v>
      </c>
      <c r="R66" s="745">
        <v>3481</v>
      </c>
      <c r="S66" s="745">
        <v>0</v>
      </c>
      <c r="T66" s="745">
        <v>43223</v>
      </c>
      <c r="U66" s="739"/>
      <c r="V66" s="740"/>
      <c r="W66" s="740">
        <f t="shared" si="0"/>
        <v>3481</v>
      </c>
      <c r="X66" s="740">
        <v>322</v>
      </c>
      <c r="Y66" s="740">
        <v>452</v>
      </c>
      <c r="Z66" s="740"/>
      <c r="AA66" s="740">
        <v>38968</v>
      </c>
      <c r="AB66" s="740"/>
      <c r="AC66" s="740"/>
      <c r="AD66" s="740"/>
      <c r="AE66" s="740"/>
      <c r="AF66" s="742">
        <f t="shared" si="1"/>
        <v>43223</v>
      </c>
    </row>
    <row r="67" spans="1:32">
      <c r="A67" s="737" t="s">
        <v>1682</v>
      </c>
      <c r="B67" s="745">
        <v>25</v>
      </c>
      <c r="C67" s="745">
        <v>25</v>
      </c>
      <c r="D67" s="745">
        <v>1</v>
      </c>
      <c r="E67" s="745" t="s">
        <v>1665</v>
      </c>
      <c r="F67" s="745" t="s">
        <v>1598</v>
      </c>
      <c r="G67" s="745" t="s">
        <v>1708</v>
      </c>
      <c r="H67" s="745" t="s">
        <v>1709</v>
      </c>
      <c r="I67" s="745" t="s">
        <v>1601</v>
      </c>
      <c r="J67" s="745" t="s">
        <v>1618</v>
      </c>
      <c r="K67" s="745" t="s">
        <v>1603</v>
      </c>
      <c r="L67" s="745" t="s">
        <v>1604</v>
      </c>
      <c r="M67" s="745" t="s">
        <v>1605</v>
      </c>
      <c r="N67" s="745">
        <v>0</v>
      </c>
      <c r="O67" s="745">
        <v>957</v>
      </c>
      <c r="P67" s="745">
        <v>957</v>
      </c>
      <c r="Q67" s="745">
        <v>21214</v>
      </c>
      <c r="R67" s="745">
        <v>936</v>
      </c>
      <c r="S67" s="745">
        <v>0</v>
      </c>
      <c r="T67" s="745">
        <v>22150</v>
      </c>
      <c r="U67" s="739"/>
      <c r="V67" s="740"/>
      <c r="W67" s="740">
        <f t="shared" si="0"/>
        <v>936</v>
      </c>
      <c r="X67" s="740">
        <v>191</v>
      </c>
      <c r="Y67" s="740">
        <v>267</v>
      </c>
      <c r="Z67" s="740">
        <v>0</v>
      </c>
      <c r="AA67" s="740">
        <v>20756</v>
      </c>
      <c r="AB67" s="740"/>
      <c r="AC67" s="740"/>
      <c r="AD67" s="740"/>
      <c r="AE67" s="740"/>
      <c r="AF67" s="742">
        <f t="shared" si="1"/>
        <v>22150</v>
      </c>
    </row>
    <row r="68" spans="1:32">
      <c r="A68" s="737" t="s">
        <v>1682</v>
      </c>
      <c r="B68" s="745">
        <v>26</v>
      </c>
      <c r="C68" s="745">
        <v>26</v>
      </c>
      <c r="D68" s="745">
        <v>1</v>
      </c>
      <c r="E68" s="745" t="s">
        <v>1668</v>
      </c>
      <c r="F68" s="745" t="s">
        <v>1598</v>
      </c>
      <c r="G68" s="745" t="s">
        <v>1710</v>
      </c>
      <c r="H68" s="745" t="s">
        <v>1601</v>
      </c>
      <c r="I68" s="745" t="s">
        <v>1709</v>
      </c>
      <c r="J68" s="745" t="s">
        <v>1618</v>
      </c>
      <c r="K68" s="745" t="s">
        <v>1603</v>
      </c>
      <c r="L68" s="745" t="s">
        <v>1605</v>
      </c>
      <c r="M68" s="745" t="s">
        <v>1604</v>
      </c>
      <c r="N68" s="745">
        <v>0</v>
      </c>
      <c r="O68" s="745">
        <v>0</v>
      </c>
      <c r="P68" s="745">
        <v>0</v>
      </c>
      <c r="Q68" s="745">
        <v>5</v>
      </c>
      <c r="R68" s="745">
        <v>0</v>
      </c>
      <c r="S68" s="745">
        <v>0</v>
      </c>
      <c r="T68" s="745">
        <v>5</v>
      </c>
      <c r="U68" s="739"/>
      <c r="V68" s="740"/>
      <c r="W68" s="740">
        <f t="shared" si="0"/>
        <v>0</v>
      </c>
      <c r="X68" s="740">
        <v>0</v>
      </c>
      <c r="Y68" s="740">
        <v>0</v>
      </c>
      <c r="Z68" s="740">
        <v>0</v>
      </c>
      <c r="AA68" s="740">
        <v>5</v>
      </c>
      <c r="AB68" s="740"/>
      <c r="AC68" s="740"/>
      <c r="AD68" s="740"/>
      <c r="AE68" s="740"/>
      <c r="AF68" s="742">
        <f t="shared" si="1"/>
        <v>5</v>
      </c>
    </row>
    <row r="69" spans="1:32">
      <c r="A69" s="737" t="s">
        <v>1682</v>
      </c>
      <c r="B69" s="745">
        <v>27</v>
      </c>
      <c r="C69" s="745">
        <v>27</v>
      </c>
      <c r="D69" s="745">
        <v>1</v>
      </c>
      <c r="E69" s="745" t="s">
        <v>1671</v>
      </c>
      <c r="F69" s="745" t="s">
        <v>1598</v>
      </c>
      <c r="G69" s="745" t="s">
        <v>1710</v>
      </c>
      <c r="H69" s="745" t="s">
        <v>1709</v>
      </c>
      <c r="I69" s="745" t="s">
        <v>1601</v>
      </c>
      <c r="J69" s="745" t="s">
        <v>1618</v>
      </c>
      <c r="K69" s="745" t="s">
        <v>1603</v>
      </c>
      <c r="L69" s="745" t="s">
        <v>1604</v>
      </c>
      <c r="M69" s="745" t="s">
        <v>1605</v>
      </c>
      <c r="N69" s="745">
        <v>0</v>
      </c>
      <c r="O69" s="745">
        <v>42</v>
      </c>
      <c r="P69" s="745">
        <v>42</v>
      </c>
      <c r="Q69" s="745">
        <v>261</v>
      </c>
      <c r="R69" s="745">
        <v>42</v>
      </c>
      <c r="S69" s="745">
        <v>0</v>
      </c>
      <c r="T69" s="745">
        <v>303</v>
      </c>
      <c r="U69" s="739"/>
      <c r="V69" s="740"/>
      <c r="W69" s="740">
        <f t="shared" si="0"/>
        <v>42</v>
      </c>
      <c r="X69" s="740">
        <v>2</v>
      </c>
      <c r="Y69" s="740">
        <v>3</v>
      </c>
      <c r="Z69" s="740"/>
      <c r="AA69" s="740">
        <v>256</v>
      </c>
      <c r="AB69" s="740"/>
      <c r="AC69" s="740"/>
      <c r="AD69" s="740"/>
      <c r="AE69" s="740"/>
      <c r="AF69" s="742">
        <f t="shared" si="1"/>
        <v>303</v>
      </c>
    </row>
    <row r="70" spans="1:32">
      <c r="A70" s="737" t="s">
        <v>1682</v>
      </c>
      <c r="B70" s="745">
        <v>28</v>
      </c>
      <c r="C70" s="745">
        <v>28</v>
      </c>
      <c r="D70" s="745">
        <v>1</v>
      </c>
      <c r="E70" s="745" t="s">
        <v>1672</v>
      </c>
      <c r="F70" s="745" t="s">
        <v>1598</v>
      </c>
      <c r="G70" s="745" t="s">
        <v>1711</v>
      </c>
      <c r="H70" s="745" t="s">
        <v>1617</v>
      </c>
      <c r="I70" s="745" t="s">
        <v>1617</v>
      </c>
      <c r="J70" s="745" t="s">
        <v>1612</v>
      </c>
      <c r="K70" s="745" t="s">
        <v>1603</v>
      </c>
      <c r="L70" s="745" t="s">
        <v>1605</v>
      </c>
      <c r="M70" s="745" t="s">
        <v>1605</v>
      </c>
      <c r="N70" s="745">
        <v>0</v>
      </c>
      <c r="O70" s="745">
        <v>1000</v>
      </c>
      <c r="P70" s="745">
        <v>1000</v>
      </c>
      <c r="Q70" s="745">
        <v>7556</v>
      </c>
      <c r="R70" s="745">
        <v>941</v>
      </c>
      <c r="S70" s="745">
        <v>0</v>
      </c>
      <c r="T70" s="745">
        <v>8497</v>
      </c>
      <c r="U70" s="739"/>
      <c r="V70" s="740"/>
      <c r="W70" s="740">
        <f t="shared" si="0"/>
        <v>941</v>
      </c>
      <c r="X70" s="740">
        <v>59</v>
      </c>
      <c r="Y70" s="740">
        <v>83</v>
      </c>
      <c r="Z70" s="740"/>
      <c r="AA70" s="740">
        <v>7414</v>
      </c>
      <c r="AB70" s="740"/>
      <c r="AC70" s="740"/>
      <c r="AD70" s="740"/>
      <c r="AE70" s="740"/>
      <c r="AF70" s="742">
        <f t="shared" si="1"/>
        <v>8497</v>
      </c>
    </row>
    <row r="71" spans="1:32">
      <c r="A71" s="737" t="s">
        <v>1682</v>
      </c>
      <c r="B71" s="745">
        <v>29</v>
      </c>
      <c r="C71" s="745">
        <v>29</v>
      </c>
      <c r="D71" s="745">
        <v>1</v>
      </c>
      <c r="E71" s="745" t="s">
        <v>1675</v>
      </c>
      <c r="F71" s="745" t="s">
        <v>1598</v>
      </c>
      <c r="G71" s="745" t="s">
        <v>1712</v>
      </c>
      <c r="H71" s="745" t="s">
        <v>1709</v>
      </c>
      <c r="I71" s="745" t="s">
        <v>1607</v>
      </c>
      <c r="J71" s="745" t="s">
        <v>1618</v>
      </c>
      <c r="K71" s="745" t="s">
        <v>1603</v>
      </c>
      <c r="L71" s="745" t="s">
        <v>1604</v>
      </c>
      <c r="M71" s="745" t="s">
        <v>1622</v>
      </c>
      <c r="N71" s="745">
        <v>0</v>
      </c>
      <c r="O71" s="745">
        <v>19</v>
      </c>
      <c r="P71" s="745">
        <v>19</v>
      </c>
      <c r="Q71" s="745">
        <v>3367</v>
      </c>
      <c r="R71" s="745">
        <v>19</v>
      </c>
      <c r="S71" s="745">
        <v>0</v>
      </c>
      <c r="T71" s="745">
        <v>3386</v>
      </c>
      <c r="U71" s="739"/>
      <c r="V71" s="740"/>
      <c r="W71" s="740">
        <f t="shared" si="0"/>
        <v>19</v>
      </c>
      <c r="X71" s="740">
        <v>26</v>
      </c>
      <c r="Y71" s="740">
        <v>36</v>
      </c>
      <c r="Z71" s="740"/>
      <c r="AA71" s="740">
        <v>3305</v>
      </c>
      <c r="AB71" s="740"/>
      <c r="AC71" s="740"/>
      <c r="AD71" s="740"/>
      <c r="AE71" s="740"/>
      <c r="AF71" s="742">
        <f t="shared" si="1"/>
        <v>3386</v>
      </c>
    </row>
    <row r="72" spans="1:32">
      <c r="A72" s="737" t="s">
        <v>1682</v>
      </c>
      <c r="B72" s="745">
        <v>30</v>
      </c>
      <c r="C72" s="745">
        <v>30</v>
      </c>
      <c r="D72" s="745">
        <v>1</v>
      </c>
      <c r="E72" s="745" t="s">
        <v>1676</v>
      </c>
      <c r="F72" s="745" t="s">
        <v>1598</v>
      </c>
      <c r="G72" s="745" t="s">
        <v>1712</v>
      </c>
      <c r="H72" s="745" t="s">
        <v>1607</v>
      </c>
      <c r="I72" s="745" t="s">
        <v>1709</v>
      </c>
      <c r="J72" s="745" t="s">
        <v>1618</v>
      </c>
      <c r="K72" s="745" t="s">
        <v>1603</v>
      </c>
      <c r="L72" s="745" t="s">
        <v>1622</v>
      </c>
      <c r="M72" s="745" t="s">
        <v>1604</v>
      </c>
      <c r="N72" s="745">
        <v>0</v>
      </c>
      <c r="O72" s="745">
        <v>270</v>
      </c>
      <c r="P72" s="745">
        <v>270</v>
      </c>
      <c r="Q72" s="745">
        <v>1847</v>
      </c>
      <c r="R72" s="745">
        <v>219</v>
      </c>
      <c r="S72" s="745">
        <v>0</v>
      </c>
      <c r="T72" s="745">
        <v>2066</v>
      </c>
      <c r="U72" s="739"/>
      <c r="V72" s="740"/>
      <c r="W72" s="740">
        <f t="shared" si="0"/>
        <v>219</v>
      </c>
      <c r="X72" s="740">
        <v>16</v>
      </c>
      <c r="Y72" s="740">
        <v>23</v>
      </c>
      <c r="Z72" s="740"/>
      <c r="AA72" s="740">
        <v>1808</v>
      </c>
      <c r="AB72" s="740"/>
      <c r="AC72" s="740"/>
      <c r="AD72" s="740"/>
      <c r="AE72" s="740"/>
      <c r="AF72" s="742">
        <f t="shared" si="1"/>
        <v>2066</v>
      </c>
    </row>
    <row r="73" spans="1:32">
      <c r="A73" s="737" t="s">
        <v>1682</v>
      </c>
      <c r="B73" s="745">
        <v>31</v>
      </c>
      <c r="C73" s="745">
        <v>31</v>
      </c>
      <c r="D73" s="745">
        <v>1</v>
      </c>
      <c r="E73" s="745" t="s">
        <v>1677</v>
      </c>
      <c r="F73" s="745" t="s">
        <v>1598</v>
      </c>
      <c r="G73" s="745" t="s">
        <v>1712</v>
      </c>
      <c r="H73" s="745" t="s">
        <v>1617</v>
      </c>
      <c r="I73" s="745" t="s">
        <v>1709</v>
      </c>
      <c r="J73" s="745" t="s">
        <v>1618</v>
      </c>
      <c r="K73" s="745" t="s">
        <v>1603</v>
      </c>
      <c r="L73" s="745" t="s">
        <v>1605</v>
      </c>
      <c r="M73" s="745" t="s">
        <v>1604</v>
      </c>
      <c r="N73" s="745">
        <v>0</v>
      </c>
      <c r="O73" s="745">
        <v>0</v>
      </c>
      <c r="P73" s="745">
        <v>0</v>
      </c>
      <c r="Q73" s="745">
        <v>61</v>
      </c>
      <c r="R73" s="745">
        <v>0</v>
      </c>
      <c r="S73" s="745">
        <v>0</v>
      </c>
      <c r="T73" s="745">
        <v>61</v>
      </c>
      <c r="U73" s="739"/>
      <c r="V73" s="740"/>
      <c r="W73" s="740">
        <f t="shared" si="0"/>
        <v>0</v>
      </c>
      <c r="X73" s="740">
        <v>0</v>
      </c>
      <c r="Y73" s="740">
        <v>1</v>
      </c>
      <c r="Z73" s="740"/>
      <c r="AA73" s="740">
        <v>60</v>
      </c>
      <c r="AB73" s="740"/>
      <c r="AC73" s="740"/>
      <c r="AD73" s="740"/>
      <c r="AE73" s="740"/>
      <c r="AF73" s="742">
        <f t="shared" si="1"/>
        <v>61</v>
      </c>
    </row>
    <row r="74" spans="1:32">
      <c r="A74" s="737" t="s">
        <v>1682</v>
      </c>
      <c r="B74" s="745">
        <v>32</v>
      </c>
      <c r="C74" s="745">
        <v>32</v>
      </c>
      <c r="D74" s="745">
        <v>1</v>
      </c>
      <c r="E74" s="745" t="s">
        <v>1678</v>
      </c>
      <c r="F74" s="745" t="s">
        <v>1598</v>
      </c>
      <c r="G74" s="745" t="s">
        <v>1712</v>
      </c>
      <c r="H74" s="745" t="s">
        <v>1617</v>
      </c>
      <c r="I74" s="745" t="s">
        <v>1617</v>
      </c>
      <c r="J74" s="745" t="s">
        <v>1618</v>
      </c>
      <c r="K74" s="745" t="s">
        <v>1603</v>
      </c>
      <c r="L74" s="745" t="s">
        <v>1605</v>
      </c>
      <c r="M74" s="745" t="s">
        <v>1605</v>
      </c>
      <c r="N74" s="745">
        <v>0</v>
      </c>
      <c r="O74" s="745">
        <v>170</v>
      </c>
      <c r="P74" s="745">
        <v>170</v>
      </c>
      <c r="Q74" s="745">
        <v>1144</v>
      </c>
      <c r="R74" s="745">
        <v>161</v>
      </c>
      <c r="S74" s="745">
        <v>0</v>
      </c>
      <c r="T74" s="745">
        <v>1305</v>
      </c>
      <c r="U74" s="739"/>
      <c r="V74" s="740"/>
      <c r="W74" s="740">
        <f t="shared" ref="W74:W77" si="4">+R74</f>
        <v>161</v>
      </c>
      <c r="X74" s="740">
        <v>10</v>
      </c>
      <c r="Y74" s="740">
        <v>14</v>
      </c>
      <c r="Z74" s="740"/>
      <c r="AA74" s="740">
        <v>1120</v>
      </c>
      <c r="AB74" s="740"/>
      <c r="AC74" s="740"/>
      <c r="AD74" s="740"/>
      <c r="AE74" s="740"/>
      <c r="AF74" s="742">
        <f t="shared" ref="AF74:AF137" si="5">SUM(U74:AE74)</f>
        <v>1305</v>
      </c>
    </row>
    <row r="75" spans="1:32">
      <c r="A75" s="737" t="s">
        <v>1682</v>
      </c>
      <c r="B75" s="745">
        <v>33</v>
      </c>
      <c r="C75" s="745">
        <v>33</v>
      </c>
      <c r="D75" s="745">
        <v>1</v>
      </c>
      <c r="E75" s="745" t="s">
        <v>1680</v>
      </c>
      <c r="F75" s="745" t="s">
        <v>1598</v>
      </c>
      <c r="G75" s="745" t="s">
        <v>1712</v>
      </c>
      <c r="H75" s="745" t="s">
        <v>1601</v>
      </c>
      <c r="I75" s="745" t="s">
        <v>1601</v>
      </c>
      <c r="J75" s="745" t="s">
        <v>1618</v>
      </c>
      <c r="K75" s="745" t="s">
        <v>1603</v>
      </c>
      <c r="L75" s="745" t="s">
        <v>1613</v>
      </c>
      <c r="M75" s="745" t="s">
        <v>1684</v>
      </c>
      <c r="N75" s="745">
        <v>0</v>
      </c>
      <c r="O75" s="745">
        <v>2400</v>
      </c>
      <c r="P75" s="745">
        <v>2400</v>
      </c>
      <c r="Q75" s="745">
        <v>9881</v>
      </c>
      <c r="R75" s="745">
        <v>1798</v>
      </c>
      <c r="S75" s="745">
        <v>0</v>
      </c>
      <c r="T75" s="745">
        <v>11679</v>
      </c>
      <c r="U75" s="739"/>
      <c r="V75" s="740"/>
      <c r="W75" s="740">
        <f t="shared" si="4"/>
        <v>1798</v>
      </c>
      <c r="X75" s="740">
        <v>113</v>
      </c>
      <c r="Y75" s="740">
        <v>158</v>
      </c>
      <c r="Z75" s="740"/>
      <c r="AA75" s="740">
        <v>9610</v>
      </c>
      <c r="AB75" s="740"/>
      <c r="AC75" s="740"/>
      <c r="AD75" s="740"/>
      <c r="AE75" s="740"/>
      <c r="AF75" s="742">
        <f t="shared" si="5"/>
        <v>11679</v>
      </c>
    </row>
    <row r="76" spans="1:32">
      <c r="A76" s="737" t="s">
        <v>1682</v>
      </c>
      <c r="B76" s="745">
        <v>34</v>
      </c>
      <c r="C76" s="745">
        <v>34</v>
      </c>
      <c r="D76" s="745">
        <v>1</v>
      </c>
      <c r="E76" s="745" t="s">
        <v>1681</v>
      </c>
      <c r="F76" s="745" t="s">
        <v>1598</v>
      </c>
      <c r="G76" s="745" t="s">
        <v>1713</v>
      </c>
      <c r="H76" s="745" t="s">
        <v>1607</v>
      </c>
      <c r="I76" s="745" t="s">
        <v>1709</v>
      </c>
      <c r="J76" s="745" t="s">
        <v>1618</v>
      </c>
      <c r="K76" s="745" t="s">
        <v>1603</v>
      </c>
      <c r="L76" s="745" t="s">
        <v>1622</v>
      </c>
      <c r="M76" s="745" t="s">
        <v>1604</v>
      </c>
      <c r="N76" s="745">
        <v>0</v>
      </c>
      <c r="O76" s="745">
        <v>165</v>
      </c>
      <c r="P76" s="745">
        <v>165</v>
      </c>
      <c r="Q76" s="745">
        <v>952</v>
      </c>
      <c r="R76" s="745">
        <v>156</v>
      </c>
      <c r="S76" s="745">
        <v>0</v>
      </c>
      <c r="T76" s="745">
        <v>1108</v>
      </c>
      <c r="U76" s="739"/>
      <c r="V76" s="740"/>
      <c r="W76" s="740">
        <f t="shared" si="4"/>
        <v>156</v>
      </c>
      <c r="X76" s="740">
        <v>8</v>
      </c>
      <c r="Y76" s="740">
        <v>11</v>
      </c>
      <c r="Z76" s="740"/>
      <c r="AA76" s="740">
        <v>933</v>
      </c>
      <c r="AB76" s="740"/>
      <c r="AC76" s="740"/>
      <c r="AD76" s="740"/>
      <c r="AE76" s="740"/>
      <c r="AF76" s="742">
        <f t="shared" si="5"/>
        <v>1108</v>
      </c>
    </row>
    <row r="77" spans="1:32">
      <c r="A77" s="737" t="s">
        <v>1714</v>
      </c>
      <c r="B77" s="745">
        <v>1</v>
      </c>
      <c r="C77" s="745">
        <v>1</v>
      </c>
      <c r="D77" s="745">
        <v>2</v>
      </c>
      <c r="E77" s="745" t="s">
        <v>1597</v>
      </c>
      <c r="F77" s="745" t="s">
        <v>1598</v>
      </c>
      <c r="G77" s="745" t="s">
        <v>1713</v>
      </c>
      <c r="H77" s="745" t="s">
        <v>1601</v>
      </c>
      <c r="I77" s="745" t="s">
        <v>1709</v>
      </c>
      <c r="J77" s="745" t="s">
        <v>1618</v>
      </c>
      <c r="K77" s="745" t="s">
        <v>1603</v>
      </c>
      <c r="L77" s="745" t="s">
        <v>1605</v>
      </c>
      <c r="M77" s="745" t="s">
        <v>1604</v>
      </c>
      <c r="N77" s="745">
        <v>0</v>
      </c>
      <c r="O77" s="745">
        <v>1405</v>
      </c>
      <c r="P77" s="745">
        <v>1405</v>
      </c>
      <c r="Q77" s="745">
        <v>7861</v>
      </c>
      <c r="R77" s="745">
        <v>1206</v>
      </c>
      <c r="S77" s="745">
        <v>0</v>
      </c>
      <c r="T77" s="745">
        <v>9067</v>
      </c>
      <c r="U77" s="739"/>
      <c r="V77" s="740"/>
      <c r="W77" s="740">
        <f t="shared" si="4"/>
        <v>1206</v>
      </c>
      <c r="X77" s="740">
        <v>67</v>
      </c>
      <c r="Y77" s="740">
        <v>94</v>
      </c>
      <c r="Z77" s="740"/>
      <c r="AA77" s="740">
        <v>7700</v>
      </c>
      <c r="AB77" s="740"/>
      <c r="AC77" s="740"/>
      <c r="AD77" s="740"/>
      <c r="AE77" s="740"/>
      <c r="AF77" s="742">
        <f t="shared" si="5"/>
        <v>9067</v>
      </c>
    </row>
    <row r="78" spans="1:32">
      <c r="A78" s="737" t="s">
        <v>1714</v>
      </c>
      <c r="B78" s="745">
        <v>2</v>
      </c>
      <c r="C78" s="745">
        <v>2</v>
      </c>
      <c r="D78" s="745">
        <v>2</v>
      </c>
      <c r="E78" s="745" t="s">
        <v>1606</v>
      </c>
      <c r="F78" s="745" t="s">
        <v>1598</v>
      </c>
      <c r="G78" s="745" t="s">
        <v>1715</v>
      </c>
      <c r="H78" s="745" t="s">
        <v>1716</v>
      </c>
      <c r="I78" s="745" t="s">
        <v>1716</v>
      </c>
      <c r="J78" s="745" t="s">
        <v>1648</v>
      </c>
      <c r="K78" s="745" t="s">
        <v>1603</v>
      </c>
      <c r="L78" s="745" t="s">
        <v>1598</v>
      </c>
      <c r="M78" s="745" t="s">
        <v>1598</v>
      </c>
      <c r="N78" s="745">
        <v>0</v>
      </c>
      <c r="O78" s="745">
        <v>238494</v>
      </c>
      <c r="P78" s="745">
        <v>238494</v>
      </c>
      <c r="Q78" s="745">
        <v>993468</v>
      </c>
      <c r="R78" s="745">
        <v>17800</v>
      </c>
      <c r="S78" s="745">
        <v>67329</v>
      </c>
      <c r="T78" s="745">
        <v>1078597</v>
      </c>
      <c r="U78" s="739">
        <f>T78</f>
        <v>1078597</v>
      </c>
      <c r="V78" s="740"/>
      <c r="W78" s="740"/>
      <c r="X78" s="740"/>
      <c r="Y78" s="740"/>
      <c r="Z78" s="740"/>
      <c r="AA78" s="740"/>
      <c r="AB78" s="740"/>
      <c r="AC78" s="740"/>
      <c r="AD78" s="740"/>
      <c r="AE78" s="740"/>
      <c r="AF78" s="742">
        <f t="shared" si="5"/>
        <v>1078597</v>
      </c>
    </row>
    <row r="79" spans="1:32">
      <c r="A79" s="737" t="s">
        <v>1714</v>
      </c>
      <c r="B79" s="745">
        <v>3</v>
      </c>
      <c r="C79" s="745">
        <v>3</v>
      </c>
      <c r="D79" s="745">
        <v>2</v>
      </c>
      <c r="E79" s="745" t="s">
        <v>1609</v>
      </c>
      <c r="F79" s="745" t="s">
        <v>1598</v>
      </c>
      <c r="G79" s="745" t="s">
        <v>1717</v>
      </c>
      <c r="H79" s="745" t="s">
        <v>1718</v>
      </c>
      <c r="I79" s="745" t="s">
        <v>1718</v>
      </c>
      <c r="J79" s="745" t="s">
        <v>1648</v>
      </c>
      <c r="K79" s="745" t="s">
        <v>1603</v>
      </c>
      <c r="L79" s="745" t="s">
        <v>1598</v>
      </c>
      <c r="M79" s="745" t="s">
        <v>1598</v>
      </c>
      <c r="N79" s="745">
        <v>0</v>
      </c>
      <c r="O79" s="745">
        <v>385824</v>
      </c>
      <c r="P79" s="745">
        <v>385824</v>
      </c>
      <c r="Q79" s="745">
        <v>2923124</v>
      </c>
      <c r="R79" s="745">
        <v>42678</v>
      </c>
      <c r="S79" s="745">
        <v>0</v>
      </c>
      <c r="T79" s="745">
        <v>2965802</v>
      </c>
      <c r="U79" s="739">
        <f>T79</f>
        <v>2965802</v>
      </c>
      <c r="V79" s="740"/>
      <c r="W79" s="740"/>
      <c r="X79" s="740"/>
      <c r="Y79" s="740"/>
      <c r="Z79" s="740"/>
      <c r="AA79" s="740"/>
      <c r="AB79" s="740"/>
      <c r="AC79" s="740"/>
      <c r="AD79" s="740"/>
      <c r="AE79" s="740"/>
      <c r="AF79" s="742">
        <f t="shared" si="5"/>
        <v>2965802</v>
      </c>
    </row>
    <row r="80" spans="1:32">
      <c r="A80" s="737" t="s">
        <v>1714</v>
      </c>
      <c r="B80" s="745">
        <v>4</v>
      </c>
      <c r="C80" s="745">
        <v>4</v>
      </c>
      <c r="D80" s="745">
        <v>2</v>
      </c>
      <c r="E80" s="745" t="s">
        <v>1615</v>
      </c>
      <c r="F80" s="745" t="s">
        <v>1598</v>
      </c>
      <c r="G80" s="745" t="s">
        <v>1719</v>
      </c>
      <c r="H80" s="745" t="s">
        <v>1607</v>
      </c>
      <c r="I80" s="745" t="s">
        <v>1601</v>
      </c>
      <c r="J80" s="745" t="s">
        <v>1618</v>
      </c>
      <c r="K80" s="745" t="s">
        <v>1603</v>
      </c>
      <c r="L80" s="745" t="s">
        <v>1622</v>
      </c>
      <c r="M80" s="745" t="s">
        <v>1605</v>
      </c>
      <c r="N80" s="745">
        <v>0</v>
      </c>
      <c r="O80" s="745">
        <v>100</v>
      </c>
      <c r="P80" s="745">
        <v>100</v>
      </c>
      <c r="Q80" s="745">
        <v>540</v>
      </c>
      <c r="R80" s="745">
        <v>81</v>
      </c>
      <c r="S80" s="745">
        <v>0</v>
      </c>
      <c r="T80" s="745">
        <v>621</v>
      </c>
      <c r="U80" s="739"/>
      <c r="V80" s="740"/>
      <c r="W80" s="740">
        <f t="shared" ref="W80:W142" si="6">+R80</f>
        <v>81</v>
      </c>
      <c r="X80" s="740">
        <v>5</v>
      </c>
      <c r="Y80" s="740">
        <v>7</v>
      </c>
      <c r="Z80" s="740"/>
      <c r="AA80" s="740">
        <v>528</v>
      </c>
      <c r="AB80" s="740"/>
      <c r="AC80" s="740"/>
      <c r="AD80" s="740"/>
      <c r="AE80" s="740"/>
      <c r="AF80" s="742">
        <f t="shared" si="5"/>
        <v>621</v>
      </c>
    </row>
    <row r="81" spans="1:32">
      <c r="A81" s="737" t="s">
        <v>1714</v>
      </c>
      <c r="B81" s="745">
        <v>5</v>
      </c>
      <c r="C81" s="745">
        <v>5</v>
      </c>
      <c r="D81" s="745">
        <v>2</v>
      </c>
      <c r="E81" s="745" t="s">
        <v>1619</v>
      </c>
      <c r="F81" s="745" t="s">
        <v>1598</v>
      </c>
      <c r="G81" s="745" t="s">
        <v>1719</v>
      </c>
      <c r="H81" s="745" t="s">
        <v>1601</v>
      </c>
      <c r="I81" s="745" t="s">
        <v>1601</v>
      </c>
      <c r="J81" s="745" t="s">
        <v>1618</v>
      </c>
      <c r="K81" s="745" t="s">
        <v>1603</v>
      </c>
      <c r="L81" s="745" t="s">
        <v>1605</v>
      </c>
      <c r="M81" s="745" t="s">
        <v>1605</v>
      </c>
      <c r="N81" s="745">
        <v>0</v>
      </c>
      <c r="O81" s="745">
        <v>100</v>
      </c>
      <c r="P81" s="745">
        <v>100</v>
      </c>
      <c r="Q81" s="745">
        <v>545</v>
      </c>
      <c r="R81" s="745">
        <v>85</v>
      </c>
      <c r="S81" s="745">
        <v>0</v>
      </c>
      <c r="T81" s="745">
        <v>630</v>
      </c>
      <c r="U81" s="739"/>
      <c r="V81" s="740"/>
      <c r="W81" s="740">
        <f t="shared" si="6"/>
        <v>85</v>
      </c>
      <c r="X81" s="740">
        <v>5</v>
      </c>
      <c r="Y81" s="740">
        <v>7</v>
      </c>
      <c r="Z81" s="740"/>
      <c r="AA81" s="740">
        <v>533</v>
      </c>
      <c r="AB81" s="740"/>
      <c r="AC81" s="740"/>
      <c r="AD81" s="740"/>
      <c r="AE81" s="740"/>
      <c r="AF81" s="742">
        <f t="shared" si="5"/>
        <v>630</v>
      </c>
    </row>
    <row r="82" spans="1:32">
      <c r="A82" s="737" t="s">
        <v>1714</v>
      </c>
      <c r="B82" s="745">
        <v>6</v>
      </c>
      <c r="C82" s="745">
        <v>6</v>
      </c>
      <c r="D82" s="745">
        <v>2</v>
      </c>
      <c r="E82" s="745" t="s">
        <v>1621</v>
      </c>
      <c r="F82" s="745" t="s">
        <v>1598</v>
      </c>
      <c r="G82" s="745" t="s">
        <v>1720</v>
      </c>
      <c r="H82" s="745" t="s">
        <v>1601</v>
      </c>
      <c r="I82" s="745" t="s">
        <v>1601</v>
      </c>
      <c r="J82" s="745" t="s">
        <v>1618</v>
      </c>
      <c r="K82" s="745" t="s">
        <v>1603</v>
      </c>
      <c r="L82" s="745" t="s">
        <v>1605</v>
      </c>
      <c r="M82" s="745" t="s">
        <v>1605</v>
      </c>
      <c r="N82" s="745">
        <v>0</v>
      </c>
      <c r="O82" s="745">
        <v>3665</v>
      </c>
      <c r="P82" s="745">
        <v>3665</v>
      </c>
      <c r="Q82" s="745">
        <v>22930</v>
      </c>
      <c r="R82" s="745">
        <v>3198</v>
      </c>
      <c r="S82" s="745">
        <v>0</v>
      </c>
      <c r="T82" s="745">
        <v>26128</v>
      </c>
      <c r="U82" s="739"/>
      <c r="V82" s="740"/>
      <c r="W82" s="740">
        <f t="shared" si="6"/>
        <v>3198</v>
      </c>
      <c r="X82" s="740">
        <v>183</v>
      </c>
      <c r="Y82" s="740">
        <v>258</v>
      </c>
      <c r="Z82" s="740"/>
      <c r="AA82" s="740">
        <v>22489</v>
      </c>
      <c r="AB82" s="740"/>
      <c r="AC82" s="740"/>
      <c r="AD82" s="740"/>
      <c r="AE82" s="740"/>
      <c r="AF82" s="742">
        <f t="shared" si="5"/>
        <v>26128</v>
      </c>
    </row>
    <row r="83" spans="1:32">
      <c r="A83" s="737" t="s">
        <v>1714</v>
      </c>
      <c r="B83" s="745">
        <v>7</v>
      </c>
      <c r="C83" s="745">
        <v>7</v>
      </c>
      <c r="D83" s="745">
        <v>2</v>
      </c>
      <c r="E83" s="745" t="s">
        <v>1623</v>
      </c>
      <c r="F83" s="745" t="s">
        <v>1598</v>
      </c>
      <c r="G83" s="745" t="s">
        <v>1720</v>
      </c>
      <c r="H83" s="745" t="s">
        <v>1601</v>
      </c>
      <c r="I83" s="745" t="s">
        <v>1709</v>
      </c>
      <c r="J83" s="745" t="s">
        <v>1618</v>
      </c>
      <c r="K83" s="745" t="s">
        <v>1603</v>
      </c>
      <c r="L83" s="745" t="s">
        <v>1605</v>
      </c>
      <c r="M83" s="745" t="s">
        <v>1604</v>
      </c>
      <c r="N83" s="745">
        <v>0</v>
      </c>
      <c r="O83" s="745">
        <v>98</v>
      </c>
      <c r="P83" s="745">
        <v>98</v>
      </c>
      <c r="Q83" s="745">
        <v>524</v>
      </c>
      <c r="R83" s="745">
        <v>78</v>
      </c>
      <c r="S83" s="745">
        <v>0</v>
      </c>
      <c r="T83" s="745">
        <v>602</v>
      </c>
      <c r="U83" s="739"/>
      <c r="V83" s="740"/>
      <c r="W83" s="740">
        <f t="shared" si="6"/>
        <v>78</v>
      </c>
      <c r="X83" s="740">
        <v>5</v>
      </c>
      <c r="Y83" s="740">
        <v>6</v>
      </c>
      <c r="Z83" s="740"/>
      <c r="AA83" s="740">
        <v>513</v>
      </c>
      <c r="AB83" s="740"/>
      <c r="AC83" s="740"/>
      <c r="AD83" s="740"/>
      <c r="AE83" s="740"/>
      <c r="AF83" s="742">
        <f t="shared" si="5"/>
        <v>602</v>
      </c>
    </row>
    <row r="84" spans="1:32">
      <c r="A84" s="737" t="s">
        <v>1714</v>
      </c>
      <c r="B84" s="745">
        <v>8</v>
      </c>
      <c r="C84" s="745">
        <v>8</v>
      </c>
      <c r="D84" s="745">
        <v>2</v>
      </c>
      <c r="E84" s="745" t="s">
        <v>1625</v>
      </c>
      <c r="F84" s="745" t="s">
        <v>1598</v>
      </c>
      <c r="G84" s="745" t="s">
        <v>1720</v>
      </c>
      <c r="H84" s="745" t="s">
        <v>1709</v>
      </c>
      <c r="I84" s="745" t="s">
        <v>1601</v>
      </c>
      <c r="J84" s="745" t="s">
        <v>1618</v>
      </c>
      <c r="K84" s="745" t="s">
        <v>1603</v>
      </c>
      <c r="L84" s="745" t="s">
        <v>1604</v>
      </c>
      <c r="M84" s="745" t="s">
        <v>1605</v>
      </c>
      <c r="N84" s="745">
        <v>0</v>
      </c>
      <c r="O84" s="745">
        <v>386</v>
      </c>
      <c r="P84" s="745">
        <v>386</v>
      </c>
      <c r="Q84" s="745">
        <v>2693</v>
      </c>
      <c r="R84" s="745">
        <v>360</v>
      </c>
      <c r="S84" s="745">
        <v>0</v>
      </c>
      <c r="T84" s="745">
        <v>3053</v>
      </c>
      <c r="U84" s="739"/>
      <c r="V84" s="740"/>
      <c r="W84" s="740">
        <f t="shared" si="6"/>
        <v>360</v>
      </c>
      <c r="X84" s="740">
        <v>21</v>
      </c>
      <c r="Y84" s="740">
        <v>29</v>
      </c>
      <c r="Z84" s="740"/>
      <c r="AA84" s="740">
        <v>2643</v>
      </c>
      <c r="AB84" s="740"/>
      <c r="AC84" s="740"/>
      <c r="AD84" s="740"/>
      <c r="AE84" s="740"/>
      <c r="AF84" s="742">
        <f t="shared" si="5"/>
        <v>3053</v>
      </c>
    </row>
    <row r="85" spans="1:32">
      <c r="A85" s="737" t="s">
        <v>1714</v>
      </c>
      <c r="B85" s="745">
        <v>9</v>
      </c>
      <c r="C85" s="745">
        <v>9</v>
      </c>
      <c r="D85" s="745">
        <v>2</v>
      </c>
      <c r="E85" s="745" t="s">
        <v>1629</v>
      </c>
      <c r="F85" s="745" t="s">
        <v>1598</v>
      </c>
      <c r="G85" s="745" t="s">
        <v>1720</v>
      </c>
      <c r="H85" s="745" t="s">
        <v>1601</v>
      </c>
      <c r="I85" s="745" t="s">
        <v>1601</v>
      </c>
      <c r="J85" s="745" t="s">
        <v>1618</v>
      </c>
      <c r="K85" s="745" t="s">
        <v>1603</v>
      </c>
      <c r="L85" s="745" t="s">
        <v>1613</v>
      </c>
      <c r="M85" s="745" t="s">
        <v>1684</v>
      </c>
      <c r="N85" s="745">
        <v>0</v>
      </c>
      <c r="O85" s="745">
        <v>180</v>
      </c>
      <c r="P85" s="745">
        <v>180</v>
      </c>
      <c r="Q85" s="745">
        <v>1230</v>
      </c>
      <c r="R85" s="745">
        <v>331</v>
      </c>
      <c r="S85" s="745">
        <v>0</v>
      </c>
      <c r="T85" s="745">
        <v>1561</v>
      </c>
      <c r="U85" s="739"/>
      <c r="V85" s="740"/>
      <c r="W85" s="740">
        <f t="shared" si="6"/>
        <v>331</v>
      </c>
      <c r="X85" s="740">
        <v>9</v>
      </c>
      <c r="Y85" s="740">
        <v>13</v>
      </c>
      <c r="Z85" s="740"/>
      <c r="AA85" s="740">
        <v>1208</v>
      </c>
      <c r="AB85" s="740"/>
      <c r="AC85" s="740"/>
      <c r="AD85" s="740"/>
      <c r="AE85" s="740"/>
      <c r="AF85" s="742">
        <f t="shared" si="5"/>
        <v>1561</v>
      </c>
    </row>
    <row r="86" spans="1:32">
      <c r="A86" s="737" t="s">
        <v>1714</v>
      </c>
      <c r="B86" s="745">
        <v>10</v>
      </c>
      <c r="C86" s="745">
        <v>10</v>
      </c>
      <c r="D86" s="745">
        <v>2</v>
      </c>
      <c r="E86" s="745" t="s">
        <v>1632</v>
      </c>
      <c r="F86" s="745" t="s">
        <v>1598</v>
      </c>
      <c r="G86" s="745" t="s">
        <v>1721</v>
      </c>
      <c r="H86" s="745" t="s">
        <v>1601</v>
      </c>
      <c r="I86" s="745" t="s">
        <v>1601</v>
      </c>
      <c r="J86" s="745" t="s">
        <v>1612</v>
      </c>
      <c r="K86" s="745" t="s">
        <v>1603</v>
      </c>
      <c r="L86" s="745" t="s">
        <v>1613</v>
      </c>
      <c r="M86" s="745" t="s">
        <v>1684</v>
      </c>
      <c r="N86" s="745">
        <v>0</v>
      </c>
      <c r="O86" s="745">
        <v>208</v>
      </c>
      <c r="P86" s="745">
        <v>208</v>
      </c>
      <c r="Q86" s="745">
        <v>1285</v>
      </c>
      <c r="R86" s="745">
        <v>270</v>
      </c>
      <c r="S86" s="745">
        <v>0</v>
      </c>
      <c r="T86" s="745">
        <v>1555</v>
      </c>
      <c r="U86" s="739"/>
      <c r="V86" s="740"/>
      <c r="W86" s="740">
        <f t="shared" si="6"/>
        <v>270</v>
      </c>
      <c r="X86" s="740">
        <v>15</v>
      </c>
      <c r="Y86" s="740">
        <v>21</v>
      </c>
      <c r="Z86" s="740">
        <v>1249</v>
      </c>
      <c r="AA86" s="740"/>
      <c r="AB86" s="740"/>
      <c r="AC86" s="740"/>
      <c r="AD86" s="740"/>
      <c r="AE86" s="740"/>
      <c r="AF86" s="742">
        <f t="shared" si="5"/>
        <v>1555</v>
      </c>
    </row>
    <row r="87" spans="1:32">
      <c r="A87" s="737" t="s">
        <v>1714</v>
      </c>
      <c r="B87" s="745">
        <v>11</v>
      </c>
      <c r="C87" s="745">
        <v>11</v>
      </c>
      <c r="D87" s="745">
        <v>2</v>
      </c>
      <c r="E87" s="745" t="s">
        <v>1633</v>
      </c>
      <c r="F87" s="745" t="s">
        <v>1598</v>
      </c>
      <c r="G87" s="745" t="s">
        <v>1722</v>
      </c>
      <c r="H87" s="745" t="s">
        <v>1607</v>
      </c>
      <c r="I87" s="745" t="s">
        <v>1601</v>
      </c>
      <c r="J87" s="745" t="s">
        <v>1612</v>
      </c>
      <c r="K87" s="745" t="s">
        <v>1603</v>
      </c>
      <c r="L87" s="745" t="s">
        <v>1622</v>
      </c>
      <c r="M87" s="745" t="s">
        <v>1605</v>
      </c>
      <c r="N87" s="745">
        <v>0</v>
      </c>
      <c r="O87" s="745">
        <v>10</v>
      </c>
      <c r="P87" s="745">
        <v>10</v>
      </c>
      <c r="Q87" s="745">
        <v>1166</v>
      </c>
      <c r="R87" s="745">
        <v>0</v>
      </c>
      <c r="S87" s="745">
        <v>0</v>
      </c>
      <c r="T87" s="745">
        <v>1166</v>
      </c>
      <c r="U87" s="739"/>
      <c r="V87" s="740"/>
      <c r="W87" s="740">
        <f t="shared" si="6"/>
        <v>0</v>
      </c>
      <c r="X87" s="740">
        <v>13</v>
      </c>
      <c r="Y87" s="740"/>
      <c r="Z87" s="740"/>
      <c r="AA87" s="740">
        <v>1153</v>
      </c>
      <c r="AB87" s="740"/>
      <c r="AC87" s="740"/>
      <c r="AD87" s="740"/>
      <c r="AE87" s="740"/>
      <c r="AF87" s="742">
        <f t="shared" si="5"/>
        <v>1166</v>
      </c>
    </row>
    <row r="88" spans="1:32">
      <c r="A88" s="737" t="s">
        <v>1714</v>
      </c>
      <c r="B88" s="745">
        <v>12</v>
      </c>
      <c r="C88" s="745">
        <v>12</v>
      </c>
      <c r="D88" s="745">
        <v>2</v>
      </c>
      <c r="E88" s="745" t="s">
        <v>1634</v>
      </c>
      <c r="F88" s="745" t="s">
        <v>1598</v>
      </c>
      <c r="G88" s="745" t="s">
        <v>1723</v>
      </c>
      <c r="H88" s="745" t="s">
        <v>1607</v>
      </c>
      <c r="I88" s="745" t="s">
        <v>1601</v>
      </c>
      <c r="J88" s="745" t="s">
        <v>1618</v>
      </c>
      <c r="K88" s="745" t="s">
        <v>1603</v>
      </c>
      <c r="L88" s="745" t="s">
        <v>1622</v>
      </c>
      <c r="M88" s="745" t="s">
        <v>1605</v>
      </c>
      <c r="N88" s="745">
        <v>0</v>
      </c>
      <c r="O88" s="745">
        <v>304</v>
      </c>
      <c r="P88" s="745">
        <v>304</v>
      </c>
      <c r="Q88" s="745">
        <v>2490</v>
      </c>
      <c r="R88" s="745">
        <v>0</v>
      </c>
      <c r="S88" s="745">
        <v>0</v>
      </c>
      <c r="T88" s="745">
        <v>2490</v>
      </c>
      <c r="U88" s="739"/>
      <c r="V88" s="740"/>
      <c r="W88" s="740">
        <f t="shared" si="6"/>
        <v>0</v>
      </c>
      <c r="X88" s="740">
        <v>24</v>
      </c>
      <c r="Y88" s="740"/>
      <c r="Z88" s="740"/>
      <c r="AA88" s="740">
        <v>2466</v>
      </c>
      <c r="AB88" s="740"/>
      <c r="AC88" s="740"/>
      <c r="AD88" s="740"/>
      <c r="AE88" s="740"/>
      <c r="AF88" s="742">
        <f t="shared" si="5"/>
        <v>2490</v>
      </c>
    </row>
    <row r="89" spans="1:32">
      <c r="A89" s="737" t="s">
        <v>1714</v>
      </c>
      <c r="B89" s="745">
        <v>13</v>
      </c>
      <c r="C89" s="745">
        <v>13</v>
      </c>
      <c r="D89" s="745">
        <v>2</v>
      </c>
      <c r="E89" s="745" t="s">
        <v>1636</v>
      </c>
      <c r="F89" s="745" t="s">
        <v>1598</v>
      </c>
      <c r="G89" s="745" t="s">
        <v>1723</v>
      </c>
      <c r="H89" s="745" t="s">
        <v>1607</v>
      </c>
      <c r="I89" s="745" t="s">
        <v>1601</v>
      </c>
      <c r="J89" s="745" t="s">
        <v>1618</v>
      </c>
      <c r="K89" s="745" t="s">
        <v>1603</v>
      </c>
      <c r="L89" s="745" t="s">
        <v>1622</v>
      </c>
      <c r="M89" s="745" t="s">
        <v>1605</v>
      </c>
      <c r="N89" s="745">
        <v>0</v>
      </c>
      <c r="O89" s="745">
        <v>750</v>
      </c>
      <c r="P89" s="745">
        <v>750</v>
      </c>
      <c r="Q89" s="745">
        <v>28120</v>
      </c>
      <c r="R89" s="745">
        <v>0</v>
      </c>
      <c r="S89" s="745">
        <v>0</v>
      </c>
      <c r="T89" s="745">
        <v>28120</v>
      </c>
      <c r="U89" s="739"/>
      <c r="V89" s="740"/>
      <c r="W89" s="740">
        <f t="shared" si="6"/>
        <v>0</v>
      </c>
      <c r="X89" s="740">
        <v>218</v>
      </c>
      <c r="Y89" s="740"/>
      <c r="Z89" s="740"/>
      <c r="AA89" s="740">
        <v>27902</v>
      </c>
      <c r="AB89" s="740"/>
      <c r="AC89" s="740"/>
      <c r="AD89" s="740"/>
      <c r="AE89" s="740"/>
      <c r="AF89" s="742">
        <f t="shared" si="5"/>
        <v>28120</v>
      </c>
    </row>
    <row r="90" spans="1:32">
      <c r="A90" s="737" t="s">
        <v>1714</v>
      </c>
      <c r="B90" s="745">
        <v>14</v>
      </c>
      <c r="C90" s="745">
        <v>14</v>
      </c>
      <c r="D90" s="745">
        <v>2</v>
      </c>
      <c r="E90" s="745" t="s">
        <v>1637</v>
      </c>
      <c r="F90" s="745" t="s">
        <v>1598</v>
      </c>
      <c r="G90" s="745" t="s">
        <v>1723</v>
      </c>
      <c r="H90" s="745" t="s">
        <v>1607</v>
      </c>
      <c r="I90" s="745" t="s">
        <v>1659</v>
      </c>
      <c r="J90" s="745" t="s">
        <v>1618</v>
      </c>
      <c r="K90" s="745" t="s">
        <v>1603</v>
      </c>
      <c r="L90" s="745" t="s">
        <v>1622</v>
      </c>
      <c r="M90" s="745" t="s">
        <v>1660</v>
      </c>
      <c r="N90" s="745">
        <v>0</v>
      </c>
      <c r="O90" s="745">
        <v>87</v>
      </c>
      <c r="P90" s="745">
        <v>87</v>
      </c>
      <c r="Q90" s="745">
        <v>592</v>
      </c>
      <c r="R90" s="745">
        <v>0</v>
      </c>
      <c r="S90" s="745">
        <v>0</v>
      </c>
      <c r="T90" s="745">
        <v>592</v>
      </c>
      <c r="U90" s="739"/>
      <c r="V90" s="740"/>
      <c r="W90" s="740">
        <f t="shared" si="6"/>
        <v>0</v>
      </c>
      <c r="X90" s="740">
        <v>5</v>
      </c>
      <c r="Y90" s="740"/>
      <c r="Z90" s="740"/>
      <c r="AA90" s="740">
        <v>587</v>
      </c>
      <c r="AB90" s="740"/>
      <c r="AC90" s="740"/>
      <c r="AD90" s="740"/>
      <c r="AE90" s="740"/>
      <c r="AF90" s="742">
        <f t="shared" si="5"/>
        <v>592</v>
      </c>
    </row>
    <row r="91" spans="1:32">
      <c r="A91" s="737" t="s">
        <v>1714</v>
      </c>
      <c r="B91" s="745">
        <v>15</v>
      </c>
      <c r="C91" s="745">
        <v>15</v>
      </c>
      <c r="D91" s="745">
        <v>2</v>
      </c>
      <c r="E91" s="745" t="s">
        <v>1638</v>
      </c>
      <c r="F91" s="745" t="s">
        <v>1598</v>
      </c>
      <c r="G91" s="745" t="s">
        <v>1723</v>
      </c>
      <c r="H91" s="745" t="s">
        <v>1601</v>
      </c>
      <c r="I91" s="745" t="s">
        <v>1601</v>
      </c>
      <c r="J91" s="745" t="s">
        <v>1618</v>
      </c>
      <c r="K91" s="745" t="s">
        <v>1603</v>
      </c>
      <c r="L91" s="745" t="s">
        <v>1605</v>
      </c>
      <c r="M91" s="745" t="s">
        <v>1605</v>
      </c>
      <c r="N91" s="745">
        <v>0</v>
      </c>
      <c r="O91" s="745">
        <v>0</v>
      </c>
      <c r="P91" s="745">
        <v>0</v>
      </c>
      <c r="Q91" s="745">
        <v>4865</v>
      </c>
      <c r="R91" s="745">
        <v>0</v>
      </c>
      <c r="S91" s="745">
        <v>0</v>
      </c>
      <c r="T91" s="745">
        <v>4865</v>
      </c>
      <c r="U91" s="739"/>
      <c r="V91" s="740"/>
      <c r="W91" s="740">
        <f t="shared" si="6"/>
        <v>0</v>
      </c>
      <c r="X91" s="740">
        <v>61</v>
      </c>
      <c r="Y91" s="740"/>
      <c r="Z91" s="740"/>
      <c r="AA91" s="740">
        <v>4804</v>
      </c>
      <c r="AB91" s="740"/>
      <c r="AC91" s="740"/>
      <c r="AD91" s="740"/>
      <c r="AE91" s="740"/>
      <c r="AF91" s="742">
        <f t="shared" si="5"/>
        <v>4865</v>
      </c>
    </row>
    <row r="92" spans="1:32">
      <c r="A92" s="737" t="s">
        <v>1714</v>
      </c>
      <c r="B92" s="745">
        <v>16</v>
      </c>
      <c r="C92" s="745">
        <v>16</v>
      </c>
      <c r="D92" s="745">
        <v>2</v>
      </c>
      <c r="E92" s="745" t="s">
        <v>1639</v>
      </c>
      <c r="F92" s="745" t="s">
        <v>1598</v>
      </c>
      <c r="G92" s="745" t="s">
        <v>1723</v>
      </c>
      <c r="H92" s="745" t="s">
        <v>1724</v>
      </c>
      <c r="I92" s="745" t="s">
        <v>1659</v>
      </c>
      <c r="J92" s="745" t="s">
        <v>1618</v>
      </c>
      <c r="K92" s="745" t="s">
        <v>1603</v>
      </c>
      <c r="L92" s="745" t="s">
        <v>1725</v>
      </c>
      <c r="M92" s="745" t="s">
        <v>1683</v>
      </c>
      <c r="N92" s="745">
        <v>0</v>
      </c>
      <c r="O92" s="745">
        <v>0</v>
      </c>
      <c r="P92" s="745">
        <v>0</v>
      </c>
      <c r="Q92" s="745">
        <v>3403</v>
      </c>
      <c r="R92" s="745">
        <v>0</v>
      </c>
      <c r="S92" s="745">
        <v>0</v>
      </c>
      <c r="T92" s="745">
        <v>3403</v>
      </c>
      <c r="U92" s="739"/>
      <c r="V92" s="740"/>
      <c r="W92" s="740">
        <f t="shared" si="6"/>
        <v>0</v>
      </c>
      <c r="X92" s="740">
        <v>40</v>
      </c>
      <c r="Y92" s="740"/>
      <c r="Z92" s="740"/>
      <c r="AA92" s="740">
        <v>3363</v>
      </c>
      <c r="AB92" s="740"/>
      <c r="AC92" s="740"/>
      <c r="AD92" s="740"/>
      <c r="AE92" s="740"/>
      <c r="AF92" s="742">
        <f t="shared" si="5"/>
        <v>3403</v>
      </c>
    </row>
    <row r="93" spans="1:32">
      <c r="A93" s="737" t="s">
        <v>1714</v>
      </c>
      <c r="B93" s="745">
        <v>17</v>
      </c>
      <c r="C93" s="745">
        <v>17</v>
      </c>
      <c r="D93" s="745">
        <v>2</v>
      </c>
      <c r="E93" s="745" t="s">
        <v>1640</v>
      </c>
      <c r="F93" s="745" t="s">
        <v>1598</v>
      </c>
      <c r="G93" s="745" t="s">
        <v>1723</v>
      </c>
      <c r="H93" s="745" t="s">
        <v>1607</v>
      </c>
      <c r="I93" s="745" t="s">
        <v>1724</v>
      </c>
      <c r="J93" s="745" t="s">
        <v>1618</v>
      </c>
      <c r="K93" s="745" t="s">
        <v>1603</v>
      </c>
      <c r="L93" s="745" t="s">
        <v>1622</v>
      </c>
      <c r="M93" s="745" t="s">
        <v>1685</v>
      </c>
      <c r="N93" s="745">
        <v>0</v>
      </c>
      <c r="O93" s="745">
        <v>50</v>
      </c>
      <c r="P93" s="745">
        <v>50</v>
      </c>
      <c r="Q93" s="745">
        <v>269</v>
      </c>
      <c r="R93" s="745">
        <v>0</v>
      </c>
      <c r="S93" s="745">
        <v>0</v>
      </c>
      <c r="T93" s="745">
        <v>269</v>
      </c>
      <c r="U93" s="739"/>
      <c r="V93" s="740"/>
      <c r="W93" s="740">
        <f t="shared" si="6"/>
        <v>0</v>
      </c>
      <c r="X93" s="740">
        <v>2</v>
      </c>
      <c r="Y93" s="740"/>
      <c r="Z93" s="740"/>
      <c r="AA93" s="740">
        <v>267</v>
      </c>
      <c r="AB93" s="740"/>
      <c r="AC93" s="740"/>
      <c r="AD93" s="740"/>
      <c r="AE93" s="740"/>
      <c r="AF93" s="742">
        <f t="shared" si="5"/>
        <v>269</v>
      </c>
    </row>
    <row r="94" spans="1:32">
      <c r="A94" s="737" t="s">
        <v>1714</v>
      </c>
      <c r="B94" s="745">
        <v>18</v>
      </c>
      <c r="C94" s="745">
        <v>18</v>
      </c>
      <c r="D94" s="745">
        <v>2</v>
      </c>
      <c r="E94" s="745" t="s">
        <v>1641</v>
      </c>
      <c r="F94" s="745" t="s">
        <v>1598</v>
      </c>
      <c r="G94" s="745" t="s">
        <v>1723</v>
      </c>
      <c r="H94" s="745" t="s">
        <v>1724</v>
      </c>
      <c r="I94" s="745" t="s">
        <v>1659</v>
      </c>
      <c r="J94" s="745" t="s">
        <v>1618</v>
      </c>
      <c r="K94" s="745" t="s">
        <v>1603</v>
      </c>
      <c r="L94" s="745" t="s">
        <v>1725</v>
      </c>
      <c r="M94" s="745" t="s">
        <v>1683</v>
      </c>
      <c r="N94" s="745">
        <v>0</v>
      </c>
      <c r="O94" s="745">
        <v>0</v>
      </c>
      <c r="P94" s="745">
        <v>0</v>
      </c>
      <c r="Q94" s="745">
        <v>2239</v>
      </c>
      <c r="R94" s="745">
        <v>0</v>
      </c>
      <c r="S94" s="745">
        <v>0</v>
      </c>
      <c r="T94" s="745">
        <v>2239</v>
      </c>
      <c r="U94" s="739"/>
      <c r="V94" s="740"/>
      <c r="W94" s="740">
        <f t="shared" si="6"/>
        <v>0</v>
      </c>
      <c r="X94" s="740">
        <v>17</v>
      </c>
      <c r="Y94" s="740"/>
      <c r="Z94" s="740"/>
      <c r="AA94" s="740">
        <v>2222</v>
      </c>
      <c r="AB94" s="740"/>
      <c r="AC94" s="740"/>
      <c r="AD94" s="740"/>
      <c r="AE94" s="740"/>
      <c r="AF94" s="742">
        <f t="shared" si="5"/>
        <v>2239</v>
      </c>
    </row>
    <row r="95" spans="1:32">
      <c r="A95" s="737" t="s">
        <v>1714</v>
      </c>
      <c r="B95" s="745">
        <v>19</v>
      </c>
      <c r="C95" s="745">
        <v>19</v>
      </c>
      <c r="D95" s="745">
        <v>2</v>
      </c>
      <c r="E95" s="745" t="s">
        <v>1645</v>
      </c>
      <c r="F95" s="745" t="s">
        <v>1598</v>
      </c>
      <c r="G95" s="745" t="s">
        <v>1723</v>
      </c>
      <c r="H95" s="745" t="s">
        <v>1702</v>
      </c>
      <c r="I95" s="745" t="s">
        <v>1607</v>
      </c>
      <c r="J95" s="745" t="s">
        <v>1618</v>
      </c>
      <c r="K95" s="745" t="s">
        <v>1603</v>
      </c>
      <c r="L95" s="745" t="s">
        <v>1653</v>
      </c>
      <c r="M95" s="745" t="s">
        <v>1622</v>
      </c>
      <c r="N95" s="745">
        <v>0</v>
      </c>
      <c r="O95" s="745">
        <v>286</v>
      </c>
      <c r="P95" s="745">
        <v>286</v>
      </c>
      <c r="Q95" s="745">
        <v>2358</v>
      </c>
      <c r="R95" s="745">
        <v>0</v>
      </c>
      <c r="S95" s="745">
        <v>0</v>
      </c>
      <c r="T95" s="745">
        <v>2358</v>
      </c>
      <c r="U95" s="739"/>
      <c r="V95" s="740"/>
      <c r="W95" s="740">
        <f t="shared" si="6"/>
        <v>0</v>
      </c>
      <c r="X95" s="740">
        <v>21</v>
      </c>
      <c r="Y95" s="740"/>
      <c r="Z95" s="740"/>
      <c r="AA95" s="740">
        <v>2337</v>
      </c>
      <c r="AB95" s="740"/>
      <c r="AC95" s="740"/>
      <c r="AD95" s="740"/>
      <c r="AE95" s="740"/>
      <c r="AF95" s="742">
        <f t="shared" si="5"/>
        <v>2358</v>
      </c>
    </row>
    <row r="96" spans="1:32">
      <c r="A96" s="737" t="s">
        <v>1714</v>
      </c>
      <c r="B96" s="745">
        <v>20</v>
      </c>
      <c r="C96" s="745">
        <v>20</v>
      </c>
      <c r="D96" s="745">
        <v>2</v>
      </c>
      <c r="E96" s="745" t="s">
        <v>1649</v>
      </c>
      <c r="F96" s="745" t="s">
        <v>1598</v>
      </c>
      <c r="G96" s="745" t="s">
        <v>1723</v>
      </c>
      <c r="H96" s="745" t="s">
        <v>1601</v>
      </c>
      <c r="I96" s="745" t="s">
        <v>1607</v>
      </c>
      <c r="J96" s="745" t="s">
        <v>1618</v>
      </c>
      <c r="K96" s="745" t="s">
        <v>1603</v>
      </c>
      <c r="L96" s="745" t="s">
        <v>1605</v>
      </c>
      <c r="M96" s="745" t="s">
        <v>1622</v>
      </c>
      <c r="N96" s="745">
        <v>0</v>
      </c>
      <c r="O96" s="745">
        <v>75</v>
      </c>
      <c r="P96" s="745">
        <v>75</v>
      </c>
      <c r="Q96" s="745">
        <v>400</v>
      </c>
      <c r="R96" s="745">
        <v>0</v>
      </c>
      <c r="S96" s="745">
        <v>0</v>
      </c>
      <c r="T96" s="745">
        <v>400</v>
      </c>
      <c r="U96" s="739"/>
      <c r="V96" s="740"/>
      <c r="W96" s="740">
        <f t="shared" si="6"/>
        <v>0</v>
      </c>
      <c r="X96" s="740">
        <v>4</v>
      </c>
      <c r="Y96" s="740"/>
      <c r="Z96" s="740"/>
      <c r="AA96" s="740">
        <v>396</v>
      </c>
      <c r="AB96" s="740"/>
      <c r="AC96" s="740"/>
      <c r="AD96" s="740"/>
      <c r="AE96" s="740"/>
      <c r="AF96" s="742">
        <f t="shared" si="5"/>
        <v>400</v>
      </c>
    </row>
    <row r="97" spans="1:32">
      <c r="A97" s="737" t="s">
        <v>1714</v>
      </c>
      <c r="B97" s="745">
        <v>21</v>
      </c>
      <c r="C97" s="745">
        <v>21</v>
      </c>
      <c r="D97" s="745">
        <v>2</v>
      </c>
      <c r="E97" s="745" t="s">
        <v>1654</v>
      </c>
      <c r="F97" s="745" t="s">
        <v>1598</v>
      </c>
      <c r="G97" s="745" t="s">
        <v>1723</v>
      </c>
      <c r="H97" s="745" t="s">
        <v>1724</v>
      </c>
      <c r="I97" s="745" t="s">
        <v>1607</v>
      </c>
      <c r="J97" s="745" t="s">
        <v>1618</v>
      </c>
      <c r="K97" s="745" t="s">
        <v>1603</v>
      </c>
      <c r="L97" s="745" t="s">
        <v>1685</v>
      </c>
      <c r="M97" s="745" t="s">
        <v>1622</v>
      </c>
      <c r="N97" s="745">
        <v>0</v>
      </c>
      <c r="O97" s="745">
        <v>25</v>
      </c>
      <c r="P97" s="745">
        <v>25</v>
      </c>
      <c r="Q97" s="745">
        <v>133</v>
      </c>
      <c r="R97" s="745">
        <v>0</v>
      </c>
      <c r="S97" s="745">
        <v>0</v>
      </c>
      <c r="T97" s="745">
        <v>133</v>
      </c>
      <c r="U97" s="739"/>
      <c r="V97" s="740"/>
      <c r="W97" s="740">
        <f t="shared" si="6"/>
        <v>0</v>
      </c>
      <c r="X97" s="740">
        <v>1</v>
      </c>
      <c r="Y97" s="740"/>
      <c r="Z97" s="740"/>
      <c r="AA97" s="740">
        <v>132</v>
      </c>
      <c r="AB97" s="740"/>
      <c r="AC97" s="740"/>
      <c r="AD97" s="740"/>
      <c r="AE97" s="740"/>
      <c r="AF97" s="742">
        <f t="shared" si="5"/>
        <v>133</v>
      </c>
    </row>
    <row r="98" spans="1:32">
      <c r="A98" s="737" t="s">
        <v>1714</v>
      </c>
      <c r="B98" s="745">
        <v>22</v>
      </c>
      <c r="C98" s="745">
        <v>22</v>
      </c>
      <c r="D98" s="745">
        <v>2</v>
      </c>
      <c r="E98" s="745" t="s">
        <v>1657</v>
      </c>
      <c r="F98" s="745" t="s">
        <v>1598</v>
      </c>
      <c r="G98" s="745" t="s">
        <v>1723</v>
      </c>
      <c r="H98" s="745" t="s">
        <v>1611</v>
      </c>
      <c r="I98" s="745" t="s">
        <v>1601</v>
      </c>
      <c r="J98" s="745" t="s">
        <v>1618</v>
      </c>
      <c r="K98" s="745" t="s">
        <v>1603</v>
      </c>
      <c r="L98" s="745" t="s">
        <v>1613</v>
      </c>
      <c r="M98" s="745" t="s">
        <v>1684</v>
      </c>
      <c r="N98" s="745">
        <v>0</v>
      </c>
      <c r="O98" s="745">
        <v>0</v>
      </c>
      <c r="P98" s="745">
        <v>0</v>
      </c>
      <c r="Q98" s="745">
        <v>2987</v>
      </c>
      <c r="R98" s="745">
        <v>0</v>
      </c>
      <c r="S98" s="745">
        <v>0</v>
      </c>
      <c r="T98" s="745">
        <v>2987</v>
      </c>
      <c r="U98" s="739"/>
      <c r="V98" s="740"/>
      <c r="W98" s="740">
        <f t="shared" si="6"/>
        <v>0</v>
      </c>
      <c r="X98" s="740">
        <v>26</v>
      </c>
      <c r="Y98" s="740"/>
      <c r="Z98" s="740"/>
      <c r="AA98" s="740">
        <v>2961</v>
      </c>
      <c r="AB98" s="740"/>
      <c r="AC98" s="740"/>
      <c r="AD98" s="740"/>
      <c r="AE98" s="740"/>
      <c r="AF98" s="742">
        <f t="shared" si="5"/>
        <v>2987</v>
      </c>
    </row>
    <row r="99" spans="1:32">
      <c r="A99" s="737" t="s">
        <v>1714</v>
      </c>
      <c r="B99" s="745">
        <v>23</v>
      </c>
      <c r="C99" s="745">
        <v>23</v>
      </c>
      <c r="D99" s="745">
        <v>2</v>
      </c>
      <c r="E99" s="745" t="s">
        <v>1661</v>
      </c>
      <c r="F99" s="745" t="s">
        <v>1598</v>
      </c>
      <c r="G99" s="745" t="s">
        <v>1722</v>
      </c>
      <c r="H99" s="745" t="s">
        <v>1611</v>
      </c>
      <c r="I99" s="745" t="s">
        <v>1601</v>
      </c>
      <c r="J99" s="745" t="s">
        <v>1612</v>
      </c>
      <c r="K99" s="745" t="s">
        <v>1603</v>
      </c>
      <c r="L99" s="745" t="s">
        <v>1613</v>
      </c>
      <c r="M99" s="745" t="s">
        <v>1684</v>
      </c>
      <c r="N99" s="745">
        <v>0</v>
      </c>
      <c r="O99" s="745">
        <v>373</v>
      </c>
      <c r="P99" s="745">
        <v>373</v>
      </c>
      <c r="Q99" s="745">
        <v>36266</v>
      </c>
      <c r="R99" s="745">
        <v>0</v>
      </c>
      <c r="S99" s="745">
        <v>0</v>
      </c>
      <c r="T99" s="745">
        <v>36266</v>
      </c>
      <c r="U99" s="739"/>
      <c r="V99" s="740"/>
      <c r="W99" s="740">
        <f t="shared" si="6"/>
        <v>0</v>
      </c>
      <c r="X99" s="740">
        <v>421</v>
      </c>
      <c r="Y99" s="740"/>
      <c r="Z99" s="740"/>
      <c r="AA99" s="740">
        <v>35845</v>
      </c>
      <c r="AB99" s="740"/>
      <c r="AC99" s="740"/>
      <c r="AD99" s="740"/>
      <c r="AE99" s="740"/>
      <c r="AF99" s="742">
        <f t="shared" si="5"/>
        <v>36266</v>
      </c>
    </row>
    <row r="100" spans="1:32">
      <c r="A100" s="737" t="s">
        <v>1714</v>
      </c>
      <c r="B100" s="745">
        <v>24</v>
      </c>
      <c r="C100" s="745">
        <v>24</v>
      </c>
      <c r="D100" s="745">
        <v>2</v>
      </c>
      <c r="E100" s="745" t="s">
        <v>1663</v>
      </c>
      <c r="F100" s="745" t="s">
        <v>1598</v>
      </c>
      <c r="G100" s="745" t="s">
        <v>1723</v>
      </c>
      <c r="H100" s="745" t="s">
        <v>1724</v>
      </c>
      <c r="I100" s="745" t="s">
        <v>1607</v>
      </c>
      <c r="J100" s="745" t="s">
        <v>1618</v>
      </c>
      <c r="K100" s="745" t="s">
        <v>1603</v>
      </c>
      <c r="L100" s="745" t="s">
        <v>1725</v>
      </c>
      <c r="M100" s="745" t="s">
        <v>1622</v>
      </c>
      <c r="N100" s="745">
        <v>0</v>
      </c>
      <c r="O100" s="745">
        <v>4</v>
      </c>
      <c r="P100" s="745">
        <v>4</v>
      </c>
      <c r="Q100" s="745">
        <v>24</v>
      </c>
      <c r="R100" s="745">
        <v>0</v>
      </c>
      <c r="S100" s="745">
        <v>0</v>
      </c>
      <c r="T100" s="745">
        <v>24</v>
      </c>
      <c r="U100" s="739"/>
      <c r="V100" s="740"/>
      <c r="W100" s="740">
        <f t="shared" si="6"/>
        <v>0</v>
      </c>
      <c r="X100" s="740">
        <v>0</v>
      </c>
      <c r="Y100" s="740"/>
      <c r="Z100" s="740"/>
      <c r="AA100" s="740">
        <v>24</v>
      </c>
      <c r="AB100" s="740"/>
      <c r="AC100" s="740"/>
      <c r="AD100" s="740"/>
      <c r="AE100" s="740"/>
      <c r="AF100" s="742">
        <f t="shared" si="5"/>
        <v>24</v>
      </c>
    </row>
    <row r="101" spans="1:32">
      <c r="A101" s="737" t="s">
        <v>1714</v>
      </c>
      <c r="B101" s="745">
        <v>25</v>
      </c>
      <c r="C101" s="745">
        <v>25</v>
      </c>
      <c r="D101" s="745">
        <v>2</v>
      </c>
      <c r="E101" s="745" t="s">
        <v>1665</v>
      </c>
      <c r="F101" s="745" t="s">
        <v>1598</v>
      </c>
      <c r="G101" s="745" t="s">
        <v>1723</v>
      </c>
      <c r="H101" s="745" t="s">
        <v>1659</v>
      </c>
      <c r="I101" s="745" t="s">
        <v>1607</v>
      </c>
      <c r="J101" s="745" t="s">
        <v>1618</v>
      </c>
      <c r="K101" s="745" t="s">
        <v>1603</v>
      </c>
      <c r="L101" s="745" t="s">
        <v>1674</v>
      </c>
      <c r="M101" s="745" t="s">
        <v>1726</v>
      </c>
      <c r="N101" s="745">
        <v>0</v>
      </c>
      <c r="O101" s="745">
        <v>30</v>
      </c>
      <c r="P101" s="745">
        <v>30</v>
      </c>
      <c r="Q101" s="745">
        <v>182</v>
      </c>
      <c r="R101" s="745">
        <v>0</v>
      </c>
      <c r="S101" s="745">
        <v>0</v>
      </c>
      <c r="T101" s="745">
        <v>182</v>
      </c>
      <c r="U101" s="739"/>
      <c r="V101" s="740"/>
      <c r="W101" s="740">
        <f t="shared" si="6"/>
        <v>0</v>
      </c>
      <c r="X101" s="740">
        <v>1</v>
      </c>
      <c r="Y101" s="740"/>
      <c r="Z101" s="740"/>
      <c r="AA101" s="740">
        <v>181</v>
      </c>
      <c r="AB101" s="740"/>
      <c r="AC101" s="740"/>
      <c r="AD101" s="740"/>
      <c r="AE101" s="740"/>
      <c r="AF101" s="742">
        <f t="shared" si="5"/>
        <v>182</v>
      </c>
    </row>
    <row r="102" spans="1:32">
      <c r="A102" s="737" t="s">
        <v>1714</v>
      </c>
      <c r="B102" s="745">
        <v>26</v>
      </c>
      <c r="C102" s="745">
        <v>26</v>
      </c>
      <c r="D102" s="745">
        <v>2</v>
      </c>
      <c r="E102" s="745" t="s">
        <v>1668</v>
      </c>
      <c r="F102" s="745" t="s">
        <v>1598</v>
      </c>
      <c r="G102" s="745" t="s">
        <v>1723</v>
      </c>
      <c r="H102" s="745" t="s">
        <v>1607</v>
      </c>
      <c r="I102" s="745" t="s">
        <v>1702</v>
      </c>
      <c r="J102" s="745" t="s">
        <v>1618</v>
      </c>
      <c r="K102" s="745" t="s">
        <v>1603</v>
      </c>
      <c r="L102" s="745" t="s">
        <v>1622</v>
      </c>
      <c r="M102" s="745" t="s">
        <v>1653</v>
      </c>
      <c r="N102" s="745">
        <v>0</v>
      </c>
      <c r="O102" s="745">
        <v>664</v>
      </c>
      <c r="P102" s="745">
        <v>664</v>
      </c>
      <c r="Q102" s="745">
        <v>4021</v>
      </c>
      <c r="R102" s="745">
        <v>0</v>
      </c>
      <c r="S102" s="745">
        <v>0</v>
      </c>
      <c r="T102" s="745">
        <v>4021</v>
      </c>
      <c r="U102" s="739"/>
      <c r="V102" s="740"/>
      <c r="W102" s="740">
        <f t="shared" si="6"/>
        <v>0</v>
      </c>
      <c r="X102" s="740">
        <v>31</v>
      </c>
      <c r="Y102" s="740"/>
      <c r="Z102" s="740"/>
      <c r="AA102" s="740">
        <v>3990</v>
      </c>
      <c r="AB102" s="740"/>
      <c r="AC102" s="740"/>
      <c r="AD102" s="740"/>
      <c r="AE102" s="740"/>
      <c r="AF102" s="742">
        <f t="shared" si="5"/>
        <v>4021</v>
      </c>
    </row>
    <row r="103" spans="1:32">
      <c r="A103" s="737" t="s">
        <v>1714</v>
      </c>
      <c r="B103" s="745">
        <v>27</v>
      </c>
      <c r="C103" s="745">
        <v>27</v>
      </c>
      <c r="D103" s="745">
        <v>2</v>
      </c>
      <c r="E103" s="745" t="s">
        <v>1671</v>
      </c>
      <c r="F103" s="745" t="s">
        <v>1598</v>
      </c>
      <c r="G103" s="745" t="s">
        <v>1723</v>
      </c>
      <c r="H103" s="745" t="s">
        <v>1607</v>
      </c>
      <c r="I103" s="745" t="s">
        <v>1702</v>
      </c>
      <c r="J103" s="745" t="s">
        <v>1618</v>
      </c>
      <c r="K103" s="745" t="s">
        <v>1603</v>
      </c>
      <c r="L103" s="745" t="s">
        <v>1622</v>
      </c>
      <c r="M103" s="745" t="s">
        <v>1653</v>
      </c>
      <c r="N103" s="745">
        <v>0</v>
      </c>
      <c r="O103" s="745">
        <v>5</v>
      </c>
      <c r="P103" s="745">
        <v>5</v>
      </c>
      <c r="Q103" s="745">
        <v>486</v>
      </c>
      <c r="R103" s="745">
        <v>0</v>
      </c>
      <c r="S103" s="745">
        <v>0</v>
      </c>
      <c r="T103" s="745">
        <v>486</v>
      </c>
      <c r="U103" s="739"/>
      <c r="V103" s="740"/>
      <c r="W103" s="740">
        <f t="shared" si="6"/>
        <v>0</v>
      </c>
      <c r="X103" s="740">
        <v>6</v>
      </c>
      <c r="Y103" s="740"/>
      <c r="Z103" s="740"/>
      <c r="AA103" s="740">
        <v>480</v>
      </c>
      <c r="AB103" s="740"/>
      <c r="AC103" s="740"/>
      <c r="AD103" s="740"/>
      <c r="AE103" s="740"/>
      <c r="AF103" s="742">
        <f t="shared" si="5"/>
        <v>486</v>
      </c>
    </row>
    <row r="104" spans="1:32">
      <c r="A104" s="737" t="s">
        <v>1714</v>
      </c>
      <c r="B104" s="745">
        <v>28</v>
      </c>
      <c r="C104" s="745">
        <v>28</v>
      </c>
      <c r="D104" s="745">
        <v>2</v>
      </c>
      <c r="E104" s="745" t="s">
        <v>1672</v>
      </c>
      <c r="F104" s="745" t="s">
        <v>1598</v>
      </c>
      <c r="G104" s="745" t="s">
        <v>1723</v>
      </c>
      <c r="H104" s="745" t="s">
        <v>1702</v>
      </c>
      <c r="I104" s="745" t="s">
        <v>1601</v>
      </c>
      <c r="J104" s="745" t="s">
        <v>1618</v>
      </c>
      <c r="K104" s="745" t="s">
        <v>1603</v>
      </c>
      <c r="L104" s="745" t="s">
        <v>1653</v>
      </c>
      <c r="M104" s="745" t="s">
        <v>1605</v>
      </c>
      <c r="N104" s="745">
        <v>0</v>
      </c>
      <c r="O104" s="745">
        <v>5</v>
      </c>
      <c r="P104" s="745">
        <v>5</v>
      </c>
      <c r="Q104" s="745">
        <v>486</v>
      </c>
      <c r="R104" s="745">
        <v>0</v>
      </c>
      <c r="S104" s="745">
        <v>0</v>
      </c>
      <c r="T104" s="745">
        <v>486</v>
      </c>
      <c r="U104" s="739"/>
      <c r="V104" s="740"/>
      <c r="W104" s="740">
        <f t="shared" si="6"/>
        <v>0</v>
      </c>
      <c r="X104" s="740">
        <v>6</v>
      </c>
      <c r="Y104" s="740"/>
      <c r="Z104" s="740"/>
      <c r="AA104" s="740">
        <v>480</v>
      </c>
      <c r="AB104" s="740"/>
      <c r="AC104" s="740"/>
      <c r="AD104" s="740"/>
      <c r="AE104" s="740"/>
      <c r="AF104" s="742">
        <f t="shared" si="5"/>
        <v>486</v>
      </c>
    </row>
    <row r="105" spans="1:32">
      <c r="A105" s="737" t="s">
        <v>1714</v>
      </c>
      <c r="B105" s="745">
        <v>29</v>
      </c>
      <c r="C105" s="745">
        <v>29</v>
      </c>
      <c r="D105" s="745">
        <v>2</v>
      </c>
      <c r="E105" s="745" t="s">
        <v>1675</v>
      </c>
      <c r="F105" s="745" t="s">
        <v>1598</v>
      </c>
      <c r="G105" s="745" t="s">
        <v>1723</v>
      </c>
      <c r="H105" s="745" t="s">
        <v>1702</v>
      </c>
      <c r="I105" s="745" t="s">
        <v>1601</v>
      </c>
      <c r="J105" s="745" t="s">
        <v>1618</v>
      </c>
      <c r="K105" s="745" t="s">
        <v>1603</v>
      </c>
      <c r="L105" s="745" t="s">
        <v>1653</v>
      </c>
      <c r="M105" s="745" t="s">
        <v>1605</v>
      </c>
      <c r="N105" s="745">
        <v>0</v>
      </c>
      <c r="O105" s="745">
        <v>614</v>
      </c>
      <c r="P105" s="745">
        <v>614</v>
      </c>
      <c r="Q105" s="745">
        <v>3718</v>
      </c>
      <c r="R105" s="745">
        <v>0</v>
      </c>
      <c r="S105" s="745">
        <v>0</v>
      </c>
      <c r="T105" s="745">
        <v>3718</v>
      </c>
      <c r="U105" s="739"/>
      <c r="V105" s="740"/>
      <c r="W105" s="740">
        <f t="shared" si="6"/>
        <v>0</v>
      </c>
      <c r="X105" s="740">
        <v>29</v>
      </c>
      <c r="Y105" s="740"/>
      <c r="Z105" s="740"/>
      <c r="AA105" s="740">
        <v>3689</v>
      </c>
      <c r="AB105" s="740"/>
      <c r="AC105" s="740"/>
      <c r="AD105" s="740"/>
      <c r="AE105" s="740"/>
      <c r="AF105" s="742">
        <f t="shared" si="5"/>
        <v>3718</v>
      </c>
    </row>
    <row r="106" spans="1:32">
      <c r="A106" s="737" t="s">
        <v>1714</v>
      </c>
      <c r="B106" s="745">
        <v>30</v>
      </c>
      <c r="C106" s="745">
        <v>30</v>
      </c>
      <c r="D106" s="745">
        <v>2</v>
      </c>
      <c r="E106" s="745" t="s">
        <v>1676</v>
      </c>
      <c r="F106" s="745" t="s">
        <v>1598</v>
      </c>
      <c r="G106" s="745" t="s">
        <v>1723</v>
      </c>
      <c r="H106" s="745" t="s">
        <v>1724</v>
      </c>
      <c r="I106" s="745" t="s">
        <v>1601</v>
      </c>
      <c r="J106" s="745" t="s">
        <v>1618</v>
      </c>
      <c r="K106" s="745" t="s">
        <v>1603</v>
      </c>
      <c r="L106" s="745" t="s">
        <v>1670</v>
      </c>
      <c r="M106" s="745" t="s">
        <v>1622</v>
      </c>
      <c r="N106" s="745">
        <v>0</v>
      </c>
      <c r="O106" s="745">
        <v>0</v>
      </c>
      <c r="P106" s="745">
        <v>0</v>
      </c>
      <c r="Q106" s="745">
        <v>4553</v>
      </c>
      <c r="R106" s="745">
        <v>0</v>
      </c>
      <c r="S106" s="745">
        <v>0</v>
      </c>
      <c r="T106" s="745">
        <v>4553</v>
      </c>
      <c r="U106" s="739"/>
      <c r="V106" s="740"/>
      <c r="W106" s="740">
        <f t="shared" si="6"/>
        <v>0</v>
      </c>
      <c r="X106" s="740">
        <v>35</v>
      </c>
      <c r="Y106" s="740"/>
      <c r="Z106" s="740"/>
      <c r="AA106" s="740">
        <v>4518</v>
      </c>
      <c r="AB106" s="740"/>
      <c r="AC106" s="740"/>
      <c r="AD106" s="740"/>
      <c r="AE106" s="740"/>
      <c r="AF106" s="742">
        <f t="shared" si="5"/>
        <v>4553</v>
      </c>
    </row>
    <row r="107" spans="1:32">
      <c r="A107" s="737" t="s">
        <v>1714</v>
      </c>
      <c r="B107" s="745">
        <v>31</v>
      </c>
      <c r="C107" s="745">
        <v>31</v>
      </c>
      <c r="D107" s="745">
        <v>2</v>
      </c>
      <c r="E107" s="745" t="s">
        <v>1677</v>
      </c>
      <c r="F107" s="745" t="s">
        <v>1598</v>
      </c>
      <c r="G107" s="745" t="s">
        <v>1727</v>
      </c>
      <c r="H107" s="745" t="s">
        <v>1601</v>
      </c>
      <c r="I107" s="745" t="s">
        <v>1607</v>
      </c>
      <c r="J107" s="745" t="s">
        <v>1612</v>
      </c>
      <c r="K107" s="745" t="s">
        <v>1603</v>
      </c>
      <c r="L107" s="745" t="s">
        <v>1605</v>
      </c>
      <c r="M107" s="745" t="s">
        <v>1622</v>
      </c>
      <c r="N107" s="745">
        <v>0</v>
      </c>
      <c r="O107" s="745">
        <v>8</v>
      </c>
      <c r="P107" s="745">
        <v>8</v>
      </c>
      <c r="Q107" s="745">
        <v>327</v>
      </c>
      <c r="R107" s="745">
        <v>7</v>
      </c>
      <c r="S107" s="745">
        <v>0</v>
      </c>
      <c r="T107" s="745">
        <v>334</v>
      </c>
      <c r="U107" s="739"/>
      <c r="V107" s="740"/>
      <c r="W107" s="740">
        <f t="shared" si="6"/>
        <v>7</v>
      </c>
      <c r="X107" s="740">
        <v>3</v>
      </c>
      <c r="Y107" s="740">
        <v>4</v>
      </c>
      <c r="Z107" s="740">
        <v>320</v>
      </c>
      <c r="AA107" s="740"/>
      <c r="AB107" s="740"/>
      <c r="AC107" s="740"/>
      <c r="AD107" s="740"/>
      <c r="AE107" s="740"/>
      <c r="AF107" s="742">
        <f t="shared" si="5"/>
        <v>334</v>
      </c>
    </row>
    <row r="108" spans="1:32">
      <c r="A108" s="737" t="s">
        <v>1714</v>
      </c>
      <c r="B108" s="745">
        <v>32</v>
      </c>
      <c r="C108" s="745">
        <v>32</v>
      </c>
      <c r="D108" s="745">
        <v>2</v>
      </c>
      <c r="E108" s="745" t="s">
        <v>1678</v>
      </c>
      <c r="F108" s="745" t="s">
        <v>1598</v>
      </c>
      <c r="G108" s="745" t="s">
        <v>1727</v>
      </c>
      <c r="H108" s="745" t="s">
        <v>1601</v>
      </c>
      <c r="I108" s="745" t="s">
        <v>1709</v>
      </c>
      <c r="J108" s="745" t="s">
        <v>1612</v>
      </c>
      <c r="K108" s="745" t="s">
        <v>1603</v>
      </c>
      <c r="L108" s="745" t="s">
        <v>1605</v>
      </c>
      <c r="M108" s="745" t="s">
        <v>1604</v>
      </c>
      <c r="N108" s="745">
        <v>0</v>
      </c>
      <c r="O108" s="745">
        <v>100</v>
      </c>
      <c r="P108" s="745">
        <v>100</v>
      </c>
      <c r="Q108" s="745">
        <v>545</v>
      </c>
      <c r="R108" s="745">
        <v>85</v>
      </c>
      <c r="S108" s="745">
        <v>0</v>
      </c>
      <c r="T108" s="745">
        <v>630</v>
      </c>
      <c r="U108" s="739"/>
      <c r="V108" s="740"/>
      <c r="W108" s="740">
        <f t="shared" si="6"/>
        <v>85</v>
      </c>
      <c r="X108" s="740">
        <v>5</v>
      </c>
      <c r="Y108" s="740">
        <v>7</v>
      </c>
      <c r="Z108" s="740">
        <v>533</v>
      </c>
      <c r="AA108" s="740"/>
      <c r="AB108" s="740"/>
      <c r="AC108" s="740"/>
      <c r="AD108" s="740"/>
      <c r="AE108" s="740"/>
      <c r="AF108" s="742">
        <f t="shared" si="5"/>
        <v>630</v>
      </c>
    </row>
    <row r="109" spans="1:32">
      <c r="A109" s="737" t="s">
        <v>1714</v>
      </c>
      <c r="B109" s="745">
        <v>33</v>
      </c>
      <c r="C109" s="745">
        <v>33</v>
      </c>
      <c r="D109" s="745">
        <v>2</v>
      </c>
      <c r="E109" s="745" t="s">
        <v>1680</v>
      </c>
      <c r="F109" s="745" t="s">
        <v>1598</v>
      </c>
      <c r="G109" s="745" t="s">
        <v>1728</v>
      </c>
      <c r="H109" s="745" t="s">
        <v>1607</v>
      </c>
      <c r="I109" s="745" t="s">
        <v>464</v>
      </c>
      <c r="J109" s="745" t="s">
        <v>1648</v>
      </c>
      <c r="K109" s="745" t="s">
        <v>1603</v>
      </c>
      <c r="L109" s="745" t="s">
        <v>1598</v>
      </c>
      <c r="M109" s="745" t="s">
        <v>1598</v>
      </c>
      <c r="N109" s="745">
        <v>0</v>
      </c>
      <c r="O109" s="745">
        <v>0</v>
      </c>
      <c r="P109" s="745">
        <v>0</v>
      </c>
      <c r="Q109" s="745">
        <v>223002</v>
      </c>
      <c r="R109" s="745">
        <v>0</v>
      </c>
      <c r="S109" s="745">
        <v>0</v>
      </c>
      <c r="T109" s="745">
        <v>223002</v>
      </c>
      <c r="U109" s="739">
        <f>T109</f>
        <v>223002</v>
      </c>
      <c r="V109" s="740"/>
      <c r="W109" s="740">
        <f t="shared" si="6"/>
        <v>0</v>
      </c>
      <c r="X109" s="740"/>
      <c r="Y109" s="740"/>
      <c r="Z109" s="740"/>
      <c r="AA109" s="740"/>
      <c r="AB109" s="740"/>
      <c r="AC109" s="740"/>
      <c r="AD109" s="740"/>
      <c r="AE109" s="740"/>
      <c r="AF109" s="742">
        <f t="shared" si="5"/>
        <v>223002</v>
      </c>
    </row>
    <row r="110" spans="1:32">
      <c r="A110" s="737" t="s">
        <v>1714</v>
      </c>
      <c r="B110" s="745">
        <v>34</v>
      </c>
      <c r="C110" s="745">
        <v>34</v>
      </c>
      <c r="D110" s="745">
        <v>2</v>
      </c>
      <c r="E110" s="745" t="s">
        <v>1681</v>
      </c>
      <c r="F110" s="745" t="s">
        <v>1598</v>
      </c>
      <c r="G110" s="745" t="s">
        <v>1729</v>
      </c>
      <c r="H110" s="745" t="s">
        <v>1730</v>
      </c>
      <c r="I110" s="745" t="s">
        <v>1730</v>
      </c>
      <c r="J110" s="745" t="s">
        <v>1618</v>
      </c>
      <c r="K110" s="745" t="s">
        <v>1603</v>
      </c>
      <c r="L110" s="745" t="s">
        <v>1598</v>
      </c>
      <c r="M110" s="745" t="s">
        <v>1598</v>
      </c>
      <c r="N110" s="745">
        <v>0</v>
      </c>
      <c r="O110" s="745">
        <v>0</v>
      </c>
      <c r="P110" s="745">
        <v>0</v>
      </c>
      <c r="Q110" s="745">
        <v>-98758</v>
      </c>
      <c r="R110" s="745">
        <v>0</v>
      </c>
      <c r="S110" s="745">
        <v>0</v>
      </c>
      <c r="T110" s="745">
        <v>-98758</v>
      </c>
      <c r="U110" s="739"/>
      <c r="V110" s="740"/>
      <c r="W110" s="740"/>
      <c r="X110" s="740"/>
      <c r="Y110" s="740"/>
      <c r="Z110" s="740"/>
      <c r="AA110" s="740"/>
      <c r="AB110" s="740"/>
      <c r="AC110" s="740"/>
      <c r="AD110" s="740"/>
      <c r="AE110" s="740">
        <f>T110</f>
        <v>-98758</v>
      </c>
      <c r="AF110" s="742">
        <f t="shared" si="5"/>
        <v>-98758</v>
      </c>
    </row>
    <row r="111" spans="1:32">
      <c r="A111" s="737" t="s">
        <v>1731</v>
      </c>
      <c r="B111" s="745">
        <v>1</v>
      </c>
      <c r="C111" s="745">
        <v>1</v>
      </c>
      <c r="D111" s="745">
        <v>3</v>
      </c>
      <c r="E111" s="745" t="s">
        <v>1597</v>
      </c>
      <c r="F111" s="745" t="s">
        <v>1598</v>
      </c>
      <c r="G111" s="745" t="s">
        <v>1732</v>
      </c>
      <c r="H111" s="745" t="s">
        <v>1607</v>
      </c>
      <c r="I111" s="745" t="s">
        <v>464</v>
      </c>
      <c r="J111" s="745" t="s">
        <v>1648</v>
      </c>
      <c r="K111" s="745" t="s">
        <v>1603</v>
      </c>
      <c r="L111" s="745" t="s">
        <v>1598</v>
      </c>
      <c r="M111" s="745" t="s">
        <v>1598</v>
      </c>
      <c r="N111" s="745">
        <v>0</v>
      </c>
      <c r="O111" s="745">
        <v>0</v>
      </c>
      <c r="P111" s="745">
        <v>0</v>
      </c>
      <c r="Q111" s="745">
        <v>-223002</v>
      </c>
      <c r="R111" s="745">
        <v>0</v>
      </c>
      <c r="S111" s="745">
        <v>0</v>
      </c>
      <c r="T111" s="745">
        <v>-223002</v>
      </c>
      <c r="U111" s="739"/>
      <c r="V111" s="740"/>
      <c r="W111" s="740"/>
      <c r="X111" s="740"/>
      <c r="Y111" s="740"/>
      <c r="Z111" s="740"/>
      <c r="AA111" s="740"/>
      <c r="AB111" s="740"/>
      <c r="AC111" s="740"/>
      <c r="AD111" s="740"/>
      <c r="AE111" s="740">
        <f>T111</f>
        <v>-223002</v>
      </c>
      <c r="AF111" s="742">
        <f t="shared" si="5"/>
        <v>-223002</v>
      </c>
    </row>
    <row r="112" spans="1:32">
      <c r="A112" s="737" t="s">
        <v>1731</v>
      </c>
      <c r="B112" s="745">
        <v>2</v>
      </c>
      <c r="C112" s="745">
        <v>2</v>
      </c>
      <c r="D112" s="745">
        <v>3</v>
      </c>
      <c r="E112" s="745" t="s">
        <v>1606</v>
      </c>
      <c r="F112" s="745" t="s">
        <v>1598</v>
      </c>
      <c r="G112" s="745" t="s">
        <v>1733</v>
      </c>
      <c r="H112" s="745" t="s">
        <v>1617</v>
      </c>
      <c r="I112" s="745" t="s">
        <v>1709</v>
      </c>
      <c r="J112" s="745" t="s">
        <v>1618</v>
      </c>
      <c r="K112" s="745" t="s">
        <v>1603</v>
      </c>
      <c r="L112" s="745" t="s">
        <v>1622</v>
      </c>
      <c r="M112" s="745" t="s">
        <v>1604</v>
      </c>
      <c r="N112" s="745">
        <v>0</v>
      </c>
      <c r="O112" s="745">
        <v>25</v>
      </c>
      <c r="P112" s="745">
        <v>25</v>
      </c>
      <c r="Q112" s="745">
        <v>960</v>
      </c>
      <c r="R112" s="745">
        <v>23</v>
      </c>
      <c r="S112" s="745">
        <v>0</v>
      </c>
      <c r="T112" s="745">
        <v>983</v>
      </c>
      <c r="U112" s="739"/>
      <c r="V112" s="740"/>
      <c r="W112" s="740">
        <f t="shared" si="6"/>
        <v>23</v>
      </c>
      <c r="X112" s="740">
        <v>8</v>
      </c>
      <c r="Y112" s="740">
        <v>12</v>
      </c>
      <c r="Z112" s="740"/>
      <c r="AA112" s="740">
        <v>940</v>
      </c>
      <c r="AB112" s="740"/>
      <c r="AC112" s="740"/>
      <c r="AD112" s="740"/>
      <c r="AE112" s="740"/>
      <c r="AF112" s="742">
        <f t="shared" si="5"/>
        <v>983</v>
      </c>
    </row>
    <row r="113" spans="1:32">
      <c r="A113" s="737" t="s">
        <v>1731</v>
      </c>
      <c r="B113" s="745">
        <v>3</v>
      </c>
      <c r="C113" s="745">
        <v>3</v>
      </c>
      <c r="D113" s="745">
        <v>3</v>
      </c>
      <c r="E113" s="745" t="s">
        <v>1609</v>
      </c>
      <c r="F113" s="745" t="s">
        <v>1598</v>
      </c>
      <c r="G113" s="745" t="s">
        <v>1733</v>
      </c>
      <c r="H113" s="745" t="s">
        <v>1617</v>
      </c>
      <c r="I113" s="745" t="s">
        <v>1709</v>
      </c>
      <c r="J113" s="745" t="s">
        <v>1618</v>
      </c>
      <c r="K113" s="745" t="s">
        <v>1603</v>
      </c>
      <c r="L113" s="745" t="s">
        <v>1605</v>
      </c>
      <c r="M113" s="745" t="s">
        <v>1604</v>
      </c>
      <c r="N113" s="745">
        <v>0</v>
      </c>
      <c r="O113" s="745">
        <v>135</v>
      </c>
      <c r="P113" s="745">
        <v>135</v>
      </c>
      <c r="Q113" s="745">
        <v>828</v>
      </c>
      <c r="R113" s="745">
        <v>115</v>
      </c>
      <c r="S113" s="745">
        <v>0</v>
      </c>
      <c r="T113" s="745">
        <v>943</v>
      </c>
      <c r="U113" s="739"/>
      <c r="V113" s="740"/>
      <c r="W113" s="740">
        <f t="shared" si="6"/>
        <v>115</v>
      </c>
      <c r="X113" s="740">
        <v>7</v>
      </c>
      <c r="Y113" s="740">
        <v>10</v>
      </c>
      <c r="Z113" s="740"/>
      <c r="AA113" s="740">
        <v>811</v>
      </c>
      <c r="AB113" s="740"/>
      <c r="AC113" s="740"/>
      <c r="AD113" s="740"/>
      <c r="AE113" s="740"/>
      <c r="AF113" s="742">
        <f t="shared" si="5"/>
        <v>943</v>
      </c>
    </row>
    <row r="114" spans="1:32">
      <c r="A114" s="737" t="s">
        <v>1731</v>
      </c>
      <c r="B114" s="745">
        <v>4</v>
      </c>
      <c r="C114" s="745">
        <v>4</v>
      </c>
      <c r="D114" s="745">
        <v>3</v>
      </c>
      <c r="E114" s="745" t="s">
        <v>1615</v>
      </c>
      <c r="F114" s="745" t="s">
        <v>1598</v>
      </c>
      <c r="G114" s="745" t="s">
        <v>1734</v>
      </c>
      <c r="H114" s="745" t="s">
        <v>1617</v>
      </c>
      <c r="I114" s="745" t="s">
        <v>1617</v>
      </c>
      <c r="J114" s="745" t="s">
        <v>1618</v>
      </c>
      <c r="K114" s="745" t="s">
        <v>1603</v>
      </c>
      <c r="L114" s="745" t="s">
        <v>1605</v>
      </c>
      <c r="M114" s="745" t="s">
        <v>1605</v>
      </c>
      <c r="N114" s="745">
        <v>0</v>
      </c>
      <c r="O114" s="745">
        <v>0</v>
      </c>
      <c r="P114" s="745">
        <v>0</v>
      </c>
      <c r="Q114" s="745">
        <v>173</v>
      </c>
      <c r="R114" s="745">
        <v>0</v>
      </c>
      <c r="S114" s="745">
        <v>0</v>
      </c>
      <c r="T114" s="745">
        <v>173</v>
      </c>
      <c r="U114" s="739"/>
      <c r="V114" s="740"/>
      <c r="W114" s="740">
        <f t="shared" si="6"/>
        <v>0</v>
      </c>
      <c r="X114" s="740">
        <v>2</v>
      </c>
      <c r="Y114" s="740">
        <v>2</v>
      </c>
      <c r="Z114" s="740"/>
      <c r="AA114" s="740">
        <v>169</v>
      </c>
      <c r="AB114" s="740"/>
      <c r="AC114" s="740"/>
      <c r="AD114" s="740"/>
      <c r="AE114" s="740"/>
      <c r="AF114" s="742">
        <f t="shared" si="5"/>
        <v>173</v>
      </c>
    </row>
    <row r="115" spans="1:32">
      <c r="A115" s="737" t="s">
        <v>1731</v>
      </c>
      <c r="B115" s="745">
        <v>5</v>
      </c>
      <c r="C115" s="745">
        <v>5</v>
      </c>
      <c r="D115" s="745">
        <v>3</v>
      </c>
      <c r="E115" s="745" t="s">
        <v>1619</v>
      </c>
      <c r="F115" s="745" t="s">
        <v>1598</v>
      </c>
      <c r="G115" s="745" t="s">
        <v>1734</v>
      </c>
      <c r="H115" s="745" t="s">
        <v>1724</v>
      </c>
      <c r="I115" s="745" t="s">
        <v>1617</v>
      </c>
      <c r="J115" s="745" t="s">
        <v>1618</v>
      </c>
      <c r="K115" s="745" t="s">
        <v>1603</v>
      </c>
      <c r="L115" s="745" t="s">
        <v>1735</v>
      </c>
      <c r="M115" s="745" t="s">
        <v>1605</v>
      </c>
      <c r="N115" s="745">
        <v>0</v>
      </c>
      <c r="O115" s="745">
        <v>2000</v>
      </c>
      <c r="P115" s="745">
        <v>2000</v>
      </c>
      <c r="Q115" s="745">
        <v>12286</v>
      </c>
      <c r="R115" s="745">
        <v>2011</v>
      </c>
      <c r="S115" s="745">
        <v>0</v>
      </c>
      <c r="T115" s="745">
        <v>14297</v>
      </c>
      <c r="U115" s="739"/>
      <c r="V115" s="740"/>
      <c r="W115" s="740">
        <f t="shared" si="6"/>
        <v>2011</v>
      </c>
      <c r="X115" s="740">
        <v>113</v>
      </c>
      <c r="Y115" s="740">
        <v>158</v>
      </c>
      <c r="Z115" s="740"/>
      <c r="AA115" s="740">
        <v>12015</v>
      </c>
      <c r="AB115" s="740"/>
      <c r="AC115" s="740"/>
      <c r="AD115" s="740"/>
      <c r="AE115" s="740"/>
      <c r="AF115" s="742">
        <f t="shared" si="5"/>
        <v>14297</v>
      </c>
    </row>
    <row r="116" spans="1:32">
      <c r="A116" s="737" t="s">
        <v>1731</v>
      </c>
      <c r="B116" s="745">
        <v>6</v>
      </c>
      <c r="C116" s="745">
        <v>6</v>
      </c>
      <c r="D116" s="745">
        <v>3</v>
      </c>
      <c r="E116" s="745" t="s">
        <v>1621</v>
      </c>
      <c r="F116" s="745" t="s">
        <v>1598</v>
      </c>
      <c r="G116" s="745" t="s">
        <v>1734</v>
      </c>
      <c r="H116" s="745" t="s">
        <v>1724</v>
      </c>
      <c r="I116" s="745" t="s">
        <v>1724</v>
      </c>
      <c r="J116" s="745" t="s">
        <v>1618</v>
      </c>
      <c r="K116" s="745" t="s">
        <v>1603</v>
      </c>
      <c r="L116" s="745" t="s">
        <v>1670</v>
      </c>
      <c r="M116" s="745" t="s">
        <v>1685</v>
      </c>
      <c r="N116" s="745">
        <v>0</v>
      </c>
      <c r="O116" s="745">
        <v>55</v>
      </c>
      <c r="P116" s="745">
        <v>55</v>
      </c>
      <c r="Q116" s="745">
        <v>2583</v>
      </c>
      <c r="R116" s="745">
        <v>41</v>
      </c>
      <c r="S116" s="745">
        <v>0</v>
      </c>
      <c r="T116" s="745">
        <v>2624</v>
      </c>
      <c r="U116" s="739"/>
      <c r="V116" s="740"/>
      <c r="W116" s="740">
        <f t="shared" si="6"/>
        <v>41</v>
      </c>
      <c r="X116" s="740">
        <v>20</v>
      </c>
      <c r="Y116" s="740">
        <v>28</v>
      </c>
      <c r="Z116" s="740"/>
      <c r="AA116" s="740">
        <v>2535</v>
      </c>
      <c r="AB116" s="740"/>
      <c r="AC116" s="740"/>
      <c r="AD116" s="740"/>
      <c r="AE116" s="740"/>
      <c r="AF116" s="742">
        <f t="shared" si="5"/>
        <v>2624</v>
      </c>
    </row>
    <row r="117" spans="1:32">
      <c r="A117" s="737" t="s">
        <v>1731</v>
      </c>
      <c r="B117" s="745">
        <v>7</v>
      </c>
      <c r="C117" s="745">
        <v>7</v>
      </c>
      <c r="D117" s="745">
        <v>3</v>
      </c>
      <c r="E117" s="745" t="s">
        <v>1623</v>
      </c>
      <c r="F117" s="745" t="s">
        <v>1598</v>
      </c>
      <c r="G117" s="745" t="s">
        <v>1734</v>
      </c>
      <c r="H117" s="745" t="s">
        <v>1617</v>
      </c>
      <c r="I117" s="745" t="s">
        <v>1617</v>
      </c>
      <c r="J117" s="745" t="s">
        <v>1618</v>
      </c>
      <c r="K117" s="745" t="s">
        <v>1603</v>
      </c>
      <c r="L117" s="745" t="s">
        <v>1613</v>
      </c>
      <c r="M117" s="745" t="s">
        <v>1694</v>
      </c>
      <c r="N117" s="745">
        <v>0</v>
      </c>
      <c r="O117" s="745">
        <v>2871</v>
      </c>
      <c r="P117" s="745">
        <v>2871</v>
      </c>
      <c r="Q117" s="745">
        <v>25671</v>
      </c>
      <c r="R117" s="745">
        <v>2714</v>
      </c>
      <c r="S117" s="745">
        <v>0</v>
      </c>
      <c r="T117" s="745">
        <v>28385</v>
      </c>
      <c r="U117" s="739"/>
      <c r="V117" s="740"/>
      <c r="W117" s="740">
        <f t="shared" si="6"/>
        <v>2714</v>
      </c>
      <c r="X117" s="740">
        <v>197</v>
      </c>
      <c r="Y117" s="740">
        <v>277</v>
      </c>
      <c r="Z117" s="740"/>
      <c r="AA117" s="740">
        <v>25197</v>
      </c>
      <c r="AB117" s="740"/>
      <c r="AC117" s="740"/>
      <c r="AD117" s="740"/>
      <c r="AE117" s="740"/>
      <c r="AF117" s="742">
        <f t="shared" si="5"/>
        <v>28385</v>
      </c>
    </row>
    <row r="118" spans="1:32">
      <c r="A118" s="737" t="s">
        <v>1731</v>
      </c>
      <c r="B118" s="745">
        <v>8</v>
      </c>
      <c r="C118" s="745">
        <v>8</v>
      </c>
      <c r="D118" s="745">
        <v>3</v>
      </c>
      <c r="E118" s="745" t="s">
        <v>1625</v>
      </c>
      <c r="F118" s="745" t="s">
        <v>1598</v>
      </c>
      <c r="G118" s="745" t="s">
        <v>1736</v>
      </c>
      <c r="H118" s="745" t="s">
        <v>1617</v>
      </c>
      <c r="I118" s="745" t="s">
        <v>1617</v>
      </c>
      <c r="J118" s="745" t="s">
        <v>1618</v>
      </c>
      <c r="K118" s="745" t="s">
        <v>1603</v>
      </c>
      <c r="L118" s="745" t="s">
        <v>1605</v>
      </c>
      <c r="M118" s="745" t="s">
        <v>1605</v>
      </c>
      <c r="N118" s="745">
        <v>0</v>
      </c>
      <c r="O118" s="745">
        <v>610</v>
      </c>
      <c r="P118" s="745">
        <v>610</v>
      </c>
      <c r="Q118" s="745">
        <v>3869</v>
      </c>
      <c r="R118" s="745">
        <v>484</v>
      </c>
      <c r="S118" s="745">
        <v>0</v>
      </c>
      <c r="T118" s="745">
        <v>4353</v>
      </c>
      <c r="U118" s="739"/>
      <c r="V118" s="740"/>
      <c r="W118" s="740">
        <f t="shared" si="6"/>
        <v>484</v>
      </c>
      <c r="X118" s="740">
        <v>30</v>
      </c>
      <c r="Y118" s="740">
        <v>42</v>
      </c>
      <c r="Z118" s="740"/>
      <c r="AA118" s="740">
        <v>3797</v>
      </c>
      <c r="AB118" s="740"/>
      <c r="AC118" s="740"/>
      <c r="AD118" s="740"/>
      <c r="AE118" s="740"/>
      <c r="AF118" s="742">
        <f t="shared" si="5"/>
        <v>4353</v>
      </c>
    </row>
    <row r="119" spans="1:32">
      <c r="A119" s="737" t="s">
        <v>1731</v>
      </c>
      <c r="B119" s="745">
        <v>9</v>
      </c>
      <c r="C119" s="745">
        <v>9</v>
      </c>
      <c r="D119" s="745">
        <v>3</v>
      </c>
      <c r="E119" s="745" t="s">
        <v>1629</v>
      </c>
      <c r="F119" s="745" t="s">
        <v>1598</v>
      </c>
      <c r="G119" s="745" t="s">
        <v>1736</v>
      </c>
      <c r="H119" s="745" t="s">
        <v>1617</v>
      </c>
      <c r="I119" s="745" t="s">
        <v>1617</v>
      </c>
      <c r="J119" s="745" t="s">
        <v>1618</v>
      </c>
      <c r="K119" s="745" t="s">
        <v>1603</v>
      </c>
      <c r="L119" s="745" t="s">
        <v>1604</v>
      </c>
      <c r="M119" s="745" t="s">
        <v>1605</v>
      </c>
      <c r="N119" s="745">
        <v>0</v>
      </c>
      <c r="O119" s="745">
        <v>1799</v>
      </c>
      <c r="P119" s="745">
        <v>1799</v>
      </c>
      <c r="Q119" s="745">
        <v>18853</v>
      </c>
      <c r="R119" s="745">
        <v>1468</v>
      </c>
      <c r="S119" s="745">
        <v>0</v>
      </c>
      <c r="T119" s="745">
        <v>20321</v>
      </c>
      <c r="U119" s="739"/>
      <c r="V119" s="740"/>
      <c r="W119" s="740">
        <f t="shared" si="6"/>
        <v>1468</v>
      </c>
      <c r="X119" s="740">
        <v>145</v>
      </c>
      <c r="Y119" s="740">
        <v>203</v>
      </c>
      <c r="Z119" s="740"/>
      <c r="AA119" s="740">
        <v>18505</v>
      </c>
      <c r="AB119" s="740"/>
      <c r="AC119" s="740"/>
      <c r="AD119" s="740"/>
      <c r="AE119" s="740"/>
      <c r="AF119" s="742">
        <f t="shared" si="5"/>
        <v>20321</v>
      </c>
    </row>
    <row r="120" spans="1:32">
      <c r="A120" s="737" t="s">
        <v>1731</v>
      </c>
      <c r="B120" s="745">
        <v>10</v>
      </c>
      <c r="C120" s="745">
        <v>10</v>
      </c>
      <c r="D120" s="745">
        <v>3</v>
      </c>
      <c r="E120" s="745" t="s">
        <v>1632</v>
      </c>
      <c r="F120" s="745" t="s">
        <v>1598</v>
      </c>
      <c r="G120" s="745" t="s">
        <v>1736</v>
      </c>
      <c r="H120" s="745" t="s">
        <v>1617</v>
      </c>
      <c r="I120" s="745" t="s">
        <v>1617</v>
      </c>
      <c r="J120" s="745" t="s">
        <v>1618</v>
      </c>
      <c r="K120" s="745" t="s">
        <v>1603</v>
      </c>
      <c r="L120" s="745" t="s">
        <v>1605</v>
      </c>
      <c r="M120" s="745" t="s">
        <v>1604</v>
      </c>
      <c r="N120" s="745">
        <v>0</v>
      </c>
      <c r="O120" s="745">
        <v>15</v>
      </c>
      <c r="P120" s="745">
        <v>15</v>
      </c>
      <c r="Q120" s="745">
        <v>92</v>
      </c>
      <c r="R120" s="745">
        <v>16</v>
      </c>
      <c r="S120" s="745">
        <v>0</v>
      </c>
      <c r="T120" s="745">
        <v>108</v>
      </c>
      <c r="U120" s="739"/>
      <c r="V120" s="740"/>
      <c r="W120" s="740">
        <f t="shared" si="6"/>
        <v>16</v>
      </c>
      <c r="X120" s="740">
        <v>1</v>
      </c>
      <c r="Y120" s="740">
        <v>1</v>
      </c>
      <c r="Z120" s="740"/>
      <c r="AA120" s="740">
        <v>90</v>
      </c>
      <c r="AB120" s="740"/>
      <c r="AC120" s="740"/>
      <c r="AD120" s="740"/>
      <c r="AE120" s="740"/>
      <c r="AF120" s="742">
        <f t="shared" si="5"/>
        <v>108</v>
      </c>
    </row>
    <row r="121" spans="1:32">
      <c r="A121" s="737" t="s">
        <v>1731</v>
      </c>
      <c r="B121" s="745">
        <v>11</v>
      </c>
      <c r="C121" s="745">
        <v>11</v>
      </c>
      <c r="D121" s="745">
        <v>3</v>
      </c>
      <c r="E121" s="745" t="s">
        <v>1633</v>
      </c>
      <c r="F121" s="745" t="s">
        <v>1598</v>
      </c>
      <c r="G121" s="745" t="s">
        <v>1736</v>
      </c>
      <c r="H121" s="745" t="s">
        <v>1617</v>
      </c>
      <c r="I121" s="745" t="s">
        <v>1617</v>
      </c>
      <c r="J121" s="745" t="s">
        <v>1618</v>
      </c>
      <c r="K121" s="745" t="s">
        <v>1603</v>
      </c>
      <c r="L121" s="745" t="s">
        <v>1605</v>
      </c>
      <c r="M121" s="745" t="s">
        <v>1604</v>
      </c>
      <c r="N121" s="745">
        <v>0</v>
      </c>
      <c r="O121" s="745">
        <v>1175</v>
      </c>
      <c r="P121" s="745">
        <v>1175</v>
      </c>
      <c r="Q121" s="745">
        <v>11330</v>
      </c>
      <c r="R121" s="745">
        <v>905</v>
      </c>
      <c r="S121" s="745">
        <v>0</v>
      </c>
      <c r="T121" s="745">
        <v>12235</v>
      </c>
      <c r="U121" s="739"/>
      <c r="V121" s="740"/>
      <c r="W121" s="740">
        <f t="shared" si="6"/>
        <v>905</v>
      </c>
      <c r="X121" s="740">
        <v>87</v>
      </c>
      <c r="Y121" s="740">
        <v>122</v>
      </c>
      <c r="Z121" s="740"/>
      <c r="AA121" s="740">
        <v>11121</v>
      </c>
      <c r="AB121" s="740"/>
      <c r="AC121" s="740"/>
      <c r="AD121" s="740"/>
      <c r="AE121" s="740"/>
      <c r="AF121" s="742">
        <f t="shared" si="5"/>
        <v>12235</v>
      </c>
    </row>
    <row r="122" spans="1:32">
      <c r="A122" s="737" t="s">
        <v>1731</v>
      </c>
      <c r="B122" s="745">
        <v>12</v>
      </c>
      <c r="C122" s="745">
        <v>12</v>
      </c>
      <c r="D122" s="745">
        <v>3</v>
      </c>
      <c r="E122" s="745" t="s">
        <v>1634</v>
      </c>
      <c r="F122" s="745" t="s">
        <v>1598</v>
      </c>
      <c r="G122" s="745" t="s">
        <v>1737</v>
      </c>
      <c r="H122" s="745" t="s">
        <v>1617</v>
      </c>
      <c r="I122" s="745" t="s">
        <v>1617</v>
      </c>
      <c r="J122" s="745" t="s">
        <v>1618</v>
      </c>
      <c r="K122" s="745" t="s">
        <v>1603</v>
      </c>
      <c r="L122" s="745" t="s">
        <v>1605</v>
      </c>
      <c r="M122" s="745" t="s">
        <v>1605</v>
      </c>
      <c r="N122" s="745">
        <v>0</v>
      </c>
      <c r="O122" s="745">
        <v>27</v>
      </c>
      <c r="P122" s="745">
        <v>27</v>
      </c>
      <c r="Q122" s="745">
        <v>496</v>
      </c>
      <c r="R122" s="745">
        <v>20</v>
      </c>
      <c r="S122" s="745">
        <v>0</v>
      </c>
      <c r="T122" s="745">
        <v>516</v>
      </c>
      <c r="U122" s="739"/>
      <c r="V122" s="740"/>
      <c r="W122" s="740">
        <f t="shared" si="6"/>
        <v>20</v>
      </c>
      <c r="X122" s="740">
        <v>4</v>
      </c>
      <c r="Y122" s="740">
        <v>5</v>
      </c>
      <c r="Z122" s="740"/>
      <c r="AA122" s="740">
        <v>487</v>
      </c>
      <c r="AB122" s="740"/>
      <c r="AC122" s="740"/>
      <c r="AD122" s="740"/>
      <c r="AE122" s="740"/>
      <c r="AF122" s="742">
        <f t="shared" si="5"/>
        <v>516</v>
      </c>
    </row>
    <row r="123" spans="1:32">
      <c r="A123" s="737" t="s">
        <v>1731</v>
      </c>
      <c r="B123" s="745">
        <v>13</v>
      </c>
      <c r="C123" s="745">
        <v>13</v>
      </c>
      <c r="D123" s="745">
        <v>3</v>
      </c>
      <c r="E123" s="745" t="s">
        <v>1636</v>
      </c>
      <c r="F123" s="745" t="s">
        <v>1598</v>
      </c>
      <c r="G123" s="745" t="s">
        <v>1738</v>
      </c>
      <c r="H123" s="745" t="s">
        <v>1617</v>
      </c>
      <c r="I123" s="745" t="s">
        <v>1709</v>
      </c>
      <c r="J123" s="745" t="s">
        <v>1612</v>
      </c>
      <c r="K123" s="745" t="s">
        <v>1603</v>
      </c>
      <c r="L123" s="745" t="s">
        <v>1605</v>
      </c>
      <c r="M123" s="745" t="s">
        <v>1604</v>
      </c>
      <c r="N123" s="745">
        <v>0</v>
      </c>
      <c r="O123" s="745">
        <v>306</v>
      </c>
      <c r="P123" s="745">
        <v>306</v>
      </c>
      <c r="Q123" s="745">
        <v>3189</v>
      </c>
      <c r="R123" s="745">
        <v>286</v>
      </c>
      <c r="S123" s="745">
        <v>0</v>
      </c>
      <c r="T123" s="745">
        <v>3475</v>
      </c>
      <c r="U123" s="739"/>
      <c r="V123" s="740"/>
      <c r="W123" s="740">
        <f t="shared" si="6"/>
        <v>286</v>
      </c>
      <c r="X123" s="740">
        <v>38</v>
      </c>
      <c r="Y123" s="740">
        <v>54</v>
      </c>
      <c r="Z123" s="740"/>
      <c r="AA123" s="740">
        <v>3097</v>
      </c>
      <c r="AB123" s="740"/>
      <c r="AC123" s="740"/>
      <c r="AD123" s="740"/>
      <c r="AE123" s="740"/>
      <c r="AF123" s="742">
        <f t="shared" si="5"/>
        <v>3475</v>
      </c>
    </row>
    <row r="124" spans="1:32">
      <c r="A124" s="737" t="s">
        <v>1731</v>
      </c>
      <c r="B124" s="745">
        <v>14</v>
      </c>
      <c r="C124" s="745">
        <v>14</v>
      </c>
      <c r="D124" s="745">
        <v>3</v>
      </c>
      <c r="E124" s="745" t="s">
        <v>1637</v>
      </c>
      <c r="F124" s="745" t="s">
        <v>1598</v>
      </c>
      <c r="G124" s="745" t="s">
        <v>1738</v>
      </c>
      <c r="H124" s="745" t="s">
        <v>1617</v>
      </c>
      <c r="I124" s="745" t="s">
        <v>1709</v>
      </c>
      <c r="J124" s="745" t="s">
        <v>1612</v>
      </c>
      <c r="K124" s="745" t="s">
        <v>1603</v>
      </c>
      <c r="L124" s="745" t="s">
        <v>1605</v>
      </c>
      <c r="M124" s="745" t="s">
        <v>1604</v>
      </c>
      <c r="N124" s="745">
        <v>0</v>
      </c>
      <c r="O124" s="745">
        <v>6687</v>
      </c>
      <c r="P124" s="745">
        <v>6687</v>
      </c>
      <c r="Q124" s="745">
        <v>35435</v>
      </c>
      <c r="R124" s="745">
        <v>5784</v>
      </c>
      <c r="S124" s="745">
        <v>0</v>
      </c>
      <c r="T124" s="745">
        <v>41219</v>
      </c>
      <c r="U124" s="739"/>
      <c r="V124" s="740"/>
      <c r="W124" s="740">
        <f t="shared" si="6"/>
        <v>5784</v>
      </c>
      <c r="X124" s="740">
        <v>327</v>
      </c>
      <c r="Y124" s="740">
        <v>460</v>
      </c>
      <c r="Z124" s="740"/>
      <c r="AA124" s="740">
        <v>34648</v>
      </c>
      <c r="AB124" s="740"/>
      <c r="AC124" s="740"/>
      <c r="AD124" s="740"/>
      <c r="AE124" s="740"/>
      <c r="AF124" s="742">
        <f t="shared" si="5"/>
        <v>41219</v>
      </c>
    </row>
    <row r="125" spans="1:32">
      <c r="A125" s="737" t="s">
        <v>1731</v>
      </c>
      <c r="B125" s="745">
        <v>15</v>
      </c>
      <c r="C125" s="745">
        <v>15</v>
      </c>
      <c r="D125" s="745">
        <v>3</v>
      </c>
      <c r="E125" s="745" t="s">
        <v>1638</v>
      </c>
      <c r="F125" s="745" t="s">
        <v>1598</v>
      </c>
      <c r="G125" s="745" t="s">
        <v>1739</v>
      </c>
      <c r="H125" s="745" t="s">
        <v>1617</v>
      </c>
      <c r="I125" s="745" t="s">
        <v>1617</v>
      </c>
      <c r="J125" s="745" t="s">
        <v>1618</v>
      </c>
      <c r="K125" s="745" t="s">
        <v>1603</v>
      </c>
      <c r="L125" s="745" t="s">
        <v>1605</v>
      </c>
      <c r="M125" s="745" t="s">
        <v>1605</v>
      </c>
      <c r="N125" s="745">
        <v>0</v>
      </c>
      <c r="O125" s="745">
        <v>57</v>
      </c>
      <c r="P125" s="745">
        <v>57</v>
      </c>
      <c r="Q125" s="745">
        <v>5632</v>
      </c>
      <c r="R125" s="745">
        <v>43</v>
      </c>
      <c r="S125" s="745">
        <v>0</v>
      </c>
      <c r="T125" s="745">
        <v>5675</v>
      </c>
      <c r="U125" s="739"/>
      <c r="V125" s="740"/>
      <c r="W125" s="740">
        <f t="shared" si="6"/>
        <v>43</v>
      </c>
      <c r="X125" s="740">
        <v>64</v>
      </c>
      <c r="Y125" s="740">
        <v>90</v>
      </c>
      <c r="Z125" s="740"/>
      <c r="AA125" s="740">
        <v>5478</v>
      </c>
      <c r="AB125" s="740"/>
      <c r="AC125" s="740"/>
      <c r="AD125" s="740"/>
      <c r="AE125" s="740"/>
      <c r="AF125" s="742">
        <f t="shared" si="5"/>
        <v>5675</v>
      </c>
    </row>
    <row r="126" spans="1:32">
      <c r="A126" s="737" t="s">
        <v>1731</v>
      </c>
      <c r="B126" s="745">
        <v>16</v>
      </c>
      <c r="C126" s="745">
        <v>16</v>
      </c>
      <c r="D126" s="745">
        <v>3</v>
      </c>
      <c r="E126" s="745" t="s">
        <v>1639</v>
      </c>
      <c r="F126" s="745" t="s">
        <v>1598</v>
      </c>
      <c r="G126" s="745" t="s">
        <v>1738</v>
      </c>
      <c r="H126" s="745" t="s">
        <v>1617</v>
      </c>
      <c r="I126" s="745" t="s">
        <v>1617</v>
      </c>
      <c r="J126" s="745" t="s">
        <v>1612</v>
      </c>
      <c r="K126" s="745" t="s">
        <v>1603</v>
      </c>
      <c r="L126" s="745" t="s">
        <v>1605</v>
      </c>
      <c r="M126" s="745" t="s">
        <v>1605</v>
      </c>
      <c r="N126" s="745">
        <v>0</v>
      </c>
      <c r="O126" s="745">
        <v>525</v>
      </c>
      <c r="P126" s="745">
        <v>525</v>
      </c>
      <c r="Q126" s="745">
        <v>2795</v>
      </c>
      <c r="R126" s="745">
        <v>450</v>
      </c>
      <c r="S126" s="745">
        <v>0</v>
      </c>
      <c r="T126" s="745">
        <v>3245</v>
      </c>
      <c r="U126" s="739"/>
      <c r="V126" s="740"/>
      <c r="W126" s="740">
        <f t="shared" si="6"/>
        <v>450</v>
      </c>
      <c r="X126" s="740">
        <v>33</v>
      </c>
      <c r="Y126" s="740">
        <v>46</v>
      </c>
      <c r="Z126" s="740">
        <v>2115</v>
      </c>
      <c r="AA126" s="740">
        <v>601</v>
      </c>
      <c r="AB126" s="740"/>
      <c r="AC126" s="740"/>
      <c r="AD126" s="740"/>
      <c r="AE126" s="740"/>
      <c r="AF126" s="742">
        <f t="shared" si="5"/>
        <v>3245</v>
      </c>
    </row>
    <row r="127" spans="1:32">
      <c r="A127" s="737" t="s">
        <v>1731</v>
      </c>
      <c r="B127" s="745">
        <v>17</v>
      </c>
      <c r="C127" s="745">
        <v>17</v>
      </c>
      <c r="D127" s="745">
        <v>3</v>
      </c>
      <c r="E127" s="745" t="s">
        <v>1640</v>
      </c>
      <c r="F127" s="745" t="s">
        <v>1598</v>
      </c>
      <c r="G127" s="745" t="s">
        <v>1739</v>
      </c>
      <c r="H127" s="745" t="s">
        <v>1617</v>
      </c>
      <c r="I127" s="745" t="s">
        <v>1709</v>
      </c>
      <c r="J127" s="745" t="s">
        <v>1618</v>
      </c>
      <c r="K127" s="745" t="s">
        <v>1603</v>
      </c>
      <c r="L127" s="745" t="s">
        <v>1605</v>
      </c>
      <c r="M127" s="745" t="s">
        <v>1604</v>
      </c>
      <c r="N127" s="745">
        <v>0</v>
      </c>
      <c r="O127" s="745">
        <v>13567</v>
      </c>
      <c r="P127" s="745">
        <v>13567</v>
      </c>
      <c r="Q127" s="745">
        <v>82279</v>
      </c>
      <c r="R127" s="745">
        <v>11597</v>
      </c>
      <c r="S127" s="745">
        <v>0</v>
      </c>
      <c r="T127" s="745">
        <v>93876</v>
      </c>
      <c r="U127" s="739"/>
      <c r="V127" s="740"/>
      <c r="W127" s="740">
        <f t="shared" si="6"/>
        <v>11597</v>
      </c>
      <c r="X127" s="740">
        <v>1263</v>
      </c>
      <c r="Y127" s="740">
        <v>967</v>
      </c>
      <c r="Z127" s="740"/>
      <c r="AA127" s="740">
        <v>80049</v>
      </c>
      <c r="AB127" s="740"/>
      <c r="AC127" s="740"/>
      <c r="AD127" s="740"/>
      <c r="AE127" s="740"/>
      <c r="AF127" s="742">
        <f t="shared" si="5"/>
        <v>93876</v>
      </c>
    </row>
    <row r="128" spans="1:32">
      <c r="A128" s="737" t="s">
        <v>1731</v>
      </c>
      <c r="B128" s="745">
        <v>18</v>
      </c>
      <c r="C128" s="745">
        <v>18</v>
      </c>
      <c r="D128" s="745">
        <v>3</v>
      </c>
      <c r="E128" s="745" t="s">
        <v>1641</v>
      </c>
      <c r="F128" s="745" t="s">
        <v>1598</v>
      </c>
      <c r="G128" s="745" t="s">
        <v>1739</v>
      </c>
      <c r="H128" s="745" t="s">
        <v>1617</v>
      </c>
      <c r="I128" s="745" t="s">
        <v>1617</v>
      </c>
      <c r="J128" s="745" t="s">
        <v>1618</v>
      </c>
      <c r="K128" s="745" t="s">
        <v>1603</v>
      </c>
      <c r="L128" s="745" t="s">
        <v>1605</v>
      </c>
      <c r="M128" s="745" t="s">
        <v>1605</v>
      </c>
      <c r="N128" s="745">
        <v>0</v>
      </c>
      <c r="O128" s="745">
        <v>1073</v>
      </c>
      <c r="P128" s="745">
        <v>1073</v>
      </c>
      <c r="Q128" s="745">
        <v>6756</v>
      </c>
      <c r="R128" s="745">
        <v>913</v>
      </c>
      <c r="S128" s="745">
        <v>0</v>
      </c>
      <c r="T128" s="745">
        <v>7669</v>
      </c>
      <c r="U128" s="739"/>
      <c r="V128" s="740"/>
      <c r="W128" s="740">
        <f t="shared" si="6"/>
        <v>913</v>
      </c>
      <c r="X128" s="740">
        <v>52</v>
      </c>
      <c r="Y128" s="740">
        <v>73</v>
      </c>
      <c r="Z128" s="740"/>
      <c r="AA128" s="740">
        <v>6631</v>
      </c>
      <c r="AB128" s="740"/>
      <c r="AC128" s="740"/>
      <c r="AD128" s="740"/>
      <c r="AE128" s="740"/>
      <c r="AF128" s="742">
        <f t="shared" si="5"/>
        <v>7669</v>
      </c>
    </row>
    <row r="129" spans="1:32">
      <c r="A129" s="737" t="s">
        <v>1731</v>
      </c>
      <c r="B129" s="745">
        <v>19</v>
      </c>
      <c r="C129" s="745">
        <v>19</v>
      </c>
      <c r="D129" s="745">
        <v>3</v>
      </c>
      <c r="E129" s="745" t="s">
        <v>1645</v>
      </c>
      <c r="F129" s="745" t="s">
        <v>1598</v>
      </c>
      <c r="G129" s="745" t="s">
        <v>1739</v>
      </c>
      <c r="H129" s="745" t="s">
        <v>1709</v>
      </c>
      <c r="I129" s="745" t="s">
        <v>1617</v>
      </c>
      <c r="J129" s="745" t="s">
        <v>1618</v>
      </c>
      <c r="K129" s="745" t="s">
        <v>1603</v>
      </c>
      <c r="L129" s="745" t="s">
        <v>1604</v>
      </c>
      <c r="M129" s="745" t="s">
        <v>1605</v>
      </c>
      <c r="N129" s="745">
        <v>0</v>
      </c>
      <c r="O129" s="745">
        <v>2231</v>
      </c>
      <c r="P129" s="745">
        <v>2231</v>
      </c>
      <c r="Q129" s="745">
        <v>18917</v>
      </c>
      <c r="R129" s="745">
        <v>2134</v>
      </c>
      <c r="S129" s="745">
        <v>0</v>
      </c>
      <c r="T129" s="745">
        <v>21051</v>
      </c>
      <c r="U129" s="739"/>
      <c r="V129" s="740"/>
      <c r="W129" s="740">
        <f t="shared" si="6"/>
        <v>2134</v>
      </c>
      <c r="X129" s="740">
        <v>146</v>
      </c>
      <c r="Y129" s="740">
        <v>204</v>
      </c>
      <c r="Z129" s="740"/>
      <c r="AA129" s="740">
        <v>18567</v>
      </c>
      <c r="AB129" s="740"/>
      <c r="AC129" s="740"/>
      <c r="AD129" s="740"/>
      <c r="AE129" s="740"/>
      <c r="AF129" s="742">
        <f t="shared" si="5"/>
        <v>21051</v>
      </c>
    </row>
    <row r="130" spans="1:32">
      <c r="A130" s="737" t="s">
        <v>1731</v>
      </c>
      <c r="B130" s="745">
        <v>20</v>
      </c>
      <c r="C130" s="745">
        <v>20</v>
      </c>
      <c r="D130" s="745">
        <v>3</v>
      </c>
      <c r="E130" s="745" t="s">
        <v>1649</v>
      </c>
      <c r="F130" s="745" t="s">
        <v>1598</v>
      </c>
      <c r="G130" s="745" t="s">
        <v>1739</v>
      </c>
      <c r="H130" s="745" t="s">
        <v>1607</v>
      </c>
      <c r="I130" s="745" t="s">
        <v>1709</v>
      </c>
      <c r="J130" s="745" t="s">
        <v>1618</v>
      </c>
      <c r="K130" s="745" t="s">
        <v>1603</v>
      </c>
      <c r="L130" s="745" t="s">
        <v>1622</v>
      </c>
      <c r="M130" s="745" t="s">
        <v>1604</v>
      </c>
      <c r="N130" s="745">
        <v>0</v>
      </c>
      <c r="O130" s="745">
        <v>2755</v>
      </c>
      <c r="P130" s="745">
        <v>2755</v>
      </c>
      <c r="Q130" s="745">
        <v>17376</v>
      </c>
      <c r="R130" s="745">
        <v>2327</v>
      </c>
      <c r="S130" s="745">
        <v>0</v>
      </c>
      <c r="T130" s="745">
        <v>19703</v>
      </c>
      <c r="U130" s="739"/>
      <c r="V130" s="740"/>
      <c r="W130" s="740">
        <f t="shared" si="6"/>
        <v>2327</v>
      </c>
      <c r="X130" s="740">
        <v>149</v>
      </c>
      <c r="Y130" s="740">
        <v>209</v>
      </c>
      <c r="Z130" s="740"/>
      <c r="AA130" s="740">
        <v>17018</v>
      </c>
      <c r="AB130" s="740"/>
      <c r="AC130" s="740"/>
      <c r="AD130" s="740"/>
      <c r="AE130" s="740"/>
      <c r="AF130" s="742">
        <f t="shared" si="5"/>
        <v>19703</v>
      </c>
    </row>
    <row r="131" spans="1:32">
      <c r="A131" s="737" t="s">
        <v>1731</v>
      </c>
      <c r="B131" s="745">
        <v>21</v>
      </c>
      <c r="C131" s="745">
        <v>21</v>
      </c>
      <c r="D131" s="745">
        <v>3</v>
      </c>
      <c r="E131" s="745" t="s">
        <v>1654</v>
      </c>
      <c r="F131" s="745" t="s">
        <v>1598</v>
      </c>
      <c r="G131" s="745" t="s">
        <v>1740</v>
      </c>
      <c r="H131" s="745" t="s">
        <v>1617</v>
      </c>
      <c r="I131" s="745" t="s">
        <v>1617</v>
      </c>
      <c r="J131" s="745" t="s">
        <v>1618</v>
      </c>
      <c r="K131" s="745" t="s">
        <v>1603</v>
      </c>
      <c r="L131" s="745" t="s">
        <v>1605</v>
      </c>
      <c r="M131" s="745" t="s">
        <v>1605</v>
      </c>
      <c r="N131" s="745">
        <v>0</v>
      </c>
      <c r="O131" s="745">
        <v>1936</v>
      </c>
      <c r="P131" s="745">
        <v>1936</v>
      </c>
      <c r="Q131" s="745">
        <v>12686</v>
      </c>
      <c r="R131" s="745">
        <v>1817</v>
      </c>
      <c r="S131" s="745">
        <v>0</v>
      </c>
      <c r="T131" s="745">
        <v>14503</v>
      </c>
      <c r="U131" s="739"/>
      <c r="V131" s="740"/>
      <c r="W131" s="740">
        <f t="shared" si="6"/>
        <v>1817</v>
      </c>
      <c r="X131" s="740">
        <v>102</v>
      </c>
      <c r="Y131" s="740">
        <v>143</v>
      </c>
      <c r="Z131" s="740"/>
      <c r="AA131" s="740">
        <v>12441</v>
      </c>
      <c r="AB131" s="740"/>
      <c r="AC131" s="740"/>
      <c r="AD131" s="740"/>
      <c r="AE131" s="740"/>
      <c r="AF131" s="742">
        <f t="shared" si="5"/>
        <v>14503</v>
      </c>
    </row>
    <row r="132" spans="1:32">
      <c r="A132" s="737" t="s">
        <v>1731</v>
      </c>
      <c r="B132" s="745">
        <v>22</v>
      </c>
      <c r="C132" s="745">
        <v>22</v>
      </c>
      <c r="D132" s="745">
        <v>3</v>
      </c>
      <c r="E132" s="745" t="s">
        <v>1657</v>
      </c>
      <c r="F132" s="745" t="s">
        <v>1598</v>
      </c>
      <c r="G132" s="745" t="s">
        <v>1740</v>
      </c>
      <c r="H132" s="745" t="s">
        <v>1617</v>
      </c>
      <c r="I132" s="745" t="s">
        <v>1709</v>
      </c>
      <c r="J132" s="745" t="s">
        <v>1618</v>
      </c>
      <c r="K132" s="745" t="s">
        <v>1603</v>
      </c>
      <c r="L132" s="745" t="s">
        <v>1605</v>
      </c>
      <c r="M132" s="745" t="s">
        <v>1604</v>
      </c>
      <c r="N132" s="745">
        <v>0</v>
      </c>
      <c r="O132" s="745">
        <v>950</v>
      </c>
      <c r="P132" s="745">
        <v>950</v>
      </c>
      <c r="Q132" s="745">
        <v>7254</v>
      </c>
      <c r="R132" s="745">
        <v>869</v>
      </c>
      <c r="S132" s="745">
        <v>0</v>
      </c>
      <c r="T132" s="745">
        <v>8123</v>
      </c>
      <c r="U132" s="739"/>
      <c r="V132" s="740"/>
      <c r="W132" s="740">
        <f t="shared" si="6"/>
        <v>869</v>
      </c>
      <c r="X132" s="740">
        <v>59</v>
      </c>
      <c r="Y132" s="740">
        <v>83</v>
      </c>
      <c r="Z132" s="740"/>
      <c r="AA132" s="740">
        <v>7112</v>
      </c>
      <c r="AB132" s="740"/>
      <c r="AC132" s="740"/>
      <c r="AD132" s="740"/>
      <c r="AE132" s="740"/>
      <c r="AF132" s="742">
        <f t="shared" si="5"/>
        <v>8123</v>
      </c>
    </row>
    <row r="133" spans="1:32">
      <c r="A133" s="737" t="s">
        <v>1731</v>
      </c>
      <c r="B133" s="745">
        <v>23</v>
      </c>
      <c r="C133" s="745">
        <v>23</v>
      </c>
      <c r="D133" s="745">
        <v>3</v>
      </c>
      <c r="E133" s="745" t="s">
        <v>1661</v>
      </c>
      <c r="F133" s="745" t="s">
        <v>1598</v>
      </c>
      <c r="G133" s="745" t="s">
        <v>1740</v>
      </c>
      <c r="H133" s="745" t="s">
        <v>1607</v>
      </c>
      <c r="I133" s="745" t="s">
        <v>1709</v>
      </c>
      <c r="J133" s="745" t="s">
        <v>1618</v>
      </c>
      <c r="K133" s="745" t="s">
        <v>1603</v>
      </c>
      <c r="L133" s="745" t="s">
        <v>1622</v>
      </c>
      <c r="M133" s="745" t="s">
        <v>1604</v>
      </c>
      <c r="N133" s="745">
        <v>0</v>
      </c>
      <c r="O133" s="745">
        <v>75</v>
      </c>
      <c r="P133" s="745">
        <v>75</v>
      </c>
      <c r="Q133" s="745">
        <v>409</v>
      </c>
      <c r="R133" s="745">
        <v>71</v>
      </c>
      <c r="S133" s="745">
        <v>0</v>
      </c>
      <c r="T133" s="745">
        <v>480</v>
      </c>
      <c r="U133" s="739"/>
      <c r="V133" s="740"/>
      <c r="W133" s="740">
        <f t="shared" si="6"/>
        <v>71</v>
      </c>
      <c r="X133" s="740">
        <v>4</v>
      </c>
      <c r="Y133" s="740">
        <v>5</v>
      </c>
      <c r="Z133" s="740"/>
      <c r="AA133" s="740">
        <v>400</v>
      </c>
      <c r="AB133" s="740"/>
      <c r="AC133" s="740"/>
      <c r="AD133" s="740"/>
      <c r="AE133" s="740"/>
      <c r="AF133" s="742">
        <f t="shared" si="5"/>
        <v>480</v>
      </c>
    </row>
    <row r="134" spans="1:32">
      <c r="A134" s="737" t="s">
        <v>1731</v>
      </c>
      <c r="B134" s="745">
        <v>24</v>
      </c>
      <c r="C134" s="745">
        <v>24</v>
      </c>
      <c r="D134" s="745">
        <v>3</v>
      </c>
      <c r="E134" s="745" t="s">
        <v>1663</v>
      </c>
      <c r="F134" s="745" t="s">
        <v>1598</v>
      </c>
      <c r="G134" s="745" t="s">
        <v>1740</v>
      </c>
      <c r="H134" s="745" t="s">
        <v>1709</v>
      </c>
      <c r="I134" s="745" t="s">
        <v>1617</v>
      </c>
      <c r="J134" s="745" t="s">
        <v>1618</v>
      </c>
      <c r="K134" s="745" t="s">
        <v>1603</v>
      </c>
      <c r="L134" s="745" t="s">
        <v>1613</v>
      </c>
      <c r="M134" s="745" t="s">
        <v>1684</v>
      </c>
      <c r="N134" s="745">
        <v>0</v>
      </c>
      <c r="O134" s="745">
        <v>50</v>
      </c>
      <c r="P134" s="745">
        <v>50</v>
      </c>
      <c r="Q134" s="745">
        <v>306</v>
      </c>
      <c r="R134" s="745">
        <v>37</v>
      </c>
      <c r="S134" s="745">
        <v>0</v>
      </c>
      <c r="T134" s="745">
        <v>343</v>
      </c>
      <c r="U134" s="739"/>
      <c r="V134" s="740"/>
      <c r="W134" s="740">
        <f t="shared" si="6"/>
        <v>37</v>
      </c>
      <c r="X134" s="740">
        <v>2</v>
      </c>
      <c r="Y134" s="740">
        <v>3</v>
      </c>
      <c r="Z134" s="740"/>
      <c r="AA134" s="740">
        <v>301</v>
      </c>
      <c r="AB134" s="740"/>
      <c r="AC134" s="740"/>
      <c r="AD134" s="740"/>
      <c r="AE134" s="740"/>
      <c r="AF134" s="742">
        <f t="shared" si="5"/>
        <v>343</v>
      </c>
    </row>
    <row r="135" spans="1:32">
      <c r="A135" s="737" t="s">
        <v>1731</v>
      </c>
      <c r="B135" s="745">
        <v>25</v>
      </c>
      <c r="C135" s="745">
        <v>25</v>
      </c>
      <c r="D135" s="745">
        <v>3</v>
      </c>
      <c r="E135" s="745" t="s">
        <v>1665</v>
      </c>
      <c r="F135" s="745" t="s">
        <v>1598</v>
      </c>
      <c r="G135" s="745" t="s">
        <v>1740</v>
      </c>
      <c r="H135" s="745" t="s">
        <v>1709</v>
      </c>
      <c r="I135" s="745" t="s">
        <v>1617</v>
      </c>
      <c r="J135" s="745" t="s">
        <v>1618</v>
      </c>
      <c r="K135" s="745" t="s">
        <v>1603</v>
      </c>
      <c r="L135" s="745" t="s">
        <v>1604</v>
      </c>
      <c r="M135" s="745" t="s">
        <v>1605</v>
      </c>
      <c r="N135" s="745">
        <v>0</v>
      </c>
      <c r="O135" s="745">
        <v>3918</v>
      </c>
      <c r="P135" s="745">
        <v>3918</v>
      </c>
      <c r="Q135" s="745">
        <v>29000</v>
      </c>
      <c r="R135" s="745">
        <v>3429</v>
      </c>
      <c r="S135" s="745">
        <v>0</v>
      </c>
      <c r="T135" s="745">
        <v>32429</v>
      </c>
      <c r="U135" s="739"/>
      <c r="V135" s="740"/>
      <c r="W135" s="740">
        <f t="shared" si="6"/>
        <v>3429</v>
      </c>
      <c r="X135" s="740">
        <v>292</v>
      </c>
      <c r="Y135" s="740">
        <v>410</v>
      </c>
      <c r="Z135" s="740"/>
      <c r="AA135" s="740">
        <v>28298</v>
      </c>
      <c r="AB135" s="740"/>
      <c r="AC135" s="740"/>
      <c r="AD135" s="740"/>
      <c r="AE135" s="740"/>
      <c r="AF135" s="742">
        <f t="shared" si="5"/>
        <v>32429</v>
      </c>
    </row>
    <row r="136" spans="1:32">
      <c r="A136" s="737" t="s">
        <v>1731</v>
      </c>
      <c r="B136" s="745">
        <v>26</v>
      </c>
      <c r="C136" s="745">
        <v>26</v>
      </c>
      <c r="D136" s="745">
        <v>3</v>
      </c>
      <c r="E136" s="745" t="s">
        <v>1668</v>
      </c>
      <c r="F136" s="745" t="s">
        <v>1598</v>
      </c>
      <c r="G136" s="745" t="s">
        <v>1741</v>
      </c>
      <c r="H136" s="745" t="s">
        <v>1696</v>
      </c>
      <c r="I136" s="745" t="s">
        <v>1607</v>
      </c>
      <c r="J136" s="745" t="s">
        <v>1612</v>
      </c>
      <c r="K136" s="745" t="s">
        <v>1603</v>
      </c>
      <c r="L136" s="745" t="s">
        <v>1697</v>
      </c>
      <c r="M136" s="745" t="s">
        <v>1622</v>
      </c>
      <c r="N136" s="745">
        <v>0</v>
      </c>
      <c r="O136" s="745">
        <v>43</v>
      </c>
      <c r="P136" s="745">
        <v>43</v>
      </c>
      <c r="Q136" s="745">
        <v>2987</v>
      </c>
      <c r="R136" s="745">
        <v>41</v>
      </c>
      <c r="S136" s="745">
        <v>0</v>
      </c>
      <c r="T136" s="745">
        <v>3028</v>
      </c>
      <c r="U136" s="739"/>
      <c r="V136" s="740"/>
      <c r="W136" s="740">
        <f t="shared" si="6"/>
        <v>41</v>
      </c>
      <c r="X136" s="740">
        <v>12</v>
      </c>
      <c r="Y136" s="740">
        <v>17</v>
      </c>
      <c r="Z136" s="740"/>
      <c r="AA136" s="740">
        <v>2958</v>
      </c>
      <c r="AB136" s="740"/>
      <c r="AC136" s="740"/>
      <c r="AD136" s="740"/>
      <c r="AE136" s="740"/>
      <c r="AF136" s="742">
        <f t="shared" si="5"/>
        <v>3028</v>
      </c>
    </row>
    <row r="137" spans="1:32">
      <c r="A137" s="737" t="s">
        <v>1731</v>
      </c>
      <c r="B137" s="745">
        <v>27</v>
      </c>
      <c r="C137" s="745">
        <v>27</v>
      </c>
      <c r="D137" s="745">
        <v>3</v>
      </c>
      <c r="E137" s="745" t="s">
        <v>1671</v>
      </c>
      <c r="F137" s="745" t="s">
        <v>1598</v>
      </c>
      <c r="G137" s="745" t="s">
        <v>1742</v>
      </c>
      <c r="H137" s="745" t="s">
        <v>1696</v>
      </c>
      <c r="I137" s="745" t="s">
        <v>1607</v>
      </c>
      <c r="J137" s="745" t="s">
        <v>1618</v>
      </c>
      <c r="K137" s="745" t="s">
        <v>1603</v>
      </c>
      <c r="L137" s="745" t="s">
        <v>1697</v>
      </c>
      <c r="M137" s="745" t="s">
        <v>1743</v>
      </c>
      <c r="N137" s="745">
        <v>0</v>
      </c>
      <c r="O137" s="745">
        <v>280</v>
      </c>
      <c r="P137" s="745">
        <v>280</v>
      </c>
      <c r="Q137" s="745">
        <v>1732</v>
      </c>
      <c r="R137" s="745">
        <v>235</v>
      </c>
      <c r="S137" s="745">
        <v>0</v>
      </c>
      <c r="T137" s="745">
        <v>1967</v>
      </c>
      <c r="U137" s="739"/>
      <c r="V137" s="740"/>
      <c r="W137" s="740">
        <f t="shared" si="6"/>
        <v>235</v>
      </c>
      <c r="X137" s="740">
        <v>14</v>
      </c>
      <c r="Y137" s="740">
        <v>20</v>
      </c>
      <c r="Z137" s="740"/>
      <c r="AA137" s="740">
        <v>1698</v>
      </c>
      <c r="AB137" s="740"/>
      <c r="AC137" s="740"/>
      <c r="AD137" s="740"/>
      <c r="AE137" s="740"/>
      <c r="AF137" s="742">
        <f t="shared" si="5"/>
        <v>1967</v>
      </c>
    </row>
    <row r="138" spans="1:32">
      <c r="A138" s="737" t="s">
        <v>1731</v>
      </c>
      <c r="B138" s="745">
        <v>28</v>
      </c>
      <c r="C138" s="745">
        <v>28</v>
      </c>
      <c r="D138" s="745">
        <v>3</v>
      </c>
      <c r="E138" s="745" t="s">
        <v>1672</v>
      </c>
      <c r="F138" s="745" t="s">
        <v>1598</v>
      </c>
      <c r="G138" s="745" t="s">
        <v>1742</v>
      </c>
      <c r="H138" s="745" t="s">
        <v>1696</v>
      </c>
      <c r="I138" s="745" t="s">
        <v>1607</v>
      </c>
      <c r="J138" s="745" t="s">
        <v>1618</v>
      </c>
      <c r="K138" s="745" t="s">
        <v>1603</v>
      </c>
      <c r="L138" s="745" t="s">
        <v>1697</v>
      </c>
      <c r="M138" s="745" t="s">
        <v>1622</v>
      </c>
      <c r="N138" s="745">
        <v>0</v>
      </c>
      <c r="O138" s="745">
        <v>18380</v>
      </c>
      <c r="P138" s="745">
        <v>1838</v>
      </c>
      <c r="Q138" s="745">
        <v>11837</v>
      </c>
      <c r="R138" s="745">
        <v>3787</v>
      </c>
      <c r="S138" s="745">
        <v>0</v>
      </c>
      <c r="T138" s="745">
        <v>15624</v>
      </c>
      <c r="U138" s="739"/>
      <c r="V138" s="740"/>
      <c r="W138" s="740">
        <f t="shared" si="6"/>
        <v>3787</v>
      </c>
      <c r="X138" s="740">
        <v>98</v>
      </c>
      <c r="Y138" s="740">
        <v>137</v>
      </c>
      <c r="Z138" s="740"/>
      <c r="AA138" s="740">
        <v>11602</v>
      </c>
      <c r="AB138" s="740"/>
      <c r="AC138" s="740"/>
      <c r="AD138" s="740"/>
      <c r="AE138" s="740"/>
      <c r="AF138" s="742">
        <f t="shared" ref="AF138:AF182" si="7">SUM(U138:AE138)</f>
        <v>15624</v>
      </c>
    </row>
    <row r="139" spans="1:32">
      <c r="A139" s="737" t="s">
        <v>1731</v>
      </c>
      <c r="B139" s="745">
        <v>29</v>
      </c>
      <c r="C139" s="745">
        <v>29</v>
      </c>
      <c r="D139" s="745">
        <v>3</v>
      </c>
      <c r="E139" s="745" t="s">
        <v>1675</v>
      </c>
      <c r="F139" s="745" t="s">
        <v>1598</v>
      </c>
      <c r="G139" s="745" t="s">
        <v>1742</v>
      </c>
      <c r="H139" s="745" t="s">
        <v>1617</v>
      </c>
      <c r="I139" s="745" t="s">
        <v>1669</v>
      </c>
      <c r="J139" s="745" t="s">
        <v>1618</v>
      </c>
      <c r="K139" s="745" t="s">
        <v>1603</v>
      </c>
      <c r="L139" s="745" t="s">
        <v>1605</v>
      </c>
      <c r="M139" s="745" t="s">
        <v>1670</v>
      </c>
      <c r="N139" s="745">
        <v>0</v>
      </c>
      <c r="O139" s="745">
        <v>750</v>
      </c>
      <c r="P139" s="745">
        <v>75</v>
      </c>
      <c r="Q139" s="745">
        <v>545</v>
      </c>
      <c r="R139" s="745">
        <v>55</v>
      </c>
      <c r="S139" s="745">
        <v>0</v>
      </c>
      <c r="T139" s="745">
        <v>600</v>
      </c>
      <c r="U139" s="739"/>
      <c r="V139" s="740"/>
      <c r="W139" s="740">
        <f t="shared" si="6"/>
        <v>55</v>
      </c>
      <c r="X139" s="740">
        <v>5</v>
      </c>
      <c r="Y139" s="740">
        <v>7</v>
      </c>
      <c r="Z139" s="740"/>
      <c r="AA139" s="740">
        <v>533</v>
      </c>
      <c r="AB139" s="740"/>
      <c r="AC139" s="740"/>
      <c r="AD139" s="740"/>
      <c r="AE139" s="740"/>
      <c r="AF139" s="742">
        <f t="shared" si="7"/>
        <v>600</v>
      </c>
    </row>
    <row r="140" spans="1:32">
      <c r="A140" s="737" t="s">
        <v>1731</v>
      </c>
      <c r="B140" s="745">
        <v>30</v>
      </c>
      <c r="C140" s="745">
        <v>30</v>
      </c>
      <c r="D140" s="745">
        <v>3</v>
      </c>
      <c r="E140" s="745" t="s">
        <v>1676</v>
      </c>
      <c r="F140" s="745" t="s">
        <v>1598</v>
      </c>
      <c r="G140" s="745" t="s">
        <v>1742</v>
      </c>
      <c r="H140" s="745" t="s">
        <v>1696</v>
      </c>
      <c r="I140" s="745" t="s">
        <v>1617</v>
      </c>
      <c r="J140" s="745" t="s">
        <v>1618</v>
      </c>
      <c r="K140" s="745" t="s">
        <v>1603</v>
      </c>
      <c r="L140" s="745" t="s">
        <v>1697</v>
      </c>
      <c r="M140" s="745" t="s">
        <v>1605</v>
      </c>
      <c r="N140" s="745">
        <v>0</v>
      </c>
      <c r="O140" s="745">
        <v>2025</v>
      </c>
      <c r="P140" s="745">
        <v>2025</v>
      </c>
      <c r="Q140" s="745">
        <v>11571</v>
      </c>
      <c r="R140" s="745">
        <v>1756</v>
      </c>
      <c r="S140" s="745">
        <v>0</v>
      </c>
      <c r="T140" s="745">
        <v>13327</v>
      </c>
      <c r="U140" s="739"/>
      <c r="V140" s="740"/>
      <c r="W140" s="740">
        <f t="shared" si="6"/>
        <v>1756</v>
      </c>
      <c r="X140" s="740">
        <v>95</v>
      </c>
      <c r="Y140" s="740">
        <v>134</v>
      </c>
      <c r="Z140" s="740"/>
      <c r="AA140" s="740">
        <v>11342</v>
      </c>
      <c r="AB140" s="740"/>
      <c r="AC140" s="740"/>
      <c r="AD140" s="740"/>
      <c r="AE140" s="740"/>
      <c r="AF140" s="742">
        <f t="shared" si="7"/>
        <v>13327</v>
      </c>
    </row>
    <row r="141" spans="1:32">
      <c r="A141" s="737" t="s">
        <v>1731</v>
      </c>
      <c r="B141" s="745">
        <v>31</v>
      </c>
      <c r="C141" s="745">
        <v>31</v>
      </c>
      <c r="D141" s="745">
        <v>3</v>
      </c>
      <c r="E141" s="745" t="s">
        <v>1677</v>
      </c>
      <c r="F141" s="745" t="s">
        <v>1598</v>
      </c>
      <c r="G141" s="745" t="s">
        <v>1742</v>
      </c>
      <c r="H141" s="745" t="s">
        <v>1669</v>
      </c>
      <c r="I141" s="745" t="s">
        <v>1607</v>
      </c>
      <c r="J141" s="745" t="s">
        <v>1618</v>
      </c>
      <c r="K141" s="745" t="s">
        <v>1603</v>
      </c>
      <c r="L141" s="745" t="s">
        <v>1670</v>
      </c>
      <c r="M141" s="745" t="s">
        <v>1622</v>
      </c>
      <c r="N141" s="745">
        <v>0</v>
      </c>
      <c r="O141" s="745">
        <v>306</v>
      </c>
      <c r="P141" s="745">
        <v>306</v>
      </c>
      <c r="Q141" s="745">
        <v>1963</v>
      </c>
      <c r="R141" s="745">
        <v>254</v>
      </c>
      <c r="S141" s="745">
        <v>0</v>
      </c>
      <c r="T141" s="745">
        <v>2217</v>
      </c>
      <c r="U141" s="739"/>
      <c r="V141" s="740"/>
      <c r="W141" s="740">
        <f t="shared" si="6"/>
        <v>254</v>
      </c>
      <c r="X141" s="740">
        <v>62</v>
      </c>
      <c r="Y141" s="740">
        <v>87</v>
      </c>
      <c r="Z141" s="740"/>
      <c r="AA141" s="740">
        <v>1814</v>
      </c>
      <c r="AB141" s="740"/>
      <c r="AC141" s="740"/>
      <c r="AD141" s="740"/>
      <c r="AE141" s="740"/>
      <c r="AF141" s="742">
        <f t="shared" si="7"/>
        <v>2217</v>
      </c>
    </row>
    <row r="142" spans="1:32">
      <c r="A142" s="737" t="s">
        <v>1731</v>
      </c>
      <c r="B142" s="745">
        <v>32</v>
      </c>
      <c r="C142" s="745">
        <v>32</v>
      </c>
      <c r="D142" s="745">
        <v>3</v>
      </c>
      <c r="E142" s="745" t="s">
        <v>1678</v>
      </c>
      <c r="F142" s="745" t="s">
        <v>1598</v>
      </c>
      <c r="G142" s="745" t="s">
        <v>1742</v>
      </c>
      <c r="H142" s="745" t="s">
        <v>1659</v>
      </c>
      <c r="I142" s="745" t="s">
        <v>1669</v>
      </c>
      <c r="J142" s="745" t="s">
        <v>1618</v>
      </c>
      <c r="K142" s="745" t="s">
        <v>1603</v>
      </c>
      <c r="L142" s="745" t="s">
        <v>1683</v>
      </c>
      <c r="M142" s="745" t="s">
        <v>1725</v>
      </c>
      <c r="N142" s="745">
        <v>0</v>
      </c>
      <c r="O142" s="745">
        <v>1605</v>
      </c>
      <c r="P142" s="745">
        <v>1605</v>
      </c>
      <c r="Q142" s="745">
        <v>12169</v>
      </c>
      <c r="R142" s="745">
        <v>1644</v>
      </c>
      <c r="S142" s="745">
        <v>0</v>
      </c>
      <c r="T142" s="745">
        <v>13813</v>
      </c>
      <c r="U142" s="739"/>
      <c r="V142" s="740"/>
      <c r="W142" s="740">
        <f t="shared" si="6"/>
        <v>1644</v>
      </c>
      <c r="X142" s="740">
        <v>93</v>
      </c>
      <c r="Y142" s="740">
        <v>131</v>
      </c>
      <c r="Z142" s="740"/>
      <c r="AA142" s="740">
        <v>11945</v>
      </c>
      <c r="AB142" s="740"/>
      <c r="AC142" s="740"/>
      <c r="AD142" s="740"/>
      <c r="AE142" s="740"/>
      <c r="AF142" s="742">
        <f t="shared" si="7"/>
        <v>13813</v>
      </c>
    </row>
    <row r="143" spans="1:32">
      <c r="A143" s="737" t="s">
        <v>1731</v>
      </c>
      <c r="B143" s="745">
        <v>33</v>
      </c>
      <c r="C143" s="745">
        <v>33</v>
      </c>
      <c r="D143" s="745">
        <v>3</v>
      </c>
      <c r="E143" s="745" t="s">
        <v>1680</v>
      </c>
      <c r="F143" s="745" t="s">
        <v>1598</v>
      </c>
      <c r="G143" s="745" t="s">
        <v>1744</v>
      </c>
      <c r="H143" s="745" t="s">
        <v>1659</v>
      </c>
      <c r="I143" s="745" t="s">
        <v>1669</v>
      </c>
      <c r="J143" s="745" t="s">
        <v>1602</v>
      </c>
      <c r="K143" s="745" t="s">
        <v>1603</v>
      </c>
      <c r="L143" s="745" t="s">
        <v>1683</v>
      </c>
      <c r="M143" s="745" t="s">
        <v>1725</v>
      </c>
      <c r="N143" s="745">
        <v>60</v>
      </c>
      <c r="O143" s="745">
        <v>7440</v>
      </c>
      <c r="P143" s="745">
        <v>744</v>
      </c>
      <c r="Q143" s="745">
        <v>1771200</v>
      </c>
      <c r="R143" s="745">
        <v>698</v>
      </c>
      <c r="S143" s="745">
        <v>0</v>
      </c>
      <c r="T143" s="745">
        <v>1771898</v>
      </c>
      <c r="U143" s="739">
        <v>1771898</v>
      </c>
      <c r="V143" s="740"/>
      <c r="W143" s="740"/>
      <c r="X143" s="740"/>
      <c r="Y143" s="740"/>
      <c r="Z143" s="740"/>
      <c r="AA143" s="740"/>
      <c r="AB143" s="740"/>
      <c r="AC143" s="740"/>
      <c r="AD143" s="740"/>
      <c r="AE143" s="740"/>
      <c r="AF143" s="742">
        <f t="shared" si="7"/>
        <v>1771898</v>
      </c>
    </row>
    <row r="144" spans="1:32">
      <c r="A144" s="737" t="s">
        <v>1731</v>
      </c>
      <c r="B144" s="745">
        <v>34</v>
      </c>
      <c r="C144" s="745">
        <v>34</v>
      </c>
      <c r="D144" s="745">
        <v>3</v>
      </c>
      <c r="E144" s="745" t="s">
        <v>1681</v>
      </c>
      <c r="F144" s="745" t="s">
        <v>1598</v>
      </c>
      <c r="G144" s="745" t="s">
        <v>1742</v>
      </c>
      <c r="H144" s="745" t="s">
        <v>1607</v>
      </c>
      <c r="I144" s="745" t="s">
        <v>1607</v>
      </c>
      <c r="J144" s="745" t="s">
        <v>1618</v>
      </c>
      <c r="K144" s="745" t="s">
        <v>1603</v>
      </c>
      <c r="L144" s="745" t="s">
        <v>1622</v>
      </c>
      <c r="M144" s="745" t="s">
        <v>1743</v>
      </c>
      <c r="N144" s="745">
        <v>0</v>
      </c>
      <c r="O144" s="745">
        <v>2273</v>
      </c>
      <c r="P144" s="745">
        <v>2273</v>
      </c>
      <c r="Q144" s="745">
        <v>11630</v>
      </c>
      <c r="R144" s="745">
        <v>32</v>
      </c>
      <c r="S144" s="745">
        <v>0</v>
      </c>
      <c r="T144" s="745">
        <v>11662</v>
      </c>
      <c r="U144" s="739"/>
      <c r="V144" s="740"/>
      <c r="W144" s="740">
        <f t="shared" ref="W144:W181" si="8">+R144</f>
        <v>32</v>
      </c>
      <c r="X144" s="740">
        <v>99</v>
      </c>
      <c r="Y144" s="740">
        <v>139</v>
      </c>
      <c r="Z144" s="740"/>
      <c r="AA144" s="740">
        <v>11392</v>
      </c>
      <c r="AB144" s="740"/>
      <c r="AC144" s="740"/>
      <c r="AD144" s="740"/>
      <c r="AE144" s="740"/>
      <c r="AF144" s="742">
        <f t="shared" si="7"/>
        <v>11662</v>
      </c>
    </row>
    <row r="145" spans="1:32">
      <c r="A145" s="737" t="s">
        <v>1745</v>
      </c>
      <c r="B145" s="745">
        <v>1</v>
      </c>
      <c r="C145" s="745">
        <v>1</v>
      </c>
      <c r="D145" s="745">
        <v>4</v>
      </c>
      <c r="E145" s="745" t="s">
        <v>1597</v>
      </c>
      <c r="F145" s="745" t="s">
        <v>1598</v>
      </c>
      <c r="G145" s="745" t="s">
        <v>1746</v>
      </c>
      <c r="H145" s="745" t="s">
        <v>1696</v>
      </c>
      <c r="I145" s="745" t="s">
        <v>1696</v>
      </c>
      <c r="J145" s="745" t="s">
        <v>1648</v>
      </c>
      <c r="K145" s="745" t="s">
        <v>1603</v>
      </c>
      <c r="L145" s="745" t="s">
        <v>1598</v>
      </c>
      <c r="M145" s="745" t="s">
        <v>1598</v>
      </c>
      <c r="N145" s="745">
        <v>0</v>
      </c>
      <c r="O145" s="745">
        <v>2311577</v>
      </c>
      <c r="P145" s="745">
        <v>2311577</v>
      </c>
      <c r="Q145" s="745">
        <v>8409274</v>
      </c>
      <c r="R145" s="745">
        <v>852463</v>
      </c>
      <c r="S145" s="745">
        <v>573643</v>
      </c>
      <c r="T145" s="745">
        <v>9835380</v>
      </c>
      <c r="U145" s="739">
        <f>T145</f>
        <v>9835380</v>
      </c>
      <c r="V145" s="740"/>
      <c r="W145" s="740"/>
      <c r="X145" s="740"/>
      <c r="Y145" s="740"/>
      <c r="Z145" s="740"/>
      <c r="AA145" s="740"/>
      <c r="AB145" s="740"/>
      <c r="AC145" s="740"/>
      <c r="AD145" s="740"/>
      <c r="AE145" s="740"/>
      <c r="AF145" s="742">
        <f t="shared" si="7"/>
        <v>9835380</v>
      </c>
    </row>
    <row r="146" spans="1:32">
      <c r="A146" s="737" t="s">
        <v>1745</v>
      </c>
      <c r="B146" s="745">
        <v>2</v>
      </c>
      <c r="C146" s="745">
        <v>2</v>
      </c>
      <c r="D146" s="745">
        <v>4</v>
      </c>
      <c r="E146" s="745" t="s">
        <v>1606</v>
      </c>
      <c r="F146" s="745" t="s">
        <v>1598</v>
      </c>
      <c r="G146" s="745" t="s">
        <v>1747</v>
      </c>
      <c r="H146" s="745" t="s">
        <v>1659</v>
      </c>
      <c r="I146" s="745" t="s">
        <v>1669</v>
      </c>
      <c r="J146" s="745" t="s">
        <v>1618</v>
      </c>
      <c r="K146" s="745" t="s">
        <v>1603</v>
      </c>
      <c r="L146" s="745" t="s">
        <v>1674</v>
      </c>
      <c r="M146" s="745" t="s">
        <v>1725</v>
      </c>
      <c r="N146" s="745">
        <v>0</v>
      </c>
      <c r="O146" s="745">
        <v>3125</v>
      </c>
      <c r="P146" s="745">
        <v>3125</v>
      </c>
      <c r="Q146" s="745">
        <v>38433</v>
      </c>
      <c r="R146" s="745">
        <v>0</v>
      </c>
      <c r="S146" s="745">
        <v>0</v>
      </c>
      <c r="T146" s="745">
        <v>38433</v>
      </c>
      <c r="U146" s="739"/>
      <c r="V146" s="740"/>
      <c r="W146" s="740">
        <f t="shared" si="8"/>
        <v>0</v>
      </c>
      <c r="X146" s="740">
        <v>493</v>
      </c>
      <c r="Y146" s="740">
        <v>691</v>
      </c>
      <c r="Z146" s="740"/>
      <c r="AA146" s="740">
        <v>37249</v>
      </c>
      <c r="AB146" s="740"/>
      <c r="AC146" s="740"/>
      <c r="AD146" s="740"/>
      <c r="AE146" s="740"/>
      <c r="AF146" s="742">
        <f t="shared" si="7"/>
        <v>38433</v>
      </c>
    </row>
    <row r="147" spans="1:32">
      <c r="A147" s="737" t="s">
        <v>1745</v>
      </c>
      <c r="B147" s="745">
        <v>3</v>
      </c>
      <c r="C147" s="745">
        <v>3</v>
      </c>
      <c r="D147" s="745">
        <v>4</v>
      </c>
      <c r="E147" s="745" t="s">
        <v>1609</v>
      </c>
      <c r="F147" s="745" t="s">
        <v>1598</v>
      </c>
      <c r="G147" s="745" t="s">
        <v>1748</v>
      </c>
      <c r="H147" s="745" t="s">
        <v>1659</v>
      </c>
      <c r="I147" s="745" t="s">
        <v>1669</v>
      </c>
      <c r="J147" s="745" t="s">
        <v>1612</v>
      </c>
      <c r="K147" s="745" t="s">
        <v>1603</v>
      </c>
      <c r="L147" s="745" t="s">
        <v>1674</v>
      </c>
      <c r="M147" s="745" t="s">
        <v>1725</v>
      </c>
      <c r="N147" s="745">
        <v>0</v>
      </c>
      <c r="O147" s="745">
        <v>3048</v>
      </c>
      <c r="P147" s="745">
        <v>3636</v>
      </c>
      <c r="Q147" s="745">
        <v>54894</v>
      </c>
      <c r="R147" s="745">
        <v>0</v>
      </c>
      <c r="S147" s="745">
        <v>0</v>
      </c>
      <c r="T147" s="745">
        <v>54894</v>
      </c>
      <c r="U147" s="739"/>
      <c r="V147" s="740"/>
      <c r="W147" s="740">
        <f t="shared" si="8"/>
        <v>0</v>
      </c>
      <c r="X147" s="740">
        <v>635</v>
      </c>
      <c r="Y147" s="740">
        <v>1001</v>
      </c>
      <c r="Z147" s="740">
        <v>35000</v>
      </c>
      <c r="AA147" s="740">
        <v>18258</v>
      </c>
      <c r="AB147" s="740"/>
      <c r="AC147" s="740"/>
      <c r="AD147" s="740"/>
      <c r="AE147" s="740"/>
      <c r="AF147" s="742">
        <f t="shared" si="7"/>
        <v>54894</v>
      </c>
    </row>
    <row r="148" spans="1:32">
      <c r="A148" s="737" t="s">
        <v>1745</v>
      </c>
      <c r="B148" s="745">
        <v>4</v>
      </c>
      <c r="C148" s="745">
        <v>4</v>
      </c>
      <c r="D148" s="745">
        <v>4</v>
      </c>
      <c r="E148" s="745" t="s">
        <v>1615</v>
      </c>
      <c r="F148" s="745" t="s">
        <v>1598</v>
      </c>
      <c r="G148" s="745" t="s">
        <v>1747</v>
      </c>
      <c r="H148" s="745" t="s">
        <v>1659</v>
      </c>
      <c r="I148" s="745" t="s">
        <v>1669</v>
      </c>
      <c r="J148" s="745" t="s">
        <v>1618</v>
      </c>
      <c r="K148" s="745" t="s">
        <v>1603</v>
      </c>
      <c r="L148" s="745" t="s">
        <v>1674</v>
      </c>
      <c r="M148" s="745" t="s">
        <v>1725</v>
      </c>
      <c r="N148" s="745">
        <v>0</v>
      </c>
      <c r="O148" s="745">
        <v>14421</v>
      </c>
      <c r="P148" s="745">
        <v>14421</v>
      </c>
      <c r="Q148" s="745">
        <v>184348</v>
      </c>
      <c r="R148" s="745">
        <v>0</v>
      </c>
      <c r="S148" s="745">
        <v>0</v>
      </c>
      <c r="T148" s="745">
        <v>184348</v>
      </c>
      <c r="U148" s="743"/>
      <c r="V148" s="744"/>
      <c r="W148" s="740">
        <f t="shared" si="8"/>
        <v>0</v>
      </c>
      <c r="X148" s="740">
        <v>1850</v>
      </c>
      <c r="Y148" s="740">
        <v>2594</v>
      </c>
      <c r="Z148" s="740"/>
      <c r="AA148" s="740">
        <v>179904</v>
      </c>
      <c r="AB148" s="744"/>
      <c r="AC148" s="744"/>
      <c r="AD148" s="744"/>
      <c r="AE148" s="744"/>
      <c r="AF148" s="742">
        <f t="shared" si="7"/>
        <v>184348</v>
      </c>
    </row>
    <row r="149" spans="1:32">
      <c r="A149" s="737" t="s">
        <v>1745</v>
      </c>
      <c r="B149" s="745">
        <v>5</v>
      </c>
      <c r="C149" s="745">
        <v>5</v>
      </c>
      <c r="D149" s="745">
        <v>4</v>
      </c>
      <c r="E149" s="745" t="s">
        <v>1619</v>
      </c>
      <c r="F149" s="745" t="s">
        <v>1598</v>
      </c>
      <c r="G149" s="745" t="s">
        <v>1747</v>
      </c>
      <c r="H149" s="745" t="s">
        <v>1669</v>
      </c>
      <c r="I149" s="745" t="s">
        <v>1659</v>
      </c>
      <c r="J149" s="745" t="s">
        <v>1618</v>
      </c>
      <c r="K149" s="745" t="s">
        <v>1603</v>
      </c>
      <c r="L149" s="745" t="s">
        <v>1725</v>
      </c>
      <c r="M149" s="745" t="s">
        <v>1683</v>
      </c>
      <c r="N149" s="745">
        <v>0</v>
      </c>
      <c r="O149" s="745">
        <v>180</v>
      </c>
      <c r="P149" s="745">
        <v>180</v>
      </c>
      <c r="Q149" s="745">
        <v>6184</v>
      </c>
      <c r="R149" s="745">
        <v>0</v>
      </c>
      <c r="S149" s="745">
        <v>0</v>
      </c>
      <c r="T149" s="745">
        <v>6184</v>
      </c>
      <c r="U149" s="743"/>
      <c r="V149" s="744"/>
      <c r="W149" s="740">
        <f t="shared" si="8"/>
        <v>0</v>
      </c>
      <c r="X149" s="740">
        <v>74</v>
      </c>
      <c r="Y149" s="740">
        <v>104</v>
      </c>
      <c r="Z149" s="740"/>
      <c r="AA149" s="740">
        <v>6006</v>
      </c>
      <c r="AB149" s="744"/>
      <c r="AC149" s="744"/>
      <c r="AD149" s="744"/>
      <c r="AE149" s="744"/>
      <c r="AF149" s="742">
        <f t="shared" si="7"/>
        <v>6184</v>
      </c>
    </row>
    <row r="150" spans="1:32">
      <c r="A150" s="737" t="s">
        <v>1745</v>
      </c>
      <c r="B150" s="745">
        <v>6</v>
      </c>
      <c r="C150" s="745">
        <v>6</v>
      </c>
      <c r="D150" s="745">
        <v>4</v>
      </c>
      <c r="E150" s="745" t="s">
        <v>1621</v>
      </c>
      <c r="F150" s="745" t="s">
        <v>1598</v>
      </c>
      <c r="G150" s="745" t="s">
        <v>1747</v>
      </c>
      <c r="H150" s="745" t="s">
        <v>1617</v>
      </c>
      <c r="I150" s="745" t="s">
        <v>1607</v>
      </c>
      <c r="J150" s="745" t="s">
        <v>1618</v>
      </c>
      <c r="K150" s="745" t="s">
        <v>1603</v>
      </c>
      <c r="L150" s="745" t="s">
        <v>1605</v>
      </c>
      <c r="M150" s="745" t="s">
        <v>1622</v>
      </c>
      <c r="N150" s="745">
        <v>0</v>
      </c>
      <c r="O150" s="745">
        <v>1413</v>
      </c>
      <c r="P150" s="745">
        <v>1413</v>
      </c>
      <c r="Q150" s="745">
        <v>7640</v>
      </c>
      <c r="R150" s="745">
        <v>0</v>
      </c>
      <c r="S150" s="745">
        <v>0</v>
      </c>
      <c r="T150" s="745">
        <v>7640</v>
      </c>
      <c r="U150" s="743"/>
      <c r="V150" s="744"/>
      <c r="W150" s="740">
        <f t="shared" si="8"/>
        <v>0</v>
      </c>
      <c r="X150" s="740">
        <v>66</v>
      </c>
      <c r="Y150" s="740">
        <v>93</v>
      </c>
      <c r="Z150" s="740"/>
      <c r="AA150" s="740">
        <v>7481</v>
      </c>
      <c r="AB150" s="744"/>
      <c r="AC150" s="744"/>
      <c r="AD150" s="744"/>
      <c r="AE150" s="744"/>
      <c r="AF150" s="742">
        <f t="shared" si="7"/>
        <v>7640</v>
      </c>
    </row>
    <row r="151" spans="1:32">
      <c r="A151" s="737" t="s">
        <v>1745</v>
      </c>
      <c r="B151" s="745">
        <v>7</v>
      </c>
      <c r="C151" s="745">
        <v>7</v>
      </c>
      <c r="D151" s="745">
        <v>4</v>
      </c>
      <c r="E151" s="745" t="s">
        <v>1623</v>
      </c>
      <c r="F151" s="745" t="s">
        <v>1598</v>
      </c>
      <c r="G151" s="745" t="s">
        <v>1748</v>
      </c>
      <c r="H151" s="745" t="s">
        <v>1617</v>
      </c>
      <c r="I151" s="745" t="s">
        <v>1669</v>
      </c>
      <c r="J151" s="745" t="s">
        <v>1612</v>
      </c>
      <c r="K151" s="745" t="s">
        <v>1603</v>
      </c>
      <c r="L151" s="745" t="s">
        <v>1605</v>
      </c>
      <c r="M151" s="745" t="s">
        <v>1725</v>
      </c>
      <c r="N151" s="745">
        <v>0</v>
      </c>
      <c r="O151" s="745">
        <v>40</v>
      </c>
      <c r="P151" s="745">
        <v>40</v>
      </c>
      <c r="Q151" s="745">
        <v>1163</v>
      </c>
      <c r="R151" s="745">
        <v>0</v>
      </c>
      <c r="S151" s="745">
        <v>0</v>
      </c>
      <c r="T151" s="745">
        <v>1163</v>
      </c>
      <c r="U151" s="743"/>
      <c r="V151" s="744"/>
      <c r="W151" s="740">
        <f t="shared" si="8"/>
        <v>0</v>
      </c>
      <c r="X151" s="740">
        <v>9</v>
      </c>
      <c r="Y151" s="740">
        <v>13</v>
      </c>
      <c r="Z151" s="740"/>
      <c r="AA151" s="740">
        <v>1141</v>
      </c>
      <c r="AB151" s="744"/>
      <c r="AC151" s="744"/>
      <c r="AD151" s="744"/>
      <c r="AE151" s="744"/>
      <c r="AF151" s="742">
        <f t="shared" si="7"/>
        <v>1163</v>
      </c>
    </row>
    <row r="152" spans="1:32">
      <c r="A152" s="737" t="s">
        <v>1745</v>
      </c>
      <c r="B152" s="745">
        <v>8</v>
      </c>
      <c r="C152" s="745">
        <v>8</v>
      </c>
      <c r="D152" s="745">
        <v>4</v>
      </c>
      <c r="E152" s="745" t="s">
        <v>1625</v>
      </c>
      <c r="F152" s="745" t="s">
        <v>1598</v>
      </c>
      <c r="G152" s="745" t="s">
        <v>1747</v>
      </c>
      <c r="H152" s="745" t="s">
        <v>1659</v>
      </c>
      <c r="I152" s="745" t="s">
        <v>1659</v>
      </c>
      <c r="J152" s="745" t="s">
        <v>1618</v>
      </c>
      <c r="K152" s="745" t="s">
        <v>1603</v>
      </c>
      <c r="L152" s="745" t="s">
        <v>1674</v>
      </c>
      <c r="M152" s="745" t="s">
        <v>1683</v>
      </c>
      <c r="N152" s="745">
        <v>0</v>
      </c>
      <c r="O152" s="745">
        <v>165</v>
      </c>
      <c r="P152" s="745">
        <v>165</v>
      </c>
      <c r="Q152" s="745">
        <v>1918</v>
      </c>
      <c r="R152" s="745">
        <v>0</v>
      </c>
      <c r="S152" s="745">
        <v>0</v>
      </c>
      <c r="T152" s="745">
        <v>1918</v>
      </c>
      <c r="U152" s="743"/>
      <c r="V152" s="744"/>
      <c r="W152" s="740">
        <f t="shared" si="8"/>
        <v>0</v>
      </c>
      <c r="X152" s="740">
        <v>15</v>
      </c>
      <c r="Y152" s="740">
        <v>21</v>
      </c>
      <c r="Z152" s="740"/>
      <c r="AA152" s="740">
        <v>1882</v>
      </c>
      <c r="AB152" s="744"/>
      <c r="AC152" s="744"/>
      <c r="AD152" s="744"/>
      <c r="AE152" s="744"/>
      <c r="AF152" s="742">
        <f t="shared" si="7"/>
        <v>1918</v>
      </c>
    </row>
    <row r="153" spans="1:32">
      <c r="A153" s="737" t="s">
        <v>1745</v>
      </c>
      <c r="B153" s="745">
        <v>9</v>
      </c>
      <c r="C153" s="745">
        <v>9</v>
      </c>
      <c r="D153" s="745">
        <v>4</v>
      </c>
      <c r="E153" s="745" t="s">
        <v>1629</v>
      </c>
      <c r="F153" s="745" t="s">
        <v>1598</v>
      </c>
      <c r="G153" s="745" t="s">
        <v>1747</v>
      </c>
      <c r="H153" s="745" t="s">
        <v>1607</v>
      </c>
      <c r="I153" s="745" t="s">
        <v>1669</v>
      </c>
      <c r="J153" s="745" t="s">
        <v>1618</v>
      </c>
      <c r="K153" s="745" t="s">
        <v>1603</v>
      </c>
      <c r="L153" s="745" t="s">
        <v>1622</v>
      </c>
      <c r="M153" s="745" t="s">
        <v>1725</v>
      </c>
      <c r="N153" s="745">
        <v>0</v>
      </c>
      <c r="O153" s="745">
        <v>409</v>
      </c>
      <c r="P153" s="745">
        <v>409</v>
      </c>
      <c r="Q153" s="745">
        <v>2637</v>
      </c>
      <c r="R153" s="745">
        <v>0</v>
      </c>
      <c r="S153" s="745">
        <v>0</v>
      </c>
      <c r="T153" s="745">
        <v>2637</v>
      </c>
      <c r="U153" s="743"/>
      <c r="V153" s="744"/>
      <c r="W153" s="740">
        <f t="shared" si="8"/>
        <v>0</v>
      </c>
      <c r="X153" s="740">
        <v>20</v>
      </c>
      <c r="Y153" s="740">
        <v>28</v>
      </c>
      <c r="Z153" s="740">
        <v>6</v>
      </c>
      <c r="AA153" s="740">
        <v>2583</v>
      </c>
      <c r="AB153" s="744"/>
      <c r="AC153" s="744"/>
      <c r="AD153" s="744"/>
      <c r="AE153" s="744"/>
      <c r="AF153" s="742">
        <f t="shared" si="7"/>
        <v>2637</v>
      </c>
    </row>
    <row r="154" spans="1:32">
      <c r="A154" s="737" t="s">
        <v>1745</v>
      </c>
      <c r="B154" s="745">
        <v>10</v>
      </c>
      <c r="C154" s="745">
        <v>10</v>
      </c>
      <c r="D154" s="745">
        <v>4</v>
      </c>
      <c r="E154" s="745" t="s">
        <v>1632</v>
      </c>
      <c r="F154" s="745" t="s">
        <v>1598</v>
      </c>
      <c r="G154" s="745" t="s">
        <v>1747</v>
      </c>
      <c r="H154" s="745" t="s">
        <v>1611</v>
      </c>
      <c r="I154" s="745" t="s">
        <v>1617</v>
      </c>
      <c r="J154" s="745" t="s">
        <v>1618</v>
      </c>
      <c r="K154" s="745" t="s">
        <v>1603</v>
      </c>
      <c r="L154" s="745" t="s">
        <v>1613</v>
      </c>
      <c r="M154" s="745" t="s">
        <v>1684</v>
      </c>
      <c r="N154" s="745">
        <v>0</v>
      </c>
      <c r="O154" s="745">
        <v>375</v>
      </c>
      <c r="P154" s="745">
        <v>375</v>
      </c>
      <c r="Q154" s="745">
        <v>3541</v>
      </c>
      <c r="R154" s="745">
        <v>0</v>
      </c>
      <c r="S154" s="745">
        <v>0</v>
      </c>
      <c r="T154" s="745">
        <v>3541</v>
      </c>
      <c r="U154" s="743"/>
      <c r="V154" s="740"/>
      <c r="W154" s="740">
        <f t="shared" si="8"/>
        <v>0</v>
      </c>
      <c r="X154" s="740">
        <v>31</v>
      </c>
      <c r="Y154" s="740">
        <v>43</v>
      </c>
      <c r="Z154" s="740"/>
      <c r="AA154" s="740">
        <v>3467</v>
      </c>
      <c r="AB154" s="744"/>
      <c r="AC154" s="744"/>
      <c r="AD154" s="744"/>
      <c r="AE154" s="744"/>
      <c r="AF154" s="742">
        <f t="shared" si="7"/>
        <v>3541</v>
      </c>
    </row>
    <row r="155" spans="1:32">
      <c r="A155" s="737" t="s">
        <v>1745</v>
      </c>
      <c r="B155" s="745">
        <v>11</v>
      </c>
      <c r="C155" s="745">
        <v>11</v>
      </c>
      <c r="D155" s="745">
        <v>4</v>
      </c>
      <c r="E155" s="745" t="s">
        <v>1633</v>
      </c>
      <c r="F155" s="745" t="s">
        <v>1598</v>
      </c>
      <c r="G155" s="745" t="s">
        <v>1747</v>
      </c>
      <c r="H155" s="745" t="s">
        <v>1607</v>
      </c>
      <c r="I155" s="745" t="s">
        <v>1669</v>
      </c>
      <c r="J155" s="745" t="s">
        <v>1618</v>
      </c>
      <c r="K155" s="745" t="s">
        <v>1603</v>
      </c>
      <c r="L155" s="745" t="s">
        <v>1622</v>
      </c>
      <c r="M155" s="745" t="s">
        <v>1725</v>
      </c>
      <c r="N155" s="745">
        <v>0</v>
      </c>
      <c r="O155" s="745">
        <v>0</v>
      </c>
      <c r="P155" s="745">
        <v>0</v>
      </c>
      <c r="Q155" s="745">
        <v>494</v>
      </c>
      <c r="R155" s="745">
        <v>0</v>
      </c>
      <c r="S155" s="745">
        <v>0</v>
      </c>
      <c r="T155" s="745">
        <v>494</v>
      </c>
      <c r="U155" s="739"/>
      <c r="V155" s="744"/>
      <c r="W155" s="740"/>
      <c r="X155" s="740">
        <v>6</v>
      </c>
      <c r="Y155" s="740">
        <v>8</v>
      </c>
      <c r="Z155" s="740"/>
      <c r="AA155" s="740">
        <v>480</v>
      </c>
      <c r="AB155" s="744"/>
      <c r="AC155" s="744"/>
      <c r="AD155" s="744"/>
      <c r="AE155" s="744"/>
      <c r="AF155" s="742">
        <f t="shared" si="7"/>
        <v>494</v>
      </c>
    </row>
    <row r="156" spans="1:32">
      <c r="A156" s="737" t="s">
        <v>1745</v>
      </c>
      <c r="B156" s="745">
        <v>12</v>
      </c>
      <c r="C156" s="745">
        <v>12</v>
      </c>
      <c r="D156" s="745">
        <v>4</v>
      </c>
      <c r="E156" s="745" t="s">
        <v>1634</v>
      </c>
      <c r="F156" s="745" t="s">
        <v>1598</v>
      </c>
      <c r="G156" s="745" t="s">
        <v>1747</v>
      </c>
      <c r="H156" s="745" t="s">
        <v>1617</v>
      </c>
      <c r="I156" s="745" t="s">
        <v>1688</v>
      </c>
      <c r="J156" s="745" t="s">
        <v>1618</v>
      </c>
      <c r="K156" s="745" t="s">
        <v>1603</v>
      </c>
      <c r="L156" s="745" t="s">
        <v>1605</v>
      </c>
      <c r="M156" s="745" t="s">
        <v>1653</v>
      </c>
      <c r="N156" s="745">
        <v>0</v>
      </c>
      <c r="O156" s="745">
        <v>0</v>
      </c>
      <c r="P156" s="745">
        <v>0</v>
      </c>
      <c r="Q156" s="745">
        <v>5</v>
      </c>
      <c r="R156" s="745">
        <v>0</v>
      </c>
      <c r="S156" s="745">
        <v>0</v>
      </c>
      <c r="T156" s="745">
        <v>5</v>
      </c>
      <c r="U156" s="739"/>
      <c r="V156" s="744"/>
      <c r="W156" s="740"/>
      <c r="X156" s="740">
        <v>0</v>
      </c>
      <c r="Y156" s="740">
        <v>0</v>
      </c>
      <c r="Z156" s="740"/>
      <c r="AA156" s="740">
        <v>5</v>
      </c>
      <c r="AB156" s="744"/>
      <c r="AC156" s="744"/>
      <c r="AD156" s="744"/>
      <c r="AE156" s="744"/>
      <c r="AF156" s="742">
        <f t="shared" si="7"/>
        <v>5</v>
      </c>
    </row>
    <row r="157" spans="1:32">
      <c r="A157" s="737" t="s">
        <v>1745</v>
      </c>
      <c r="B157" s="745">
        <v>13</v>
      </c>
      <c r="C157" s="745">
        <v>13</v>
      </c>
      <c r="D157" s="745">
        <v>4</v>
      </c>
      <c r="E157" s="745" t="s">
        <v>1636</v>
      </c>
      <c r="F157" s="745" t="s">
        <v>1598</v>
      </c>
      <c r="G157" s="745" t="s">
        <v>1747</v>
      </c>
      <c r="H157" s="745" t="s">
        <v>1659</v>
      </c>
      <c r="I157" s="745" t="s">
        <v>1659</v>
      </c>
      <c r="J157" s="745" t="s">
        <v>1618</v>
      </c>
      <c r="K157" s="745" t="s">
        <v>1603</v>
      </c>
      <c r="L157" s="745" t="s">
        <v>1683</v>
      </c>
      <c r="M157" s="745" t="s">
        <v>1683</v>
      </c>
      <c r="N157" s="745">
        <v>0</v>
      </c>
      <c r="O157" s="745">
        <v>4</v>
      </c>
      <c r="P157" s="745">
        <v>4</v>
      </c>
      <c r="Q157" s="745">
        <v>395</v>
      </c>
      <c r="R157" s="745">
        <v>0</v>
      </c>
      <c r="S157" s="745">
        <v>0</v>
      </c>
      <c r="T157" s="745">
        <v>395</v>
      </c>
      <c r="U157" s="739"/>
      <c r="V157" s="744"/>
      <c r="W157" s="740">
        <f t="shared" si="8"/>
        <v>0</v>
      </c>
      <c r="X157" s="740">
        <v>5</v>
      </c>
      <c r="Y157" s="740">
        <v>6</v>
      </c>
      <c r="Z157" s="740"/>
      <c r="AA157" s="740">
        <v>384</v>
      </c>
      <c r="AB157" s="744"/>
      <c r="AC157" s="744"/>
      <c r="AD157" s="744"/>
      <c r="AE157" s="744"/>
      <c r="AF157" s="742">
        <f t="shared" si="7"/>
        <v>395</v>
      </c>
    </row>
    <row r="158" spans="1:32">
      <c r="A158" s="737" t="s">
        <v>1745</v>
      </c>
      <c r="B158" s="745">
        <v>14</v>
      </c>
      <c r="C158" s="745">
        <v>14</v>
      </c>
      <c r="D158" s="745">
        <v>4</v>
      </c>
      <c r="E158" s="745" t="s">
        <v>1637</v>
      </c>
      <c r="F158" s="745" t="s">
        <v>1598</v>
      </c>
      <c r="G158" s="745" t="s">
        <v>1747</v>
      </c>
      <c r="H158" s="745" t="s">
        <v>1659</v>
      </c>
      <c r="I158" s="745" t="s">
        <v>1659</v>
      </c>
      <c r="J158" s="745" t="s">
        <v>1618</v>
      </c>
      <c r="K158" s="745" t="s">
        <v>1603</v>
      </c>
      <c r="L158" s="745" t="s">
        <v>1683</v>
      </c>
      <c r="M158" s="745" t="s">
        <v>1683</v>
      </c>
      <c r="N158" s="745">
        <v>0</v>
      </c>
      <c r="O158" s="745">
        <v>100</v>
      </c>
      <c r="P158" s="745">
        <v>100</v>
      </c>
      <c r="Q158" s="745">
        <v>873</v>
      </c>
      <c r="R158" s="745">
        <v>0</v>
      </c>
      <c r="S158" s="745">
        <v>0</v>
      </c>
      <c r="T158" s="745">
        <v>873</v>
      </c>
      <c r="U158" s="739"/>
      <c r="V158" s="744"/>
      <c r="W158" s="740">
        <f t="shared" si="8"/>
        <v>0</v>
      </c>
      <c r="X158" s="740">
        <v>11</v>
      </c>
      <c r="Y158" s="740">
        <v>16</v>
      </c>
      <c r="Z158" s="740"/>
      <c r="AA158" s="740">
        <v>846</v>
      </c>
      <c r="AB158" s="744"/>
      <c r="AC158" s="744"/>
      <c r="AD158" s="744"/>
      <c r="AE158" s="744"/>
      <c r="AF158" s="742">
        <f t="shared" si="7"/>
        <v>873</v>
      </c>
    </row>
    <row r="159" spans="1:32">
      <c r="A159" s="737" t="s">
        <v>1745</v>
      </c>
      <c r="B159" s="745">
        <v>15</v>
      </c>
      <c r="C159" s="745">
        <v>15</v>
      </c>
      <c r="D159" s="745">
        <v>4</v>
      </c>
      <c r="E159" s="745" t="s">
        <v>1638</v>
      </c>
      <c r="F159" s="745" t="s">
        <v>1598</v>
      </c>
      <c r="G159" s="745" t="s">
        <v>1747</v>
      </c>
      <c r="H159" s="745" t="s">
        <v>1659</v>
      </c>
      <c r="I159" s="745" t="s">
        <v>1669</v>
      </c>
      <c r="J159" s="745" t="s">
        <v>1618</v>
      </c>
      <c r="K159" s="745" t="s">
        <v>1603</v>
      </c>
      <c r="L159" s="745" t="s">
        <v>1683</v>
      </c>
      <c r="M159" s="745" t="s">
        <v>1725</v>
      </c>
      <c r="N159" s="745">
        <v>0</v>
      </c>
      <c r="O159" s="745">
        <v>74</v>
      </c>
      <c r="P159" s="745">
        <v>74</v>
      </c>
      <c r="Q159" s="745">
        <v>8386</v>
      </c>
      <c r="R159" s="745">
        <v>0</v>
      </c>
      <c r="S159" s="745">
        <v>0</v>
      </c>
      <c r="T159" s="745">
        <v>8386</v>
      </c>
      <c r="U159" s="739"/>
      <c r="V159" s="744"/>
      <c r="W159" s="740">
        <f t="shared" si="8"/>
        <v>0</v>
      </c>
      <c r="X159" s="740">
        <v>64</v>
      </c>
      <c r="Y159" s="740">
        <v>90</v>
      </c>
      <c r="Z159" s="740"/>
      <c r="AA159" s="740">
        <v>8232</v>
      </c>
      <c r="AB159" s="744"/>
      <c r="AC159" s="744"/>
      <c r="AD159" s="744"/>
      <c r="AE159" s="744"/>
      <c r="AF159" s="742">
        <f t="shared" si="7"/>
        <v>8386</v>
      </c>
    </row>
    <row r="160" spans="1:32">
      <c r="A160" s="737" t="s">
        <v>1745</v>
      </c>
      <c r="B160" s="745">
        <v>16</v>
      </c>
      <c r="C160" s="745">
        <v>16</v>
      </c>
      <c r="D160" s="745">
        <v>4</v>
      </c>
      <c r="E160" s="745" t="s">
        <v>1639</v>
      </c>
      <c r="F160" s="745" t="s">
        <v>1598</v>
      </c>
      <c r="G160" s="745" t="s">
        <v>1747</v>
      </c>
      <c r="H160" s="745" t="s">
        <v>1617</v>
      </c>
      <c r="I160" s="745" t="s">
        <v>1669</v>
      </c>
      <c r="J160" s="745" t="s">
        <v>1618</v>
      </c>
      <c r="K160" s="745" t="s">
        <v>1603</v>
      </c>
      <c r="L160" s="745" t="s">
        <v>1605</v>
      </c>
      <c r="M160" s="745" t="s">
        <v>1670</v>
      </c>
      <c r="N160" s="745">
        <v>0</v>
      </c>
      <c r="O160" s="745">
        <v>1560</v>
      </c>
      <c r="P160" s="745">
        <v>1560</v>
      </c>
      <c r="Q160" s="745">
        <v>16554</v>
      </c>
      <c r="R160" s="745">
        <v>0</v>
      </c>
      <c r="S160" s="745">
        <v>0</v>
      </c>
      <c r="T160" s="745">
        <v>16554</v>
      </c>
      <c r="U160" s="739"/>
      <c r="V160" s="744"/>
      <c r="W160" s="740">
        <f t="shared" si="8"/>
        <v>0</v>
      </c>
      <c r="X160" s="740">
        <v>135</v>
      </c>
      <c r="Y160" s="740">
        <v>189</v>
      </c>
      <c r="Z160" s="740"/>
      <c r="AA160" s="740">
        <v>16230</v>
      </c>
      <c r="AB160" s="744"/>
      <c r="AC160" s="744"/>
      <c r="AD160" s="744"/>
      <c r="AE160" s="744"/>
      <c r="AF160" s="742">
        <f t="shared" si="7"/>
        <v>16554</v>
      </c>
    </row>
    <row r="161" spans="1:32">
      <c r="A161" s="737" t="s">
        <v>1745</v>
      </c>
      <c r="B161" s="745">
        <v>17</v>
      </c>
      <c r="C161" s="745">
        <v>17</v>
      </c>
      <c r="D161" s="745">
        <v>4</v>
      </c>
      <c r="E161" s="745" t="s">
        <v>1640</v>
      </c>
      <c r="F161" s="745" t="s">
        <v>1598</v>
      </c>
      <c r="G161" s="745" t="s">
        <v>1747</v>
      </c>
      <c r="H161" s="745" t="s">
        <v>1607</v>
      </c>
      <c r="I161" s="745" t="s">
        <v>1688</v>
      </c>
      <c r="J161" s="745" t="s">
        <v>1618</v>
      </c>
      <c r="K161" s="745" t="s">
        <v>1603</v>
      </c>
      <c r="L161" s="745" t="s">
        <v>1622</v>
      </c>
      <c r="M161" s="745" t="s">
        <v>1653</v>
      </c>
      <c r="N161" s="745">
        <v>0</v>
      </c>
      <c r="O161" s="745">
        <v>21</v>
      </c>
      <c r="P161" s="745">
        <v>21</v>
      </c>
      <c r="Q161" s="745">
        <v>114</v>
      </c>
      <c r="R161" s="745">
        <v>0</v>
      </c>
      <c r="S161" s="745">
        <v>0</v>
      </c>
      <c r="T161" s="745">
        <v>114</v>
      </c>
      <c r="U161" s="739"/>
      <c r="V161" s="740"/>
      <c r="W161" s="740">
        <f t="shared" si="8"/>
        <v>0</v>
      </c>
      <c r="X161" s="740">
        <v>1</v>
      </c>
      <c r="Y161" s="740">
        <v>1</v>
      </c>
      <c r="Z161" s="740"/>
      <c r="AA161" s="740">
        <v>112</v>
      </c>
      <c r="AB161" s="744"/>
      <c r="AC161" s="744"/>
      <c r="AD161" s="744"/>
      <c r="AE161" s="744"/>
      <c r="AF161" s="742">
        <f t="shared" si="7"/>
        <v>114</v>
      </c>
    </row>
    <row r="162" spans="1:32">
      <c r="A162" s="737" t="s">
        <v>1745</v>
      </c>
      <c r="B162" s="745">
        <v>18</v>
      </c>
      <c r="C162" s="745">
        <v>18</v>
      </c>
      <c r="D162" s="745">
        <v>4</v>
      </c>
      <c r="E162" s="745" t="s">
        <v>1641</v>
      </c>
      <c r="F162" s="745" t="s">
        <v>1598</v>
      </c>
      <c r="G162" s="745" t="s">
        <v>1747</v>
      </c>
      <c r="H162" s="745" t="s">
        <v>1607</v>
      </c>
      <c r="I162" s="745" t="s">
        <v>1669</v>
      </c>
      <c r="J162" s="745" t="s">
        <v>1618</v>
      </c>
      <c r="K162" s="745" t="s">
        <v>1603</v>
      </c>
      <c r="L162" s="745" t="s">
        <v>1622</v>
      </c>
      <c r="M162" s="745" t="s">
        <v>1605</v>
      </c>
      <c r="N162" s="745">
        <v>0</v>
      </c>
      <c r="O162" s="745">
        <v>30</v>
      </c>
      <c r="P162" s="745">
        <v>30</v>
      </c>
      <c r="Q162" s="745">
        <v>163</v>
      </c>
      <c r="R162" s="745">
        <v>0</v>
      </c>
      <c r="S162" s="745">
        <v>0</v>
      </c>
      <c r="T162" s="745">
        <v>163</v>
      </c>
      <c r="U162" s="743"/>
      <c r="V162" s="740"/>
      <c r="W162" s="740">
        <f t="shared" si="8"/>
        <v>0</v>
      </c>
      <c r="X162" s="740">
        <v>1</v>
      </c>
      <c r="Y162" s="740">
        <v>2</v>
      </c>
      <c r="Z162" s="740"/>
      <c r="AA162" s="740">
        <v>160</v>
      </c>
      <c r="AB162" s="740"/>
      <c r="AC162" s="740"/>
      <c r="AD162" s="740"/>
      <c r="AE162" s="744"/>
      <c r="AF162" s="742">
        <f t="shared" si="7"/>
        <v>163</v>
      </c>
    </row>
    <row r="163" spans="1:32" s="671" customFormat="1">
      <c r="A163" s="737" t="s">
        <v>1745</v>
      </c>
      <c r="B163" s="745">
        <v>19</v>
      </c>
      <c r="C163" s="745">
        <v>19</v>
      </c>
      <c r="D163" s="745">
        <v>4</v>
      </c>
      <c r="E163" s="745" t="s">
        <v>1645</v>
      </c>
      <c r="F163" s="745" t="s">
        <v>1598</v>
      </c>
      <c r="G163" s="745" t="s">
        <v>1747</v>
      </c>
      <c r="H163" s="745" t="s">
        <v>1617</v>
      </c>
      <c r="I163" s="745" t="s">
        <v>1607</v>
      </c>
      <c r="J163" s="745" t="s">
        <v>1618</v>
      </c>
      <c r="K163" s="745" t="s">
        <v>1603</v>
      </c>
      <c r="L163" s="745" t="s">
        <v>1605</v>
      </c>
      <c r="M163" s="745" t="s">
        <v>1622</v>
      </c>
      <c r="N163" s="745">
        <v>0</v>
      </c>
      <c r="O163" s="745">
        <v>2644</v>
      </c>
      <c r="P163" s="745">
        <v>2644</v>
      </c>
      <c r="Q163" s="745">
        <v>14454</v>
      </c>
      <c r="R163" s="745">
        <v>0</v>
      </c>
      <c r="S163" s="745">
        <v>0</v>
      </c>
      <c r="T163" s="745">
        <v>14454</v>
      </c>
      <c r="U163" s="743"/>
      <c r="V163" s="740"/>
      <c r="W163" s="740">
        <f t="shared" si="8"/>
        <v>0</v>
      </c>
      <c r="X163" s="740">
        <v>125</v>
      </c>
      <c r="Y163" s="740">
        <v>175</v>
      </c>
      <c r="Z163" s="740"/>
      <c r="AA163" s="740">
        <v>14154</v>
      </c>
      <c r="AB163" s="740"/>
      <c r="AC163" s="740"/>
      <c r="AD163" s="740"/>
      <c r="AE163" s="744"/>
      <c r="AF163" s="742">
        <f t="shared" si="7"/>
        <v>14454</v>
      </c>
    </row>
    <row r="164" spans="1:32" s="671" customFormat="1">
      <c r="A164" s="737" t="s">
        <v>1745</v>
      </c>
      <c r="B164" s="745">
        <v>20</v>
      </c>
      <c r="C164" s="745">
        <v>20</v>
      </c>
      <c r="D164" s="745">
        <v>4</v>
      </c>
      <c r="E164" s="745" t="s">
        <v>1649</v>
      </c>
      <c r="F164" s="745" t="s">
        <v>1598</v>
      </c>
      <c r="G164" s="745" t="s">
        <v>1747</v>
      </c>
      <c r="H164" s="745" t="s">
        <v>1669</v>
      </c>
      <c r="I164" s="745" t="s">
        <v>1659</v>
      </c>
      <c r="J164" s="745" t="s">
        <v>1618</v>
      </c>
      <c r="K164" s="745" t="s">
        <v>1603</v>
      </c>
      <c r="L164" s="745" t="s">
        <v>1725</v>
      </c>
      <c r="M164" s="745" t="s">
        <v>1683</v>
      </c>
      <c r="N164" s="745">
        <v>0</v>
      </c>
      <c r="O164" s="745">
        <v>23</v>
      </c>
      <c r="P164" s="745">
        <v>23</v>
      </c>
      <c r="Q164" s="745">
        <v>986</v>
      </c>
      <c r="R164" s="745">
        <v>0</v>
      </c>
      <c r="S164" s="745">
        <v>0</v>
      </c>
      <c r="T164" s="745">
        <v>986</v>
      </c>
      <c r="U164" s="739"/>
      <c r="V164" s="740"/>
      <c r="W164" s="740">
        <f t="shared" si="8"/>
        <v>0</v>
      </c>
      <c r="X164" s="740">
        <v>11</v>
      </c>
      <c r="Y164" s="740">
        <v>15</v>
      </c>
      <c r="Z164" s="740"/>
      <c r="AA164" s="740">
        <v>960</v>
      </c>
      <c r="AB164" s="740"/>
      <c r="AC164" s="740"/>
      <c r="AD164" s="740"/>
      <c r="AE164" s="744"/>
      <c r="AF164" s="742">
        <f t="shared" si="7"/>
        <v>986</v>
      </c>
    </row>
    <row r="165" spans="1:32" s="671" customFormat="1">
      <c r="A165" s="737" t="s">
        <v>1745</v>
      </c>
      <c r="B165" s="745">
        <v>21</v>
      </c>
      <c r="C165" s="745">
        <v>21</v>
      </c>
      <c r="D165" s="745">
        <v>4</v>
      </c>
      <c r="E165" s="745" t="s">
        <v>1654</v>
      </c>
      <c r="F165" s="745" t="s">
        <v>1598</v>
      </c>
      <c r="G165" s="745" t="s">
        <v>1747</v>
      </c>
      <c r="H165" s="745" t="s">
        <v>1669</v>
      </c>
      <c r="I165" s="745" t="s">
        <v>1659</v>
      </c>
      <c r="J165" s="745" t="s">
        <v>1618</v>
      </c>
      <c r="K165" s="745" t="s">
        <v>1603</v>
      </c>
      <c r="L165" s="745" t="s">
        <v>1725</v>
      </c>
      <c r="M165" s="745" t="s">
        <v>1683</v>
      </c>
      <c r="N165" s="745">
        <v>0</v>
      </c>
      <c r="O165" s="745">
        <v>314</v>
      </c>
      <c r="P165" s="745">
        <v>314</v>
      </c>
      <c r="Q165" s="745">
        <v>7581</v>
      </c>
      <c r="R165" s="745">
        <v>0</v>
      </c>
      <c r="S165" s="745">
        <v>0</v>
      </c>
      <c r="T165" s="745">
        <v>7581</v>
      </c>
      <c r="U165" s="743"/>
      <c r="V165" s="740"/>
      <c r="W165" s="740">
        <f t="shared" si="8"/>
        <v>0</v>
      </c>
      <c r="X165" s="740">
        <v>58</v>
      </c>
      <c r="Y165" s="740">
        <v>82</v>
      </c>
      <c r="Z165" s="740"/>
      <c r="AA165" s="740">
        <v>7441</v>
      </c>
      <c r="AB165" s="740"/>
      <c r="AC165" s="740"/>
      <c r="AD165" s="740"/>
      <c r="AE165" s="744"/>
      <c r="AF165" s="742">
        <f t="shared" si="7"/>
        <v>7581</v>
      </c>
    </row>
    <row r="166" spans="1:32" s="671" customFormat="1">
      <c r="A166" s="737" t="s">
        <v>1745</v>
      </c>
      <c r="B166" s="745">
        <v>22</v>
      </c>
      <c r="C166" s="745">
        <v>22</v>
      </c>
      <c r="D166" s="745">
        <v>4</v>
      </c>
      <c r="E166" s="745" t="s">
        <v>1657</v>
      </c>
      <c r="F166" s="745" t="s">
        <v>1598</v>
      </c>
      <c r="G166" s="745" t="s">
        <v>1747</v>
      </c>
      <c r="H166" s="745" t="s">
        <v>1659</v>
      </c>
      <c r="I166" s="745" t="s">
        <v>1617</v>
      </c>
      <c r="J166" s="745" t="s">
        <v>1618</v>
      </c>
      <c r="K166" s="745" t="s">
        <v>1603</v>
      </c>
      <c r="L166" s="745" t="s">
        <v>1685</v>
      </c>
      <c r="M166" s="745" t="s">
        <v>1605</v>
      </c>
      <c r="N166" s="745">
        <v>0</v>
      </c>
      <c r="O166" s="745">
        <v>0</v>
      </c>
      <c r="P166" s="745">
        <v>0</v>
      </c>
      <c r="Q166" s="745">
        <v>306</v>
      </c>
      <c r="R166" s="745">
        <v>0</v>
      </c>
      <c r="S166" s="745">
        <v>0</v>
      </c>
      <c r="T166" s="745">
        <v>306</v>
      </c>
      <c r="U166" s="743"/>
      <c r="V166" s="740"/>
      <c r="W166" s="740">
        <f t="shared" si="8"/>
        <v>0</v>
      </c>
      <c r="X166" s="740">
        <v>2</v>
      </c>
      <c r="Y166" s="740">
        <v>3</v>
      </c>
      <c r="Z166" s="740"/>
      <c r="AA166" s="740">
        <v>301</v>
      </c>
      <c r="AB166" s="740"/>
      <c r="AC166" s="740"/>
      <c r="AD166" s="740"/>
      <c r="AE166" s="744"/>
      <c r="AF166" s="742">
        <f t="shared" si="7"/>
        <v>306</v>
      </c>
    </row>
    <row r="167" spans="1:32" s="671" customFormat="1">
      <c r="A167" s="737" t="s">
        <v>1745</v>
      </c>
      <c r="B167" s="745">
        <v>23</v>
      </c>
      <c r="C167" s="745">
        <v>23</v>
      </c>
      <c r="D167" s="745">
        <v>4</v>
      </c>
      <c r="E167" s="745" t="s">
        <v>1661</v>
      </c>
      <c r="F167" s="745" t="s">
        <v>1598</v>
      </c>
      <c r="G167" s="745" t="s">
        <v>1747</v>
      </c>
      <c r="H167" s="745" t="s">
        <v>1659</v>
      </c>
      <c r="I167" s="745" t="s">
        <v>1669</v>
      </c>
      <c r="J167" s="745" t="s">
        <v>1618</v>
      </c>
      <c r="K167" s="745" t="s">
        <v>1603</v>
      </c>
      <c r="L167" s="745" t="s">
        <v>1685</v>
      </c>
      <c r="M167" s="745" t="s">
        <v>1670</v>
      </c>
      <c r="N167" s="745">
        <v>0</v>
      </c>
      <c r="O167" s="745">
        <v>0</v>
      </c>
      <c r="P167" s="745">
        <v>100</v>
      </c>
      <c r="Q167" s="745">
        <v>612</v>
      </c>
      <c r="R167" s="745">
        <v>0</v>
      </c>
      <c r="S167" s="745">
        <v>0</v>
      </c>
      <c r="T167" s="745">
        <v>612</v>
      </c>
      <c r="U167" s="743"/>
      <c r="V167" s="740"/>
      <c r="W167" s="740">
        <f t="shared" si="8"/>
        <v>0</v>
      </c>
      <c r="X167" s="740">
        <v>5</v>
      </c>
      <c r="Y167" s="740">
        <v>7</v>
      </c>
      <c r="Z167" s="740"/>
      <c r="AA167" s="740">
        <v>600</v>
      </c>
      <c r="AB167" s="740"/>
      <c r="AC167" s="740"/>
      <c r="AD167" s="740"/>
      <c r="AE167" s="744"/>
      <c r="AF167" s="742">
        <f t="shared" si="7"/>
        <v>612</v>
      </c>
    </row>
    <row r="168" spans="1:32" s="671" customFormat="1">
      <c r="A168" s="737" t="s">
        <v>1745</v>
      </c>
      <c r="B168" s="745">
        <v>24</v>
      </c>
      <c r="C168" s="745">
        <v>24</v>
      </c>
      <c r="D168" s="745">
        <v>4</v>
      </c>
      <c r="E168" s="745" t="s">
        <v>1663</v>
      </c>
      <c r="F168" s="745" t="s">
        <v>1598</v>
      </c>
      <c r="G168" s="745" t="s">
        <v>1747</v>
      </c>
      <c r="H168" s="745" t="s">
        <v>1617</v>
      </c>
      <c r="I168" s="745" t="s">
        <v>1617</v>
      </c>
      <c r="J168" s="745" t="s">
        <v>1618</v>
      </c>
      <c r="K168" s="745" t="s">
        <v>1603</v>
      </c>
      <c r="L168" s="745" t="s">
        <v>1613</v>
      </c>
      <c r="M168" s="745" t="s">
        <v>1684</v>
      </c>
      <c r="N168" s="745">
        <v>0</v>
      </c>
      <c r="O168" s="745">
        <v>2285</v>
      </c>
      <c r="P168" s="745">
        <v>2285</v>
      </c>
      <c r="Q168" s="745">
        <v>27024</v>
      </c>
      <c r="R168" s="745">
        <v>144</v>
      </c>
      <c r="S168" s="745">
        <v>0</v>
      </c>
      <c r="T168" s="745">
        <v>27168</v>
      </c>
      <c r="U168" s="743"/>
      <c r="V168" s="740"/>
      <c r="W168" s="740">
        <f t="shared" si="8"/>
        <v>144</v>
      </c>
      <c r="X168" s="740">
        <v>208</v>
      </c>
      <c r="Y168" s="740">
        <v>291</v>
      </c>
      <c r="Z168" s="740"/>
      <c r="AA168" s="740">
        <v>26525</v>
      </c>
      <c r="AB168" s="740"/>
      <c r="AC168" s="740"/>
      <c r="AD168" s="740"/>
      <c r="AE168" s="744"/>
      <c r="AF168" s="742">
        <f t="shared" si="7"/>
        <v>27168</v>
      </c>
    </row>
    <row r="169" spans="1:32" s="671" customFormat="1">
      <c r="A169" s="737" t="s">
        <v>1745</v>
      </c>
      <c r="B169" s="745">
        <v>25</v>
      </c>
      <c r="C169" s="745">
        <v>25</v>
      </c>
      <c r="D169" s="745">
        <v>4</v>
      </c>
      <c r="E169" s="745" t="s">
        <v>1665</v>
      </c>
      <c r="F169" s="745" t="s">
        <v>1598</v>
      </c>
      <c r="G169" s="745" t="s">
        <v>1749</v>
      </c>
      <c r="H169" s="745" t="s">
        <v>1617</v>
      </c>
      <c r="I169" s="745" t="s">
        <v>1688</v>
      </c>
      <c r="J169" s="745" t="s">
        <v>1627</v>
      </c>
      <c r="K169" s="745" t="s">
        <v>1750</v>
      </c>
      <c r="L169" s="745" t="s">
        <v>1605</v>
      </c>
      <c r="M169" s="745" t="s">
        <v>1751</v>
      </c>
      <c r="N169" s="745">
        <v>0</v>
      </c>
      <c r="O169" s="745">
        <v>1298</v>
      </c>
      <c r="P169" s="745">
        <v>1298</v>
      </c>
      <c r="Q169" s="745">
        <v>0</v>
      </c>
      <c r="R169" s="745">
        <v>0</v>
      </c>
      <c r="S169" s="745">
        <v>0</v>
      </c>
      <c r="T169" s="745">
        <v>0</v>
      </c>
      <c r="U169" s="743"/>
      <c r="V169" s="740"/>
      <c r="W169" s="740">
        <f t="shared" si="8"/>
        <v>0</v>
      </c>
      <c r="X169" s="740"/>
      <c r="Y169" s="740"/>
      <c r="Z169" s="740"/>
      <c r="AA169" s="740"/>
      <c r="AB169" s="740"/>
      <c r="AC169" s="740"/>
      <c r="AD169" s="740"/>
      <c r="AE169" s="744"/>
      <c r="AF169" s="742">
        <f t="shared" si="7"/>
        <v>0</v>
      </c>
    </row>
    <row r="170" spans="1:32" s="671" customFormat="1">
      <c r="A170" s="737" t="s">
        <v>1745</v>
      </c>
      <c r="B170" s="745">
        <v>26</v>
      </c>
      <c r="C170" s="745">
        <v>26</v>
      </c>
      <c r="D170" s="745">
        <v>4</v>
      </c>
      <c r="E170" s="745" t="s">
        <v>1668</v>
      </c>
      <c r="F170" s="745" t="s">
        <v>1598</v>
      </c>
      <c r="G170" s="745" t="s">
        <v>1752</v>
      </c>
      <c r="H170" s="745" t="s">
        <v>1607</v>
      </c>
      <c r="I170" s="745" t="s">
        <v>1617</v>
      </c>
      <c r="J170" s="745" t="s">
        <v>1627</v>
      </c>
      <c r="K170" s="745" t="s">
        <v>1753</v>
      </c>
      <c r="L170" s="745" t="s">
        <v>1622</v>
      </c>
      <c r="M170" s="745" t="s">
        <v>1605</v>
      </c>
      <c r="N170" s="745">
        <v>35</v>
      </c>
      <c r="O170" s="745">
        <v>22794</v>
      </c>
      <c r="P170" s="745">
        <v>22794</v>
      </c>
      <c r="Q170" s="745">
        <v>102888</v>
      </c>
      <c r="R170" s="745">
        <v>0</v>
      </c>
      <c r="S170" s="745">
        <v>0</v>
      </c>
      <c r="T170" s="745">
        <v>102888</v>
      </c>
      <c r="U170" s="743"/>
      <c r="V170" s="740">
        <f>+T170</f>
        <v>102888</v>
      </c>
      <c r="W170" s="740">
        <f t="shared" si="8"/>
        <v>0</v>
      </c>
      <c r="X170" s="740"/>
      <c r="Y170" s="740"/>
      <c r="Z170" s="740"/>
      <c r="AA170" s="740"/>
      <c r="AB170" s="740"/>
      <c r="AC170" s="740"/>
      <c r="AD170" s="740"/>
      <c r="AE170" s="744"/>
      <c r="AF170" s="742">
        <f t="shared" si="7"/>
        <v>102888</v>
      </c>
    </row>
    <row r="171" spans="1:32" s="671" customFormat="1">
      <c r="A171" s="737" t="s">
        <v>1745</v>
      </c>
      <c r="B171" s="745">
        <v>27</v>
      </c>
      <c r="C171" s="745">
        <v>27</v>
      </c>
      <c r="D171" s="745">
        <v>4</v>
      </c>
      <c r="E171" s="745" t="s">
        <v>1671</v>
      </c>
      <c r="F171" s="745" t="s">
        <v>1598</v>
      </c>
      <c r="G171" s="745" t="s">
        <v>1754</v>
      </c>
      <c r="H171" s="745" t="s">
        <v>1688</v>
      </c>
      <c r="I171" s="745" t="s">
        <v>1656</v>
      </c>
      <c r="J171" s="745" t="s">
        <v>1643</v>
      </c>
      <c r="K171" s="745" t="s">
        <v>1755</v>
      </c>
      <c r="L171" s="745" t="s">
        <v>1605</v>
      </c>
      <c r="M171" s="745" t="s">
        <v>1756</v>
      </c>
      <c r="N171" s="745">
        <v>3</v>
      </c>
      <c r="O171" s="745">
        <v>5580</v>
      </c>
      <c r="P171" s="745">
        <v>5580</v>
      </c>
      <c r="Q171" s="745">
        <v>0</v>
      </c>
      <c r="R171" s="745">
        <v>0</v>
      </c>
      <c r="S171" s="745">
        <v>0</v>
      </c>
      <c r="T171" s="745">
        <v>0</v>
      </c>
      <c r="U171" s="743"/>
      <c r="V171" s="740">
        <f t="shared" ref="V171:V176" si="9">+T171</f>
        <v>0</v>
      </c>
      <c r="W171" s="740">
        <f t="shared" si="8"/>
        <v>0</v>
      </c>
      <c r="X171" s="740"/>
      <c r="Y171" s="740"/>
      <c r="Z171" s="740"/>
      <c r="AA171" s="740"/>
      <c r="AB171" s="740"/>
      <c r="AC171" s="740"/>
      <c r="AD171" s="740"/>
      <c r="AE171" s="744"/>
      <c r="AF171" s="742">
        <f t="shared" si="7"/>
        <v>0</v>
      </c>
    </row>
    <row r="172" spans="1:32" s="671" customFormat="1">
      <c r="A172" s="737" t="s">
        <v>1745</v>
      </c>
      <c r="B172" s="745">
        <v>28</v>
      </c>
      <c r="C172" s="745">
        <v>28</v>
      </c>
      <c r="D172" s="745">
        <v>4</v>
      </c>
      <c r="E172" s="745" t="s">
        <v>1672</v>
      </c>
      <c r="F172" s="745" t="s">
        <v>1598</v>
      </c>
      <c r="G172" s="745" t="s">
        <v>1754</v>
      </c>
      <c r="H172" s="745" t="s">
        <v>1688</v>
      </c>
      <c r="I172" s="745" t="s">
        <v>1757</v>
      </c>
      <c r="J172" s="745" t="s">
        <v>1643</v>
      </c>
      <c r="K172" s="745" t="s">
        <v>1755</v>
      </c>
      <c r="L172" s="745" t="s">
        <v>1605</v>
      </c>
      <c r="M172" s="745" t="s">
        <v>1758</v>
      </c>
      <c r="N172" s="745">
        <v>2</v>
      </c>
      <c r="O172" s="745">
        <v>1938</v>
      </c>
      <c r="P172" s="745">
        <v>1938</v>
      </c>
      <c r="Q172" s="745">
        <v>0</v>
      </c>
      <c r="R172" s="745">
        <v>0</v>
      </c>
      <c r="S172" s="745">
        <v>0</v>
      </c>
      <c r="T172" s="745">
        <v>0</v>
      </c>
      <c r="U172" s="743"/>
      <c r="V172" s="740">
        <f t="shared" si="9"/>
        <v>0</v>
      </c>
      <c r="W172" s="740">
        <f t="shared" si="8"/>
        <v>0</v>
      </c>
      <c r="X172" s="740"/>
      <c r="Y172" s="740"/>
      <c r="Z172" s="740"/>
      <c r="AA172" s="740"/>
      <c r="AB172" s="740"/>
      <c r="AC172" s="740"/>
      <c r="AD172" s="740"/>
      <c r="AE172" s="744"/>
      <c r="AF172" s="742">
        <f t="shared" si="7"/>
        <v>0</v>
      </c>
    </row>
    <row r="173" spans="1:32" s="671" customFormat="1">
      <c r="A173" s="737" t="s">
        <v>1745</v>
      </c>
      <c r="B173" s="745">
        <v>29</v>
      </c>
      <c r="C173" s="745">
        <v>29</v>
      </c>
      <c r="D173" s="745">
        <v>4</v>
      </c>
      <c r="E173" s="745" t="s">
        <v>1675</v>
      </c>
      <c r="F173" s="745" t="s">
        <v>1598</v>
      </c>
      <c r="G173" s="745" t="s">
        <v>1754</v>
      </c>
      <c r="H173" s="745" t="s">
        <v>1688</v>
      </c>
      <c r="I173" s="745" t="s">
        <v>1759</v>
      </c>
      <c r="J173" s="745" t="s">
        <v>1643</v>
      </c>
      <c r="K173" s="745" t="s">
        <v>1750</v>
      </c>
      <c r="L173" s="745" t="s">
        <v>1605</v>
      </c>
      <c r="M173" s="745" t="s">
        <v>1760</v>
      </c>
      <c r="N173" s="745">
        <v>3</v>
      </c>
      <c r="O173" s="745">
        <v>5720</v>
      </c>
      <c r="P173" s="745">
        <v>5720</v>
      </c>
      <c r="Q173" s="745">
        <v>0</v>
      </c>
      <c r="R173" s="745">
        <v>0</v>
      </c>
      <c r="S173" s="745">
        <v>0</v>
      </c>
      <c r="T173" s="745">
        <v>0</v>
      </c>
      <c r="U173" s="743"/>
      <c r="V173" s="740">
        <f t="shared" si="9"/>
        <v>0</v>
      </c>
      <c r="W173" s="740">
        <f t="shared" si="8"/>
        <v>0</v>
      </c>
      <c r="X173" s="740"/>
      <c r="Y173" s="740"/>
      <c r="Z173" s="740"/>
      <c r="AA173" s="740"/>
      <c r="AB173" s="740"/>
      <c r="AC173" s="740"/>
      <c r="AD173" s="740"/>
      <c r="AE173" s="744"/>
      <c r="AF173" s="742">
        <f t="shared" si="7"/>
        <v>0</v>
      </c>
    </row>
    <row r="174" spans="1:32" s="671" customFormat="1">
      <c r="A174" s="737" t="s">
        <v>1745</v>
      </c>
      <c r="B174" s="745">
        <v>30</v>
      </c>
      <c r="C174" s="745">
        <v>30</v>
      </c>
      <c r="D174" s="745">
        <v>4</v>
      </c>
      <c r="E174" s="745" t="s">
        <v>1676</v>
      </c>
      <c r="F174" s="745" t="s">
        <v>1598</v>
      </c>
      <c r="G174" s="745" t="s">
        <v>1754</v>
      </c>
      <c r="H174" s="745" t="s">
        <v>1688</v>
      </c>
      <c r="I174" s="745" t="s">
        <v>1761</v>
      </c>
      <c r="J174" s="745" t="s">
        <v>1643</v>
      </c>
      <c r="K174" s="745" t="s">
        <v>1755</v>
      </c>
      <c r="L174" s="745" t="s">
        <v>1605</v>
      </c>
      <c r="M174" s="745" t="s">
        <v>1762</v>
      </c>
      <c r="N174" s="745">
        <v>35</v>
      </c>
      <c r="O174" s="745">
        <v>67203</v>
      </c>
      <c r="P174" s="745">
        <v>67203</v>
      </c>
      <c r="Q174" s="745">
        <v>0</v>
      </c>
      <c r="R174" s="745">
        <v>0</v>
      </c>
      <c r="S174" s="745">
        <v>0</v>
      </c>
      <c r="T174" s="745">
        <v>0</v>
      </c>
      <c r="U174" s="743"/>
      <c r="V174" s="740">
        <f t="shared" si="9"/>
        <v>0</v>
      </c>
      <c r="W174" s="740">
        <f t="shared" si="8"/>
        <v>0</v>
      </c>
      <c r="X174" s="740"/>
      <c r="Y174" s="740"/>
      <c r="Z174" s="740"/>
      <c r="AA174" s="740"/>
      <c r="AB174" s="740"/>
      <c r="AC174" s="740"/>
      <c r="AD174" s="740"/>
      <c r="AE174" s="744"/>
      <c r="AF174" s="742">
        <f t="shared" si="7"/>
        <v>0</v>
      </c>
    </row>
    <row r="175" spans="1:32" s="671" customFormat="1">
      <c r="A175" s="737" t="s">
        <v>1745</v>
      </c>
      <c r="B175" s="745">
        <v>31</v>
      </c>
      <c r="C175" s="745">
        <v>31</v>
      </c>
      <c r="D175" s="745">
        <v>4</v>
      </c>
      <c r="E175" s="745" t="s">
        <v>1677</v>
      </c>
      <c r="F175" s="745" t="s">
        <v>1598</v>
      </c>
      <c r="G175" s="745" t="s">
        <v>1754</v>
      </c>
      <c r="H175" s="745" t="s">
        <v>1688</v>
      </c>
      <c r="I175" s="745" t="s">
        <v>1600</v>
      </c>
      <c r="J175" s="745" t="s">
        <v>1643</v>
      </c>
      <c r="K175" s="745" t="s">
        <v>1755</v>
      </c>
      <c r="L175" s="745" t="s">
        <v>1605</v>
      </c>
      <c r="M175" s="745" t="s">
        <v>1604</v>
      </c>
      <c r="N175" s="745">
        <v>1</v>
      </c>
      <c r="O175" s="745">
        <v>5037</v>
      </c>
      <c r="P175" s="745">
        <v>5037</v>
      </c>
      <c r="Q175" s="745">
        <v>0</v>
      </c>
      <c r="R175" s="745">
        <v>0</v>
      </c>
      <c r="S175" s="745">
        <v>0</v>
      </c>
      <c r="T175" s="745">
        <v>0</v>
      </c>
      <c r="U175" s="743"/>
      <c r="V175" s="740">
        <f t="shared" si="9"/>
        <v>0</v>
      </c>
      <c r="W175" s="740">
        <f t="shared" si="8"/>
        <v>0</v>
      </c>
      <c r="X175" s="740"/>
      <c r="Y175" s="740"/>
      <c r="Z175" s="740"/>
      <c r="AA175" s="740"/>
      <c r="AB175" s="740"/>
      <c r="AC175" s="740"/>
      <c r="AD175" s="740"/>
      <c r="AE175" s="744"/>
      <c r="AF175" s="742">
        <f t="shared" si="7"/>
        <v>0</v>
      </c>
    </row>
    <row r="176" spans="1:32" s="671" customFormat="1">
      <c r="A176" s="737" t="s">
        <v>1745</v>
      </c>
      <c r="B176" s="745">
        <v>32</v>
      </c>
      <c r="C176" s="745">
        <v>32</v>
      </c>
      <c r="D176" s="745">
        <v>4</v>
      </c>
      <c r="E176" s="745" t="s">
        <v>1678</v>
      </c>
      <c r="F176" s="745" t="s">
        <v>1598</v>
      </c>
      <c r="G176" s="745" t="s">
        <v>1754</v>
      </c>
      <c r="H176" s="745" t="s">
        <v>1688</v>
      </c>
      <c r="I176" s="745" t="s">
        <v>1696</v>
      </c>
      <c r="J176" s="745" t="s">
        <v>1643</v>
      </c>
      <c r="K176" s="745" t="s">
        <v>1755</v>
      </c>
      <c r="L176" s="745" t="s">
        <v>1605</v>
      </c>
      <c r="M176" s="745" t="s">
        <v>1763</v>
      </c>
      <c r="N176" s="745">
        <v>35</v>
      </c>
      <c r="O176" s="745">
        <v>3437</v>
      </c>
      <c r="P176" s="745">
        <v>3437</v>
      </c>
      <c r="Q176" s="745">
        <v>0</v>
      </c>
      <c r="R176" s="745">
        <v>0</v>
      </c>
      <c r="S176" s="745">
        <v>0</v>
      </c>
      <c r="T176" s="745">
        <v>0</v>
      </c>
      <c r="U176" s="743"/>
      <c r="V176" s="740">
        <f t="shared" si="9"/>
        <v>0</v>
      </c>
      <c r="W176" s="740">
        <f t="shared" si="8"/>
        <v>0</v>
      </c>
      <c r="X176" s="740"/>
      <c r="Y176" s="740"/>
      <c r="Z176" s="740"/>
      <c r="AA176" s="740"/>
      <c r="AB176" s="740"/>
      <c r="AC176" s="740"/>
      <c r="AD176" s="740"/>
      <c r="AE176" s="744"/>
      <c r="AF176" s="742">
        <f t="shared" si="7"/>
        <v>0</v>
      </c>
    </row>
    <row r="177" spans="1:32" s="671" customFormat="1">
      <c r="A177" s="737" t="s">
        <v>1745</v>
      </c>
      <c r="B177" s="745">
        <v>33</v>
      </c>
      <c r="C177" s="745">
        <v>33</v>
      </c>
      <c r="D177" s="745">
        <v>4</v>
      </c>
      <c r="E177" s="745" t="s">
        <v>1680</v>
      </c>
      <c r="F177" s="745" t="s">
        <v>1598</v>
      </c>
      <c r="G177" s="745" t="s">
        <v>1764</v>
      </c>
      <c r="H177" s="745" t="s">
        <v>1617</v>
      </c>
      <c r="I177" s="745" t="s">
        <v>1659</v>
      </c>
      <c r="J177" s="745" t="s">
        <v>1643</v>
      </c>
      <c r="K177" s="745" t="s">
        <v>1765</v>
      </c>
      <c r="L177" s="745" t="s">
        <v>1605</v>
      </c>
      <c r="M177" s="745" t="s">
        <v>1660</v>
      </c>
      <c r="N177" s="745">
        <v>107</v>
      </c>
      <c r="O177" s="745">
        <v>0</v>
      </c>
      <c r="P177" s="745">
        <v>0</v>
      </c>
      <c r="Q177" s="745">
        <v>1566440</v>
      </c>
      <c r="R177" s="745">
        <v>0</v>
      </c>
      <c r="S177" s="745">
        <v>0</v>
      </c>
      <c r="T177" s="745">
        <v>1566440</v>
      </c>
      <c r="U177" s="743"/>
      <c r="V177" s="740">
        <f>+T177</f>
        <v>1566440</v>
      </c>
      <c r="W177" s="740">
        <f t="shared" si="8"/>
        <v>0</v>
      </c>
      <c r="X177" s="740"/>
      <c r="Y177" s="740"/>
      <c r="Z177" s="740"/>
      <c r="AA177" s="740"/>
      <c r="AB177" s="740"/>
      <c r="AC177" s="740"/>
      <c r="AD177" s="740"/>
      <c r="AE177" s="744"/>
      <c r="AF177" s="742">
        <f t="shared" si="7"/>
        <v>1566440</v>
      </c>
    </row>
    <row r="178" spans="1:32" s="671" customFormat="1">
      <c r="A178" s="737" t="s">
        <v>1745</v>
      </c>
      <c r="B178" s="745">
        <v>34</v>
      </c>
      <c r="C178" s="745">
        <v>34</v>
      </c>
      <c r="D178" s="745">
        <v>4</v>
      </c>
      <c r="E178" s="745" t="s">
        <v>1681</v>
      </c>
      <c r="F178" s="745" t="s">
        <v>1598</v>
      </c>
      <c r="G178" s="745" t="s">
        <v>1766</v>
      </c>
      <c r="H178" s="745" t="s">
        <v>1617</v>
      </c>
      <c r="I178" s="745" t="s">
        <v>1600</v>
      </c>
      <c r="J178" s="745" t="s">
        <v>1618</v>
      </c>
      <c r="K178" s="745" t="s">
        <v>1603</v>
      </c>
      <c r="L178" s="745" t="s">
        <v>1605</v>
      </c>
      <c r="M178" s="745" t="s">
        <v>1604</v>
      </c>
      <c r="N178" s="745">
        <v>0</v>
      </c>
      <c r="O178" s="745">
        <v>3087</v>
      </c>
      <c r="P178" s="745">
        <v>3087</v>
      </c>
      <c r="Q178" s="745">
        <v>23190</v>
      </c>
      <c r="R178" s="745">
        <v>3140</v>
      </c>
      <c r="S178" s="745">
        <v>0</v>
      </c>
      <c r="T178" s="745">
        <v>26330</v>
      </c>
      <c r="U178" s="743"/>
      <c r="V178" s="740"/>
      <c r="W178" s="740">
        <f t="shared" si="8"/>
        <v>3140</v>
      </c>
      <c r="X178" s="740">
        <v>195</v>
      </c>
      <c r="Y178" s="740">
        <v>274</v>
      </c>
      <c r="Z178" s="740"/>
      <c r="AA178" s="740">
        <v>22721</v>
      </c>
      <c r="AB178" s="740"/>
      <c r="AC178" s="740"/>
      <c r="AD178" s="740"/>
      <c r="AE178" s="744"/>
      <c r="AF178" s="742">
        <f t="shared" si="7"/>
        <v>26330</v>
      </c>
    </row>
    <row r="179" spans="1:32" s="671" customFormat="1">
      <c r="A179" s="737" t="s">
        <v>1768</v>
      </c>
      <c r="B179" s="745">
        <v>1</v>
      </c>
      <c r="C179" s="745">
        <v>1</v>
      </c>
      <c r="D179" s="745">
        <v>5</v>
      </c>
      <c r="E179" s="745" t="s">
        <v>1597</v>
      </c>
      <c r="F179" s="745" t="s">
        <v>1598</v>
      </c>
      <c r="G179" s="745" t="s">
        <v>1766</v>
      </c>
      <c r="H179" s="745" t="s">
        <v>1607</v>
      </c>
      <c r="I179" s="745" t="s">
        <v>1600</v>
      </c>
      <c r="J179" s="745" t="s">
        <v>1618</v>
      </c>
      <c r="K179" s="745" t="s">
        <v>1603</v>
      </c>
      <c r="L179" s="745" t="s">
        <v>1622</v>
      </c>
      <c r="M179" s="745" t="s">
        <v>1604</v>
      </c>
      <c r="N179" s="745">
        <v>0</v>
      </c>
      <c r="O179" s="745">
        <v>3967</v>
      </c>
      <c r="P179" s="745">
        <v>3967</v>
      </c>
      <c r="Q179" s="745">
        <v>23147</v>
      </c>
      <c r="R179" s="745">
        <v>3332</v>
      </c>
      <c r="S179" s="745">
        <v>0</v>
      </c>
      <c r="T179" s="745">
        <v>26479</v>
      </c>
      <c r="U179" s="743"/>
      <c r="V179" s="740"/>
      <c r="W179" s="740">
        <f t="shared" si="8"/>
        <v>3332</v>
      </c>
      <c r="X179" s="740">
        <v>193</v>
      </c>
      <c r="Y179" s="740">
        <v>271</v>
      </c>
      <c r="Z179" s="740"/>
      <c r="AA179" s="740">
        <v>22683</v>
      </c>
      <c r="AB179" s="740"/>
      <c r="AC179" s="740"/>
      <c r="AD179" s="740"/>
      <c r="AE179" s="744"/>
      <c r="AF179" s="742">
        <f t="shared" si="7"/>
        <v>26479</v>
      </c>
    </row>
    <row r="180" spans="1:32" s="671" customFormat="1">
      <c r="A180" s="737" t="s">
        <v>1768</v>
      </c>
      <c r="B180" s="745">
        <v>2</v>
      </c>
      <c r="C180" s="745">
        <v>2</v>
      </c>
      <c r="D180" s="745">
        <v>5</v>
      </c>
      <c r="E180" s="745" t="s">
        <v>1606</v>
      </c>
      <c r="F180" s="745" t="s">
        <v>1598</v>
      </c>
      <c r="G180" s="745" t="s">
        <v>1766</v>
      </c>
      <c r="H180" s="745" t="s">
        <v>1600</v>
      </c>
      <c r="I180" s="745" t="s">
        <v>1617</v>
      </c>
      <c r="J180" s="745" t="s">
        <v>1618</v>
      </c>
      <c r="K180" s="745" t="s">
        <v>1603</v>
      </c>
      <c r="L180" s="745" t="s">
        <v>1604</v>
      </c>
      <c r="M180" s="745" t="s">
        <v>1605</v>
      </c>
      <c r="N180" s="745">
        <v>0</v>
      </c>
      <c r="O180" s="745">
        <v>95</v>
      </c>
      <c r="P180" s="745">
        <v>95</v>
      </c>
      <c r="Q180" s="745">
        <v>839</v>
      </c>
      <c r="R180" s="745">
        <v>89</v>
      </c>
      <c r="S180" s="745">
        <v>0</v>
      </c>
      <c r="T180" s="745">
        <v>928</v>
      </c>
      <c r="U180" s="743"/>
      <c r="V180" s="740"/>
      <c r="W180" s="740">
        <f t="shared" si="8"/>
        <v>89</v>
      </c>
      <c r="X180" s="740">
        <v>6</v>
      </c>
      <c r="Y180" s="740">
        <v>9</v>
      </c>
      <c r="Z180" s="740"/>
      <c r="AA180" s="740">
        <v>824</v>
      </c>
      <c r="AB180" s="740"/>
      <c r="AC180" s="740"/>
      <c r="AD180" s="740"/>
      <c r="AE180" s="744"/>
      <c r="AF180" s="742">
        <f t="shared" si="7"/>
        <v>928</v>
      </c>
    </row>
    <row r="181" spans="1:32" s="671" customFormat="1">
      <c r="A181" s="737" t="s">
        <v>1768</v>
      </c>
      <c r="B181" s="745">
        <v>3</v>
      </c>
      <c r="C181" s="745">
        <v>3</v>
      </c>
      <c r="D181" s="745">
        <v>5</v>
      </c>
      <c r="E181" s="745" t="s">
        <v>1609</v>
      </c>
      <c r="F181" s="745" t="s">
        <v>1598</v>
      </c>
      <c r="G181" s="745" t="s">
        <v>1766</v>
      </c>
      <c r="H181" s="745" t="s">
        <v>1600</v>
      </c>
      <c r="I181" s="745" t="s">
        <v>1607</v>
      </c>
      <c r="J181" s="745" t="s">
        <v>1618</v>
      </c>
      <c r="K181" s="745" t="s">
        <v>1603</v>
      </c>
      <c r="L181" s="745" t="s">
        <v>1604</v>
      </c>
      <c r="M181" s="745" t="s">
        <v>1622</v>
      </c>
      <c r="N181" s="745">
        <v>0</v>
      </c>
      <c r="O181" s="745">
        <v>941</v>
      </c>
      <c r="P181" s="745">
        <v>941</v>
      </c>
      <c r="Q181" s="745">
        <v>6072</v>
      </c>
      <c r="R181" s="745">
        <v>794</v>
      </c>
      <c r="S181" s="745">
        <v>0</v>
      </c>
      <c r="T181" s="745">
        <v>6866</v>
      </c>
      <c r="U181" s="743"/>
      <c r="V181" s="740"/>
      <c r="W181" s="740">
        <f t="shared" si="8"/>
        <v>794</v>
      </c>
      <c r="X181" s="740">
        <v>47</v>
      </c>
      <c r="Y181" s="740">
        <v>66</v>
      </c>
      <c r="Z181" s="740"/>
      <c r="AA181" s="740">
        <v>5959</v>
      </c>
      <c r="AB181" s="740"/>
      <c r="AC181" s="740"/>
      <c r="AD181" s="740"/>
      <c r="AE181" s="744"/>
      <c r="AF181" s="742">
        <f t="shared" si="7"/>
        <v>6866</v>
      </c>
    </row>
    <row r="182" spans="1:32" s="671" customFormat="1">
      <c r="A182" s="737" t="s">
        <v>1768</v>
      </c>
      <c r="B182" s="745">
        <v>4</v>
      </c>
      <c r="C182" s="745">
        <v>4</v>
      </c>
      <c r="D182" s="745">
        <v>5</v>
      </c>
      <c r="E182" s="745" t="s">
        <v>1615</v>
      </c>
      <c r="F182" s="745" t="s">
        <v>1598</v>
      </c>
      <c r="G182" s="745" t="s">
        <v>1767</v>
      </c>
      <c r="H182" s="745" t="s">
        <v>1598</v>
      </c>
      <c r="I182" s="745" t="s">
        <v>1598</v>
      </c>
      <c r="J182" s="745" t="s">
        <v>1627</v>
      </c>
      <c r="K182" s="745" t="s">
        <v>1603</v>
      </c>
      <c r="L182" s="745" t="s">
        <v>1598</v>
      </c>
      <c r="M182" s="745" t="s">
        <v>1598</v>
      </c>
      <c r="N182" s="745">
        <v>0</v>
      </c>
      <c r="O182" s="745">
        <v>0</v>
      </c>
      <c r="P182" s="745">
        <v>0</v>
      </c>
      <c r="Q182" s="745">
        <v>0</v>
      </c>
      <c r="R182" s="745">
        <v>0</v>
      </c>
      <c r="S182" s="745">
        <v>-532386</v>
      </c>
      <c r="T182" s="745">
        <v>-532386</v>
      </c>
      <c r="U182" s="744"/>
      <c r="V182" s="744"/>
      <c r="W182" s="744"/>
      <c r="X182" s="744"/>
      <c r="Y182" s="744"/>
      <c r="Z182" s="744"/>
      <c r="AA182" s="744"/>
      <c r="AB182" s="744"/>
      <c r="AC182" s="744"/>
      <c r="AD182" s="740">
        <v>-532386</v>
      </c>
      <c r="AE182" s="744"/>
      <c r="AF182" s="742">
        <f t="shared" si="7"/>
        <v>-532386</v>
      </c>
    </row>
    <row r="183" spans="1:32">
      <c r="Q183" s="129"/>
      <c r="R183" s="129"/>
      <c r="S183" s="129"/>
      <c r="T183" s="736"/>
      <c r="U183" s="750">
        <f t="shared" ref="U183:AD183" si="10">SUM(U9:U182)</f>
        <v>29831926</v>
      </c>
      <c r="V183" s="741">
        <f t="shared" si="10"/>
        <v>1820960</v>
      </c>
      <c r="W183" s="741">
        <f t="shared" si="10"/>
        <v>134954</v>
      </c>
      <c r="X183" s="741">
        <f t="shared" si="10"/>
        <v>16356</v>
      </c>
      <c r="Y183" s="741">
        <f t="shared" si="10"/>
        <v>21170</v>
      </c>
      <c r="Z183" s="741">
        <f>SUM(Z9:Z182)</f>
        <v>381790</v>
      </c>
      <c r="AA183" s="741">
        <f t="shared" si="10"/>
        <v>1204558</v>
      </c>
      <c r="AB183" s="741">
        <f t="shared" si="10"/>
        <v>658838</v>
      </c>
      <c r="AC183" s="741">
        <f t="shared" si="10"/>
        <v>0</v>
      </c>
      <c r="AD183" s="741">
        <f t="shared" si="10"/>
        <v>-532386</v>
      </c>
      <c r="AE183" s="741">
        <f>SUM(AE9:AE182)</f>
        <v>-321760</v>
      </c>
      <c r="AF183" s="742">
        <f>SUM(AF9:AF182)</f>
        <v>33216406</v>
      </c>
    </row>
    <row r="184" spans="1:32">
      <c r="U184" s="680"/>
      <c r="V184" s="738"/>
      <c r="W184" s="738"/>
      <c r="X184" s="738"/>
      <c r="Y184" s="738"/>
      <c r="Z184" s="738" t="s">
        <v>666</v>
      </c>
      <c r="AA184" s="738"/>
      <c r="AB184" s="738" t="s">
        <v>666</v>
      </c>
      <c r="AC184" s="738"/>
      <c r="AD184" s="738"/>
      <c r="AE184" s="738"/>
      <c r="AF184" s="678"/>
    </row>
    <row r="185" spans="1:32" ht="13.8" thickBot="1">
      <c r="U185" s="681"/>
      <c r="V185" s="682"/>
      <c r="W185" s="682"/>
      <c r="X185" s="682"/>
      <c r="Y185" s="682"/>
      <c r="Z185" s="682"/>
      <c r="AA185" s="206"/>
      <c r="AB185" s="682"/>
      <c r="AC185" s="682"/>
      <c r="AD185" s="682"/>
      <c r="AE185" s="682"/>
      <c r="AF185" s="683"/>
    </row>
    <row r="186" spans="1:32">
      <c r="U186" s="697"/>
      <c r="V186" s="676"/>
      <c r="W186" s="676"/>
      <c r="X186" s="676"/>
      <c r="Y186" s="676"/>
      <c r="Z186" s="676" t="s">
        <v>666</v>
      </c>
      <c r="AA186" s="751"/>
      <c r="AB186" s="676" t="s">
        <v>770</v>
      </c>
      <c r="AC186" s="676"/>
      <c r="AD186" s="676"/>
      <c r="AE186" s="676"/>
      <c r="AF186" s="677"/>
    </row>
    <row r="187" spans="1:32">
      <c r="U187" s="680"/>
      <c r="V187" s="738"/>
      <c r="W187" s="738"/>
      <c r="X187" s="738"/>
      <c r="Y187" s="738"/>
      <c r="Z187" s="738" t="s">
        <v>666</v>
      </c>
      <c r="AA187" s="209">
        <f>+AA183-AA186</f>
        <v>1204558</v>
      </c>
      <c r="AB187" s="738" t="s">
        <v>771</v>
      </c>
      <c r="AC187" s="738"/>
      <c r="AD187" s="738"/>
      <c r="AE187" s="738"/>
      <c r="AF187" s="678"/>
    </row>
    <row r="188" spans="1:32" ht="13.8" thickBot="1">
      <c r="U188" s="681"/>
      <c r="V188" s="682"/>
      <c r="W188" s="682"/>
      <c r="X188" s="682"/>
      <c r="Y188" s="682"/>
      <c r="Z188" s="682"/>
      <c r="AA188" s="682"/>
      <c r="AB188" s="682"/>
      <c r="AC188" s="682"/>
      <c r="AD188" s="682"/>
      <c r="AE188" s="682"/>
      <c r="AF188" s="683"/>
    </row>
    <row r="191" spans="1:32">
      <c r="X191" s="246"/>
      <c r="Y191" s="246"/>
    </row>
    <row r="193" spans="21:31">
      <c r="V193" s="671"/>
      <c r="W193" s="671"/>
      <c r="X193" s="671"/>
      <c r="Y193" s="671"/>
      <c r="Z193" s="671"/>
      <c r="AA193" s="671"/>
      <c r="AB193" s="671"/>
      <c r="AC193" s="671"/>
      <c r="AD193" s="671"/>
      <c r="AE193" s="671"/>
    </row>
    <row r="194" spans="21:31">
      <c r="U194" s="734"/>
      <c r="V194" s="734"/>
      <c r="W194" s="734"/>
      <c r="X194" s="734"/>
      <c r="Y194" s="734"/>
      <c r="Z194" s="734"/>
      <c r="AA194" s="734"/>
      <c r="AB194" s="734"/>
      <c r="AC194" s="734"/>
      <c r="AD194" s="734"/>
      <c r="AE194" s="734"/>
    </row>
  </sheetData>
  <printOptions horizontalCentered="1"/>
  <pageMargins left="0.25" right="0.25" top="0.75" bottom="0.75" header="0.5" footer="0.5"/>
  <pageSetup scale="3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90" zoomScaleNormal="90" workbookViewId="0">
      <pane xSplit="1" ySplit="6" topLeftCell="B7" activePane="bottomRight" state="frozen"/>
      <selection activeCell="E57" sqref="E57"/>
      <selection pane="topRight" activeCell="E57" sqref="E57"/>
      <selection pane="bottomLeft" activeCell="E57" sqref="E57"/>
      <selection pane="bottomRight" activeCell="B34" sqref="B34"/>
    </sheetView>
  </sheetViews>
  <sheetFormatPr defaultRowHeight="14.4"/>
  <cols>
    <col min="1" max="1" width="41.109375" bestFit="1" customWidth="1"/>
    <col min="2" max="2" width="50.5546875" bestFit="1" customWidth="1"/>
    <col min="7" max="7" width="15.44140625" customWidth="1"/>
    <col min="8" max="8" width="12.5546875" customWidth="1"/>
    <col min="9" max="9" width="15.44140625" customWidth="1"/>
    <col min="10" max="10" width="15.44140625" style="668" customWidth="1"/>
    <col min="11" max="11" width="12.33203125" customWidth="1"/>
    <col min="12" max="12" width="15.44140625" customWidth="1"/>
    <col min="13" max="13" width="12.88671875" customWidth="1"/>
  </cols>
  <sheetData>
    <row r="1" spans="1:13">
      <c r="A1" s="527" t="s">
        <v>0</v>
      </c>
      <c r="B1" s="526"/>
      <c r="C1" s="527"/>
      <c r="D1" s="526"/>
      <c r="E1" s="528"/>
      <c r="F1" s="526"/>
      <c r="G1" s="526"/>
      <c r="H1" s="531"/>
      <c r="I1" s="526"/>
      <c r="K1" s="526"/>
      <c r="L1" s="526"/>
      <c r="M1" s="526"/>
    </row>
    <row r="2" spans="1:13">
      <c r="A2" s="527" t="s">
        <v>784</v>
      </c>
      <c r="B2" s="526"/>
      <c r="C2" s="527"/>
      <c r="D2" s="526"/>
      <c r="E2" s="528"/>
      <c r="F2" s="526"/>
      <c r="G2" s="526"/>
      <c r="H2" s="531"/>
      <c r="I2" s="526"/>
      <c r="K2" s="526"/>
      <c r="L2" s="526"/>
      <c r="M2" s="526"/>
    </row>
    <row r="3" spans="1:13" s="551" customFormat="1">
      <c r="A3" s="552"/>
      <c r="C3" s="552"/>
      <c r="E3" s="556"/>
      <c r="H3" s="559"/>
      <c r="J3" s="668"/>
    </row>
    <row r="4" spans="1:13" s="551" customFormat="1">
      <c r="A4" s="552" t="s">
        <v>1490</v>
      </c>
      <c r="B4" s="664" t="s">
        <v>1553</v>
      </c>
      <c r="C4" s="552"/>
      <c r="E4" s="556"/>
      <c r="H4" s="559"/>
      <c r="J4" s="668"/>
    </row>
    <row r="5" spans="1:13">
      <c r="A5" s="527"/>
      <c r="B5" s="526"/>
      <c r="C5" s="527"/>
      <c r="D5" s="526"/>
      <c r="E5" s="528"/>
      <c r="F5" s="526"/>
      <c r="G5" s="526"/>
      <c r="H5" s="530"/>
      <c r="I5" s="526"/>
      <c r="K5" s="526"/>
      <c r="L5" s="526"/>
      <c r="M5" s="526"/>
    </row>
    <row r="6" spans="1:13" ht="66.599999999999994">
      <c r="A6" s="532" t="s">
        <v>352</v>
      </c>
      <c r="B6" s="533" t="s">
        <v>1375</v>
      </c>
      <c r="C6" s="534" t="s">
        <v>1376</v>
      </c>
      <c r="D6" s="534" t="s">
        <v>772</v>
      </c>
      <c r="E6" s="535" t="s">
        <v>1377</v>
      </c>
      <c r="F6" s="535" t="s">
        <v>1378</v>
      </c>
      <c r="G6" s="535" t="s">
        <v>1379</v>
      </c>
      <c r="H6" s="535" t="s">
        <v>1380</v>
      </c>
      <c r="I6" s="535" t="s">
        <v>1381</v>
      </c>
      <c r="J6" s="535" t="s">
        <v>1382</v>
      </c>
      <c r="K6" s="535" t="s">
        <v>1380</v>
      </c>
      <c r="L6" s="535" t="s">
        <v>1383</v>
      </c>
      <c r="M6" s="535" t="s">
        <v>1384</v>
      </c>
    </row>
    <row r="7" spans="1:13">
      <c r="A7" s="545" t="s">
        <v>1385</v>
      </c>
      <c r="B7" s="545" t="s">
        <v>1386</v>
      </c>
      <c r="C7" s="546">
        <v>112</v>
      </c>
      <c r="D7" s="546">
        <v>3</v>
      </c>
      <c r="E7" s="546" t="s">
        <v>1588</v>
      </c>
      <c r="F7" s="546" t="s">
        <v>1387</v>
      </c>
      <c r="G7" s="547">
        <v>11529299</v>
      </c>
      <c r="H7" s="548"/>
      <c r="I7" s="549">
        <f>+G7+H7</f>
        <v>11529299</v>
      </c>
      <c r="J7" s="547">
        <v>11529299</v>
      </c>
      <c r="K7" s="548"/>
      <c r="L7" s="560">
        <f>+J7+K7</f>
        <v>11529299</v>
      </c>
      <c r="M7" s="550"/>
    </row>
    <row r="8" spans="1:13">
      <c r="A8" s="536" t="s">
        <v>1388</v>
      </c>
      <c r="B8" s="536" t="s">
        <v>1389</v>
      </c>
      <c r="C8" s="537">
        <v>112</v>
      </c>
      <c r="D8" s="537">
        <v>12</v>
      </c>
      <c r="E8" s="537" t="s">
        <v>1588</v>
      </c>
      <c r="F8" s="537" t="s">
        <v>1387</v>
      </c>
      <c r="G8" s="538">
        <v>29798546</v>
      </c>
      <c r="H8" s="539"/>
      <c r="I8" s="560">
        <f t="shared" ref="I8:I55" si="0">+G8+H8</f>
        <v>29798546</v>
      </c>
      <c r="J8" s="538">
        <v>33812402</v>
      </c>
      <c r="K8" s="539"/>
      <c r="L8" s="560">
        <f t="shared" ref="L8:L55" si="1">+J8+K8</f>
        <v>33812402</v>
      </c>
      <c r="M8" s="526"/>
    </row>
    <row r="9" spans="1:13">
      <c r="A9" s="536" t="s">
        <v>1390</v>
      </c>
      <c r="B9" s="536" t="s">
        <v>1391</v>
      </c>
      <c r="C9" s="537">
        <v>112</v>
      </c>
      <c r="D9" s="537">
        <v>15</v>
      </c>
      <c r="E9" s="537" t="s">
        <v>1588</v>
      </c>
      <c r="F9" s="537" t="s">
        <v>1387</v>
      </c>
      <c r="G9" s="538">
        <v>-61754732</v>
      </c>
      <c r="H9" s="539"/>
      <c r="I9" s="560">
        <f t="shared" si="0"/>
        <v>-61754732</v>
      </c>
      <c r="J9" s="538">
        <v>-71475821</v>
      </c>
      <c r="K9" s="539"/>
      <c r="L9" s="560">
        <f t="shared" si="1"/>
        <v>-71475821</v>
      </c>
      <c r="M9" s="526"/>
    </row>
    <row r="10" spans="1:13">
      <c r="A10" s="536" t="s">
        <v>1392</v>
      </c>
      <c r="B10" s="536" t="s">
        <v>1393</v>
      </c>
      <c r="C10" s="537">
        <v>112</v>
      </c>
      <c r="D10" s="537">
        <v>16</v>
      </c>
      <c r="E10" s="537" t="s">
        <v>1588</v>
      </c>
      <c r="F10" s="537" t="s">
        <v>1387</v>
      </c>
      <c r="G10" s="538">
        <v>1274385295</v>
      </c>
      <c r="H10" s="539"/>
      <c r="I10" s="560">
        <f t="shared" si="0"/>
        <v>1274385295</v>
      </c>
      <c r="J10" s="538">
        <v>1329461996</v>
      </c>
      <c r="K10" s="539"/>
      <c r="L10" s="560">
        <f t="shared" si="1"/>
        <v>1329461996</v>
      </c>
      <c r="M10" s="526"/>
    </row>
    <row r="11" spans="1:13">
      <c r="A11" s="536" t="s">
        <v>1394</v>
      </c>
      <c r="B11" s="536" t="s">
        <v>408</v>
      </c>
      <c r="C11" s="541">
        <v>112</v>
      </c>
      <c r="D11" s="541">
        <v>24</v>
      </c>
      <c r="E11" s="541" t="s">
        <v>1588</v>
      </c>
      <c r="F11" s="541" t="s">
        <v>1387</v>
      </c>
      <c r="G11" s="538">
        <v>1490656516</v>
      </c>
      <c r="H11" s="539"/>
      <c r="I11" s="560">
        <f t="shared" si="0"/>
        <v>1490656516</v>
      </c>
      <c r="J11" s="538">
        <v>1590029255</v>
      </c>
      <c r="K11" s="539"/>
      <c r="L11" s="560">
        <f t="shared" si="1"/>
        <v>1590029255</v>
      </c>
      <c r="M11" s="526"/>
    </row>
    <row r="12" spans="1:13">
      <c r="A12" s="536" t="s">
        <v>1395</v>
      </c>
      <c r="B12" s="536" t="s">
        <v>1396</v>
      </c>
      <c r="C12" s="537">
        <v>117</v>
      </c>
      <c r="D12" s="537">
        <v>44</v>
      </c>
      <c r="E12" s="537" t="s">
        <v>1588</v>
      </c>
      <c r="F12" s="537" t="s">
        <v>1387</v>
      </c>
      <c r="G12" s="538">
        <v>1659386</v>
      </c>
      <c r="H12" s="539"/>
      <c r="I12" s="560">
        <f t="shared" si="0"/>
        <v>1659386</v>
      </c>
      <c r="J12" s="538">
        <v>1421695</v>
      </c>
      <c r="K12" s="539"/>
      <c r="L12" s="560">
        <f t="shared" si="1"/>
        <v>1421695</v>
      </c>
      <c r="M12" s="526"/>
    </row>
    <row r="13" spans="1:13">
      <c r="A13" s="536" t="s">
        <v>1397</v>
      </c>
      <c r="B13" s="529" t="s">
        <v>1398</v>
      </c>
      <c r="C13" s="541">
        <v>117</v>
      </c>
      <c r="D13" s="541">
        <v>63</v>
      </c>
      <c r="E13" s="541" t="s">
        <v>1588</v>
      </c>
      <c r="F13" s="541" t="s">
        <v>1387</v>
      </c>
      <c r="G13" s="538">
        <v>1944164</v>
      </c>
      <c r="H13" s="539"/>
      <c r="I13" s="560">
        <f t="shared" si="0"/>
        <v>1944164</v>
      </c>
      <c r="J13" s="538">
        <v>2125689</v>
      </c>
      <c r="K13" s="539"/>
      <c r="L13" s="560">
        <f t="shared" si="1"/>
        <v>2125689</v>
      </c>
      <c r="M13" s="526"/>
    </row>
    <row r="14" spans="1:13">
      <c r="A14" s="536" t="s">
        <v>1399</v>
      </c>
      <c r="B14" s="529" t="s">
        <v>1400</v>
      </c>
      <c r="C14" s="541">
        <v>117</v>
      </c>
      <c r="D14" s="541">
        <v>64</v>
      </c>
      <c r="E14" s="541" t="s">
        <v>1588</v>
      </c>
      <c r="F14" s="541" t="s">
        <v>1387</v>
      </c>
      <c r="G14" s="538">
        <v>391099</v>
      </c>
      <c r="H14" s="539"/>
      <c r="I14" s="560">
        <f t="shared" si="0"/>
        <v>391099</v>
      </c>
      <c r="J14" s="538">
        <v>391099</v>
      </c>
      <c r="K14" s="539"/>
      <c r="L14" s="560">
        <f t="shared" si="1"/>
        <v>391099</v>
      </c>
      <c r="M14" s="526"/>
    </row>
    <row r="15" spans="1:13">
      <c r="A15" s="536" t="s">
        <v>1401</v>
      </c>
      <c r="B15" s="529" t="s">
        <v>1402</v>
      </c>
      <c r="C15" s="541">
        <v>117</v>
      </c>
      <c r="D15" s="541">
        <v>65</v>
      </c>
      <c r="E15" s="541" t="s">
        <v>1588</v>
      </c>
      <c r="F15" s="541" t="s">
        <v>1387</v>
      </c>
      <c r="G15" s="538">
        <v>0</v>
      </c>
      <c r="H15" s="539"/>
      <c r="I15" s="560">
        <f t="shared" si="0"/>
        <v>0</v>
      </c>
      <c r="J15" s="538">
        <v>0</v>
      </c>
      <c r="K15" s="539"/>
      <c r="L15" s="560">
        <f t="shared" si="1"/>
        <v>0</v>
      </c>
      <c r="M15" s="526"/>
    </row>
    <row r="16" spans="1:13">
      <c r="A16" s="536" t="s">
        <v>1403</v>
      </c>
      <c r="B16" s="529" t="s">
        <v>1404</v>
      </c>
      <c r="C16" s="541">
        <v>117</v>
      </c>
      <c r="D16" s="541">
        <v>66</v>
      </c>
      <c r="E16" s="541" t="s">
        <v>1588</v>
      </c>
      <c r="F16" s="541" t="s">
        <v>1387</v>
      </c>
      <c r="G16" s="538">
        <v>0</v>
      </c>
      <c r="H16" s="539"/>
      <c r="I16" s="560">
        <f t="shared" si="0"/>
        <v>0</v>
      </c>
      <c r="J16" s="538">
        <v>0</v>
      </c>
      <c r="K16" s="539"/>
      <c r="L16" s="560">
        <f t="shared" si="1"/>
        <v>0</v>
      </c>
      <c r="M16" s="526"/>
    </row>
    <row r="17" spans="1:13">
      <c r="A17" s="536" t="s">
        <v>1405</v>
      </c>
      <c r="B17" s="536" t="s">
        <v>1406</v>
      </c>
      <c r="C17" s="541">
        <v>118</v>
      </c>
      <c r="D17" s="541">
        <v>24</v>
      </c>
      <c r="E17" s="541" t="s">
        <v>1588</v>
      </c>
      <c r="F17" s="541" t="s">
        <v>1387</v>
      </c>
      <c r="G17" s="538">
        <v>-528040</v>
      </c>
      <c r="H17" s="539"/>
      <c r="I17" s="560">
        <f t="shared" si="0"/>
        <v>-528040</v>
      </c>
      <c r="J17" s="538">
        <v>-528040</v>
      </c>
      <c r="K17" s="539"/>
      <c r="L17" s="560">
        <f t="shared" si="1"/>
        <v>-528040</v>
      </c>
      <c r="M17" s="526"/>
    </row>
    <row r="18" spans="1:13">
      <c r="A18" s="536" t="s">
        <v>1407</v>
      </c>
      <c r="B18" s="536" t="s">
        <v>1408</v>
      </c>
      <c r="C18" s="537">
        <v>200</v>
      </c>
      <c r="D18" s="537">
        <v>21</v>
      </c>
      <c r="E18" s="537" t="s">
        <v>1589</v>
      </c>
      <c r="F18" s="537" t="s">
        <v>1409</v>
      </c>
      <c r="G18" s="538">
        <v>38233738</v>
      </c>
      <c r="H18" s="539"/>
      <c r="I18" s="560">
        <f t="shared" si="0"/>
        <v>38233738</v>
      </c>
      <c r="J18" s="538">
        <v>40328168</v>
      </c>
      <c r="K18" s="539"/>
      <c r="L18" s="560">
        <f t="shared" si="1"/>
        <v>40328168</v>
      </c>
      <c r="M18" s="526"/>
    </row>
    <row r="19" spans="1:13">
      <c r="A19" s="536" t="s">
        <v>1410</v>
      </c>
      <c r="B19" s="536" t="s">
        <v>1411</v>
      </c>
      <c r="C19" s="537" t="s">
        <v>1412</v>
      </c>
      <c r="D19" s="537">
        <v>5</v>
      </c>
      <c r="E19" s="537" t="s">
        <v>1409</v>
      </c>
      <c r="F19" s="537" t="s">
        <v>1413</v>
      </c>
      <c r="G19" s="538">
        <v>42644779</v>
      </c>
      <c r="H19" s="539"/>
      <c r="I19" s="560">
        <f t="shared" si="0"/>
        <v>42644779</v>
      </c>
      <c r="J19" s="538">
        <v>43332196</v>
      </c>
      <c r="K19" s="539"/>
      <c r="L19" s="560">
        <f t="shared" si="1"/>
        <v>43332196</v>
      </c>
    </row>
    <row r="20" spans="1:13">
      <c r="A20" s="536" t="s">
        <v>1414</v>
      </c>
      <c r="B20" s="536" t="s">
        <v>1415</v>
      </c>
      <c r="C20" s="537" t="s">
        <v>1412</v>
      </c>
      <c r="D20" s="537">
        <v>46</v>
      </c>
      <c r="E20" s="537" t="s">
        <v>1409</v>
      </c>
      <c r="F20" s="537" t="s">
        <v>1413</v>
      </c>
      <c r="G20" s="538">
        <v>2239060210</v>
      </c>
      <c r="H20" s="539"/>
      <c r="I20" s="560">
        <f t="shared" si="0"/>
        <v>2239060210</v>
      </c>
      <c r="J20" s="538">
        <v>2483502011</v>
      </c>
      <c r="K20" s="539"/>
      <c r="L20" s="560">
        <f t="shared" si="1"/>
        <v>2483502011</v>
      </c>
    </row>
    <row r="21" spans="1:13">
      <c r="A21" s="536" t="s">
        <v>1416</v>
      </c>
      <c r="B21" s="536" t="s">
        <v>1417</v>
      </c>
      <c r="C21" s="537" t="s">
        <v>1418</v>
      </c>
      <c r="D21" s="537">
        <v>58</v>
      </c>
      <c r="E21" s="537" t="s">
        <v>1409</v>
      </c>
      <c r="F21" s="537" t="s">
        <v>1413</v>
      </c>
      <c r="G21" s="538">
        <v>691850077</v>
      </c>
      <c r="H21" s="539"/>
      <c r="I21" s="560">
        <f t="shared" si="0"/>
        <v>691850077</v>
      </c>
      <c r="J21" s="538">
        <v>765694999</v>
      </c>
      <c r="K21" s="539"/>
      <c r="L21" s="560">
        <f t="shared" si="1"/>
        <v>765694999</v>
      </c>
    </row>
    <row r="22" spans="1:13">
      <c r="A22" s="536" t="s">
        <v>1419</v>
      </c>
      <c r="B22" s="536" t="s">
        <v>1420</v>
      </c>
      <c r="C22" s="537" t="s">
        <v>1418</v>
      </c>
      <c r="D22" s="537">
        <v>75</v>
      </c>
      <c r="E22" s="537" t="s">
        <v>1409</v>
      </c>
      <c r="F22" s="537" t="s">
        <v>1413</v>
      </c>
      <c r="G22" s="538">
        <v>1293302544</v>
      </c>
      <c r="H22" s="539"/>
      <c r="I22" s="560">
        <f t="shared" si="0"/>
        <v>1293302544</v>
      </c>
      <c r="J22" s="538">
        <v>1347649529</v>
      </c>
      <c r="K22" s="539"/>
      <c r="L22" s="560">
        <f t="shared" si="1"/>
        <v>1347649529</v>
      </c>
    </row>
    <row r="23" spans="1:13">
      <c r="A23" s="536" t="s">
        <v>1421</v>
      </c>
      <c r="B23" s="536" t="s">
        <v>1422</v>
      </c>
      <c r="C23" s="537" t="s">
        <v>1418</v>
      </c>
      <c r="D23" s="537">
        <v>99</v>
      </c>
      <c r="E23" s="537" t="s">
        <v>1409</v>
      </c>
      <c r="F23" s="537" t="s">
        <v>1413</v>
      </c>
      <c r="G23" s="538">
        <v>128602606</v>
      </c>
      <c r="H23" s="539"/>
      <c r="I23" s="560">
        <f t="shared" si="0"/>
        <v>128602606</v>
      </c>
      <c r="J23" s="538">
        <v>135973908</v>
      </c>
      <c r="K23" s="539"/>
      <c r="L23" s="560">
        <f t="shared" si="1"/>
        <v>135973908</v>
      </c>
    </row>
    <row r="24" spans="1:13">
      <c r="A24" s="536" t="s">
        <v>1423</v>
      </c>
      <c r="B24" s="536" t="s">
        <v>1424</v>
      </c>
      <c r="C24" s="541">
        <v>219</v>
      </c>
      <c r="D24" s="541">
        <v>25</v>
      </c>
      <c r="E24" s="541" t="s">
        <v>1589</v>
      </c>
      <c r="F24" s="541" t="s">
        <v>1409</v>
      </c>
      <c r="G24" s="538">
        <v>287682938</v>
      </c>
      <c r="H24" s="539"/>
      <c r="I24" s="560">
        <f t="shared" si="0"/>
        <v>287682938</v>
      </c>
      <c r="J24" s="538">
        <v>315335785</v>
      </c>
      <c r="K24" s="539"/>
      <c r="L24" s="560">
        <f t="shared" si="1"/>
        <v>315335785</v>
      </c>
    </row>
    <row r="25" spans="1:13">
      <c r="A25" s="536" t="s">
        <v>1425</v>
      </c>
      <c r="B25" s="536" t="s">
        <v>1426</v>
      </c>
      <c r="C25" s="537">
        <v>219</v>
      </c>
      <c r="D25" s="537">
        <v>26</v>
      </c>
      <c r="E25" s="537" t="s">
        <v>1589</v>
      </c>
      <c r="F25" s="537" t="s">
        <v>1409</v>
      </c>
      <c r="G25" s="538">
        <v>550426757</v>
      </c>
      <c r="H25" s="539"/>
      <c r="I25" s="560">
        <f t="shared" si="0"/>
        <v>550426757</v>
      </c>
      <c r="J25" s="538">
        <v>569108370</v>
      </c>
      <c r="K25" s="539"/>
      <c r="L25" s="560">
        <f t="shared" si="1"/>
        <v>569108370</v>
      </c>
    </row>
    <row r="26" spans="1:13">
      <c r="A26" s="536" t="s">
        <v>1427</v>
      </c>
      <c r="B26" s="536" t="s">
        <v>1428</v>
      </c>
      <c r="C26" s="537">
        <v>219</v>
      </c>
      <c r="D26" s="537">
        <v>28</v>
      </c>
      <c r="E26" s="537" t="s">
        <v>1589</v>
      </c>
      <c r="F26" s="537" t="s">
        <v>1409</v>
      </c>
      <c r="G26" s="538">
        <v>61031498</v>
      </c>
      <c r="H26" s="539"/>
      <c r="I26" s="560">
        <f t="shared" si="0"/>
        <v>61031498</v>
      </c>
      <c r="J26" s="538">
        <v>69259336</v>
      </c>
      <c r="K26" s="539"/>
      <c r="L26" s="560">
        <f t="shared" si="1"/>
        <v>69259336</v>
      </c>
    </row>
    <row r="27" spans="1:13">
      <c r="A27" s="536" t="s">
        <v>1429</v>
      </c>
      <c r="B27" s="536" t="s">
        <v>1430</v>
      </c>
      <c r="C27" s="541">
        <v>219</v>
      </c>
      <c r="D27" s="541" t="s">
        <v>1431</v>
      </c>
      <c r="E27" s="541" t="s">
        <v>1589</v>
      </c>
      <c r="F27" s="541" t="s">
        <v>1409</v>
      </c>
      <c r="G27" s="538">
        <v>789743508</v>
      </c>
      <c r="H27" s="539"/>
      <c r="I27" s="560">
        <f t="shared" si="0"/>
        <v>789743508</v>
      </c>
      <c r="J27" s="538">
        <v>818612508</v>
      </c>
      <c r="K27" s="539"/>
      <c r="L27" s="560">
        <f t="shared" si="1"/>
        <v>818612508</v>
      </c>
    </row>
    <row r="28" spans="1:13">
      <c r="A28" s="544" t="s">
        <v>1432</v>
      </c>
      <c r="B28" s="536" t="s">
        <v>1433</v>
      </c>
      <c r="C28" s="541">
        <v>227</v>
      </c>
      <c r="D28" s="541" t="s">
        <v>1434</v>
      </c>
      <c r="E28" s="541" t="s">
        <v>1409</v>
      </c>
      <c r="F28" s="541" t="s">
        <v>1387</v>
      </c>
      <c r="G28" s="538">
        <v>6023308</v>
      </c>
      <c r="H28" s="539"/>
      <c r="I28" s="560">
        <f t="shared" si="0"/>
        <v>6023308</v>
      </c>
      <c r="J28" s="538">
        <v>6080015</v>
      </c>
      <c r="K28" s="539"/>
      <c r="L28" s="560">
        <f t="shared" si="1"/>
        <v>6080015</v>
      </c>
    </row>
    <row r="29" spans="1:13">
      <c r="A29" s="536" t="s">
        <v>1435</v>
      </c>
      <c r="B29" s="536" t="s">
        <v>1436</v>
      </c>
      <c r="C29" s="541">
        <v>227</v>
      </c>
      <c r="D29" s="541">
        <v>7</v>
      </c>
      <c r="E29" s="541" t="s">
        <v>1409</v>
      </c>
      <c r="F29" s="541" t="s">
        <v>1387</v>
      </c>
      <c r="G29" s="538">
        <v>35481360</v>
      </c>
      <c r="H29" s="539"/>
      <c r="I29" s="560">
        <f t="shared" si="0"/>
        <v>35481360</v>
      </c>
      <c r="J29" s="538">
        <v>34183541</v>
      </c>
      <c r="K29" s="539"/>
      <c r="L29" s="560">
        <f t="shared" si="1"/>
        <v>34183541</v>
      </c>
    </row>
    <row r="30" spans="1:13">
      <c r="A30" s="536" t="s">
        <v>1437</v>
      </c>
      <c r="B30" s="536" t="s">
        <v>1438</v>
      </c>
      <c r="C30" s="537">
        <v>227</v>
      </c>
      <c r="D30" s="537">
        <v>8</v>
      </c>
      <c r="E30" s="537" t="s">
        <v>1409</v>
      </c>
      <c r="F30" s="537" t="s">
        <v>1387</v>
      </c>
      <c r="G30" s="538">
        <v>927001</v>
      </c>
      <c r="H30" s="539"/>
      <c r="I30" s="560">
        <f t="shared" si="0"/>
        <v>927001</v>
      </c>
      <c r="J30" s="538">
        <v>923886</v>
      </c>
      <c r="K30" s="539"/>
      <c r="L30" s="560">
        <f t="shared" si="1"/>
        <v>923886</v>
      </c>
    </row>
    <row r="31" spans="1:13">
      <c r="A31" s="536" t="s">
        <v>1548</v>
      </c>
      <c r="B31" s="536" t="s">
        <v>138</v>
      </c>
      <c r="C31" s="537">
        <v>233</v>
      </c>
      <c r="D31" s="537">
        <v>8</v>
      </c>
      <c r="E31" s="537" t="s">
        <v>1409</v>
      </c>
      <c r="F31" s="537" t="s">
        <v>1439</v>
      </c>
      <c r="G31" s="538">
        <v>51632295</v>
      </c>
      <c r="H31" s="539"/>
      <c r="I31" s="560">
        <f t="shared" si="0"/>
        <v>51632295</v>
      </c>
      <c r="J31" s="538">
        <v>51632295</v>
      </c>
      <c r="K31" s="539"/>
      <c r="L31" s="560">
        <f t="shared" si="1"/>
        <v>51632295</v>
      </c>
    </row>
    <row r="32" spans="1:13">
      <c r="A32" s="536" t="s">
        <v>1440</v>
      </c>
      <c r="B32" s="529" t="s">
        <v>1441</v>
      </c>
      <c r="C32" s="537">
        <v>257</v>
      </c>
      <c r="D32" s="537">
        <v>33</v>
      </c>
      <c r="E32" s="537" t="s">
        <v>1589</v>
      </c>
      <c r="F32" s="537" t="s">
        <v>1442</v>
      </c>
      <c r="G32" s="538">
        <v>77850743</v>
      </c>
      <c r="H32" s="539"/>
      <c r="I32" s="560">
        <f t="shared" si="0"/>
        <v>77850743</v>
      </c>
      <c r="J32" s="538">
        <v>81704490</v>
      </c>
      <c r="K32" s="539"/>
      <c r="L32" s="560">
        <f t="shared" si="1"/>
        <v>81704490</v>
      </c>
    </row>
    <row r="33" spans="1:12">
      <c r="A33" s="545" t="s">
        <v>1443</v>
      </c>
      <c r="B33" s="536" t="s">
        <v>1444</v>
      </c>
      <c r="C33" s="537">
        <v>262</v>
      </c>
      <c r="D33" s="537">
        <v>2</v>
      </c>
      <c r="E33" s="537" t="s">
        <v>1589</v>
      </c>
      <c r="F33" s="537" t="s">
        <v>1442</v>
      </c>
      <c r="G33" s="538">
        <v>5538801</v>
      </c>
      <c r="H33" s="539"/>
      <c r="I33" s="560">
        <f t="shared" si="0"/>
        <v>5538801</v>
      </c>
      <c r="J33" s="538">
        <v>5452909</v>
      </c>
      <c r="K33" s="539"/>
      <c r="L33" s="560">
        <f t="shared" si="1"/>
        <v>5452909</v>
      </c>
    </row>
    <row r="34" spans="1:12">
      <c r="A34" s="545" t="s">
        <v>1445</v>
      </c>
      <c r="B34" s="536" t="s">
        <v>1446</v>
      </c>
      <c r="C34" s="537">
        <v>262</v>
      </c>
      <c r="D34" s="537">
        <v>3</v>
      </c>
      <c r="E34" s="537" t="s">
        <v>1589</v>
      </c>
      <c r="F34" s="537" t="s">
        <v>1442</v>
      </c>
      <c r="G34" s="538">
        <v>38158</v>
      </c>
      <c r="H34" s="539"/>
      <c r="I34" s="560">
        <f t="shared" si="0"/>
        <v>38158</v>
      </c>
      <c r="J34" s="538">
        <v>37810</v>
      </c>
      <c r="K34" s="539"/>
      <c r="L34" s="560">
        <f t="shared" si="1"/>
        <v>37810</v>
      </c>
    </row>
    <row r="35" spans="1:12">
      <c r="A35" s="545" t="s">
        <v>1447</v>
      </c>
      <c r="B35" s="536" t="s">
        <v>1448</v>
      </c>
      <c r="C35" s="537">
        <v>262</v>
      </c>
      <c r="D35" s="537">
        <v>11</v>
      </c>
      <c r="E35" s="537" t="s">
        <v>1589</v>
      </c>
      <c r="F35" s="537" t="s">
        <v>1442</v>
      </c>
      <c r="G35" s="538">
        <v>20603</v>
      </c>
      <c r="H35" s="539"/>
      <c r="I35" s="560">
        <f t="shared" si="0"/>
        <v>20603</v>
      </c>
      <c r="J35" s="538">
        <v>173262</v>
      </c>
      <c r="K35" s="539"/>
      <c r="L35" s="560">
        <f t="shared" si="1"/>
        <v>173262</v>
      </c>
    </row>
    <row r="36" spans="1:12">
      <c r="A36" s="545" t="s">
        <v>1449</v>
      </c>
      <c r="B36" s="536" t="s">
        <v>1450</v>
      </c>
      <c r="C36" s="537">
        <v>262</v>
      </c>
      <c r="D36" s="537">
        <v>14</v>
      </c>
      <c r="E36" s="537" t="s">
        <v>1589</v>
      </c>
      <c r="F36" s="537" t="s">
        <v>1442</v>
      </c>
      <c r="G36" s="538">
        <v>24579903</v>
      </c>
      <c r="H36" s="539"/>
      <c r="I36" s="560">
        <f t="shared" si="0"/>
        <v>24579903</v>
      </c>
      <c r="J36" s="538">
        <v>26075034</v>
      </c>
      <c r="K36" s="539"/>
      <c r="L36" s="560">
        <f t="shared" si="1"/>
        <v>26075034</v>
      </c>
    </row>
    <row r="37" spans="1:12">
      <c r="A37" s="545" t="s">
        <v>1451</v>
      </c>
      <c r="B37" s="536" t="s">
        <v>1452</v>
      </c>
      <c r="C37" s="537">
        <v>262</v>
      </c>
      <c r="D37" s="537">
        <v>29</v>
      </c>
      <c r="E37" s="537" t="s">
        <v>1589</v>
      </c>
      <c r="F37" s="537" t="s">
        <v>1442</v>
      </c>
      <c r="G37" s="538">
        <v>0</v>
      </c>
      <c r="H37" s="539"/>
      <c r="I37" s="560">
        <f t="shared" si="0"/>
        <v>0</v>
      </c>
      <c r="J37" s="538">
        <v>-1350046</v>
      </c>
      <c r="K37" s="539"/>
      <c r="L37" s="560">
        <f t="shared" si="1"/>
        <v>-1350046</v>
      </c>
    </row>
    <row r="38" spans="1:12">
      <c r="A38" s="536" t="s">
        <v>1482</v>
      </c>
      <c r="B38" s="542" t="s">
        <v>1453</v>
      </c>
      <c r="C38" s="537">
        <v>321</v>
      </c>
      <c r="D38" s="537">
        <v>85</v>
      </c>
      <c r="E38" s="537" t="s">
        <v>1387</v>
      </c>
      <c r="F38" s="537" t="s">
        <v>1409</v>
      </c>
      <c r="G38" s="538">
        <v>102741</v>
      </c>
      <c r="H38" s="539"/>
      <c r="I38" s="560">
        <f t="shared" si="0"/>
        <v>102741</v>
      </c>
      <c r="J38" s="538">
        <v>85383</v>
      </c>
      <c r="K38" s="539"/>
      <c r="L38" s="560">
        <f t="shared" si="1"/>
        <v>85383</v>
      </c>
    </row>
    <row r="39" spans="1:12">
      <c r="A39" s="536" t="s">
        <v>1483</v>
      </c>
      <c r="B39" s="542" t="s">
        <v>1454</v>
      </c>
      <c r="C39" s="537">
        <v>321</v>
      </c>
      <c r="D39" s="537">
        <v>86</v>
      </c>
      <c r="E39" s="537" t="s">
        <v>1387</v>
      </c>
      <c r="F39" s="537" t="s">
        <v>1409</v>
      </c>
      <c r="G39" s="538">
        <v>311384</v>
      </c>
      <c r="H39" s="539"/>
      <c r="I39" s="560">
        <f t="shared" si="0"/>
        <v>311384</v>
      </c>
      <c r="J39" s="538">
        <v>355715</v>
      </c>
      <c r="K39" s="539"/>
      <c r="L39" s="560">
        <f t="shared" si="1"/>
        <v>355715</v>
      </c>
    </row>
    <row r="40" spans="1:12">
      <c r="A40" s="536" t="s">
        <v>1484</v>
      </c>
      <c r="B40" s="542" t="s">
        <v>1455</v>
      </c>
      <c r="C40" s="537">
        <v>321</v>
      </c>
      <c r="D40" s="537">
        <v>87</v>
      </c>
      <c r="E40" s="537" t="s">
        <v>1387</v>
      </c>
      <c r="F40" s="537" t="s">
        <v>1409</v>
      </c>
      <c r="G40" s="538">
        <v>372603</v>
      </c>
      <c r="H40" s="539"/>
      <c r="I40" s="560">
        <f t="shared" si="0"/>
        <v>372603</v>
      </c>
      <c r="J40" s="538">
        <v>409017</v>
      </c>
      <c r="K40" s="539"/>
      <c r="L40" s="560">
        <f t="shared" si="1"/>
        <v>409017</v>
      </c>
    </row>
    <row r="41" spans="1:12">
      <c r="A41" s="536" t="s">
        <v>1485</v>
      </c>
      <c r="B41" s="542" t="s">
        <v>1456</v>
      </c>
      <c r="C41" s="537">
        <v>321</v>
      </c>
      <c r="D41" s="537">
        <v>88</v>
      </c>
      <c r="E41" s="537" t="s">
        <v>1387</v>
      </c>
      <c r="F41" s="537" t="s">
        <v>1409</v>
      </c>
      <c r="G41" s="538">
        <v>0</v>
      </c>
      <c r="H41" s="539"/>
      <c r="I41" s="560">
        <f t="shared" si="0"/>
        <v>0</v>
      </c>
      <c r="J41" s="538">
        <v>0</v>
      </c>
      <c r="K41" s="539"/>
      <c r="L41" s="560">
        <f t="shared" si="1"/>
        <v>0</v>
      </c>
    </row>
    <row r="42" spans="1:12">
      <c r="A42" s="536" t="s">
        <v>1486</v>
      </c>
      <c r="B42" s="542" t="s">
        <v>1457</v>
      </c>
      <c r="C42" s="537">
        <v>321</v>
      </c>
      <c r="D42" s="537">
        <v>89</v>
      </c>
      <c r="E42" s="537" t="s">
        <v>1387</v>
      </c>
      <c r="F42" s="537" t="s">
        <v>1409</v>
      </c>
      <c r="G42" s="538">
        <v>0</v>
      </c>
      <c r="H42" s="539"/>
      <c r="I42" s="560">
        <f t="shared" si="0"/>
        <v>0</v>
      </c>
      <c r="J42" s="538">
        <v>0</v>
      </c>
      <c r="K42" s="539"/>
      <c r="L42" s="560">
        <f t="shared" si="1"/>
        <v>0</v>
      </c>
    </row>
    <row r="43" spans="1:12">
      <c r="A43" s="536" t="s">
        <v>1487</v>
      </c>
      <c r="B43" s="542" t="s">
        <v>1458</v>
      </c>
      <c r="C43" s="537">
        <v>321</v>
      </c>
      <c r="D43" s="537">
        <v>90</v>
      </c>
      <c r="E43" s="537" t="s">
        <v>1387</v>
      </c>
      <c r="F43" s="537" t="s">
        <v>1409</v>
      </c>
      <c r="G43" s="538">
        <v>0</v>
      </c>
      <c r="H43" s="539"/>
      <c r="I43" s="560">
        <f t="shared" si="0"/>
        <v>0</v>
      </c>
      <c r="J43" s="538">
        <v>0</v>
      </c>
      <c r="K43" s="539"/>
      <c r="L43" s="560">
        <f t="shared" si="1"/>
        <v>0</v>
      </c>
    </row>
    <row r="44" spans="1:12">
      <c r="A44" s="536" t="s">
        <v>1488</v>
      </c>
      <c r="B44" s="542" t="s">
        <v>1459</v>
      </c>
      <c r="C44" s="537">
        <v>321</v>
      </c>
      <c r="D44" s="537">
        <v>91</v>
      </c>
      <c r="E44" s="537" t="s">
        <v>1387</v>
      </c>
      <c r="F44" s="537" t="s">
        <v>1409</v>
      </c>
      <c r="G44" s="538">
        <v>0</v>
      </c>
      <c r="H44" s="539"/>
      <c r="I44" s="560">
        <f t="shared" si="0"/>
        <v>0</v>
      </c>
      <c r="J44" s="538">
        <v>0</v>
      </c>
      <c r="K44" s="539"/>
      <c r="L44" s="560">
        <f t="shared" si="1"/>
        <v>0</v>
      </c>
    </row>
    <row r="45" spans="1:12">
      <c r="A45" s="536" t="s">
        <v>1489</v>
      </c>
      <c r="B45" s="536" t="s">
        <v>1460</v>
      </c>
      <c r="C45" s="537">
        <v>321</v>
      </c>
      <c r="D45" s="537">
        <v>96</v>
      </c>
      <c r="E45" s="537" t="s">
        <v>1387</v>
      </c>
      <c r="F45" s="537" t="s">
        <v>1409</v>
      </c>
      <c r="G45" s="538">
        <v>17272432</v>
      </c>
      <c r="H45" s="539"/>
      <c r="I45" s="560">
        <f t="shared" si="0"/>
        <v>17272432</v>
      </c>
      <c r="J45" s="538">
        <v>16931068</v>
      </c>
      <c r="K45" s="539"/>
      <c r="L45" s="560">
        <f t="shared" si="1"/>
        <v>16931068</v>
      </c>
    </row>
    <row r="46" spans="1:12">
      <c r="A46" s="536" t="s">
        <v>1461</v>
      </c>
      <c r="B46" s="536" t="s">
        <v>1462</v>
      </c>
      <c r="C46" s="537">
        <v>321</v>
      </c>
      <c r="D46" s="537">
        <v>112</v>
      </c>
      <c r="E46" s="537" t="s">
        <v>1387</v>
      </c>
      <c r="F46" s="537" t="s">
        <v>1409</v>
      </c>
      <c r="G46" s="538">
        <v>38627758</v>
      </c>
      <c r="H46" s="539"/>
      <c r="I46" s="560">
        <f t="shared" si="0"/>
        <v>38627758</v>
      </c>
      <c r="J46" s="538">
        <v>37692212</v>
      </c>
      <c r="K46" s="539"/>
      <c r="L46" s="560">
        <f t="shared" si="1"/>
        <v>37692212</v>
      </c>
    </row>
    <row r="47" spans="1:12">
      <c r="A47" s="536" t="s">
        <v>1463</v>
      </c>
      <c r="B47" s="536" t="s">
        <v>1464</v>
      </c>
      <c r="C47" s="537">
        <v>323</v>
      </c>
      <c r="D47" s="537">
        <v>185</v>
      </c>
      <c r="E47" s="537" t="s">
        <v>1387</v>
      </c>
      <c r="F47" s="537" t="s">
        <v>1409</v>
      </c>
      <c r="G47" s="538">
        <v>1835153</v>
      </c>
      <c r="H47" s="539"/>
      <c r="I47" s="560">
        <f t="shared" si="0"/>
        <v>1835153</v>
      </c>
      <c r="J47" s="538">
        <v>2741216</v>
      </c>
      <c r="K47" s="539"/>
      <c r="L47" s="560">
        <f t="shared" si="1"/>
        <v>2741216</v>
      </c>
    </row>
    <row r="48" spans="1:12">
      <c r="A48" s="536" t="s">
        <v>1465</v>
      </c>
      <c r="B48" s="536" t="s">
        <v>1466</v>
      </c>
      <c r="C48" s="537">
        <v>323</v>
      </c>
      <c r="D48" s="537">
        <v>189</v>
      </c>
      <c r="E48" s="537" t="s">
        <v>1387</v>
      </c>
      <c r="F48" s="537" t="s">
        <v>1409</v>
      </c>
      <c r="G48" s="538">
        <v>25388679</v>
      </c>
      <c r="H48" s="539"/>
      <c r="I48" s="560">
        <f t="shared" si="0"/>
        <v>25388679</v>
      </c>
      <c r="J48" s="538">
        <v>27366316</v>
      </c>
      <c r="K48" s="539"/>
      <c r="L48" s="560">
        <f t="shared" si="1"/>
        <v>27366316</v>
      </c>
    </row>
    <row r="49" spans="1:12">
      <c r="A49" s="536" t="s">
        <v>1467</v>
      </c>
      <c r="B49" s="536" t="s">
        <v>1468</v>
      </c>
      <c r="C49" s="537">
        <v>323</v>
      </c>
      <c r="D49" s="537">
        <v>197</v>
      </c>
      <c r="E49" s="537" t="s">
        <v>1387</v>
      </c>
      <c r="F49" s="537" t="s">
        <v>1409</v>
      </c>
      <c r="G49" s="538">
        <v>131296360</v>
      </c>
      <c r="H49" s="539"/>
      <c r="I49" s="560">
        <f t="shared" si="0"/>
        <v>131296360</v>
      </c>
      <c r="J49" s="538">
        <v>140391735</v>
      </c>
      <c r="K49" s="539"/>
      <c r="L49" s="560">
        <f t="shared" si="1"/>
        <v>140391735</v>
      </c>
    </row>
    <row r="50" spans="1:12">
      <c r="A50" s="536" t="s">
        <v>1469</v>
      </c>
      <c r="B50" s="536" t="s">
        <v>1470</v>
      </c>
      <c r="C50" s="537">
        <v>336</v>
      </c>
      <c r="D50" s="537">
        <v>1</v>
      </c>
      <c r="E50" s="537" t="s">
        <v>1589</v>
      </c>
      <c r="F50" s="537" t="s">
        <v>1439</v>
      </c>
      <c r="G50" s="538">
        <v>2792971</v>
      </c>
      <c r="H50" s="539"/>
      <c r="I50" s="560">
        <f t="shared" si="0"/>
        <v>2792971</v>
      </c>
      <c r="J50" s="538">
        <v>2036448</v>
      </c>
      <c r="K50" s="539"/>
      <c r="L50" s="560">
        <f t="shared" si="1"/>
        <v>2036448</v>
      </c>
    </row>
    <row r="51" spans="1:12">
      <c r="A51" s="536" t="s">
        <v>1471</v>
      </c>
      <c r="B51" s="536" t="s">
        <v>1472</v>
      </c>
      <c r="C51" s="537">
        <v>336</v>
      </c>
      <c r="D51" s="537">
        <v>7</v>
      </c>
      <c r="E51" s="537" t="s">
        <v>1589</v>
      </c>
      <c r="F51" s="537" t="s">
        <v>1439</v>
      </c>
      <c r="G51" s="538">
        <v>13431937</v>
      </c>
      <c r="H51" s="539"/>
      <c r="I51" s="560">
        <f t="shared" si="0"/>
        <v>13431937</v>
      </c>
      <c r="J51" s="538">
        <v>17058649</v>
      </c>
      <c r="K51" s="539"/>
      <c r="L51" s="560">
        <f t="shared" si="1"/>
        <v>17058649</v>
      </c>
    </row>
    <row r="52" spans="1:12">
      <c r="A52" s="536" t="s">
        <v>1473</v>
      </c>
      <c r="B52" s="536" t="s">
        <v>1474</v>
      </c>
      <c r="C52" s="537">
        <v>336</v>
      </c>
      <c r="D52" s="537">
        <v>10</v>
      </c>
      <c r="E52" s="537" t="s">
        <v>1589</v>
      </c>
      <c r="F52" s="537" t="s">
        <v>1439</v>
      </c>
      <c r="G52" s="538">
        <v>5887341</v>
      </c>
      <c r="H52" s="539"/>
      <c r="I52" s="560">
        <f t="shared" si="0"/>
        <v>5887341</v>
      </c>
      <c r="J52" s="538">
        <v>6556650</v>
      </c>
      <c r="K52" s="539"/>
      <c r="L52" s="560">
        <f t="shared" si="1"/>
        <v>6556650</v>
      </c>
    </row>
    <row r="53" spans="1:12">
      <c r="A53" s="536" t="s">
        <v>1475</v>
      </c>
      <c r="B53" s="536" t="s">
        <v>1476</v>
      </c>
      <c r="C53" s="537">
        <v>354</v>
      </c>
      <c r="D53" s="537">
        <v>21</v>
      </c>
      <c r="E53" s="537" t="s">
        <v>1589</v>
      </c>
      <c r="F53" s="537" t="s">
        <v>1409</v>
      </c>
      <c r="G53" s="538">
        <v>4018492</v>
      </c>
      <c r="H53" s="539"/>
      <c r="I53" s="560">
        <f t="shared" si="0"/>
        <v>4018492</v>
      </c>
      <c r="J53" s="538">
        <v>4805137</v>
      </c>
      <c r="K53" s="539"/>
      <c r="L53" s="560">
        <f t="shared" si="1"/>
        <v>4805137</v>
      </c>
    </row>
    <row r="54" spans="1:12">
      <c r="A54" s="536" t="s">
        <v>1477</v>
      </c>
      <c r="B54" s="536" t="s">
        <v>1478</v>
      </c>
      <c r="C54" s="537">
        <v>354</v>
      </c>
      <c r="D54" s="537">
        <v>27</v>
      </c>
      <c r="E54" s="537" t="s">
        <v>1589</v>
      </c>
      <c r="F54" s="537" t="s">
        <v>1409</v>
      </c>
      <c r="G54" s="538">
        <v>34948171</v>
      </c>
      <c r="H54" s="539"/>
      <c r="I54" s="560">
        <f t="shared" si="0"/>
        <v>34948171</v>
      </c>
      <c r="J54" s="538">
        <v>34644235</v>
      </c>
      <c r="K54" s="539"/>
      <c r="L54" s="560">
        <f t="shared" si="1"/>
        <v>34644235</v>
      </c>
    </row>
    <row r="55" spans="1:12">
      <c r="A55" s="536" t="s">
        <v>1479</v>
      </c>
      <c r="B55" s="536" t="s">
        <v>1480</v>
      </c>
      <c r="C55" s="537">
        <v>354</v>
      </c>
      <c r="D55" s="537">
        <v>28</v>
      </c>
      <c r="E55" s="537" t="s">
        <v>1589</v>
      </c>
      <c r="F55" s="537" t="s">
        <v>1409</v>
      </c>
      <c r="G55" s="538">
        <v>114699675</v>
      </c>
      <c r="H55" s="539"/>
      <c r="I55" s="560">
        <f t="shared" si="0"/>
        <v>114699675</v>
      </c>
      <c r="J55" s="538">
        <v>117898372</v>
      </c>
      <c r="K55" s="539"/>
      <c r="L55" s="560">
        <f t="shared" si="1"/>
        <v>117898372</v>
      </c>
    </row>
    <row r="56" spans="1:12">
      <c r="A56" s="536"/>
      <c r="B56" s="536"/>
      <c r="C56" s="537"/>
      <c r="D56" s="537"/>
      <c r="E56" s="537"/>
      <c r="F56" s="537"/>
      <c r="G56" s="538"/>
      <c r="H56" s="539"/>
      <c r="I56" s="540"/>
      <c r="J56" s="538"/>
      <c r="K56" s="539"/>
      <c r="L56" s="540"/>
    </row>
    <row r="57" spans="1:12">
      <c r="A57" s="536"/>
      <c r="B57" s="536"/>
      <c r="C57" s="537"/>
      <c r="D57" s="537"/>
      <c r="E57" s="537"/>
      <c r="F57" s="537"/>
      <c r="G57" s="538"/>
      <c r="H57" s="539"/>
      <c r="I57" s="540"/>
      <c r="J57" s="538"/>
      <c r="K57" s="539"/>
      <c r="L57" s="540"/>
    </row>
    <row r="58" spans="1:12">
      <c r="A58" s="536"/>
      <c r="B58" s="536"/>
      <c r="C58" s="537"/>
      <c r="D58" s="537"/>
      <c r="E58" s="537"/>
      <c r="F58" s="537"/>
      <c r="G58" s="538"/>
      <c r="H58" s="539"/>
      <c r="I58" s="540"/>
      <c r="J58" s="538"/>
      <c r="K58" s="539"/>
      <c r="L58" s="540"/>
    </row>
    <row r="59" spans="1:12">
      <c r="A59" s="536"/>
      <c r="B59" s="536"/>
      <c r="C59" s="537"/>
      <c r="D59" s="537"/>
      <c r="E59" s="537"/>
      <c r="F59" s="537"/>
      <c r="G59" s="538"/>
      <c r="H59" s="539"/>
      <c r="I59" s="540"/>
      <c r="J59" s="538"/>
      <c r="K59" s="539"/>
      <c r="L59" s="540"/>
    </row>
    <row r="60" spans="1:12">
      <c r="A60" s="536"/>
      <c r="B60" s="536"/>
      <c r="C60" s="537"/>
      <c r="D60" s="537"/>
      <c r="E60" s="537"/>
      <c r="F60" s="537"/>
      <c r="G60" s="538"/>
      <c r="H60" s="539"/>
      <c r="I60" s="540"/>
      <c r="J60" s="538"/>
      <c r="K60" s="539"/>
      <c r="L60" s="540"/>
    </row>
    <row r="61" spans="1:12">
      <c r="A61" s="536"/>
      <c r="B61" s="536"/>
      <c r="C61" s="537"/>
      <c r="D61" s="537"/>
      <c r="E61" s="537"/>
      <c r="F61" s="537"/>
      <c r="G61" s="538"/>
      <c r="H61" s="539"/>
      <c r="I61" s="540"/>
      <c r="J61" s="538"/>
      <c r="K61" s="539"/>
      <c r="L61" s="540"/>
    </row>
    <row r="62" spans="1:12">
      <c r="A62" s="526"/>
      <c r="B62" s="526"/>
      <c r="C62" s="526"/>
      <c r="D62" s="526"/>
      <c r="E62" s="526"/>
      <c r="F62" s="526"/>
      <c r="G62" s="526"/>
      <c r="H62" s="526"/>
      <c r="I62" s="526"/>
      <c r="K62" s="526"/>
      <c r="L62" s="543"/>
    </row>
    <row r="68" spans="9:12">
      <c r="I68" s="529"/>
      <c r="J68" s="529"/>
      <c r="K68" s="529"/>
      <c r="L68" s="529"/>
    </row>
    <row r="69" spans="9:12">
      <c r="I69" s="529"/>
      <c r="J69" s="529"/>
      <c r="K69" s="529"/>
      <c r="L69" s="529"/>
    </row>
    <row r="70" spans="9:12">
      <c r="I70" s="529"/>
      <c r="J70" s="529"/>
      <c r="K70" s="529"/>
      <c r="L70" s="529"/>
    </row>
    <row r="71" spans="9:12">
      <c r="I71" s="529"/>
      <c r="J71" s="529"/>
      <c r="K71" s="529"/>
      <c r="L71" s="529"/>
    </row>
    <row r="72" spans="9:12">
      <c r="I72" s="529"/>
      <c r="J72" s="529"/>
      <c r="K72" s="529"/>
      <c r="L72" s="529"/>
    </row>
    <row r="73" spans="9:12">
      <c r="I73" s="529"/>
      <c r="J73" s="529"/>
      <c r="K73" s="529"/>
      <c r="L73" s="529"/>
    </row>
    <row r="74" spans="9:12">
      <c r="I74" s="529"/>
      <c r="J74" s="529"/>
      <c r="K74" s="529"/>
      <c r="L74" s="529"/>
    </row>
    <row r="75" spans="9:12">
      <c r="I75" s="529"/>
      <c r="J75" s="529"/>
      <c r="K75" s="529"/>
      <c r="L75" s="529"/>
    </row>
    <row r="76" spans="9:12">
      <c r="I76" s="529"/>
      <c r="J76" s="529"/>
      <c r="K76" s="529"/>
      <c r="L76" s="529"/>
    </row>
    <row r="77" spans="9:12">
      <c r="I77" s="529"/>
      <c r="J77" s="529"/>
      <c r="K77" s="529"/>
      <c r="L77" s="529"/>
    </row>
    <row r="78" spans="9:12">
      <c r="I78" s="529"/>
      <c r="J78" s="529"/>
      <c r="K78" s="529"/>
      <c r="L78" s="529"/>
    </row>
    <row r="79" spans="9:12">
      <c r="I79" s="529"/>
      <c r="J79" s="529"/>
      <c r="K79" s="529"/>
      <c r="L79" s="529"/>
    </row>
    <row r="80" spans="9:12">
      <c r="I80" s="529"/>
      <c r="J80" s="529"/>
      <c r="K80" s="529"/>
      <c r="L80" s="529"/>
    </row>
    <row r="81" spans="9:12">
      <c r="I81" s="529"/>
      <c r="J81" s="529"/>
      <c r="K81" s="529"/>
      <c r="L81" s="529"/>
    </row>
    <row r="82" spans="9:12">
      <c r="I82" s="529"/>
      <c r="J82" s="529"/>
      <c r="K82" s="529"/>
      <c r="L82" s="529"/>
    </row>
    <row r="83" spans="9:12">
      <c r="I83" s="529"/>
      <c r="J83" s="529"/>
      <c r="K83" s="529"/>
      <c r="L83" s="529"/>
    </row>
    <row r="84" spans="9:12">
      <c r="I84" s="529"/>
      <c r="J84" s="529"/>
      <c r="K84" s="529"/>
      <c r="L84" s="529"/>
    </row>
    <row r="85" spans="9:12">
      <c r="I85" s="529"/>
      <c r="J85" s="529"/>
      <c r="K85" s="529"/>
      <c r="L85" s="529"/>
    </row>
    <row r="86" spans="9:12">
      <c r="I86" s="529"/>
      <c r="J86" s="529"/>
      <c r="K86" s="529"/>
      <c r="L86" s="529"/>
    </row>
    <row r="87" spans="9:12">
      <c r="I87" s="529"/>
      <c r="J87" s="529"/>
      <c r="K87" s="529"/>
      <c r="L87" s="529"/>
    </row>
    <row r="88" spans="9:12">
      <c r="I88" s="529"/>
      <c r="J88" s="529"/>
      <c r="K88" s="529"/>
      <c r="L88" s="529"/>
    </row>
    <row r="89" spans="9:12">
      <c r="I89" s="529"/>
      <c r="J89" s="529"/>
      <c r="K89" s="529"/>
      <c r="L89" s="529"/>
    </row>
    <row r="90" spans="9:12">
      <c r="I90" s="529"/>
      <c r="J90" s="529"/>
      <c r="K90" s="529"/>
      <c r="L90" s="529"/>
    </row>
    <row r="91" spans="9:12">
      <c r="I91" s="529"/>
      <c r="J91" s="529"/>
      <c r="K91" s="529"/>
      <c r="L91" s="529"/>
    </row>
    <row r="92" spans="9:12">
      <c r="I92" s="529"/>
      <c r="J92" s="529"/>
      <c r="K92" s="529"/>
      <c r="L92" s="529"/>
    </row>
    <row r="93" spans="9:12">
      <c r="I93" s="529"/>
      <c r="J93" s="529"/>
      <c r="K93" s="529"/>
      <c r="L93" s="529"/>
    </row>
    <row r="94" spans="9:12">
      <c r="I94" s="529"/>
      <c r="J94" s="529"/>
      <c r="K94" s="529"/>
      <c r="L94" s="529"/>
    </row>
    <row r="95" spans="9:12">
      <c r="I95" s="529"/>
      <c r="J95" s="529"/>
      <c r="K95" s="529"/>
      <c r="L95" s="529"/>
    </row>
    <row r="96" spans="9:12">
      <c r="I96" s="529"/>
      <c r="J96" s="529"/>
      <c r="K96" s="529"/>
      <c r="L96" s="529"/>
    </row>
    <row r="97" spans="9:12">
      <c r="I97" s="529"/>
      <c r="J97" s="529"/>
      <c r="K97" s="529"/>
      <c r="L97" s="529"/>
    </row>
  </sheetData>
  <printOptions horizontalCentered="1"/>
  <pageMargins left="0.45" right="0.45" top="0.75" bottom="0.75" header="0.3" footer="0.3"/>
  <pageSetup scale="56" orientation="landscape" r:id="rId1"/>
  <colBreaks count="1" manualBreakCount="1">
    <brk id="4" max="5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opLeftCell="A28" zoomScale="80" zoomScaleNormal="80" workbookViewId="0">
      <selection activeCell="K68" sqref="K68"/>
    </sheetView>
  </sheetViews>
  <sheetFormatPr defaultColWidth="8.88671875" defaultRowHeight="14.4"/>
  <cols>
    <col min="1" max="1" width="8.88671875" style="146"/>
    <col min="2" max="2" width="3.88671875" style="146" customWidth="1"/>
    <col min="3" max="3" width="44.109375" style="146" customWidth="1"/>
    <col min="4" max="4" width="16.109375" style="146" bestFit="1" customWidth="1"/>
    <col min="5" max="5" width="9.109375" style="146"/>
    <col min="6" max="6" width="24.6640625" style="148" customWidth="1"/>
    <col min="7" max="7" width="26.6640625" style="148" customWidth="1"/>
    <col min="8" max="8" width="24.88671875" style="148" customWidth="1"/>
    <col min="9" max="10" width="15.33203125" style="148" customWidth="1"/>
    <col min="11" max="11" width="15.33203125" style="382" customWidth="1"/>
    <col min="12" max="12" width="15.33203125" style="148" customWidth="1"/>
    <col min="13" max="13" width="17.109375" style="146" customWidth="1"/>
    <col min="14" max="14" width="19.5546875" style="146" customWidth="1"/>
    <col min="15" max="15" width="9.109375" style="146"/>
    <col min="16" max="16" width="9.6640625" style="146" bestFit="1" customWidth="1"/>
    <col min="17" max="17" width="11.6640625" style="146" bestFit="1" customWidth="1"/>
    <col min="18" max="18" width="11.33203125" style="146" bestFit="1" customWidth="1"/>
    <col min="19" max="20" width="11" style="146" bestFit="1" customWidth="1"/>
    <col min="21" max="21" width="11.88671875" style="146" bestFit="1" customWidth="1"/>
    <col min="22" max="23" width="10" style="146" bestFit="1" customWidth="1"/>
    <col min="24" max="24" width="11.88671875" style="146" bestFit="1" customWidth="1"/>
    <col min="25" max="16384" width="8.88671875" style="146"/>
  </cols>
  <sheetData>
    <row r="1" spans="1:24">
      <c r="A1" s="147" t="s">
        <v>0</v>
      </c>
    </row>
    <row r="2" spans="1:24">
      <c r="A2" s="147" t="s">
        <v>836</v>
      </c>
    </row>
    <row r="3" spans="1:24">
      <c r="A3" s="147"/>
    </row>
    <row r="4" spans="1:24">
      <c r="A4" s="147"/>
    </row>
    <row r="5" spans="1:24">
      <c r="A5" s="147"/>
      <c r="B5" s="146" t="s">
        <v>954</v>
      </c>
    </row>
    <row r="6" spans="1:24">
      <c r="C6" s="146" t="s">
        <v>957</v>
      </c>
    </row>
    <row r="7" spans="1:24" ht="15" thickBot="1"/>
    <row r="8" spans="1:24">
      <c r="B8" s="151" t="s">
        <v>609</v>
      </c>
      <c r="C8" s="152"/>
      <c r="D8" s="152"/>
      <c r="E8" s="152"/>
      <c r="F8" s="153"/>
      <c r="G8" s="153"/>
      <c r="H8" s="153"/>
      <c r="I8" s="153"/>
      <c r="J8" s="153"/>
      <c r="K8" s="385"/>
      <c r="L8" s="153"/>
      <c r="M8" s="152"/>
      <c r="N8" s="152"/>
      <c r="O8" s="154"/>
    </row>
    <row r="9" spans="1:24">
      <c r="B9" s="155"/>
      <c r="C9" s="156" t="s">
        <v>2</v>
      </c>
      <c r="D9" s="157"/>
      <c r="E9" s="157"/>
      <c r="F9" s="158"/>
      <c r="G9" s="158"/>
      <c r="H9" s="158"/>
      <c r="I9" s="158"/>
      <c r="J9" s="158"/>
      <c r="K9" s="388"/>
      <c r="L9" s="158"/>
      <c r="M9" s="157"/>
      <c r="N9" s="157"/>
      <c r="O9" s="159"/>
    </row>
    <row r="10" spans="1:24" s="106" customFormat="1" ht="33" customHeight="1">
      <c r="B10" s="134"/>
      <c r="C10" s="135" t="s">
        <v>10</v>
      </c>
      <c r="D10" s="135" t="s">
        <v>11</v>
      </c>
      <c r="E10" s="135"/>
      <c r="F10" s="136" t="s">
        <v>955</v>
      </c>
      <c r="G10" s="136" t="s">
        <v>956</v>
      </c>
      <c r="H10" s="136" t="s">
        <v>613</v>
      </c>
      <c r="I10" s="136" t="s">
        <v>615</v>
      </c>
      <c r="J10" s="136" t="s">
        <v>842</v>
      </c>
      <c r="K10" s="405" t="s">
        <v>1091</v>
      </c>
      <c r="L10" s="405" t="s">
        <v>1092</v>
      </c>
      <c r="M10" s="136" t="s">
        <v>55</v>
      </c>
      <c r="N10" s="214"/>
      <c r="O10" s="137"/>
    </row>
    <row r="11" spans="1:24">
      <c r="B11" s="155"/>
      <c r="C11" s="157" t="s">
        <v>13</v>
      </c>
      <c r="D11" s="157" t="s">
        <v>27</v>
      </c>
      <c r="E11" s="157"/>
      <c r="F11" s="800">
        <v>14308518.789999999</v>
      </c>
      <c r="G11" s="800">
        <v>2857317.2</v>
      </c>
      <c r="H11" s="800">
        <v>699906.30999999994</v>
      </c>
      <c r="I11" s="800">
        <v>10097595.167199686</v>
      </c>
      <c r="J11" s="800">
        <v>22724000</v>
      </c>
      <c r="K11" s="800">
        <v>813290.28529999999</v>
      </c>
      <c r="L11" s="800">
        <v>1551221.3713029076</v>
      </c>
      <c r="M11" s="177">
        <f>SUM(F11:L11)</f>
        <v>53051849.123802595</v>
      </c>
      <c r="N11" s="157"/>
      <c r="O11" s="159"/>
    </row>
    <row r="12" spans="1:24">
      <c r="B12" s="155"/>
      <c r="C12" s="157" t="s">
        <v>14</v>
      </c>
      <c r="D12" s="157" t="s">
        <v>27</v>
      </c>
      <c r="E12" s="157"/>
      <c r="F12" s="800">
        <v>14308518.789999999</v>
      </c>
      <c r="G12" s="800">
        <v>2857317.2</v>
      </c>
      <c r="H12" s="800">
        <v>699906.30999999994</v>
      </c>
      <c r="I12" s="800">
        <v>10097595.167199686</v>
      </c>
      <c r="J12" s="800">
        <v>22724000</v>
      </c>
      <c r="K12" s="800">
        <v>813290.28529999999</v>
      </c>
      <c r="L12" s="800">
        <v>1551221.3713029076</v>
      </c>
      <c r="M12" s="177">
        <f t="shared" ref="M12:M23" si="0">SUM(F12:L12)</f>
        <v>53051849.123802595</v>
      </c>
      <c r="N12" s="157"/>
      <c r="O12" s="159"/>
      <c r="P12" s="624"/>
      <c r="Q12" s="624"/>
      <c r="R12" s="624"/>
      <c r="S12" s="624"/>
      <c r="T12" s="624"/>
      <c r="U12" s="624"/>
      <c r="V12" s="624"/>
      <c r="W12" s="624"/>
      <c r="X12" s="624"/>
    </row>
    <row r="13" spans="1:24">
      <c r="B13" s="155"/>
      <c r="C13" s="157" t="s">
        <v>15</v>
      </c>
      <c r="D13" s="157" t="s">
        <v>27</v>
      </c>
      <c r="E13" s="157"/>
      <c r="F13" s="800">
        <v>14308518.789999999</v>
      </c>
      <c r="G13" s="800">
        <v>4034915.2</v>
      </c>
      <c r="H13" s="800">
        <v>699906.30999999994</v>
      </c>
      <c r="I13" s="800">
        <v>10097595.167199686</v>
      </c>
      <c r="J13" s="800">
        <v>22724000</v>
      </c>
      <c r="K13" s="800">
        <v>813290.28529999999</v>
      </c>
      <c r="L13" s="800">
        <v>1551221.3713029076</v>
      </c>
      <c r="M13" s="177">
        <f>SUM(F13:L13)</f>
        <v>54229447.123802595</v>
      </c>
      <c r="N13" s="157"/>
      <c r="O13" s="159"/>
      <c r="P13" s="624"/>
      <c r="Q13" s="624"/>
      <c r="R13" s="624"/>
      <c r="S13" s="624"/>
      <c r="T13" s="624"/>
      <c r="U13" s="624"/>
      <c r="V13" s="624"/>
      <c r="W13" s="624"/>
      <c r="X13" s="624"/>
    </row>
    <row r="14" spans="1:24">
      <c r="B14" s="155"/>
      <c r="C14" s="157" t="s">
        <v>16</v>
      </c>
      <c r="D14" s="157" t="s">
        <v>27</v>
      </c>
      <c r="E14" s="157"/>
      <c r="F14" s="800">
        <v>14308518.789999999</v>
      </c>
      <c r="G14" s="800">
        <v>4034915.2</v>
      </c>
      <c r="H14" s="800">
        <v>699906.30999999994</v>
      </c>
      <c r="I14" s="800">
        <v>10097595.167199686</v>
      </c>
      <c r="J14" s="800">
        <v>22724000</v>
      </c>
      <c r="K14" s="800">
        <v>813290.28529999999</v>
      </c>
      <c r="L14" s="800">
        <v>1551221.3713029076</v>
      </c>
      <c r="M14" s="177">
        <f t="shared" si="0"/>
        <v>54229447.123802595</v>
      </c>
      <c r="N14" s="157"/>
      <c r="O14" s="159"/>
      <c r="P14" s="624"/>
      <c r="Q14" s="624"/>
      <c r="R14" s="624"/>
      <c r="S14" s="624"/>
      <c r="T14" s="624"/>
      <c r="U14" s="624"/>
      <c r="V14" s="624"/>
      <c r="W14" s="624"/>
      <c r="X14" s="624"/>
    </row>
    <row r="15" spans="1:24">
      <c r="B15" s="155"/>
      <c r="C15" s="157" t="s">
        <v>17</v>
      </c>
      <c r="D15" s="157" t="s">
        <v>27</v>
      </c>
      <c r="E15" s="157"/>
      <c r="F15" s="800">
        <v>14308518.789999999</v>
      </c>
      <c r="G15" s="800">
        <v>4034915.2</v>
      </c>
      <c r="H15" s="800">
        <v>699906.30999999994</v>
      </c>
      <c r="I15" s="800">
        <v>10097595.167199686</v>
      </c>
      <c r="J15" s="800">
        <v>22724000</v>
      </c>
      <c r="K15" s="800">
        <v>813290.28529999999</v>
      </c>
      <c r="L15" s="800">
        <v>1551221.3713029076</v>
      </c>
      <c r="M15" s="177">
        <f t="shared" si="0"/>
        <v>54229447.123802595</v>
      </c>
      <c r="N15" s="157"/>
      <c r="O15" s="159"/>
      <c r="P15" s="624"/>
      <c r="Q15" s="624"/>
      <c r="R15" s="624"/>
      <c r="S15" s="624"/>
      <c r="T15" s="624"/>
      <c r="U15" s="624"/>
      <c r="V15" s="624"/>
      <c r="W15" s="624"/>
      <c r="X15" s="624"/>
    </row>
    <row r="16" spans="1:24">
      <c r="B16" s="155"/>
      <c r="C16" s="157" t="s">
        <v>18</v>
      </c>
      <c r="D16" s="157" t="s">
        <v>27</v>
      </c>
      <c r="E16" s="157"/>
      <c r="F16" s="800">
        <v>14308518.789999999</v>
      </c>
      <c r="G16" s="800">
        <v>4034915.2</v>
      </c>
      <c r="H16" s="800">
        <v>699906.30999999982</v>
      </c>
      <c r="I16" s="800">
        <v>10097595.167199686</v>
      </c>
      <c r="J16" s="800">
        <v>22724000</v>
      </c>
      <c r="K16" s="800">
        <v>813290.28529999999</v>
      </c>
      <c r="L16" s="800">
        <v>1551221.3713029076</v>
      </c>
      <c r="M16" s="177">
        <f t="shared" si="0"/>
        <v>54229447.123802595</v>
      </c>
      <c r="N16" s="157"/>
      <c r="O16" s="159"/>
      <c r="P16" s="624"/>
      <c r="Q16" s="624"/>
      <c r="R16" s="624"/>
      <c r="S16" s="624"/>
      <c r="T16" s="624"/>
      <c r="U16" s="624"/>
      <c r="V16" s="624"/>
      <c r="W16" s="624"/>
      <c r="X16" s="624"/>
    </row>
    <row r="17" spans="2:24">
      <c r="B17" s="155"/>
      <c r="C17" s="157" t="s">
        <v>19</v>
      </c>
      <c r="D17" s="157" t="s">
        <v>27</v>
      </c>
      <c r="E17" s="157"/>
      <c r="F17" s="800">
        <v>14308518.789999999</v>
      </c>
      <c r="G17" s="800">
        <v>4034915.2</v>
      </c>
      <c r="H17" s="800">
        <v>699906.30999999982</v>
      </c>
      <c r="I17" s="800">
        <v>10097595.167199686</v>
      </c>
      <c r="J17" s="800">
        <v>22724000</v>
      </c>
      <c r="K17" s="800">
        <v>813290.28529999999</v>
      </c>
      <c r="L17" s="800">
        <v>1551221.3713029076</v>
      </c>
      <c r="M17" s="177">
        <f t="shared" si="0"/>
        <v>54229447.123802595</v>
      </c>
      <c r="N17" s="157"/>
      <c r="O17" s="159"/>
      <c r="P17" s="624"/>
      <c r="Q17" s="624"/>
      <c r="R17" s="624"/>
      <c r="S17" s="624"/>
      <c r="T17" s="624"/>
      <c r="U17" s="624"/>
      <c r="V17" s="624"/>
      <c r="W17" s="624"/>
      <c r="X17" s="624"/>
    </row>
    <row r="18" spans="2:24">
      <c r="B18" s="155"/>
      <c r="C18" s="157" t="s">
        <v>20</v>
      </c>
      <c r="D18" s="157" t="s">
        <v>27</v>
      </c>
      <c r="E18" s="157"/>
      <c r="F18" s="800">
        <v>14308518.789999999</v>
      </c>
      <c r="G18" s="800">
        <v>4034915.2</v>
      </c>
      <c r="H18" s="800">
        <v>699906.30999999994</v>
      </c>
      <c r="I18" s="800">
        <v>10097595.167199686</v>
      </c>
      <c r="J18" s="800">
        <v>22724000</v>
      </c>
      <c r="K18" s="800">
        <v>813290.28529999999</v>
      </c>
      <c r="L18" s="800">
        <v>1551221.3713029076</v>
      </c>
      <c r="M18" s="177">
        <f t="shared" si="0"/>
        <v>54229447.123802595</v>
      </c>
      <c r="N18" s="157"/>
      <c r="O18" s="159"/>
      <c r="P18" s="624"/>
      <c r="Q18" s="624"/>
      <c r="R18" s="624"/>
      <c r="S18" s="624"/>
      <c r="T18" s="624"/>
      <c r="U18" s="624"/>
      <c r="V18" s="624"/>
      <c r="W18" s="624"/>
      <c r="X18" s="624"/>
    </row>
    <row r="19" spans="2:24">
      <c r="B19" s="155"/>
      <c r="C19" s="157" t="s">
        <v>21</v>
      </c>
      <c r="D19" s="157" t="s">
        <v>27</v>
      </c>
      <c r="E19" s="157"/>
      <c r="F19" s="800">
        <v>14308518.789999999</v>
      </c>
      <c r="G19" s="800">
        <v>4034915.2</v>
      </c>
      <c r="H19" s="800">
        <v>699906.30999999982</v>
      </c>
      <c r="I19" s="800">
        <v>10097595.167199686</v>
      </c>
      <c r="J19" s="800">
        <v>22724000</v>
      </c>
      <c r="K19" s="800">
        <v>813290.28529999999</v>
      </c>
      <c r="L19" s="800">
        <v>1551221.3713029076</v>
      </c>
      <c r="M19" s="177">
        <f t="shared" si="0"/>
        <v>54229447.123802595</v>
      </c>
      <c r="N19" s="157"/>
      <c r="O19" s="159"/>
      <c r="P19" s="746"/>
      <c r="Q19" s="746"/>
      <c r="R19" s="746"/>
      <c r="S19" s="746"/>
      <c r="T19" s="635"/>
      <c r="U19" s="635"/>
      <c r="V19" s="624"/>
      <c r="W19" s="624"/>
      <c r="X19" s="624"/>
    </row>
    <row r="20" spans="2:24">
      <c r="B20" s="155"/>
      <c r="C20" s="157" t="s">
        <v>22</v>
      </c>
      <c r="D20" s="157" t="s">
        <v>27</v>
      </c>
      <c r="E20" s="157"/>
      <c r="F20" s="800">
        <v>14308518.789999999</v>
      </c>
      <c r="G20" s="800">
        <v>4034915.2</v>
      </c>
      <c r="H20" s="800">
        <v>699906.30999999982</v>
      </c>
      <c r="I20" s="800">
        <v>10097595.167199686</v>
      </c>
      <c r="J20" s="800">
        <v>22724000</v>
      </c>
      <c r="K20" s="800">
        <v>813290.28529999999</v>
      </c>
      <c r="L20" s="800">
        <v>1551221.3713029076</v>
      </c>
      <c r="M20" s="177">
        <f t="shared" si="0"/>
        <v>54229447.123802595</v>
      </c>
      <c r="N20" s="157"/>
      <c r="O20" s="159"/>
      <c r="P20" s="635"/>
      <c r="Q20" s="635"/>
      <c r="R20" s="635"/>
      <c r="S20" s="635"/>
      <c r="T20" s="635"/>
      <c r="U20" s="635"/>
      <c r="V20" s="624"/>
      <c r="W20" s="624"/>
      <c r="X20" s="624"/>
    </row>
    <row r="21" spans="2:24">
      <c r="B21" s="155"/>
      <c r="C21" s="157" t="s">
        <v>23</v>
      </c>
      <c r="D21" s="157" t="s">
        <v>27</v>
      </c>
      <c r="E21" s="157"/>
      <c r="F21" s="800">
        <v>14308518.789999999</v>
      </c>
      <c r="G21" s="800">
        <v>4034915.2</v>
      </c>
      <c r="H21" s="800">
        <v>0</v>
      </c>
      <c r="I21" s="800">
        <v>10097595.167199686</v>
      </c>
      <c r="J21" s="800">
        <v>22724000</v>
      </c>
      <c r="K21" s="800">
        <v>813290.28529999999</v>
      </c>
      <c r="L21" s="800">
        <v>1551221.3713029076</v>
      </c>
      <c r="M21" s="177">
        <f t="shared" si="0"/>
        <v>53529540.813802592</v>
      </c>
      <c r="N21" s="157"/>
      <c r="O21" s="159"/>
      <c r="P21" s="635"/>
      <c r="Q21" s="635"/>
      <c r="R21" s="635"/>
      <c r="S21" s="635"/>
      <c r="T21" s="635"/>
      <c r="U21" s="635"/>
      <c r="V21" s="624"/>
      <c r="W21" s="624"/>
      <c r="X21" s="624"/>
    </row>
    <row r="22" spans="2:24">
      <c r="B22" s="155"/>
      <c r="C22" s="157" t="s">
        <v>24</v>
      </c>
      <c r="D22" s="157" t="s">
        <v>27</v>
      </c>
      <c r="E22" s="157"/>
      <c r="F22" s="800">
        <v>14308518.789999999</v>
      </c>
      <c r="G22" s="800">
        <v>4034915.2</v>
      </c>
      <c r="H22" s="800">
        <v>0</v>
      </c>
      <c r="I22" s="800">
        <v>10097595.167199686</v>
      </c>
      <c r="J22" s="800">
        <v>22724000</v>
      </c>
      <c r="K22" s="800">
        <v>813290.28529999999</v>
      </c>
      <c r="L22" s="800">
        <v>1551221.3713029076</v>
      </c>
      <c r="M22" s="177">
        <f t="shared" si="0"/>
        <v>53529540.813802592</v>
      </c>
      <c r="N22" s="157"/>
      <c r="O22" s="159"/>
      <c r="P22" s="635"/>
      <c r="Q22" s="635"/>
      <c r="R22" s="635"/>
      <c r="S22" s="635"/>
      <c r="T22" s="635"/>
      <c r="U22" s="635"/>
      <c r="V22" s="624"/>
      <c r="W22" s="624"/>
      <c r="X22" s="624"/>
    </row>
    <row r="23" spans="2:24">
      <c r="B23" s="155"/>
      <c r="C23" s="157" t="s">
        <v>13</v>
      </c>
      <c r="D23" s="157" t="s">
        <v>27</v>
      </c>
      <c r="E23" s="157"/>
      <c r="F23" s="813">
        <v>14308518.789999999</v>
      </c>
      <c r="G23" s="813">
        <v>4034915.2</v>
      </c>
      <c r="H23" s="813">
        <v>0</v>
      </c>
      <c r="I23" s="813">
        <v>10097595.167199686</v>
      </c>
      <c r="J23" s="813">
        <v>22724000</v>
      </c>
      <c r="K23" s="813">
        <v>813290.28529999999</v>
      </c>
      <c r="L23" s="813">
        <v>1551221.3713029076</v>
      </c>
      <c r="M23" s="150">
        <f t="shared" si="0"/>
        <v>53529540.813802592</v>
      </c>
      <c r="N23" s="157"/>
      <c r="O23" s="159"/>
      <c r="P23" s="635"/>
      <c r="Q23" s="635"/>
      <c r="R23" s="635"/>
      <c r="S23" s="635"/>
      <c r="T23" s="635"/>
      <c r="U23" s="635"/>
      <c r="V23" s="624"/>
      <c r="W23" s="624"/>
      <c r="X23" s="624"/>
    </row>
    <row r="24" spans="2:24">
      <c r="B24" s="155"/>
      <c r="C24" s="156" t="s">
        <v>28</v>
      </c>
      <c r="D24" s="157"/>
      <c r="E24" s="157"/>
      <c r="F24" s="158">
        <f>AVERAGE(F11:F23)</f>
        <v>14308518.789999994</v>
      </c>
      <c r="G24" s="388">
        <f t="shared" ref="G24:M24" si="1">AVERAGE(G11:G23)</f>
        <v>3853746.2769230776</v>
      </c>
      <c r="H24" s="158">
        <f t="shared" si="1"/>
        <v>538389.46923076909</v>
      </c>
      <c r="I24" s="158">
        <f t="shared" si="1"/>
        <v>10097595.167199686</v>
      </c>
      <c r="J24" s="158">
        <f>AVERAGE(J11:J23)</f>
        <v>22724000</v>
      </c>
      <c r="K24" s="388">
        <f>AVERAGE(K11:K23)</f>
        <v>813290.28529999976</v>
      </c>
      <c r="L24" s="158">
        <f t="shared" si="1"/>
        <v>1551221.3713029076</v>
      </c>
      <c r="M24" s="158">
        <f t="shared" si="1"/>
        <v>53886761.359956436</v>
      </c>
      <c r="N24" s="395">
        <f>+M24+M44</f>
        <v>30284340.300098434</v>
      </c>
      <c r="O24" s="159"/>
      <c r="P24" s="635"/>
      <c r="Q24" s="635"/>
      <c r="R24" s="635"/>
      <c r="S24" s="635"/>
      <c r="T24" s="635"/>
      <c r="U24" s="635"/>
      <c r="V24" s="624"/>
      <c r="W24" s="624"/>
      <c r="X24" s="624"/>
    </row>
    <row r="25" spans="2:24">
      <c r="B25" s="155"/>
      <c r="C25" s="156"/>
      <c r="D25" s="157"/>
      <c r="E25" s="157"/>
      <c r="F25" s="158"/>
      <c r="G25" s="158"/>
      <c r="H25" s="158"/>
      <c r="I25" s="158"/>
      <c r="J25" s="158"/>
      <c r="K25" s="388"/>
      <c r="L25" s="158"/>
      <c r="M25" s="157"/>
      <c r="N25" s="157"/>
      <c r="O25" s="159"/>
      <c r="P25" s="635"/>
      <c r="Q25" s="635"/>
      <c r="R25" s="635"/>
      <c r="S25" s="635"/>
      <c r="T25" s="635"/>
      <c r="U25" s="635"/>
      <c r="V25" s="624"/>
      <c r="W25" s="624"/>
      <c r="X25" s="624"/>
    </row>
    <row r="26" spans="2:24" ht="15" thickBot="1">
      <c r="B26" s="164"/>
      <c r="C26" s="165"/>
      <c r="D26" s="165"/>
      <c r="E26" s="165"/>
      <c r="F26" s="166"/>
      <c r="G26" s="166"/>
      <c r="H26" s="166"/>
      <c r="I26" s="166"/>
      <c r="J26" s="166"/>
      <c r="K26" s="391"/>
      <c r="L26" s="166"/>
      <c r="M26" s="165"/>
      <c r="N26" s="165"/>
      <c r="O26" s="167"/>
      <c r="P26" s="635"/>
      <c r="Q26" s="635"/>
      <c r="R26" s="635"/>
      <c r="S26" s="635"/>
      <c r="T26" s="635"/>
      <c r="U26" s="635"/>
      <c r="V26" s="624"/>
      <c r="W26" s="624"/>
      <c r="X26" s="624"/>
    </row>
    <row r="27" spans="2:24" ht="15" thickBot="1">
      <c r="P27" s="635"/>
      <c r="Q27" s="635"/>
      <c r="R27" s="635"/>
      <c r="S27" s="635"/>
      <c r="T27" s="635"/>
      <c r="U27" s="635"/>
      <c r="V27" s="624"/>
      <c r="W27" s="624"/>
      <c r="X27" s="624"/>
    </row>
    <row r="28" spans="2:24">
      <c r="B28" s="151" t="s">
        <v>610</v>
      </c>
      <c r="C28" s="152"/>
      <c r="D28" s="152"/>
      <c r="E28" s="152"/>
      <c r="F28" s="153"/>
      <c r="G28" s="153"/>
      <c r="H28" s="153"/>
      <c r="I28" s="153"/>
      <c r="J28" s="153"/>
      <c r="K28" s="385"/>
      <c r="L28" s="153"/>
      <c r="M28" s="152"/>
      <c r="N28" s="152"/>
      <c r="O28" s="154"/>
      <c r="P28" s="635"/>
      <c r="Q28" s="635"/>
      <c r="R28" s="635"/>
      <c r="S28" s="635"/>
      <c r="T28" s="635"/>
      <c r="U28" s="635"/>
      <c r="V28" s="624"/>
      <c r="W28" s="624"/>
      <c r="X28" s="624"/>
    </row>
    <row r="29" spans="2:24">
      <c r="B29" s="155"/>
      <c r="C29" s="156" t="s">
        <v>76</v>
      </c>
      <c r="D29" s="157"/>
      <c r="E29" s="157"/>
      <c r="F29" s="158"/>
      <c r="G29" s="158"/>
      <c r="H29" s="158"/>
      <c r="I29" s="158"/>
      <c r="J29" s="158"/>
      <c r="K29" s="388"/>
      <c r="L29" s="158"/>
      <c r="M29" s="157"/>
      <c r="N29" s="157"/>
      <c r="O29" s="159"/>
      <c r="P29" s="635"/>
      <c r="Q29" s="635"/>
      <c r="R29" s="635"/>
      <c r="S29" s="635"/>
      <c r="T29" s="635"/>
      <c r="U29" s="635"/>
      <c r="V29" s="624"/>
      <c r="W29" s="624"/>
      <c r="X29" s="624"/>
    </row>
    <row r="30" spans="2:24" s="106" customFormat="1" ht="33" customHeight="1">
      <c r="B30" s="134"/>
      <c r="C30" s="135" t="s">
        <v>10</v>
      </c>
      <c r="D30" s="135" t="s">
        <v>11</v>
      </c>
      <c r="E30" s="135"/>
      <c r="F30" s="136" t="str">
        <f t="shared" ref="F30:L30" si="2">+F10</f>
        <v>Generation step up Transformers</v>
      </c>
      <c r="G30" s="136" t="str">
        <f t="shared" si="2"/>
        <v>Generator interconnection Facilities</v>
      </c>
      <c r="H30" s="136" t="str">
        <f t="shared" si="2"/>
        <v>Noe Substation and 115kV Transmission Lines</v>
      </c>
      <c r="I30" s="136" t="str">
        <f t="shared" si="2"/>
        <v>Radial Lines</v>
      </c>
      <c r="J30" s="136" t="str">
        <f t="shared" si="2"/>
        <v>High Lonesome Mesa</v>
      </c>
      <c r="K30" s="405" t="str">
        <f>+K10</f>
        <v>Dual Use</v>
      </c>
      <c r="L30" s="136" t="str">
        <f t="shared" si="2"/>
        <v>Underbuild</v>
      </c>
      <c r="M30" s="136" t="s">
        <v>55</v>
      </c>
      <c r="N30" s="214"/>
      <c r="O30" s="137"/>
      <c r="P30" s="747"/>
      <c r="Q30" s="747"/>
      <c r="R30" s="747"/>
      <c r="S30" s="747"/>
      <c r="T30" s="747"/>
      <c r="U30" s="747"/>
      <c r="V30" s="748"/>
      <c r="W30" s="748"/>
      <c r="X30" s="748"/>
    </row>
    <row r="31" spans="2:24">
      <c r="B31" s="155"/>
      <c r="C31" s="157" t="s">
        <v>13</v>
      </c>
      <c r="D31" s="157" t="s">
        <v>27</v>
      </c>
      <c r="E31" s="157"/>
      <c r="F31" s="651">
        <v>-7416784.4900000002</v>
      </c>
      <c r="G31" s="800">
        <v>-572895.745</v>
      </c>
      <c r="H31" s="800">
        <v>-617541.07000000007</v>
      </c>
      <c r="I31" s="800">
        <v>-7230980.171667411</v>
      </c>
      <c r="J31" s="800">
        <v>-5530333.333333334</v>
      </c>
      <c r="K31" s="800">
        <v>-445547</v>
      </c>
      <c r="L31" s="800">
        <v>-944517.55965438916</v>
      </c>
      <c r="M31" s="177">
        <f t="shared" ref="M31:M43" si="3">SUM(F31:L31)</f>
        <v>-22758599.369655136</v>
      </c>
      <c r="N31" s="662"/>
      <c r="O31" s="159"/>
      <c r="P31" s="635"/>
      <c r="Q31" s="635"/>
      <c r="R31" s="635"/>
      <c r="S31" s="635"/>
      <c r="T31" s="635"/>
      <c r="U31" s="635"/>
      <c r="V31" s="624"/>
      <c r="W31" s="624"/>
      <c r="X31" s="624"/>
    </row>
    <row r="32" spans="2:24">
      <c r="B32" s="155"/>
      <c r="C32" s="157" t="s">
        <v>14</v>
      </c>
      <c r="D32" s="157" t="s">
        <v>27</v>
      </c>
      <c r="E32" s="157"/>
      <c r="F32" s="800">
        <v>-7439350.6699999999</v>
      </c>
      <c r="G32" s="800">
        <v>-576400.83000000007</v>
      </c>
      <c r="H32" s="800">
        <v>-618634.46000000008</v>
      </c>
      <c r="I32" s="800">
        <v>-7246771.925839683</v>
      </c>
      <c r="J32" s="800">
        <v>-5648000</v>
      </c>
      <c r="K32" s="800">
        <v>-447085.89</v>
      </c>
      <c r="L32" s="800">
        <v>-946814.55965438916</v>
      </c>
      <c r="M32" s="177">
        <f t="shared" si="3"/>
        <v>-22923058.335494075</v>
      </c>
      <c r="N32" s="662"/>
      <c r="O32" s="159"/>
      <c r="P32" s="635"/>
      <c r="Q32" s="635"/>
      <c r="R32" s="635"/>
      <c r="S32" s="635"/>
      <c r="T32" s="635"/>
      <c r="U32" s="635"/>
      <c r="V32" s="624"/>
      <c r="W32" s="624"/>
      <c r="X32" s="624"/>
    </row>
    <row r="33" spans="2:24">
      <c r="B33" s="155"/>
      <c r="C33" s="157" t="s">
        <v>15</v>
      </c>
      <c r="D33" s="157" t="s">
        <v>27</v>
      </c>
      <c r="E33" s="157"/>
      <c r="F33" s="800">
        <v>-7461916.8099999987</v>
      </c>
      <c r="G33" s="800">
        <v>-579741.54499999993</v>
      </c>
      <c r="H33" s="800">
        <v>-619727.87999999989</v>
      </c>
      <c r="I33" s="800">
        <v>-7262563.6800119551</v>
      </c>
      <c r="J33" s="800">
        <v>-5765666.666666667</v>
      </c>
      <c r="K33" s="800">
        <v>-448624.78</v>
      </c>
      <c r="L33" s="800">
        <v>-949111.55965438916</v>
      </c>
      <c r="M33" s="177">
        <f t="shared" si="3"/>
        <v>-23087352.921333011</v>
      </c>
      <c r="N33" s="662"/>
      <c r="O33" s="159"/>
      <c r="P33" s="635"/>
      <c r="Q33" s="635"/>
      <c r="R33" s="635"/>
      <c r="S33" s="635"/>
      <c r="T33" s="635"/>
      <c r="U33" s="635"/>
      <c r="V33" s="624"/>
      <c r="W33" s="624"/>
      <c r="X33" s="624"/>
    </row>
    <row r="34" spans="2:24">
      <c r="B34" s="155"/>
      <c r="C34" s="157" t="s">
        <v>16</v>
      </c>
      <c r="D34" s="157" t="s">
        <v>27</v>
      </c>
      <c r="E34" s="157"/>
      <c r="F34" s="800">
        <v>-7484483</v>
      </c>
      <c r="G34" s="800">
        <v>-580697.88</v>
      </c>
      <c r="H34" s="800">
        <v>-620821.3600000001</v>
      </c>
      <c r="I34" s="800">
        <v>-7278355.4341842271</v>
      </c>
      <c r="J34" s="800">
        <v>-5883333.333333334</v>
      </c>
      <c r="K34" s="800">
        <v>-450163.67000000004</v>
      </c>
      <c r="L34" s="800">
        <v>-951408.55965438916</v>
      </c>
      <c r="M34" s="177">
        <f t="shared" si="3"/>
        <v>-23249263.237171952</v>
      </c>
      <c r="N34" s="662"/>
      <c r="O34" s="159"/>
      <c r="P34" s="635"/>
      <c r="Q34" s="635"/>
      <c r="R34" s="635"/>
      <c r="S34" s="635"/>
      <c r="T34" s="635"/>
      <c r="U34" s="635"/>
      <c r="V34" s="624"/>
      <c r="W34" s="624"/>
      <c r="X34" s="624"/>
    </row>
    <row r="35" spans="2:24">
      <c r="B35" s="155"/>
      <c r="C35" s="157" t="s">
        <v>17</v>
      </c>
      <c r="D35" s="157" t="s">
        <v>27</v>
      </c>
      <c r="E35" s="157"/>
      <c r="F35" s="800">
        <v>-7507085.8099999987</v>
      </c>
      <c r="G35" s="800">
        <v>-583813.40500000003</v>
      </c>
      <c r="H35" s="800">
        <v>-621914.82999999996</v>
      </c>
      <c r="I35" s="800">
        <v>-7294147.1883564992</v>
      </c>
      <c r="J35" s="800">
        <v>-6001000</v>
      </c>
      <c r="K35" s="800">
        <v>-451702.56000000006</v>
      </c>
      <c r="L35" s="800">
        <v>-953705.55965438916</v>
      </c>
      <c r="M35" s="177">
        <f t="shared" si="3"/>
        <v>-23413369.353010885</v>
      </c>
      <c r="N35" s="662"/>
      <c r="O35" s="159"/>
      <c r="P35" s="635"/>
      <c r="Q35" s="635"/>
      <c r="R35" s="635"/>
      <c r="S35" s="635"/>
      <c r="T35" s="635"/>
      <c r="U35" s="635"/>
      <c r="V35" s="624"/>
      <c r="W35" s="624"/>
      <c r="X35" s="624"/>
    </row>
    <row r="36" spans="2:24">
      <c r="B36" s="155"/>
      <c r="C36" s="157" t="s">
        <v>18</v>
      </c>
      <c r="D36" s="157" t="s">
        <v>27</v>
      </c>
      <c r="E36" s="157"/>
      <c r="F36" s="800">
        <v>-7529688.5899999999</v>
      </c>
      <c r="G36" s="800">
        <v>-587224.31999999995</v>
      </c>
      <c r="H36" s="800">
        <v>-623008.34000000008</v>
      </c>
      <c r="I36" s="800">
        <v>-7309938.9425287712</v>
      </c>
      <c r="J36" s="800">
        <v>-6118666.666666667</v>
      </c>
      <c r="K36" s="800">
        <v>-453241.45000000007</v>
      </c>
      <c r="L36" s="800">
        <v>-956002.55965438916</v>
      </c>
      <c r="M36" s="177">
        <f t="shared" si="3"/>
        <v>-23577770.868849825</v>
      </c>
      <c r="N36" s="662"/>
      <c r="O36" s="159"/>
      <c r="P36" s="635"/>
      <c r="Q36" s="635"/>
      <c r="R36" s="635"/>
      <c r="S36" s="635"/>
      <c r="T36" s="635"/>
      <c r="U36" s="635"/>
      <c r="V36" s="624"/>
      <c r="W36" s="624"/>
      <c r="X36" s="624"/>
    </row>
    <row r="37" spans="2:24">
      <c r="B37" s="155"/>
      <c r="C37" s="157" t="s">
        <v>19</v>
      </c>
      <c r="D37" s="157" t="s">
        <v>27</v>
      </c>
      <c r="E37" s="157"/>
      <c r="F37" s="800">
        <v>-7552291.419999999</v>
      </c>
      <c r="G37" s="800">
        <v>-588148.90500000003</v>
      </c>
      <c r="H37" s="800">
        <v>-624101.91999999993</v>
      </c>
      <c r="I37" s="800">
        <v>-7325730.6967010433</v>
      </c>
      <c r="J37" s="800">
        <v>-6236333.333333333</v>
      </c>
      <c r="K37" s="800">
        <v>-454780.34000000008</v>
      </c>
      <c r="L37" s="800">
        <v>-958299.55965438916</v>
      </c>
      <c r="M37" s="177">
        <f t="shared" si="3"/>
        <v>-23739686.174688764</v>
      </c>
      <c r="N37" s="662"/>
      <c r="O37" s="159"/>
      <c r="P37" s="746"/>
      <c r="Q37" s="635"/>
      <c r="R37" s="746"/>
      <c r="S37" s="746"/>
      <c r="T37" s="635"/>
      <c r="U37" s="635"/>
      <c r="V37" s="624"/>
      <c r="W37" s="624"/>
      <c r="X37" s="624"/>
    </row>
    <row r="38" spans="2:24">
      <c r="B38" s="155"/>
      <c r="C38" s="157" t="s">
        <v>20</v>
      </c>
      <c r="D38" s="157" t="s">
        <v>27</v>
      </c>
      <c r="E38" s="157"/>
      <c r="F38" s="800">
        <v>-7574894.2400000002</v>
      </c>
      <c r="G38" s="800">
        <v>-589806.60000000009</v>
      </c>
      <c r="H38" s="800">
        <v>-625195.4800000001</v>
      </c>
      <c r="I38" s="800">
        <v>-7341522.4508733153</v>
      </c>
      <c r="J38" s="800">
        <v>-6354000</v>
      </c>
      <c r="K38" s="800">
        <v>-456319.2300000001</v>
      </c>
      <c r="L38" s="800">
        <v>-960596.55965438916</v>
      </c>
      <c r="M38" s="177">
        <f t="shared" si="3"/>
        <v>-23902334.560527705</v>
      </c>
      <c r="N38" s="662"/>
      <c r="O38" s="159"/>
      <c r="P38" s="635"/>
      <c r="Q38" s="635"/>
      <c r="R38" s="635"/>
      <c r="S38" s="635"/>
      <c r="T38" s="635"/>
      <c r="U38" s="635"/>
      <c r="V38" s="624"/>
      <c r="W38" s="624"/>
      <c r="X38" s="624"/>
    </row>
    <row r="39" spans="2:24">
      <c r="B39" s="155"/>
      <c r="C39" s="157" t="s">
        <v>21</v>
      </c>
      <c r="D39" s="157" t="s">
        <v>27</v>
      </c>
      <c r="E39" s="157"/>
      <c r="F39" s="800">
        <v>-7597497.040000001</v>
      </c>
      <c r="G39" s="800">
        <v>-589898.55499999993</v>
      </c>
      <c r="H39" s="800">
        <v>-626289.07999999996</v>
      </c>
      <c r="I39" s="800">
        <v>-7357314.2050455874</v>
      </c>
      <c r="J39" s="800">
        <v>-6471666.666666667</v>
      </c>
      <c r="K39" s="800">
        <v>-457858.12000000011</v>
      </c>
      <c r="L39" s="800">
        <v>-962893.55965438916</v>
      </c>
      <c r="M39" s="177">
        <f t="shared" si="3"/>
        <v>-24063417.226366647</v>
      </c>
      <c r="N39" s="662"/>
      <c r="O39" s="159"/>
      <c r="P39" s="635"/>
      <c r="Q39" s="635"/>
      <c r="R39" s="635"/>
      <c r="S39" s="635"/>
      <c r="T39" s="635"/>
      <c r="U39" s="635"/>
      <c r="V39" s="624"/>
      <c r="W39" s="624"/>
      <c r="X39" s="624"/>
    </row>
    <row r="40" spans="2:24">
      <c r="B40" s="155"/>
      <c r="C40" s="157" t="s">
        <v>22</v>
      </c>
      <c r="D40" s="157" t="s">
        <v>27</v>
      </c>
      <c r="E40" s="157"/>
      <c r="F40" s="800">
        <v>-7620099.8500000015</v>
      </c>
      <c r="G40" s="800">
        <v>-593429.37999999989</v>
      </c>
      <c r="H40" s="800">
        <v>-627382.69000000006</v>
      </c>
      <c r="I40" s="800">
        <v>-7373105.9592178594</v>
      </c>
      <c r="J40" s="800">
        <v>-6589333.333333333</v>
      </c>
      <c r="K40" s="800">
        <v>-459397.01000000013</v>
      </c>
      <c r="L40" s="800">
        <v>-965190.55965438916</v>
      </c>
      <c r="M40" s="177">
        <f t="shared" si="3"/>
        <v>-24227938.782205585</v>
      </c>
      <c r="N40" s="662"/>
      <c r="O40" s="159"/>
      <c r="P40" s="635"/>
      <c r="Q40" s="635"/>
      <c r="R40" s="635"/>
      <c r="S40" s="635"/>
      <c r="T40" s="635"/>
      <c r="U40" s="635"/>
      <c r="V40" s="624"/>
      <c r="W40" s="624"/>
      <c r="X40" s="624"/>
    </row>
    <row r="41" spans="2:24">
      <c r="B41" s="155"/>
      <c r="C41" s="157" t="s">
        <v>23</v>
      </c>
      <c r="D41" s="157" t="s">
        <v>27</v>
      </c>
      <c r="E41" s="157"/>
      <c r="F41" s="800">
        <v>-7650484.8399999999</v>
      </c>
      <c r="G41" s="800">
        <v>-597727.99</v>
      </c>
      <c r="H41" s="800">
        <v>0</v>
      </c>
      <c r="I41" s="800">
        <v>-7397985.7072313102</v>
      </c>
      <c r="J41" s="800">
        <v>-6707000</v>
      </c>
      <c r="K41" s="800">
        <v>-461061.78479700763</v>
      </c>
      <c r="L41" s="800">
        <v>-968596.28388287872</v>
      </c>
      <c r="M41" s="177">
        <f t="shared" si="3"/>
        <v>-23782856.605911199</v>
      </c>
      <c r="N41" s="662"/>
      <c r="O41" s="159"/>
      <c r="P41" s="635"/>
      <c r="Q41" s="635"/>
      <c r="R41" s="635"/>
      <c r="S41" s="635"/>
      <c r="T41" s="635"/>
      <c r="U41" s="635"/>
      <c r="V41" s="624"/>
      <c r="W41" s="624"/>
      <c r="X41" s="624"/>
    </row>
    <row r="42" spans="2:24">
      <c r="B42" s="155"/>
      <c r="C42" s="157" t="s">
        <v>24</v>
      </c>
      <c r="D42" s="157" t="s">
        <v>27</v>
      </c>
      <c r="E42" s="157"/>
      <c r="F42" s="800">
        <v>-7680869.7900000019</v>
      </c>
      <c r="G42" s="800">
        <v>-600560.17000000016</v>
      </c>
      <c r="H42" s="800">
        <v>0</v>
      </c>
      <c r="I42" s="800">
        <v>-7422865.455244761</v>
      </c>
      <c r="J42" s="800">
        <v>-6824666.666666666</v>
      </c>
      <c r="K42" s="800">
        <v>-462726.55959401513</v>
      </c>
      <c r="L42" s="800">
        <v>-972002.00811136828</v>
      </c>
      <c r="M42" s="177">
        <f t="shared" si="3"/>
        <v>-23963690.649616815</v>
      </c>
      <c r="N42" s="662"/>
      <c r="O42" s="159"/>
      <c r="P42" s="635"/>
      <c r="Q42" s="635"/>
      <c r="R42" s="635"/>
      <c r="S42" s="635"/>
      <c r="T42" s="635"/>
      <c r="U42" s="635"/>
      <c r="V42" s="624"/>
      <c r="W42" s="624"/>
      <c r="X42" s="624"/>
    </row>
    <row r="43" spans="2:24">
      <c r="B43" s="155"/>
      <c r="C43" s="157" t="s">
        <v>13</v>
      </c>
      <c r="D43" s="157" t="s">
        <v>27</v>
      </c>
      <c r="E43" s="157"/>
      <c r="F43" s="813">
        <v>-7711254.75</v>
      </c>
      <c r="G43" s="813">
        <v>-601003.34000000008</v>
      </c>
      <c r="H43" s="813">
        <v>0</v>
      </c>
      <c r="I43" s="813">
        <v>-7447745.2032582117</v>
      </c>
      <c r="J43" s="813">
        <v>-6942333.333333333</v>
      </c>
      <c r="K43" s="813">
        <v>-464391.33439102262</v>
      </c>
      <c r="L43" s="813">
        <v>-975407.73233985784</v>
      </c>
      <c r="M43" s="150">
        <f t="shared" si="3"/>
        <v>-24142135.693322428</v>
      </c>
      <c r="N43" s="662"/>
      <c r="O43" s="159"/>
      <c r="P43" s="635"/>
      <c r="Q43" s="635"/>
      <c r="R43" s="635"/>
      <c r="S43" s="635"/>
      <c r="T43" s="635"/>
      <c r="U43" s="635"/>
      <c r="V43" s="624"/>
      <c r="W43" s="624"/>
      <c r="X43" s="624"/>
    </row>
    <row r="44" spans="2:24">
      <c r="B44" s="155"/>
      <c r="C44" s="156" t="s">
        <v>77</v>
      </c>
      <c r="D44" s="157"/>
      <c r="E44" s="157"/>
      <c r="F44" s="388">
        <f>AVERAGE(F31:F43)</f>
        <v>-7555900.1000000024</v>
      </c>
      <c r="G44" s="388">
        <f t="shared" ref="G44:M44" si="4">AVERAGE(G31:G43)</f>
        <v>-587796.0511538462</v>
      </c>
      <c r="H44" s="158">
        <f t="shared" si="4"/>
        <v>-478816.70076923084</v>
      </c>
      <c r="I44" s="158">
        <f t="shared" si="4"/>
        <v>-7329925.1553969728</v>
      </c>
      <c r="J44" s="158">
        <f t="shared" si="4"/>
        <v>-6236333.333333334</v>
      </c>
      <c r="K44" s="388">
        <f t="shared" si="4"/>
        <v>-454838.44067554199</v>
      </c>
      <c r="L44" s="158">
        <f t="shared" si="4"/>
        <v>-958811.2785290766</v>
      </c>
      <c r="M44" s="158">
        <f t="shared" si="4"/>
        <v>-23602421.059858002</v>
      </c>
      <c r="N44" s="662"/>
      <c r="O44" s="159"/>
      <c r="P44" s="583"/>
      <c r="Q44" s="635"/>
      <c r="R44" s="516"/>
      <c r="S44" s="516"/>
      <c r="T44" s="516"/>
      <c r="U44" s="516"/>
      <c r="V44" s="516"/>
      <c r="W44" s="516"/>
      <c r="X44" s="516"/>
    </row>
    <row r="45" spans="2:24" ht="15" thickBot="1">
      <c r="B45" s="164"/>
      <c r="C45" s="165"/>
      <c r="D45" s="165"/>
      <c r="E45" s="165"/>
      <c r="F45" s="166"/>
      <c r="G45" s="166"/>
      <c r="H45" s="166"/>
      <c r="I45" s="166"/>
      <c r="J45" s="166"/>
      <c r="K45" s="391"/>
      <c r="L45" s="166"/>
      <c r="M45" s="165"/>
      <c r="N45" s="165"/>
      <c r="O45" s="167"/>
      <c r="P45" s="583"/>
      <c r="Q45" s="583"/>
      <c r="R45" s="583"/>
      <c r="S45" s="583"/>
      <c r="T45" s="583"/>
      <c r="U45" s="583"/>
    </row>
    <row r="46" spans="2:24" ht="15" thickBot="1">
      <c r="P46" s="583"/>
      <c r="Q46" s="583"/>
      <c r="R46" s="583"/>
      <c r="S46" s="583"/>
      <c r="T46" s="583"/>
      <c r="U46" s="583"/>
    </row>
    <row r="47" spans="2:24" s="172" customFormat="1">
      <c r="B47" s="182" t="s">
        <v>612</v>
      </c>
      <c r="C47" s="113"/>
      <c r="D47" s="113"/>
      <c r="E47" s="113"/>
      <c r="F47" s="138"/>
      <c r="G47" s="138"/>
      <c r="H47" s="138"/>
      <c r="I47" s="138"/>
      <c r="J47" s="138"/>
      <c r="K47" s="407"/>
      <c r="L47" s="138"/>
      <c r="M47" s="113"/>
      <c r="N47" s="113"/>
      <c r="O47" s="183"/>
      <c r="P47" s="583"/>
      <c r="Q47" s="583"/>
      <c r="R47" s="583"/>
      <c r="S47" s="583"/>
      <c r="T47" s="583"/>
      <c r="U47" s="583"/>
    </row>
    <row r="48" spans="2:24" s="172" customFormat="1">
      <c r="B48" s="54"/>
      <c r="C48" s="100" t="s">
        <v>582</v>
      </c>
      <c r="D48" s="36"/>
      <c r="E48" s="36"/>
      <c r="F48" s="177"/>
      <c r="G48" s="177"/>
      <c r="H48" s="177"/>
      <c r="I48" s="177"/>
      <c r="J48" s="177"/>
      <c r="K48" s="401"/>
      <c r="L48" s="177"/>
      <c r="M48" s="36"/>
      <c r="N48" s="36"/>
      <c r="O48" s="131"/>
      <c r="P48" s="583"/>
      <c r="Q48" s="583"/>
      <c r="R48" s="583"/>
      <c r="S48" s="583"/>
      <c r="T48" s="583"/>
      <c r="U48" s="583"/>
    </row>
    <row r="49" spans="2:21" s="106" customFormat="1" ht="33" customHeight="1">
      <c r="B49" s="134"/>
      <c r="C49" s="135" t="s">
        <v>10</v>
      </c>
      <c r="D49" s="135" t="s">
        <v>11</v>
      </c>
      <c r="E49" s="135"/>
      <c r="F49" s="136" t="str">
        <f>+F30</f>
        <v>Generation step up Transformers</v>
      </c>
      <c r="G49" s="136" t="str">
        <f>+G30</f>
        <v>Generator interconnection Facilities</v>
      </c>
      <c r="H49" s="136" t="str">
        <f>+H10</f>
        <v>Noe Substation and 115kV Transmission Lines</v>
      </c>
      <c r="I49" s="136" t="str">
        <f>+I10</f>
        <v>Radial Lines</v>
      </c>
      <c r="J49" s="136" t="str">
        <f>+J10</f>
        <v>High Lonesome Mesa</v>
      </c>
      <c r="K49" s="405" t="str">
        <f>+K10</f>
        <v>Dual Use</v>
      </c>
      <c r="L49" s="136" t="str">
        <f>+L10</f>
        <v>Underbuild</v>
      </c>
      <c r="M49" s="136" t="s">
        <v>55</v>
      </c>
      <c r="N49" s="214"/>
      <c r="O49" s="137"/>
      <c r="P49" s="587"/>
      <c r="Q49" s="587"/>
      <c r="R49" s="587"/>
      <c r="S49" s="587"/>
      <c r="T49" s="587"/>
      <c r="U49" s="587"/>
    </row>
    <row r="50" spans="2:21" s="172" customFormat="1">
      <c r="B50" s="54"/>
      <c r="C50" s="185" t="s">
        <v>1537</v>
      </c>
      <c r="D50" s="157" t="s">
        <v>27</v>
      </c>
      <c r="E50" s="36"/>
      <c r="F50" s="670">
        <f>+'Schedule 2 - ADIT'!$D$32*('Schedule 13 Direct Assignment'!F11+'Schedule 13 Direct Assignment'!F31)/('Schedule 1 - Plant'!$F$7-'Schedule 1 - Plant'!$F$99)</f>
        <v>-1576002.196715276</v>
      </c>
      <c r="G50" s="670">
        <f>+'Schedule 2 - ADIT'!$D$32*('Schedule 13 Direct Assignment'!G11+'Schedule 13 Direct Assignment'!G31)/('Schedule 1 - Plant'!$F$7-'Schedule 1 - Plant'!$F$99)</f>
        <v>-522401.62992115179</v>
      </c>
      <c r="H50" s="670">
        <f>+'Schedule 2 - ADIT'!$D$32*('Schedule 13 Direct Assignment'!H11+'Schedule 13 Direct Assignment'!H31)/('Schedule 1 - Plant'!$F$7-'Schedule 1 - Plant'!$F$99)</f>
        <v>-18835.287827765031</v>
      </c>
      <c r="I50" s="670">
        <f>+'Schedule 2 - ADIT'!$D$32*('Schedule 13 Direct Assignment'!I11+'Schedule 13 Direct Assignment'!I31)/('Schedule 1 - Plant'!$F$7-'Schedule 1 - Plant'!$F$99)</f>
        <v>-655537.68230673345</v>
      </c>
      <c r="J50" s="670">
        <f>+'Schedule 2 - ADIT'!$D$32*('Schedule 13 Direct Assignment'!J11+'Schedule 13 Direct Assignment'!J31)/('Schedule 1 - Plant'!$F$7-'Schedule 1 - Plant'!$F$99)</f>
        <v>-3931848.6837568432</v>
      </c>
      <c r="K50" s="670">
        <f>+'Schedule 2 - ADIT'!$D$32*('Schedule 13 Direct Assignment'!K11+'Schedule 13 Direct Assignment'!K31)/('Schedule 1 - Plant'!$F$7-'Schedule 1 - Plant'!$F$99)</f>
        <v>-84095.555665878273</v>
      </c>
      <c r="L50" s="670">
        <f>+'Schedule 2 - ADIT'!$D$32*('Schedule 13 Direct Assignment'!L11+'Schedule 13 Direct Assignment'!L31)/('Schedule 1 - Plant'!$F$7-'Schedule 1 - Plant'!$F$99)</f>
        <v>-138741.06259633318</v>
      </c>
      <c r="M50" s="177">
        <f>SUM(F50:L50)</f>
        <v>-6927462.0987899816</v>
      </c>
      <c r="N50" s="184" t="s">
        <v>837</v>
      </c>
      <c r="O50" s="131"/>
      <c r="P50" s="583"/>
      <c r="Q50" s="583"/>
      <c r="R50" s="583"/>
      <c r="S50" s="583"/>
      <c r="T50" s="583"/>
      <c r="U50" s="583"/>
    </row>
    <row r="51" spans="2:21" s="172" customFormat="1">
      <c r="B51" s="54"/>
      <c r="C51" s="185" t="s">
        <v>1584</v>
      </c>
      <c r="D51" s="157" t="s">
        <v>27</v>
      </c>
      <c r="E51" s="36"/>
      <c r="F51" s="150">
        <f>'Schedule 2 - ADIT'!$E$32*(+F23+F43)/('Schedule 1 - Plant'!$F19-'Schedule 1 - Plant'!$F111)</f>
        <v>-1587287.7890084377</v>
      </c>
      <c r="G51" s="150">
        <f>'Schedule 2 - ADIT'!$E$32*(+G23+G43)/('Schedule 1 - Plant'!$F19-'Schedule 1 - Plant'!$F111)</f>
        <v>-826191.93818249123</v>
      </c>
      <c r="H51" s="150">
        <f>'Schedule 2 - ADIT'!$E$32*(+H23+H43)/('Schedule 1 - Plant'!$F19-'Schedule 1 - Plant'!$F111)</f>
        <v>0</v>
      </c>
      <c r="I51" s="150">
        <f>'Schedule 2 - ADIT'!$E$32*(+I23+I43)/('Schedule 1 - Plant'!$F19-'Schedule 1 - Plant'!$F111)</f>
        <v>-637548.30259435123</v>
      </c>
      <c r="J51" s="150">
        <f>'Schedule 2 - ADIT'!$E$32*(+J23+J43)/('Schedule 1 - Plant'!$F19-'Schedule 1 - Plant'!$F111)</f>
        <v>-3797035.6557385111</v>
      </c>
      <c r="K51" s="384">
        <f>'Schedule 2 - ADIT'!$E$32*(+K23+K43)/('Schedule 1 - Plant'!$F19-'Schedule 1 - Plant'!$F111)</f>
        <v>-83944.350418279486</v>
      </c>
      <c r="L51" s="150">
        <f>'Schedule 2 - ADIT'!$E$32*(+L23+L43)/('Schedule 1 - Plant'!$F19-'Schedule 1 - Plant'!$F111)</f>
        <v>-138539.54492786407</v>
      </c>
      <c r="M51" s="150">
        <f>SUM(F51:L51)</f>
        <v>-7070547.5808699355</v>
      </c>
      <c r="N51" s="184" t="s">
        <v>837</v>
      </c>
      <c r="O51" s="131"/>
      <c r="P51" s="583"/>
      <c r="Q51" s="583"/>
      <c r="R51" s="583"/>
      <c r="S51" s="583"/>
      <c r="T51" s="583"/>
      <c r="U51" s="583"/>
    </row>
    <row r="52" spans="2:21" s="172" customFormat="1">
      <c r="B52" s="54"/>
      <c r="C52" s="100" t="s">
        <v>587</v>
      </c>
      <c r="D52" s="36"/>
      <c r="E52" s="36"/>
      <c r="F52" s="177">
        <f>(+F50+F51)/2</f>
        <v>-1581644.9928618567</v>
      </c>
      <c r="G52" s="177">
        <f t="shared" ref="G52:M52" si="5">(+G50+G51)/2</f>
        <v>-674296.78405182157</v>
      </c>
      <c r="H52" s="177">
        <f t="shared" si="5"/>
        <v>-9417.6439138825153</v>
      </c>
      <c r="I52" s="177">
        <f t="shared" si="5"/>
        <v>-646542.99245054228</v>
      </c>
      <c r="J52" s="177">
        <f t="shared" si="5"/>
        <v>-3864442.1697476772</v>
      </c>
      <c r="K52" s="401">
        <f>(+K50+K51)/2</f>
        <v>-84019.95304207888</v>
      </c>
      <c r="L52" s="177">
        <f t="shared" si="5"/>
        <v>-138640.30376209863</v>
      </c>
      <c r="M52" s="177">
        <f t="shared" si="5"/>
        <v>-6999004.839829959</v>
      </c>
      <c r="N52" s="36"/>
      <c r="O52" s="131"/>
      <c r="P52" s="583"/>
      <c r="Q52" s="583"/>
      <c r="R52" s="583"/>
      <c r="S52" s="583"/>
      <c r="T52" s="583"/>
      <c r="U52" s="583"/>
    </row>
    <row r="53" spans="2:21" s="172" customFormat="1" ht="15" thickBot="1">
      <c r="B53" s="186"/>
      <c r="C53" s="115"/>
      <c r="D53" s="115"/>
      <c r="E53" s="115"/>
      <c r="F53" s="119"/>
      <c r="G53" s="119"/>
      <c r="H53" s="119"/>
      <c r="I53" s="119"/>
      <c r="J53" s="119"/>
      <c r="K53" s="402"/>
      <c r="L53" s="119"/>
      <c r="M53" s="115"/>
      <c r="N53" s="115"/>
      <c r="O53" s="187"/>
      <c r="P53" s="583"/>
      <c r="Q53" s="583"/>
      <c r="R53" s="583"/>
      <c r="S53" s="583"/>
      <c r="T53" s="583"/>
      <c r="U53" s="583"/>
    </row>
    <row r="54" spans="2:21" ht="15" thickBot="1">
      <c r="M54" s="165"/>
      <c r="N54" s="165"/>
      <c r="O54" s="2"/>
      <c r="P54" s="583"/>
      <c r="Q54" s="583"/>
      <c r="R54" s="583"/>
      <c r="S54" s="583"/>
      <c r="T54" s="583"/>
      <c r="U54" s="583"/>
    </row>
    <row r="55" spans="2:21">
      <c r="B55" s="151" t="s">
        <v>611</v>
      </c>
      <c r="C55" s="152"/>
      <c r="D55" s="152"/>
      <c r="E55" s="152"/>
      <c r="F55" s="153"/>
      <c r="G55" s="153"/>
      <c r="H55" s="153"/>
      <c r="I55" s="153"/>
      <c r="J55" s="153"/>
      <c r="K55" s="385"/>
      <c r="L55" s="153"/>
      <c r="M55" s="152"/>
      <c r="N55" s="152"/>
      <c r="O55" s="154"/>
      <c r="P55" s="583"/>
      <c r="Q55" s="583"/>
      <c r="R55" s="583"/>
      <c r="S55" s="583"/>
      <c r="T55" s="583"/>
      <c r="U55" s="583"/>
    </row>
    <row r="56" spans="2:21">
      <c r="B56" s="155"/>
      <c r="C56" s="156" t="s">
        <v>250</v>
      </c>
      <c r="D56" s="157"/>
      <c r="E56" s="157"/>
      <c r="F56" s="158"/>
      <c r="G56" s="158"/>
      <c r="H56" s="158"/>
      <c r="I56" s="158"/>
      <c r="J56" s="158"/>
      <c r="K56" s="388"/>
      <c r="L56" s="158"/>
      <c r="M56" s="157"/>
      <c r="N56" s="157"/>
      <c r="O56" s="159"/>
      <c r="P56" s="583"/>
      <c r="Q56" s="583"/>
      <c r="R56" s="583"/>
      <c r="S56" s="583"/>
      <c r="T56" s="583"/>
      <c r="U56" s="583"/>
    </row>
    <row r="57" spans="2:21" s="106" customFormat="1" ht="33" customHeight="1">
      <c r="B57" s="134"/>
      <c r="C57" s="135" t="s">
        <v>10</v>
      </c>
      <c r="D57" s="135" t="s">
        <v>11</v>
      </c>
      <c r="E57" s="135"/>
      <c r="F57" s="136" t="str">
        <f t="shared" ref="F57:L57" si="6">+F10</f>
        <v>Generation step up Transformers</v>
      </c>
      <c r="G57" s="136" t="str">
        <f t="shared" si="6"/>
        <v>Generator interconnection Facilities</v>
      </c>
      <c r="H57" s="136" t="str">
        <f t="shared" si="6"/>
        <v>Noe Substation and 115kV Transmission Lines</v>
      </c>
      <c r="I57" s="136" t="str">
        <f t="shared" si="6"/>
        <v>Radial Lines</v>
      </c>
      <c r="J57" s="136" t="str">
        <f t="shared" si="6"/>
        <v>High Lonesome Mesa</v>
      </c>
      <c r="K57" s="405" t="str">
        <f>+K10</f>
        <v>Dual Use</v>
      </c>
      <c r="L57" s="136" t="str">
        <f t="shared" si="6"/>
        <v>Underbuild</v>
      </c>
      <c r="M57" s="136" t="s">
        <v>55</v>
      </c>
      <c r="N57" s="214"/>
      <c r="O57" s="137"/>
      <c r="P57" s="587"/>
      <c r="Q57" s="587"/>
      <c r="R57" s="587"/>
      <c r="S57" s="587"/>
      <c r="T57" s="587"/>
      <c r="U57" s="587"/>
    </row>
    <row r="58" spans="2:21">
      <c r="B58" s="155"/>
      <c r="C58" s="157"/>
      <c r="D58" s="157"/>
      <c r="E58" s="157"/>
      <c r="F58" s="177"/>
      <c r="G58" s="177"/>
      <c r="H58" s="177"/>
      <c r="I58" s="177"/>
      <c r="J58" s="177"/>
      <c r="K58" s="401"/>
      <c r="L58" s="177"/>
      <c r="M58" s="177"/>
      <c r="N58" s="157"/>
      <c r="O58" s="159"/>
      <c r="P58" s="583"/>
      <c r="Q58" s="583"/>
      <c r="R58" s="583"/>
      <c r="S58" s="583"/>
      <c r="T58" s="583"/>
      <c r="U58" s="583"/>
    </row>
    <row r="59" spans="2:21">
      <c r="B59" s="155"/>
      <c r="C59" s="157" t="s">
        <v>14</v>
      </c>
      <c r="D59" s="157" t="s">
        <v>27</v>
      </c>
      <c r="E59" s="157"/>
      <c r="F59" s="651">
        <v>22567.748938748289</v>
      </c>
      <c r="G59" s="800">
        <v>5881.9408514424676</v>
      </c>
      <c r="H59" s="800">
        <v>1093.390000000014</v>
      </c>
      <c r="I59" s="800">
        <v>15791.754172271796</v>
      </c>
      <c r="J59" s="800">
        <v>117666.66666666667</v>
      </c>
      <c r="K59" s="800">
        <v>1538.4647178933374</v>
      </c>
      <c r="L59" s="800">
        <v>2297.0552220315326</v>
      </c>
      <c r="M59" s="177">
        <f t="shared" ref="M59:M70" si="7">SUM(F59:L59)</f>
        <v>166837.02056905412</v>
      </c>
      <c r="N59" s="157"/>
      <c r="O59" s="159"/>
      <c r="P59" s="583"/>
      <c r="Q59" s="583"/>
      <c r="R59" s="583"/>
      <c r="S59" s="583"/>
      <c r="T59" s="583"/>
      <c r="U59" s="583"/>
    </row>
    <row r="60" spans="2:21">
      <c r="B60" s="155"/>
      <c r="C60" s="157" t="s">
        <v>15</v>
      </c>
      <c r="D60" s="157" t="s">
        <v>27</v>
      </c>
      <c r="E60" s="157"/>
      <c r="F60" s="800">
        <v>22567.748938748289</v>
      </c>
      <c r="G60" s="800">
        <v>5881.9408514424676</v>
      </c>
      <c r="H60" s="800">
        <v>1093.4199999998091</v>
      </c>
      <c r="I60" s="800">
        <v>15791.754172271796</v>
      </c>
      <c r="J60" s="800">
        <v>117666.66666666667</v>
      </c>
      <c r="K60" s="800">
        <v>1538.4647178933374</v>
      </c>
      <c r="L60" s="800">
        <v>2297.0552220315326</v>
      </c>
      <c r="M60" s="177">
        <f t="shared" si="7"/>
        <v>166837.05056905391</v>
      </c>
      <c r="N60" s="157"/>
      <c r="O60" s="159"/>
      <c r="P60" s="583"/>
      <c r="Q60" s="583"/>
      <c r="R60" s="583"/>
      <c r="S60" s="583"/>
      <c r="T60" s="583"/>
      <c r="U60" s="583"/>
    </row>
    <row r="61" spans="2:21">
      <c r="B61" s="155"/>
      <c r="C61" s="157" t="s">
        <v>16</v>
      </c>
      <c r="D61" s="157" t="s">
        <v>27</v>
      </c>
      <c r="E61" s="157"/>
      <c r="F61" s="800">
        <v>22567.748938748289</v>
      </c>
      <c r="G61" s="800">
        <v>7795.7052992596055</v>
      </c>
      <c r="H61" s="800">
        <v>1093.4800000002142</v>
      </c>
      <c r="I61" s="800">
        <v>15791.754172271796</v>
      </c>
      <c r="J61" s="800">
        <v>117666.66666666667</v>
      </c>
      <c r="K61" s="800">
        <v>1538.4647178933374</v>
      </c>
      <c r="L61" s="800">
        <v>2297.0552220315326</v>
      </c>
      <c r="M61" s="177">
        <f t="shared" si="7"/>
        <v>168750.87501687146</v>
      </c>
      <c r="N61" s="157"/>
      <c r="O61" s="159"/>
      <c r="P61" s="583"/>
      <c r="Q61" s="583"/>
      <c r="R61" s="583"/>
      <c r="S61" s="583"/>
      <c r="T61" s="583"/>
      <c r="U61" s="583"/>
    </row>
    <row r="62" spans="2:21">
      <c r="B62" s="155"/>
      <c r="C62" s="157" t="s">
        <v>17</v>
      </c>
      <c r="D62" s="157" t="s">
        <v>27</v>
      </c>
      <c r="E62" s="157"/>
      <c r="F62" s="800">
        <v>22604.394941184819</v>
      </c>
      <c r="G62" s="800">
        <v>7795.7052992596055</v>
      </c>
      <c r="H62" s="800">
        <v>1093.4699999998556</v>
      </c>
      <c r="I62" s="800">
        <v>15791.754172271796</v>
      </c>
      <c r="J62" s="800">
        <v>117666.66666666667</v>
      </c>
      <c r="K62" s="800">
        <v>1538.4647178933374</v>
      </c>
      <c r="L62" s="800">
        <v>2297.0552220315326</v>
      </c>
      <c r="M62" s="177">
        <f t="shared" si="7"/>
        <v>168787.51101930763</v>
      </c>
      <c r="N62" s="157"/>
      <c r="O62" s="159"/>
      <c r="P62" s="583"/>
      <c r="Q62" s="583"/>
      <c r="R62" s="583"/>
      <c r="S62" s="583"/>
      <c r="T62" s="583"/>
      <c r="U62" s="583"/>
    </row>
    <row r="63" spans="2:21">
      <c r="B63" s="155"/>
      <c r="C63" s="157" t="s">
        <v>18</v>
      </c>
      <c r="D63" s="157" t="s">
        <v>27</v>
      </c>
      <c r="E63" s="157"/>
      <c r="F63" s="800">
        <v>22604.394941184819</v>
      </c>
      <c r="G63" s="800">
        <v>7795.7052992596055</v>
      </c>
      <c r="H63" s="800">
        <v>1093.5100000001257</v>
      </c>
      <c r="I63" s="800">
        <v>15791.754172271796</v>
      </c>
      <c r="J63" s="800">
        <v>117666.66666666667</v>
      </c>
      <c r="K63" s="800">
        <v>1538.4647178933374</v>
      </c>
      <c r="L63" s="800">
        <v>2297.0552220315326</v>
      </c>
      <c r="M63" s="177">
        <f t="shared" si="7"/>
        <v>168787.5510193079</v>
      </c>
      <c r="N63" s="157"/>
      <c r="O63" s="159"/>
      <c r="P63" s="583"/>
      <c r="Q63" s="583"/>
      <c r="R63" s="583"/>
      <c r="S63" s="583"/>
      <c r="T63" s="583"/>
      <c r="U63" s="583"/>
    </row>
    <row r="64" spans="2:21">
      <c r="B64" s="155"/>
      <c r="C64" s="157" t="s">
        <v>19</v>
      </c>
      <c r="D64" s="157" t="s">
        <v>27</v>
      </c>
      <c r="E64" s="157"/>
      <c r="F64" s="800">
        <v>22604.394941184819</v>
      </c>
      <c r="G64" s="800">
        <v>7795.7052992596055</v>
      </c>
      <c r="H64" s="800">
        <v>1093.5799999998417</v>
      </c>
      <c r="I64" s="800">
        <v>15791.754172271796</v>
      </c>
      <c r="J64" s="800">
        <v>117666.66666666667</v>
      </c>
      <c r="K64" s="800">
        <v>1538.4647178933374</v>
      </c>
      <c r="L64" s="800">
        <v>2297.0552220315326</v>
      </c>
      <c r="M64" s="177">
        <f t="shared" si="7"/>
        <v>168787.62101930761</v>
      </c>
      <c r="N64" s="157"/>
      <c r="O64" s="159"/>
      <c r="P64" s="583"/>
      <c r="Q64" s="583"/>
      <c r="R64" s="583"/>
      <c r="S64" s="583"/>
      <c r="T64" s="583"/>
      <c r="U64" s="583"/>
    </row>
    <row r="65" spans="2:21">
      <c r="B65" s="155"/>
      <c r="C65" s="157" t="s">
        <v>20</v>
      </c>
      <c r="D65" s="157" t="s">
        <v>27</v>
      </c>
      <c r="E65" s="157"/>
      <c r="F65" s="800">
        <v>22604.394941184819</v>
      </c>
      <c r="G65" s="800">
        <v>7795.7052992596055</v>
      </c>
      <c r="H65" s="800">
        <v>1093.5600000001723</v>
      </c>
      <c r="I65" s="800">
        <v>15791.754172271796</v>
      </c>
      <c r="J65" s="800">
        <v>117666.66666666667</v>
      </c>
      <c r="K65" s="800">
        <v>1538.4647178933374</v>
      </c>
      <c r="L65" s="800">
        <v>2297.0552220315326</v>
      </c>
      <c r="M65" s="177">
        <f t="shared" si="7"/>
        <v>168787.60101930794</v>
      </c>
      <c r="N65" s="157"/>
      <c r="O65" s="159"/>
      <c r="P65" s="583"/>
      <c r="Q65" s="583"/>
      <c r="R65" s="583"/>
      <c r="S65" s="583"/>
      <c r="T65" s="583"/>
      <c r="U65" s="583"/>
    </row>
    <row r="66" spans="2:21">
      <c r="B66" s="155"/>
      <c r="C66" s="157" t="s">
        <v>21</v>
      </c>
      <c r="D66" s="157" t="s">
        <v>27</v>
      </c>
      <c r="E66" s="157"/>
      <c r="F66" s="800">
        <v>22604.394941184819</v>
      </c>
      <c r="G66" s="800">
        <v>7795.7052992596055</v>
      </c>
      <c r="H66" s="800">
        <v>1093.5999999998603</v>
      </c>
      <c r="I66" s="800">
        <v>15791.754172271796</v>
      </c>
      <c r="J66" s="800">
        <v>117666.66666666667</v>
      </c>
      <c r="K66" s="800">
        <v>1538.4647178933374</v>
      </c>
      <c r="L66" s="800">
        <v>2297.0552220315326</v>
      </c>
      <c r="M66" s="177">
        <f t="shared" si="7"/>
        <v>168787.64101930763</v>
      </c>
      <c r="N66" s="662"/>
      <c r="O66" s="159"/>
      <c r="P66" s="583"/>
      <c r="Q66" s="583"/>
      <c r="R66" s="583"/>
      <c r="S66" s="583"/>
      <c r="T66" s="583"/>
      <c r="U66" s="583"/>
    </row>
    <row r="67" spans="2:21">
      <c r="B67" s="155"/>
      <c r="C67" s="157" t="s">
        <v>22</v>
      </c>
      <c r="D67" s="157" t="s">
        <v>27</v>
      </c>
      <c r="E67" s="157"/>
      <c r="F67" s="800">
        <v>22604.394941184819</v>
      </c>
      <c r="G67" s="800">
        <v>7795.7052992596055</v>
      </c>
      <c r="H67" s="800">
        <v>1093.6100000001024</v>
      </c>
      <c r="I67" s="800">
        <v>15791.754172271796</v>
      </c>
      <c r="J67" s="800">
        <v>117666.66666666667</v>
      </c>
      <c r="K67" s="800">
        <v>1538.4647178933374</v>
      </c>
      <c r="L67" s="800">
        <v>2297.0552220315326</v>
      </c>
      <c r="M67" s="177">
        <f t="shared" si="7"/>
        <v>168787.65101930787</v>
      </c>
      <c r="N67" s="157"/>
      <c r="O67" s="159"/>
      <c r="P67" s="596"/>
      <c r="Q67" s="596"/>
      <c r="R67" s="596"/>
      <c r="S67" s="596"/>
      <c r="T67" s="583"/>
      <c r="U67" s="583"/>
    </row>
    <row r="68" spans="2:21">
      <c r="B68" s="155"/>
      <c r="C68" s="157" t="s">
        <v>23</v>
      </c>
      <c r="D68" s="157" t="s">
        <v>27</v>
      </c>
      <c r="E68" s="157"/>
      <c r="F68" s="800">
        <v>30384.974862000003</v>
      </c>
      <c r="G68" s="800">
        <v>8876.8134399999999</v>
      </c>
      <c r="H68" s="800">
        <v>0</v>
      </c>
      <c r="I68" s="800">
        <v>24879.748013451066</v>
      </c>
      <c r="J68" s="800">
        <v>117666.66666666667</v>
      </c>
      <c r="K68" s="800">
        <v>1664.7747970075</v>
      </c>
      <c r="L68" s="800">
        <v>3405.7242284895624</v>
      </c>
      <c r="M68" s="177">
        <f t="shared" si="7"/>
        <v>186878.7020076148</v>
      </c>
      <c r="N68" s="157"/>
      <c r="O68" s="159"/>
      <c r="P68" s="583"/>
      <c r="Q68" s="583"/>
      <c r="R68" s="583"/>
      <c r="S68" s="583"/>
      <c r="T68" s="583"/>
      <c r="U68" s="583"/>
    </row>
    <row r="69" spans="2:21">
      <c r="B69" s="155"/>
      <c r="C69" s="157" t="s">
        <v>24</v>
      </c>
      <c r="D69" s="157" t="s">
        <v>27</v>
      </c>
      <c r="E69" s="157"/>
      <c r="F69" s="800">
        <v>30384.974862000003</v>
      </c>
      <c r="G69" s="800">
        <v>8876.8134399999999</v>
      </c>
      <c r="H69" s="800">
        <v>0</v>
      </c>
      <c r="I69" s="800">
        <v>24879.748013451066</v>
      </c>
      <c r="J69" s="800">
        <v>117666.66666666667</v>
      </c>
      <c r="K69" s="800">
        <v>1664.7747970075</v>
      </c>
      <c r="L69" s="800">
        <v>3405.7242284895624</v>
      </c>
      <c r="M69" s="177">
        <f t="shared" si="7"/>
        <v>186878.7020076148</v>
      </c>
      <c r="N69" s="157"/>
      <c r="O69" s="159"/>
      <c r="P69" s="583"/>
      <c r="Q69" s="583"/>
      <c r="R69" s="583"/>
      <c r="S69" s="583"/>
      <c r="T69" s="583"/>
      <c r="U69" s="583"/>
    </row>
    <row r="70" spans="2:21">
      <c r="B70" s="155"/>
      <c r="C70" s="157" t="s">
        <v>13</v>
      </c>
      <c r="D70" s="157" t="s">
        <v>27</v>
      </c>
      <c r="E70" s="157"/>
      <c r="F70" s="813">
        <v>30384.974862000003</v>
      </c>
      <c r="G70" s="813">
        <v>8876.8134399999999</v>
      </c>
      <c r="H70" s="813">
        <v>0</v>
      </c>
      <c r="I70" s="813">
        <v>24879.748013451066</v>
      </c>
      <c r="J70" s="813">
        <v>117666.66666666667</v>
      </c>
      <c r="K70" s="813">
        <v>1664.7747970075</v>
      </c>
      <c r="L70" s="813">
        <v>3405.7242284895624</v>
      </c>
      <c r="M70" s="150">
        <f t="shared" si="7"/>
        <v>186878.7020076148</v>
      </c>
      <c r="N70" s="157"/>
      <c r="O70" s="159"/>
      <c r="P70" s="583"/>
      <c r="Q70" s="583"/>
      <c r="R70" s="583"/>
      <c r="S70" s="583"/>
      <c r="T70" s="583"/>
      <c r="U70" s="583"/>
    </row>
    <row r="71" spans="2:21">
      <c r="B71" s="155"/>
      <c r="C71" s="156" t="s">
        <v>573</v>
      </c>
      <c r="D71" s="157"/>
      <c r="E71" s="157"/>
      <c r="F71" s="158">
        <f>SUM(F58:F70)</f>
        <v>294484.54104935378</v>
      </c>
      <c r="G71" s="798">
        <f t="shared" ref="G71:M71" si="8">SUM(G58:G70)</f>
        <v>92964.259117702168</v>
      </c>
      <c r="H71" s="158">
        <f t="shared" si="8"/>
        <v>9841.6199999999953</v>
      </c>
      <c r="I71" s="158">
        <f t="shared" si="8"/>
        <v>216765.03159079934</v>
      </c>
      <c r="J71" s="158">
        <f t="shared" si="8"/>
        <v>1412000.0000000002</v>
      </c>
      <c r="K71" s="388">
        <f t="shared" si="8"/>
        <v>18840.506852062535</v>
      </c>
      <c r="L71" s="158">
        <f t="shared" si="8"/>
        <v>30890.66968375248</v>
      </c>
      <c r="M71" s="158">
        <f t="shared" si="8"/>
        <v>2075786.6282936702</v>
      </c>
      <c r="N71" s="157" t="s">
        <v>1280</v>
      </c>
      <c r="O71" s="159"/>
      <c r="P71" s="583"/>
      <c r="Q71" s="583"/>
      <c r="R71" s="583"/>
      <c r="S71" s="583"/>
      <c r="T71" s="583"/>
      <c r="U71" s="583"/>
    </row>
    <row r="72" spans="2:21">
      <c r="B72" s="155"/>
      <c r="C72" s="156"/>
      <c r="D72" s="157"/>
      <c r="E72" s="157"/>
      <c r="F72" s="158"/>
      <c r="G72" s="158"/>
      <c r="H72" s="158"/>
      <c r="I72" s="158"/>
      <c r="J72" s="158"/>
      <c r="K72" s="388"/>
      <c r="L72" s="158"/>
      <c r="M72" s="158"/>
      <c r="N72" s="157"/>
      <c r="O72" s="159"/>
      <c r="P72" s="583"/>
      <c r="Q72" s="583"/>
      <c r="R72" s="583"/>
      <c r="S72" s="583"/>
      <c r="T72" s="583"/>
      <c r="U72" s="583"/>
    </row>
    <row r="73" spans="2:21" ht="15" thickBot="1">
      <c r="B73" s="164"/>
      <c r="C73" s="165"/>
      <c r="D73" s="165"/>
      <c r="E73" s="165"/>
      <c r="F73" s="166"/>
      <c r="G73" s="166"/>
      <c r="H73" s="166"/>
      <c r="I73" s="166"/>
      <c r="J73" s="166"/>
      <c r="K73" s="391"/>
      <c r="L73" s="166"/>
      <c r="M73" s="165"/>
      <c r="N73" s="165"/>
      <c r="O73" s="167"/>
    </row>
    <row r="74" spans="2:21" ht="15" thickBot="1"/>
    <row r="75" spans="2:21" s="310" customFormat="1">
      <c r="B75" s="312" t="s">
        <v>1032</v>
      </c>
      <c r="C75" s="313"/>
      <c r="D75" s="313"/>
      <c r="E75" s="313"/>
      <c r="F75" s="314"/>
      <c r="G75" s="314"/>
      <c r="H75" s="314"/>
      <c r="I75" s="314"/>
      <c r="J75" s="314"/>
      <c r="K75" s="385"/>
      <c r="L75" s="314"/>
      <c r="M75" s="313"/>
      <c r="N75" s="313"/>
      <c r="O75" s="315"/>
    </row>
    <row r="76" spans="2:21" s="310" customFormat="1">
      <c r="B76" s="316"/>
      <c r="C76" s="317" t="s">
        <v>213</v>
      </c>
      <c r="D76" s="318"/>
      <c r="E76" s="318"/>
      <c r="F76" s="319"/>
      <c r="G76" s="319"/>
      <c r="H76" s="319"/>
      <c r="I76" s="319"/>
      <c r="J76" s="319"/>
      <c r="K76" s="388"/>
      <c r="L76" s="319"/>
      <c r="M76" s="318"/>
      <c r="N76" s="318"/>
      <c r="O76" s="320"/>
    </row>
    <row r="77" spans="2:21" s="327" customFormat="1" ht="33" customHeight="1">
      <c r="B77" s="329"/>
      <c r="C77" s="352" t="s">
        <v>1039</v>
      </c>
      <c r="D77" s="330" t="s">
        <v>11</v>
      </c>
      <c r="E77" s="330"/>
      <c r="F77" s="331" t="str">
        <f t="shared" ref="F77:L77" si="9">+F30</f>
        <v>Generation step up Transformers</v>
      </c>
      <c r="G77" s="331" t="str">
        <f t="shared" si="9"/>
        <v>Generator interconnection Facilities</v>
      </c>
      <c r="H77" s="331" t="str">
        <f t="shared" si="9"/>
        <v>Noe Substation and 115kV Transmission Lines</v>
      </c>
      <c r="I77" s="331" t="str">
        <f t="shared" si="9"/>
        <v>Radial Lines</v>
      </c>
      <c r="J77" s="331" t="str">
        <f t="shared" si="9"/>
        <v>High Lonesome Mesa</v>
      </c>
      <c r="K77" s="405" t="str">
        <f t="shared" si="9"/>
        <v>Dual Use</v>
      </c>
      <c r="L77" s="331" t="str">
        <f t="shared" si="9"/>
        <v>Underbuild</v>
      </c>
      <c r="M77" s="331" t="s">
        <v>55</v>
      </c>
      <c r="N77" s="333"/>
      <c r="O77" s="332"/>
    </row>
    <row r="78" spans="2:21" s="310" customFormat="1">
      <c r="B78" s="316"/>
      <c r="C78" s="342" t="s">
        <v>1033</v>
      </c>
      <c r="D78" s="318" t="s">
        <v>27</v>
      </c>
      <c r="E78" s="318"/>
      <c r="F78" s="651">
        <v>16803.684177051142</v>
      </c>
      <c r="G78" s="651">
        <v>2912.2478712347706</v>
      </c>
      <c r="H78" s="651"/>
      <c r="I78" s="651"/>
      <c r="J78" s="651"/>
      <c r="K78" s="651">
        <v>3917.3913130836841</v>
      </c>
      <c r="L78" s="651"/>
      <c r="M78" s="328">
        <f>SUM(F78:L78)</f>
        <v>23633.323361369596</v>
      </c>
      <c r="N78" s="318"/>
      <c r="O78" s="320"/>
      <c r="Q78" s="596"/>
      <c r="R78" s="596"/>
      <c r="S78" s="596"/>
      <c r="T78" s="596"/>
      <c r="U78" s="596"/>
    </row>
    <row r="79" spans="2:21" s="310" customFormat="1">
      <c r="B79" s="316"/>
      <c r="C79" s="342" t="s">
        <v>1034</v>
      </c>
      <c r="D79" s="318" t="s">
        <v>27</v>
      </c>
      <c r="E79" s="318"/>
      <c r="F79" s="651"/>
      <c r="G79" s="651"/>
      <c r="H79" s="651">
        <f>+'Schedule 13 A - Detail'!G80</f>
        <v>88.371338755082903</v>
      </c>
      <c r="I79" s="651">
        <f>+'Schedule 13 A - Detail'!G74</f>
        <v>2510.2319111667184</v>
      </c>
      <c r="J79" s="651"/>
      <c r="K79" s="651"/>
      <c r="L79" s="651">
        <v>792.67409440958352</v>
      </c>
      <c r="M79" s="401">
        <f>SUM(F79:L79)</f>
        <v>3391.2773443313849</v>
      </c>
      <c r="N79" s="318"/>
      <c r="O79" s="320"/>
    </row>
    <row r="80" spans="2:21" s="310" customFormat="1">
      <c r="B80" s="316"/>
      <c r="C80" s="342" t="s">
        <v>1035</v>
      </c>
      <c r="D80" s="318" t="s">
        <v>27</v>
      </c>
      <c r="E80" s="318"/>
      <c r="F80" s="651"/>
      <c r="G80" s="651"/>
      <c r="H80" s="651">
        <f>+'Schedule 13 A - Detail'!G81</f>
        <v>210.02972786987803</v>
      </c>
      <c r="I80" s="651">
        <f>+'Schedule 13 A - Detail'!G75</f>
        <v>5965.999074131998</v>
      </c>
      <c r="J80" s="651"/>
      <c r="K80" s="651"/>
      <c r="L80" s="651">
        <v>1883.9266970907015</v>
      </c>
      <c r="M80" s="401">
        <f>SUM(F80:L80)</f>
        <v>8059.9554990925772</v>
      </c>
      <c r="N80" s="318"/>
      <c r="O80" s="320"/>
    </row>
    <row r="81" spans="2:22" s="310" customFormat="1">
      <c r="B81" s="316"/>
      <c r="C81" s="342" t="s">
        <v>1036</v>
      </c>
      <c r="D81" s="318" t="s">
        <v>27</v>
      </c>
      <c r="E81" s="318"/>
      <c r="F81" s="625">
        <v>91030.468399252117</v>
      </c>
      <c r="G81" s="625">
        <v>15776.497881058649</v>
      </c>
      <c r="H81" s="625"/>
      <c r="I81" s="625"/>
      <c r="J81" s="625">
        <v>20000</v>
      </c>
      <c r="K81" s="625">
        <v>21221.653678791576</v>
      </c>
      <c r="L81" s="625"/>
      <c r="M81" s="384">
        <f>SUM(F81:L81)</f>
        <v>148028.61995910233</v>
      </c>
      <c r="N81" s="318"/>
      <c r="O81" s="320"/>
    </row>
    <row r="82" spans="2:22" s="310" customFormat="1">
      <c r="B82" s="316"/>
      <c r="C82" s="317" t="s">
        <v>573</v>
      </c>
      <c r="D82" s="318"/>
      <c r="E82" s="318"/>
      <c r="F82" s="319">
        <f t="shared" ref="F82:M82" si="10">SUM(F78:F81)</f>
        <v>107834.15257630326</v>
      </c>
      <c r="G82" s="319">
        <f t="shared" si="10"/>
        <v>18688.74575229342</v>
      </c>
      <c r="H82" s="319">
        <f t="shared" si="10"/>
        <v>298.40106662496095</v>
      </c>
      <c r="I82" s="319">
        <f t="shared" si="10"/>
        <v>8476.2309852987164</v>
      </c>
      <c r="J82" s="319">
        <f t="shared" si="10"/>
        <v>20000</v>
      </c>
      <c r="K82" s="388">
        <f t="shared" si="10"/>
        <v>25139.04499187526</v>
      </c>
      <c r="L82" s="319">
        <f t="shared" si="10"/>
        <v>2676.6007915002851</v>
      </c>
      <c r="M82" s="319">
        <f t="shared" si="10"/>
        <v>183113.1761638959</v>
      </c>
      <c r="N82" s="342" t="s">
        <v>1040</v>
      </c>
      <c r="O82" s="320"/>
    </row>
    <row r="83" spans="2:22" s="310" customFormat="1">
      <c r="B83" s="316"/>
      <c r="C83" s="317"/>
      <c r="D83" s="318"/>
      <c r="E83" s="318"/>
      <c r="F83" s="319"/>
      <c r="G83" s="319"/>
      <c r="H83" s="319"/>
      <c r="I83" s="319"/>
      <c r="J83" s="319"/>
      <c r="K83" s="388"/>
      <c r="L83" s="319"/>
      <c r="M83" s="319"/>
      <c r="N83" s="318"/>
      <c r="O83" s="320"/>
    </row>
    <row r="84" spans="2:22" s="310" customFormat="1" ht="15" thickBot="1">
      <c r="B84" s="322"/>
      <c r="C84" s="323"/>
      <c r="D84" s="323"/>
      <c r="E84" s="323"/>
      <c r="F84" s="324"/>
      <c r="G84" s="324"/>
      <c r="H84" s="324"/>
      <c r="I84" s="324"/>
      <c r="J84" s="324"/>
      <c r="K84" s="391"/>
      <c r="L84" s="324"/>
      <c r="M84" s="323"/>
      <c r="N84" s="323"/>
      <c r="O84" s="325"/>
    </row>
    <row r="85" spans="2:22" ht="15" thickBot="1"/>
    <row r="86" spans="2:22" s="335" customFormat="1">
      <c r="B86" s="336" t="s">
        <v>1037</v>
      </c>
      <c r="C86" s="337"/>
      <c r="D86" s="337"/>
      <c r="E86" s="337"/>
      <c r="F86" s="338"/>
      <c r="G86" s="338"/>
      <c r="H86" s="338"/>
      <c r="I86" s="338"/>
      <c r="J86" s="338"/>
      <c r="K86" s="385"/>
      <c r="L86" s="338"/>
      <c r="M86" s="337"/>
      <c r="N86" s="337"/>
      <c r="O86" s="339"/>
    </row>
    <row r="87" spans="2:22" s="335" customFormat="1">
      <c r="B87" s="340"/>
      <c r="C87" s="341" t="s">
        <v>1038</v>
      </c>
      <c r="D87" s="342"/>
      <c r="E87" s="342"/>
      <c r="F87" s="343"/>
      <c r="G87" s="343"/>
      <c r="H87" s="343"/>
      <c r="I87" s="343"/>
      <c r="J87" s="343"/>
      <c r="K87" s="388"/>
      <c r="L87" s="343"/>
      <c r="M87" s="342"/>
      <c r="N87" s="342"/>
      <c r="O87" s="344"/>
    </row>
    <row r="88" spans="2:22" s="350" customFormat="1" ht="33" customHeight="1">
      <c r="B88" s="351"/>
      <c r="C88" s="352" t="s">
        <v>1039</v>
      </c>
      <c r="D88" s="352" t="s">
        <v>11</v>
      </c>
      <c r="E88" s="352"/>
      <c r="F88" s="353" t="str">
        <f>+F77</f>
        <v>Generation step up Transformers</v>
      </c>
      <c r="G88" s="405" t="str">
        <f t="shared" ref="G88:L88" si="11">+G77</f>
        <v>Generator interconnection Facilities</v>
      </c>
      <c r="H88" s="405" t="str">
        <f t="shared" si="11"/>
        <v>Noe Substation and 115kV Transmission Lines</v>
      </c>
      <c r="I88" s="405" t="str">
        <f t="shared" si="11"/>
        <v>Radial Lines</v>
      </c>
      <c r="J88" s="405" t="str">
        <f t="shared" si="11"/>
        <v>High Lonesome Mesa</v>
      </c>
      <c r="K88" s="405" t="str">
        <f t="shared" si="11"/>
        <v>Dual Use</v>
      </c>
      <c r="L88" s="405" t="str">
        <f t="shared" si="11"/>
        <v>Underbuild</v>
      </c>
      <c r="M88" s="353" t="s">
        <v>55</v>
      </c>
      <c r="N88" s="356"/>
      <c r="O88" s="354"/>
      <c r="P88" s="587"/>
      <c r="Q88" s="587"/>
      <c r="R88" s="587"/>
      <c r="S88" s="587"/>
      <c r="T88" s="587"/>
      <c r="U88" s="587"/>
      <c r="V88" s="587"/>
    </row>
    <row r="89" spans="2:22" s="335" customFormat="1">
      <c r="B89" s="340"/>
      <c r="C89" s="342"/>
      <c r="D89" s="342" t="s">
        <v>27</v>
      </c>
      <c r="E89" s="342"/>
      <c r="F89" s="636">
        <f>(F24+F44)*0.013</f>
        <v>87784.042969999879</v>
      </c>
      <c r="G89" s="636">
        <f>(G24+G44)*0.013</f>
        <v>42457.35293500001</v>
      </c>
      <c r="H89" s="636"/>
      <c r="I89" s="636">
        <f>(I24+I44)*0.013</f>
        <v>35979.71015343527</v>
      </c>
      <c r="J89" s="636"/>
      <c r="K89" s="636">
        <f>(K24+K44)*0.013</f>
        <v>4659.8739801179509</v>
      </c>
      <c r="L89" s="636">
        <f>(L24+L44)*0.013</f>
        <v>7701.3312060598028</v>
      </c>
      <c r="M89" s="384">
        <f>SUM(F89:L89)</f>
        <v>178582.31124461294</v>
      </c>
      <c r="N89" s="342"/>
      <c r="O89" s="344"/>
      <c r="P89" s="596"/>
      <c r="Q89" s="596"/>
      <c r="R89" s="596"/>
      <c r="S89" s="596"/>
      <c r="T89" s="596"/>
      <c r="U89" s="596"/>
      <c r="V89" s="596"/>
    </row>
    <row r="90" spans="2:22" s="335" customFormat="1">
      <c r="B90" s="340"/>
      <c r="C90" s="341" t="s">
        <v>573</v>
      </c>
      <c r="D90" s="342"/>
      <c r="E90" s="342"/>
      <c r="F90" s="343">
        <f t="shared" ref="F90:M90" si="12">SUM(F89:F89)</f>
        <v>87784.042969999879</v>
      </c>
      <c r="G90" s="343">
        <f t="shared" si="12"/>
        <v>42457.35293500001</v>
      </c>
      <c r="H90" s="343">
        <f t="shared" si="12"/>
        <v>0</v>
      </c>
      <c r="I90" s="343">
        <f t="shared" si="12"/>
        <v>35979.71015343527</v>
      </c>
      <c r="J90" s="343">
        <f t="shared" si="12"/>
        <v>0</v>
      </c>
      <c r="K90" s="388">
        <f t="shared" si="12"/>
        <v>4659.8739801179509</v>
      </c>
      <c r="L90" s="343">
        <f t="shared" si="12"/>
        <v>7701.3312060598028</v>
      </c>
      <c r="M90" s="343">
        <f t="shared" si="12"/>
        <v>178582.31124461294</v>
      </c>
      <c r="N90" s="342" t="s">
        <v>1281</v>
      </c>
      <c r="O90" s="344"/>
    </row>
    <row r="91" spans="2:22" s="335" customFormat="1">
      <c r="B91" s="340"/>
      <c r="C91" s="341"/>
      <c r="D91" s="342"/>
      <c r="E91" s="342"/>
      <c r="F91" s="343"/>
      <c r="G91" s="343"/>
      <c r="H91" s="343"/>
      <c r="I91" s="343"/>
      <c r="J91" s="343"/>
      <c r="K91" s="388"/>
      <c r="L91" s="343"/>
      <c r="M91" s="343"/>
      <c r="N91" s="342"/>
      <c r="O91" s="344"/>
    </row>
    <row r="92" spans="2:22" s="335" customFormat="1" ht="15" thickBot="1">
      <c r="B92" s="345"/>
      <c r="C92" s="346"/>
      <c r="D92" s="346"/>
      <c r="E92" s="346"/>
      <c r="F92" s="347"/>
      <c r="G92" s="347"/>
      <c r="H92" s="347"/>
      <c r="I92" s="347"/>
      <c r="J92" s="347"/>
      <c r="K92" s="391"/>
      <c r="L92" s="347"/>
      <c r="M92" s="346"/>
      <c r="N92" s="346"/>
      <c r="O92" s="348"/>
    </row>
    <row r="94" spans="2:22">
      <c r="F94" s="382"/>
      <c r="G94" s="382"/>
      <c r="I94" s="382"/>
    </row>
  </sheetData>
  <pageMargins left="0.7" right="0.7" top="0.75" bottom="0.75" header="0.3" footer="0.3"/>
  <pageSetup scale="46" fitToHeight="0" orientation="landscape" cellComments="asDisplayed"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view="pageBreakPreview" zoomScale="60" zoomScaleNormal="100" workbookViewId="0">
      <selection activeCell="G44" sqref="G44"/>
    </sheetView>
  </sheetViews>
  <sheetFormatPr defaultColWidth="9.109375" defaultRowHeight="14.4"/>
  <cols>
    <col min="1" max="1" width="28.33203125" style="410" customWidth="1"/>
    <col min="2" max="2" width="22.44140625" style="410" customWidth="1"/>
    <col min="3" max="3" width="14.6640625" style="410" customWidth="1"/>
    <col min="4" max="4" width="15.88671875" style="410" bestFit="1" customWidth="1"/>
    <col min="5" max="5" width="14.33203125" style="410" bestFit="1" customWidth="1"/>
    <col min="6" max="6" width="16.44140625" style="410" bestFit="1" customWidth="1"/>
    <col min="7" max="7" width="20" style="410" customWidth="1"/>
    <col min="8" max="9" width="16.6640625" style="410" customWidth="1"/>
    <col min="10" max="10" width="31.109375" style="410" bestFit="1" customWidth="1"/>
    <col min="11" max="11" width="9.109375" style="410"/>
    <col min="12" max="12" width="6.6640625" style="410" bestFit="1" customWidth="1"/>
    <col min="13" max="16384" width="9.109375" style="410"/>
  </cols>
  <sheetData>
    <row r="1" spans="1:15" s="621" customFormat="1">
      <c r="A1" s="622" t="s">
        <v>0</v>
      </c>
    </row>
    <row r="2" spans="1:15" s="621" customFormat="1">
      <c r="A2" s="622" t="s">
        <v>1551</v>
      </c>
    </row>
    <row r="3" spans="1:15" ht="40.200000000000003">
      <c r="A3" s="868" t="s">
        <v>1101</v>
      </c>
      <c r="B3" s="868"/>
      <c r="C3" s="417" t="s">
        <v>1102</v>
      </c>
      <c r="D3" s="417" t="s">
        <v>1103</v>
      </c>
      <c r="E3" s="417" t="s">
        <v>1104</v>
      </c>
      <c r="F3" s="417" t="s">
        <v>1105</v>
      </c>
      <c r="G3" s="417" t="s">
        <v>1542</v>
      </c>
      <c r="H3" s="418" t="s">
        <v>1106</v>
      </c>
      <c r="I3" s="418" t="s">
        <v>1593</v>
      </c>
      <c r="J3" s="419"/>
      <c r="K3" s="419"/>
      <c r="L3" s="419"/>
      <c r="M3" s="419"/>
      <c r="N3" s="419"/>
      <c r="O3" s="419"/>
    </row>
    <row r="4" spans="1:15">
      <c r="A4" s="420" t="s">
        <v>1107</v>
      </c>
      <c r="B4" s="420" t="s">
        <v>1108</v>
      </c>
      <c r="C4" s="421" t="s">
        <v>1109</v>
      </c>
      <c r="D4" s="421">
        <v>1</v>
      </c>
      <c r="E4" s="420">
        <v>0.47</v>
      </c>
      <c r="F4" s="422" t="s">
        <v>1110</v>
      </c>
      <c r="G4" s="423">
        <v>-0.17387749999998903</v>
      </c>
      <c r="H4" s="423">
        <v>40.362584999999996</v>
      </c>
      <c r="I4" s="423">
        <f>+G4-H4</f>
        <v>-40.536462499999985</v>
      </c>
      <c r="J4" s="420"/>
      <c r="K4" s="419"/>
      <c r="L4" s="419"/>
      <c r="M4" s="419"/>
      <c r="N4" s="419"/>
      <c r="O4" s="419"/>
    </row>
    <row r="5" spans="1:15">
      <c r="A5" s="420" t="s">
        <v>1111</v>
      </c>
      <c r="B5" s="420" t="s">
        <v>1108</v>
      </c>
      <c r="C5" s="421" t="s">
        <v>1112</v>
      </c>
      <c r="D5" s="421">
        <v>1</v>
      </c>
      <c r="E5" s="420">
        <v>0.56000000000000005</v>
      </c>
      <c r="F5" s="422" t="s">
        <v>1113</v>
      </c>
      <c r="G5" s="423">
        <v>51183.198742</v>
      </c>
      <c r="H5" s="423">
        <v>3890.0456289999993</v>
      </c>
      <c r="I5" s="423">
        <f t="shared" ref="I5:I31" si="0">+G5-H5</f>
        <v>47293.153113</v>
      </c>
      <c r="J5" s="420"/>
      <c r="K5" s="419"/>
      <c r="L5" s="419"/>
      <c r="M5" s="419"/>
      <c r="N5" s="419"/>
      <c r="O5" s="419"/>
    </row>
    <row r="6" spans="1:15">
      <c r="A6" s="420" t="s">
        <v>1114</v>
      </c>
      <c r="B6" s="420" t="s">
        <v>1108</v>
      </c>
      <c r="C6" s="421" t="s">
        <v>1115</v>
      </c>
      <c r="D6" s="421">
        <v>1</v>
      </c>
      <c r="E6" s="420">
        <v>0.41</v>
      </c>
      <c r="F6" s="422" t="s">
        <v>1116</v>
      </c>
      <c r="G6" s="423">
        <v>11084.644480000001</v>
      </c>
      <c r="H6" s="423">
        <v>1071.08368</v>
      </c>
      <c r="I6" s="423">
        <f t="shared" si="0"/>
        <v>10013.560800000001</v>
      </c>
      <c r="J6" s="420"/>
      <c r="K6" s="419"/>
      <c r="L6" s="419"/>
      <c r="M6" s="419"/>
      <c r="N6" s="419"/>
      <c r="O6" s="419"/>
    </row>
    <row r="7" spans="1:15">
      <c r="A7" s="420" t="s">
        <v>1117</v>
      </c>
      <c r="B7" s="420" t="s">
        <v>1118</v>
      </c>
      <c r="C7" s="421" t="s">
        <v>1119</v>
      </c>
      <c r="D7" s="421">
        <v>1</v>
      </c>
      <c r="E7" s="420">
        <v>2.2799999999999998</v>
      </c>
      <c r="F7" s="422" t="s">
        <v>1113</v>
      </c>
      <c r="G7" s="423">
        <v>10610.184158500002</v>
      </c>
      <c r="H7" s="423">
        <v>1212.3505609999997</v>
      </c>
      <c r="I7" s="423">
        <f t="shared" si="0"/>
        <v>9397.8335975000027</v>
      </c>
      <c r="J7" s="420"/>
      <c r="K7" s="419"/>
      <c r="L7" s="419"/>
      <c r="M7" s="419"/>
      <c r="N7" s="419"/>
      <c r="O7" s="419"/>
    </row>
    <row r="8" spans="1:15">
      <c r="A8" s="420" t="s">
        <v>1120</v>
      </c>
      <c r="B8" s="420" t="s">
        <v>1121</v>
      </c>
      <c r="C8" s="421" t="s">
        <v>1122</v>
      </c>
      <c r="D8" s="421">
        <v>1</v>
      </c>
      <c r="E8" s="420">
        <v>0.51</v>
      </c>
      <c r="F8" s="422" t="s">
        <v>1113</v>
      </c>
      <c r="G8" s="423">
        <v>514.21052250000002</v>
      </c>
      <c r="H8" s="423">
        <v>786.99298500000009</v>
      </c>
      <c r="I8" s="423">
        <f t="shared" si="0"/>
        <v>-272.78246250000007</v>
      </c>
      <c r="J8" s="420"/>
      <c r="K8" s="419"/>
      <c r="L8" s="419"/>
      <c r="M8" s="419"/>
      <c r="N8" s="419"/>
      <c r="O8" s="419"/>
    </row>
    <row r="9" spans="1:15">
      <c r="A9" s="420" t="s">
        <v>1123</v>
      </c>
      <c r="B9" s="419" t="s">
        <v>1124</v>
      </c>
      <c r="C9" s="421" t="s">
        <v>1125</v>
      </c>
      <c r="D9" s="421">
        <v>2</v>
      </c>
      <c r="E9" s="420">
        <v>0.38</v>
      </c>
      <c r="F9" s="422" t="s">
        <v>1126</v>
      </c>
      <c r="G9" s="423">
        <v>894.65731250000033</v>
      </c>
      <c r="H9" s="423">
        <v>156.04907499999999</v>
      </c>
      <c r="I9" s="423">
        <f t="shared" si="0"/>
        <v>738.60823750000031</v>
      </c>
      <c r="J9" s="420"/>
      <c r="K9" s="419"/>
      <c r="L9" s="419"/>
      <c r="M9" s="419"/>
      <c r="N9" s="419"/>
      <c r="O9" s="419"/>
    </row>
    <row r="10" spans="1:15">
      <c r="A10" s="420" t="s">
        <v>1127</v>
      </c>
      <c r="B10" s="420" t="s">
        <v>1128</v>
      </c>
      <c r="C10" s="421" t="s">
        <v>1129</v>
      </c>
      <c r="D10" s="421">
        <v>2</v>
      </c>
      <c r="E10" s="420">
        <v>1.6</v>
      </c>
      <c r="F10" s="422" t="s">
        <v>1116</v>
      </c>
      <c r="G10" s="423">
        <v>93357.313711999988</v>
      </c>
      <c r="H10" s="423">
        <v>6280.6641920000002</v>
      </c>
      <c r="I10" s="423">
        <f t="shared" si="0"/>
        <v>87076.649519999992</v>
      </c>
      <c r="J10" s="420"/>
      <c r="K10" s="419"/>
      <c r="L10" s="419"/>
      <c r="M10" s="419"/>
      <c r="N10" s="419"/>
      <c r="O10" s="419"/>
    </row>
    <row r="11" spans="1:15">
      <c r="A11" s="420" t="s">
        <v>1130</v>
      </c>
      <c r="B11" s="420" t="s">
        <v>1131</v>
      </c>
      <c r="C11" s="421" t="s">
        <v>1132</v>
      </c>
      <c r="D11" s="421">
        <v>2</v>
      </c>
      <c r="E11" s="420">
        <v>0.25</v>
      </c>
      <c r="F11" s="422" t="s">
        <v>1110</v>
      </c>
      <c r="G11" s="423">
        <v>22916.625683000006</v>
      </c>
      <c r="H11" s="423">
        <v>441.6228779999999</v>
      </c>
      <c r="I11" s="423">
        <f t="shared" si="0"/>
        <v>22475.002805000007</v>
      </c>
      <c r="J11" s="420"/>
      <c r="K11" s="419"/>
      <c r="L11" s="419"/>
      <c r="M11" s="419"/>
      <c r="N11" s="419"/>
      <c r="O11" s="419"/>
    </row>
    <row r="12" spans="1:15">
      <c r="A12" s="420" t="s">
        <v>1133</v>
      </c>
      <c r="B12" s="420" t="s">
        <v>1134</v>
      </c>
      <c r="C12" s="421" t="s">
        <v>1132</v>
      </c>
      <c r="D12" s="421">
        <v>3</v>
      </c>
      <c r="E12" s="420">
        <v>0.11</v>
      </c>
      <c r="F12" s="422" t="s">
        <v>1135</v>
      </c>
      <c r="G12" s="423">
        <v>289794.33642750006</v>
      </c>
      <c r="H12" s="423">
        <v>6565.6357150000013</v>
      </c>
      <c r="I12" s="423">
        <f t="shared" si="0"/>
        <v>283228.70071250008</v>
      </c>
      <c r="J12" s="420"/>
      <c r="K12" s="424"/>
      <c r="L12" s="425"/>
      <c r="M12" s="419"/>
      <c r="N12" s="420"/>
      <c r="O12" s="420"/>
    </row>
    <row r="13" spans="1:15">
      <c r="A13" s="420" t="s">
        <v>1136</v>
      </c>
      <c r="B13" s="420" t="s">
        <v>1137</v>
      </c>
      <c r="C13" s="421" t="s">
        <v>1138</v>
      </c>
      <c r="D13" s="421">
        <v>3</v>
      </c>
      <c r="E13" s="420">
        <v>1.27</v>
      </c>
      <c r="F13" s="422" t="s">
        <v>1116</v>
      </c>
      <c r="G13" s="423">
        <v>150816.92297199997</v>
      </c>
      <c r="H13" s="423">
        <v>8686.8513519999997</v>
      </c>
      <c r="I13" s="423">
        <f t="shared" si="0"/>
        <v>142130.07161999997</v>
      </c>
      <c r="J13" s="420"/>
      <c r="K13" s="424"/>
      <c r="L13" s="425"/>
      <c r="M13" s="419"/>
      <c r="N13" s="420"/>
      <c r="O13" s="420"/>
    </row>
    <row r="14" spans="1:15">
      <c r="A14" s="420" t="s">
        <v>1139</v>
      </c>
      <c r="B14" s="419" t="s">
        <v>1140</v>
      </c>
      <c r="C14" s="421" t="s">
        <v>1141</v>
      </c>
      <c r="D14" s="421">
        <v>4</v>
      </c>
      <c r="E14" s="420">
        <v>8.2899999999999991</v>
      </c>
      <c r="F14" s="422">
        <v>211</v>
      </c>
      <c r="G14" s="423">
        <v>309842.70146662171</v>
      </c>
      <c r="H14" s="423">
        <v>20989.667413351355</v>
      </c>
      <c r="I14" s="423">
        <f t="shared" si="0"/>
        <v>288853.03405327036</v>
      </c>
      <c r="J14" s="420"/>
      <c r="K14" s="424"/>
      <c r="L14" s="425"/>
      <c r="M14" s="419"/>
      <c r="N14" s="420"/>
      <c r="O14" s="420"/>
    </row>
    <row r="15" spans="1:15">
      <c r="A15" s="420" t="s">
        <v>1142</v>
      </c>
      <c r="B15" s="419" t="s">
        <v>1134</v>
      </c>
      <c r="C15" s="421" t="s">
        <v>1143</v>
      </c>
      <c r="D15" s="421">
        <v>4</v>
      </c>
      <c r="E15" s="420">
        <v>3.7</v>
      </c>
      <c r="F15" s="422">
        <v>211</v>
      </c>
      <c r="G15" s="423">
        <v>30820.506959999999</v>
      </c>
      <c r="H15" s="423">
        <v>3847.4092160000005</v>
      </c>
      <c r="I15" s="423">
        <f t="shared" si="0"/>
        <v>26973.097743999999</v>
      </c>
      <c r="J15" s="420"/>
      <c r="K15" s="424"/>
      <c r="L15" s="425"/>
      <c r="M15" s="425"/>
      <c r="N15" s="420"/>
      <c r="O15" s="420"/>
    </row>
    <row r="16" spans="1:15">
      <c r="A16" s="420" t="s">
        <v>1144</v>
      </c>
      <c r="B16" s="419" t="s">
        <v>1145</v>
      </c>
      <c r="C16" s="421" t="s">
        <v>1146</v>
      </c>
      <c r="D16" s="421">
        <v>4</v>
      </c>
      <c r="E16" s="420">
        <v>4.74</v>
      </c>
      <c r="F16" s="422">
        <v>211</v>
      </c>
      <c r="G16" s="426">
        <v>2847.2324224999998</v>
      </c>
      <c r="H16" s="427">
        <v>1338.915031</v>
      </c>
      <c r="I16" s="423">
        <f t="shared" si="0"/>
        <v>1508.3173914999998</v>
      </c>
      <c r="J16" s="420"/>
      <c r="K16" s="424"/>
      <c r="L16" s="425"/>
      <c r="M16" s="419"/>
      <c r="N16" s="420"/>
      <c r="O16" s="420"/>
    </row>
    <row r="17" spans="1:15">
      <c r="A17" s="420" t="s">
        <v>1147</v>
      </c>
      <c r="B17" s="420" t="s">
        <v>1148</v>
      </c>
      <c r="C17" s="421" t="s">
        <v>1149</v>
      </c>
      <c r="D17" s="421">
        <v>4</v>
      </c>
      <c r="E17" s="420">
        <v>1.26</v>
      </c>
      <c r="F17" s="422" t="s">
        <v>1110</v>
      </c>
      <c r="G17" s="423">
        <v>265557.57192299998</v>
      </c>
      <c r="H17" s="423">
        <v>7024.1187179999997</v>
      </c>
      <c r="I17" s="423">
        <f t="shared" si="0"/>
        <v>258533.45320499997</v>
      </c>
      <c r="J17" s="420"/>
      <c r="K17" s="424"/>
      <c r="L17" s="425"/>
      <c r="M17" s="419"/>
      <c r="N17" s="420"/>
      <c r="O17" s="420"/>
    </row>
    <row r="18" spans="1:15">
      <c r="A18" s="419" t="s">
        <v>1150</v>
      </c>
      <c r="B18" s="419" t="s">
        <v>1151</v>
      </c>
      <c r="C18" s="421" t="s">
        <v>1152</v>
      </c>
      <c r="D18" s="421">
        <v>4</v>
      </c>
      <c r="E18" s="428">
        <v>7</v>
      </c>
      <c r="F18" s="428">
        <v>211</v>
      </c>
      <c r="G18" s="429">
        <v>8507.1776719056979</v>
      </c>
      <c r="H18" s="423">
        <v>2632.4111640471515</v>
      </c>
      <c r="I18" s="423">
        <f t="shared" si="0"/>
        <v>5874.7665078585469</v>
      </c>
      <c r="J18" s="430" t="s">
        <v>1153</v>
      </c>
      <c r="K18" s="424"/>
      <c r="L18" s="425"/>
      <c r="M18" s="419"/>
      <c r="N18" s="420"/>
      <c r="O18" s="420"/>
    </row>
    <row r="19" spans="1:15">
      <c r="A19" s="420" t="s">
        <v>1154</v>
      </c>
      <c r="B19" s="420" t="s">
        <v>1155</v>
      </c>
      <c r="C19" s="421" t="s">
        <v>1156</v>
      </c>
      <c r="D19" s="421">
        <v>6</v>
      </c>
      <c r="E19" s="420">
        <v>1.59</v>
      </c>
      <c r="F19" s="422" t="s">
        <v>1157</v>
      </c>
      <c r="G19" s="423">
        <v>31550.890235999999</v>
      </c>
      <c r="H19" s="423">
        <v>2572.3331760000001</v>
      </c>
      <c r="I19" s="423">
        <f t="shared" si="0"/>
        <v>28978.557059999999</v>
      </c>
      <c r="J19" s="420"/>
      <c r="K19" s="424"/>
      <c r="L19" s="425"/>
      <c r="M19" s="419"/>
      <c r="N19" s="420"/>
      <c r="O19" s="420"/>
    </row>
    <row r="20" spans="1:15">
      <c r="A20" s="420" t="s">
        <v>1158</v>
      </c>
      <c r="B20" s="420" t="s">
        <v>1159</v>
      </c>
      <c r="C20" s="421" t="s">
        <v>1160</v>
      </c>
      <c r="D20" s="421">
        <v>6</v>
      </c>
      <c r="E20" s="420">
        <v>3.79</v>
      </c>
      <c r="F20" s="422" t="s">
        <v>1161</v>
      </c>
      <c r="G20" s="423">
        <v>164439.30278600001</v>
      </c>
      <c r="H20" s="423">
        <v>17085.391476000001</v>
      </c>
      <c r="I20" s="423">
        <f t="shared" si="0"/>
        <v>147353.91131000002</v>
      </c>
      <c r="J20" s="420"/>
      <c r="K20" s="424"/>
      <c r="L20" s="425"/>
      <c r="M20" s="419"/>
      <c r="N20" s="420"/>
      <c r="O20" s="420"/>
    </row>
    <row r="21" spans="1:15">
      <c r="A21" s="420" t="s">
        <v>1162</v>
      </c>
      <c r="B21" s="420" t="s">
        <v>1163</v>
      </c>
      <c r="C21" s="421" t="s">
        <v>1164</v>
      </c>
      <c r="D21" s="421">
        <v>6</v>
      </c>
      <c r="E21" s="420">
        <v>4.82</v>
      </c>
      <c r="F21" s="422" t="s">
        <v>1161</v>
      </c>
      <c r="G21" s="423">
        <v>47981.44745494907</v>
      </c>
      <c r="H21" s="423">
        <v>4955.6534309101853</v>
      </c>
      <c r="I21" s="423">
        <f t="shared" si="0"/>
        <v>43025.794024038885</v>
      </c>
      <c r="J21" s="420"/>
      <c r="K21" s="424"/>
      <c r="L21" s="425"/>
      <c r="M21" s="419"/>
      <c r="N21" s="420"/>
      <c r="O21" s="420"/>
    </row>
    <row r="22" spans="1:15">
      <c r="A22" s="420" t="s">
        <v>1165</v>
      </c>
      <c r="B22" s="420" t="s">
        <v>1166</v>
      </c>
      <c r="C22" s="421" t="s">
        <v>1167</v>
      </c>
      <c r="D22" s="421">
        <v>6</v>
      </c>
      <c r="E22" s="420">
        <v>3.76</v>
      </c>
      <c r="F22" s="422" t="s">
        <v>1168</v>
      </c>
      <c r="G22" s="423">
        <v>102876.18215899999</v>
      </c>
      <c r="H22" s="423">
        <v>8359.3318940000008</v>
      </c>
      <c r="I22" s="423">
        <f t="shared" si="0"/>
        <v>94516.850264999986</v>
      </c>
      <c r="J22" s="420" t="s">
        <v>1169</v>
      </c>
      <c r="K22" s="424"/>
      <c r="L22" s="425"/>
      <c r="M22" s="419"/>
      <c r="N22" s="420"/>
      <c r="O22" s="420"/>
    </row>
    <row r="23" spans="1:15">
      <c r="A23" s="420" t="s">
        <v>1170</v>
      </c>
      <c r="B23" s="419" t="s">
        <v>1171</v>
      </c>
      <c r="C23" s="421" t="s">
        <v>1172</v>
      </c>
      <c r="D23" s="421">
        <v>14</v>
      </c>
      <c r="E23" s="420">
        <v>2.44</v>
      </c>
      <c r="F23" s="422" t="s">
        <v>1116</v>
      </c>
      <c r="G23" s="423">
        <v>216414.89181749997</v>
      </c>
      <c r="H23" s="423">
        <v>11244.531273000001</v>
      </c>
      <c r="I23" s="423">
        <f t="shared" si="0"/>
        <v>205170.36054449997</v>
      </c>
      <c r="J23" s="420"/>
      <c r="K23" s="424"/>
      <c r="L23" s="425"/>
      <c r="M23" s="419"/>
      <c r="N23" s="420"/>
      <c r="O23" s="420"/>
    </row>
    <row r="24" spans="1:15">
      <c r="A24" s="420" t="s">
        <v>1173</v>
      </c>
      <c r="B24" s="420" t="s">
        <v>1124</v>
      </c>
      <c r="C24" s="421" t="s">
        <v>1132</v>
      </c>
      <c r="D24" s="421">
        <v>14</v>
      </c>
      <c r="E24" s="420">
        <v>0.62</v>
      </c>
      <c r="F24" s="422" t="s">
        <v>1113</v>
      </c>
      <c r="G24" s="423">
        <v>47316.390578999999</v>
      </c>
      <c r="H24" s="423">
        <v>4543.1796139999997</v>
      </c>
      <c r="I24" s="423">
        <f t="shared" si="0"/>
        <v>42773.210964999998</v>
      </c>
      <c r="J24" s="420"/>
      <c r="K24" s="424"/>
      <c r="L24" s="425"/>
      <c r="M24" s="419"/>
      <c r="N24" s="420"/>
      <c r="O24" s="420"/>
    </row>
    <row r="25" spans="1:15">
      <c r="A25" s="420" t="s">
        <v>1174</v>
      </c>
      <c r="B25" s="420" t="s">
        <v>1175</v>
      </c>
      <c r="C25" s="421" t="s">
        <v>1176</v>
      </c>
      <c r="D25" s="421">
        <v>14</v>
      </c>
      <c r="E25" s="420">
        <v>0.61</v>
      </c>
      <c r="F25" s="422" t="s">
        <v>1177</v>
      </c>
      <c r="G25" s="423">
        <v>14806.2466155</v>
      </c>
      <c r="H25" s="423">
        <v>2403.3089229999996</v>
      </c>
      <c r="I25" s="423">
        <f t="shared" si="0"/>
        <v>12402.9376925</v>
      </c>
      <c r="J25" s="420"/>
      <c r="K25" s="424"/>
      <c r="L25" s="425"/>
      <c r="M25" s="419"/>
      <c r="N25" s="420"/>
      <c r="O25" s="420"/>
    </row>
    <row r="26" spans="1:15">
      <c r="A26" s="420" t="s">
        <v>1178</v>
      </c>
      <c r="B26" s="420" t="s">
        <v>1175</v>
      </c>
      <c r="C26" s="421" t="s">
        <v>1132</v>
      </c>
      <c r="D26" s="421">
        <v>14</v>
      </c>
      <c r="E26" s="420">
        <v>0.11</v>
      </c>
      <c r="F26" s="422" t="s">
        <v>1179</v>
      </c>
      <c r="G26" s="423">
        <v>3422.7579090000004</v>
      </c>
      <c r="H26" s="423">
        <v>261.96139400000004</v>
      </c>
      <c r="I26" s="423">
        <f t="shared" si="0"/>
        <v>3160.7965150000005</v>
      </c>
      <c r="J26" s="420"/>
      <c r="K26" s="424"/>
      <c r="L26" s="425"/>
      <c r="M26" s="419"/>
      <c r="N26" s="420"/>
      <c r="O26" s="420"/>
    </row>
    <row r="27" spans="1:15">
      <c r="A27" s="420" t="s">
        <v>1180</v>
      </c>
      <c r="B27" s="419" t="s">
        <v>1181</v>
      </c>
      <c r="C27" s="421" t="s">
        <v>1182</v>
      </c>
      <c r="D27" s="421">
        <v>18</v>
      </c>
      <c r="E27" s="420">
        <v>4</v>
      </c>
      <c r="F27" s="422" t="s">
        <v>1183</v>
      </c>
      <c r="G27" s="423">
        <v>45188.831934000016</v>
      </c>
      <c r="H27" s="429">
        <v>4294.9240329999993</v>
      </c>
      <c r="I27" s="423">
        <f t="shared" si="0"/>
        <v>40893.907901000013</v>
      </c>
      <c r="J27" s="420"/>
      <c r="K27" s="424"/>
      <c r="L27" s="425"/>
      <c r="M27" s="419"/>
      <c r="N27" s="420"/>
      <c r="O27" s="420"/>
    </row>
    <row r="28" spans="1:15">
      <c r="A28" s="420" t="s">
        <v>1184</v>
      </c>
      <c r="B28" s="420" t="s">
        <v>1185</v>
      </c>
      <c r="C28" s="431" t="s">
        <v>681</v>
      </c>
      <c r="D28" s="421">
        <v>18</v>
      </c>
      <c r="E28" s="432">
        <v>11.290000000000001</v>
      </c>
      <c r="F28" s="422" t="s">
        <v>1186</v>
      </c>
      <c r="G28" s="429">
        <v>1013440.1646210002</v>
      </c>
      <c r="H28" s="429">
        <v>53777.643586000006</v>
      </c>
      <c r="I28" s="423">
        <f t="shared" si="0"/>
        <v>959662.52103500022</v>
      </c>
      <c r="J28" s="432" t="s">
        <v>1187</v>
      </c>
      <c r="K28" s="424"/>
      <c r="L28" s="425"/>
      <c r="M28" s="419"/>
      <c r="N28" s="420"/>
      <c r="O28" s="420"/>
    </row>
    <row r="29" spans="1:15">
      <c r="A29" s="420" t="s">
        <v>1188</v>
      </c>
      <c r="B29" s="419" t="s">
        <v>1189</v>
      </c>
      <c r="C29" s="421" t="s">
        <v>1190</v>
      </c>
      <c r="D29" s="421">
        <v>22</v>
      </c>
      <c r="E29" s="420">
        <v>0.21</v>
      </c>
      <c r="F29" s="422" t="s">
        <v>1191</v>
      </c>
      <c r="G29" s="423">
        <v>168019.2380666614</v>
      </c>
      <c r="H29" s="423">
        <v>8131.4162670063306</v>
      </c>
      <c r="I29" s="423">
        <f t="shared" si="0"/>
        <v>159887.82179965507</v>
      </c>
      <c r="J29" s="420" t="s">
        <v>1192</v>
      </c>
      <c r="K29" s="424"/>
      <c r="L29" s="425"/>
      <c r="M29" s="419"/>
      <c r="N29" s="420"/>
      <c r="O29" s="420"/>
    </row>
    <row r="30" spans="1:15">
      <c r="A30" s="420" t="s">
        <v>1193</v>
      </c>
      <c r="B30" s="419" t="s">
        <v>1189</v>
      </c>
      <c r="C30" s="421" t="s">
        <v>1194</v>
      </c>
      <c r="D30" s="421">
        <v>22</v>
      </c>
      <c r="E30" s="420">
        <v>0.16</v>
      </c>
      <c r="F30" s="422"/>
      <c r="G30" s="420"/>
      <c r="H30" s="420"/>
      <c r="I30" s="423"/>
      <c r="J30" s="420"/>
      <c r="K30" s="419"/>
      <c r="L30" s="425"/>
      <c r="M30" s="419"/>
      <c r="N30" s="420"/>
      <c r="O30" s="420"/>
    </row>
    <row r="31" spans="1:15">
      <c r="A31" s="420" t="s">
        <v>1195</v>
      </c>
      <c r="B31" s="420" t="s">
        <v>1196</v>
      </c>
      <c r="C31" s="431" t="s">
        <v>1197</v>
      </c>
      <c r="D31" s="421">
        <v>26</v>
      </c>
      <c r="E31" s="420">
        <v>5.5</v>
      </c>
      <c r="F31" s="428">
        <v>183</v>
      </c>
      <c r="G31" s="423">
        <v>45759.577419499983</v>
      </c>
      <c r="H31" s="423">
        <v>6186.1883870000001</v>
      </c>
      <c r="I31" s="423">
        <f t="shared" si="0"/>
        <v>39573.389032499981</v>
      </c>
      <c r="J31" s="420"/>
      <c r="K31" s="419"/>
      <c r="L31" s="425"/>
      <c r="M31" s="419"/>
      <c r="N31" s="420"/>
      <c r="O31" s="420"/>
    </row>
    <row r="32" spans="1:15">
      <c r="A32" s="420"/>
      <c r="B32" s="420"/>
      <c r="C32" s="433"/>
      <c r="D32" s="419"/>
      <c r="E32" s="420"/>
      <c r="F32" s="428"/>
      <c r="G32" s="420"/>
      <c r="H32" s="420"/>
      <c r="I32" s="420"/>
      <c r="J32" s="420"/>
      <c r="K32" s="434"/>
      <c r="L32" s="419"/>
      <c r="M32" s="419"/>
      <c r="N32" s="420"/>
      <c r="O32" s="420"/>
    </row>
    <row r="33" spans="1:15">
      <c r="A33" s="420" t="s">
        <v>1594</v>
      </c>
      <c r="B33" s="419"/>
      <c r="C33" s="433"/>
      <c r="D33" s="419"/>
      <c r="E33" s="435">
        <f>SUM(E4:E32)</f>
        <v>71.72999999999999</v>
      </c>
      <c r="F33" s="419"/>
      <c r="G33" s="436">
        <f>+SUM(G4:G31)</f>
        <v>3149963.0321746385</v>
      </c>
      <c r="H33" s="436">
        <f>SUM(H4:H32)</f>
        <v>188780.04364831504</v>
      </c>
      <c r="I33" s="436">
        <f>SUM(I4:I32)</f>
        <v>2961182.9885263233</v>
      </c>
      <c r="J33" s="420"/>
      <c r="K33" s="434"/>
      <c r="L33" s="437"/>
      <c r="M33" s="419"/>
      <c r="N33" s="420"/>
      <c r="O33" s="420"/>
    </row>
    <row r="34" spans="1:15">
      <c r="A34" s="419"/>
      <c r="B34" s="419"/>
      <c r="C34" s="419"/>
      <c r="D34" s="419"/>
      <c r="E34" s="420"/>
      <c r="F34" s="419"/>
      <c r="G34" s="419"/>
      <c r="H34" s="420"/>
      <c r="I34" s="420"/>
      <c r="J34" s="420"/>
      <c r="K34" s="434"/>
      <c r="L34" s="419"/>
      <c r="M34" s="419"/>
      <c r="N34" s="420"/>
      <c r="O34" s="420"/>
    </row>
    <row r="35" spans="1:15">
      <c r="A35" s="438" t="s">
        <v>1198</v>
      </c>
      <c r="B35" s="419"/>
      <c r="C35" s="419"/>
      <c r="D35" s="419"/>
      <c r="E35" s="419"/>
      <c r="F35" s="419"/>
      <c r="G35" s="419"/>
      <c r="H35" s="420"/>
      <c r="I35" s="420"/>
      <c r="J35" s="420"/>
      <c r="K35" s="434"/>
      <c r="L35" s="419"/>
      <c r="M35" s="419"/>
      <c r="N35" s="420"/>
      <c r="O35" s="420"/>
    </row>
    <row r="36" spans="1:15">
      <c r="A36" s="420" t="s">
        <v>1199</v>
      </c>
      <c r="B36" s="420" t="s">
        <v>1200</v>
      </c>
      <c r="C36" s="434" t="s">
        <v>1201</v>
      </c>
      <c r="D36" s="434">
        <v>18</v>
      </c>
      <c r="E36" s="420">
        <v>8.5</v>
      </c>
      <c r="F36" s="420" t="s">
        <v>1202</v>
      </c>
      <c r="G36" s="420"/>
      <c r="H36" s="420"/>
      <c r="I36" s="420"/>
      <c r="J36" s="420"/>
      <c r="K36" s="434"/>
      <c r="L36" s="419"/>
      <c r="M36" s="419"/>
      <c r="N36" s="420"/>
      <c r="O36" s="420"/>
    </row>
    <row r="37" spans="1:15">
      <c r="A37" s="420" t="s">
        <v>1203</v>
      </c>
      <c r="B37" s="420" t="s">
        <v>1204</v>
      </c>
      <c r="C37" s="434" t="s">
        <v>1201</v>
      </c>
      <c r="D37" s="434">
        <v>18</v>
      </c>
      <c r="E37" s="420">
        <v>1.91</v>
      </c>
      <c r="F37" s="420" t="s">
        <v>1202</v>
      </c>
      <c r="G37" s="420"/>
      <c r="H37" s="420"/>
      <c r="I37" s="420"/>
      <c r="J37" s="420"/>
      <c r="K37" s="434"/>
      <c r="L37" s="419"/>
      <c r="M37" s="419"/>
      <c r="N37" s="420"/>
      <c r="O37" s="420"/>
    </row>
    <row r="38" spans="1:15">
      <c r="A38" s="420" t="s">
        <v>1203</v>
      </c>
      <c r="B38" s="420" t="s">
        <v>1204</v>
      </c>
      <c r="C38" s="434" t="s">
        <v>1201</v>
      </c>
      <c r="D38" s="434"/>
      <c r="E38" s="420">
        <v>0.88</v>
      </c>
      <c r="F38" s="420" t="s">
        <v>1202</v>
      </c>
      <c r="G38" s="420"/>
      <c r="H38" s="420"/>
      <c r="I38" s="420"/>
      <c r="J38" s="420"/>
      <c r="K38" s="434"/>
      <c r="L38" s="419"/>
      <c r="M38" s="419"/>
      <c r="N38" s="420"/>
      <c r="O38" s="420"/>
    </row>
    <row r="39" spans="1:15">
      <c r="A39" s="420"/>
      <c r="B39" s="420"/>
      <c r="C39" s="420"/>
      <c r="D39" s="420"/>
      <c r="E39" s="420">
        <f>SUM(E36:E38)</f>
        <v>11.290000000000001</v>
      </c>
      <c r="F39" s="439"/>
      <c r="G39" s="420"/>
      <c r="H39" s="420"/>
      <c r="I39" s="420"/>
      <c r="J39" s="420"/>
      <c r="K39" s="419"/>
      <c r="L39" s="419"/>
      <c r="M39" s="419"/>
      <c r="N39" s="419"/>
      <c r="O39" s="419"/>
    </row>
    <row r="40" spans="1:15">
      <c r="A40" s="440" t="s">
        <v>1205</v>
      </c>
      <c r="B40" s="420"/>
      <c r="C40" s="420"/>
      <c r="D40" s="420"/>
      <c r="E40" s="420"/>
      <c r="F40" s="439"/>
      <c r="G40" s="420"/>
      <c r="H40" s="420"/>
      <c r="I40" s="420"/>
      <c r="J40" s="420"/>
      <c r="K40" s="419"/>
      <c r="L40" s="419"/>
      <c r="M40" s="419"/>
      <c r="N40" s="419"/>
      <c r="O40" s="419"/>
    </row>
    <row r="41" spans="1:15">
      <c r="A41" s="420" t="s">
        <v>1166</v>
      </c>
      <c r="B41" s="420" t="s">
        <v>1206</v>
      </c>
      <c r="C41" s="420"/>
      <c r="D41" s="420"/>
      <c r="E41" s="420">
        <v>0.04</v>
      </c>
      <c r="F41" s="439" t="s">
        <v>1207</v>
      </c>
      <c r="G41" s="420"/>
      <c r="H41" s="420"/>
      <c r="I41" s="420"/>
      <c r="J41" s="420"/>
      <c r="K41" s="419"/>
      <c r="L41" s="419"/>
      <c r="M41" s="419"/>
      <c r="N41" s="419"/>
      <c r="O41" s="419"/>
    </row>
    <row r="42" spans="1:15">
      <c r="A42" s="420"/>
      <c r="B42" s="420"/>
      <c r="C42" s="420"/>
      <c r="D42" s="420"/>
      <c r="E42" s="420"/>
      <c r="F42" s="420"/>
      <c r="G42" s="420"/>
      <c r="H42" s="420"/>
      <c r="I42" s="420"/>
      <c r="J42" s="420"/>
      <c r="K42" s="419"/>
      <c r="L42" s="419"/>
      <c r="M42" s="419"/>
      <c r="N42" s="419"/>
      <c r="O42" s="419"/>
    </row>
    <row r="43" spans="1:15">
      <c r="A43" s="420"/>
      <c r="B43" s="420"/>
      <c r="C43" s="420"/>
      <c r="D43" s="420"/>
      <c r="E43" s="420"/>
      <c r="F43" s="420"/>
      <c r="G43" s="420"/>
      <c r="H43" s="420"/>
      <c r="I43" s="420"/>
      <c r="J43" s="420"/>
      <c r="K43" s="419"/>
      <c r="L43" s="419"/>
      <c r="M43" s="419"/>
      <c r="N43" s="419"/>
      <c r="O43" s="419"/>
    </row>
    <row r="44" spans="1:15">
      <c r="A44" s="440" t="s">
        <v>1208</v>
      </c>
      <c r="B44" s="420"/>
      <c r="C44" s="420"/>
      <c r="D44" s="420"/>
      <c r="E44" s="420"/>
      <c r="F44" s="420"/>
      <c r="G44" s="420"/>
      <c r="H44" s="420"/>
      <c r="I44" s="420"/>
      <c r="J44" s="420"/>
      <c r="K44" s="419"/>
      <c r="L44" s="419"/>
      <c r="M44" s="419"/>
      <c r="N44" s="419"/>
      <c r="O44" s="419"/>
    </row>
    <row r="45" spans="1:15">
      <c r="A45" s="420" t="s">
        <v>1209</v>
      </c>
      <c r="B45" s="420" t="s">
        <v>1108</v>
      </c>
      <c r="C45" s="434" t="s">
        <v>1210</v>
      </c>
      <c r="D45" s="434">
        <v>1</v>
      </c>
      <c r="E45" s="420">
        <v>0.33</v>
      </c>
      <c r="F45" s="422"/>
      <c r="G45" s="423"/>
      <c r="H45" s="423"/>
      <c r="I45" s="423"/>
      <c r="J45" s="420"/>
      <c r="K45" s="439"/>
      <c r="L45" s="420"/>
      <c r="M45" s="420"/>
      <c r="N45" s="420"/>
      <c r="O45" s="419"/>
    </row>
    <row r="46" spans="1:15">
      <c r="A46" s="420" t="s">
        <v>1211</v>
      </c>
      <c r="B46" s="420" t="s">
        <v>1212</v>
      </c>
      <c r="C46" s="434" t="s">
        <v>1213</v>
      </c>
      <c r="D46" s="434">
        <v>1</v>
      </c>
      <c r="E46" s="420">
        <v>0.87</v>
      </c>
      <c r="F46" s="422"/>
      <c r="G46" s="423"/>
      <c r="H46" s="423"/>
      <c r="I46" s="423"/>
      <c r="J46" s="420"/>
      <c r="K46" s="439"/>
      <c r="L46" s="420"/>
      <c r="M46" s="420"/>
      <c r="N46" s="420"/>
      <c r="O46" s="419"/>
    </row>
    <row r="47" spans="1:15">
      <c r="A47" s="420" t="s">
        <v>1214</v>
      </c>
      <c r="B47" s="420" t="s">
        <v>1215</v>
      </c>
      <c r="C47" s="434" t="s">
        <v>1216</v>
      </c>
      <c r="D47" s="434">
        <v>1</v>
      </c>
      <c r="E47" s="420">
        <v>0.78</v>
      </c>
      <c r="F47" s="422"/>
      <c r="G47" s="423"/>
      <c r="H47" s="423"/>
      <c r="I47" s="423"/>
      <c r="J47" s="420"/>
      <c r="K47" s="439"/>
      <c r="L47" s="420"/>
      <c r="M47" s="420"/>
      <c r="N47" s="420"/>
      <c r="O47" s="419"/>
    </row>
    <row r="48" spans="1:15">
      <c r="A48" s="420" t="s">
        <v>1217</v>
      </c>
      <c r="B48" s="420" t="s">
        <v>1218</v>
      </c>
      <c r="C48" s="434" t="s">
        <v>1219</v>
      </c>
      <c r="D48" s="434">
        <v>1</v>
      </c>
      <c r="E48" s="420">
        <v>0.22</v>
      </c>
      <c r="F48" s="422"/>
      <c r="G48" s="423"/>
      <c r="H48" s="423"/>
      <c r="I48" s="423"/>
      <c r="J48" s="420"/>
      <c r="K48" s="439"/>
      <c r="L48" s="420"/>
      <c r="M48" s="420"/>
      <c r="N48" s="420"/>
      <c r="O48" s="419"/>
    </row>
    <row r="49" spans="1:15">
      <c r="A49" s="420" t="s">
        <v>1220</v>
      </c>
      <c r="B49" s="420" t="s">
        <v>1121</v>
      </c>
      <c r="C49" s="434" t="s">
        <v>1221</v>
      </c>
      <c r="D49" s="434">
        <v>1</v>
      </c>
      <c r="E49" s="420">
        <v>0.78</v>
      </c>
      <c r="F49" s="422"/>
      <c r="G49" s="423"/>
      <c r="H49" s="423"/>
      <c r="I49" s="423"/>
      <c r="J49" s="420"/>
      <c r="K49" s="439"/>
      <c r="L49" s="420"/>
      <c r="M49" s="420"/>
      <c r="N49" s="420"/>
      <c r="O49" s="419"/>
    </row>
    <row r="50" spans="1:15">
      <c r="A50" s="420" t="s">
        <v>1222</v>
      </c>
      <c r="B50" s="420" t="s">
        <v>1223</v>
      </c>
      <c r="C50" s="434" t="s">
        <v>1224</v>
      </c>
      <c r="D50" s="434">
        <v>2</v>
      </c>
      <c r="E50" s="420">
        <v>0.02</v>
      </c>
      <c r="F50" s="422"/>
      <c r="G50" s="423"/>
      <c r="H50" s="423"/>
      <c r="I50" s="423"/>
      <c r="J50" s="420"/>
      <c r="K50" s="439"/>
      <c r="L50" s="423"/>
      <c r="M50" s="420"/>
      <c r="N50" s="420"/>
      <c r="O50" s="419"/>
    </row>
    <row r="51" spans="1:15">
      <c r="A51" s="420" t="s">
        <v>1225</v>
      </c>
      <c r="B51" s="420" t="s">
        <v>1226</v>
      </c>
      <c r="C51" s="434" t="s">
        <v>1227</v>
      </c>
      <c r="D51" s="434">
        <v>1</v>
      </c>
      <c r="E51" s="420">
        <v>0.92</v>
      </c>
      <c r="F51" s="422"/>
      <c r="G51" s="423"/>
      <c r="H51" s="423"/>
      <c r="I51" s="423"/>
      <c r="J51" s="420"/>
      <c r="K51" s="420"/>
      <c r="L51" s="420"/>
      <c r="M51" s="420"/>
      <c r="N51" s="420"/>
    </row>
    <row r="52" spans="1:15">
      <c r="A52" s="420" t="s">
        <v>1214</v>
      </c>
      <c r="B52" s="419" t="s">
        <v>1215</v>
      </c>
      <c r="C52" s="421" t="s">
        <v>1216</v>
      </c>
      <c r="D52" s="421">
        <v>1</v>
      </c>
      <c r="E52" s="419">
        <v>0.13</v>
      </c>
      <c r="F52" s="419"/>
      <c r="G52" s="419"/>
      <c r="H52" s="423"/>
      <c r="I52" s="423"/>
      <c r="J52" s="420"/>
      <c r="K52" s="420"/>
      <c r="L52" s="420"/>
      <c r="M52" s="420"/>
      <c r="N52" s="420"/>
    </row>
    <row r="53" spans="1:15">
      <c r="A53" s="420" t="s">
        <v>1228</v>
      </c>
      <c r="B53" s="420" t="s">
        <v>1226</v>
      </c>
      <c r="C53" s="434" t="s">
        <v>1227</v>
      </c>
      <c r="D53" s="434">
        <v>1</v>
      </c>
      <c r="E53" s="420">
        <v>0.03</v>
      </c>
      <c r="F53" s="422"/>
      <c r="G53" s="423"/>
      <c r="H53" s="423"/>
      <c r="I53" s="423"/>
      <c r="J53" s="420"/>
      <c r="K53" s="420"/>
      <c r="L53" s="420"/>
      <c r="M53" s="420"/>
      <c r="N53" s="420"/>
    </row>
    <row r="54" spans="1:15">
      <c r="A54" s="420" t="s">
        <v>1229</v>
      </c>
      <c r="B54" s="420" t="s">
        <v>1230</v>
      </c>
      <c r="C54" s="441" t="s">
        <v>1231</v>
      </c>
      <c r="D54" s="434">
        <v>22</v>
      </c>
      <c r="E54" s="420">
        <v>0.13</v>
      </c>
      <c r="F54" s="422"/>
      <c r="G54" s="420"/>
      <c r="H54" s="420"/>
      <c r="I54" s="420"/>
      <c r="J54" s="420"/>
      <c r="K54" s="420"/>
      <c r="L54" s="420"/>
      <c r="M54" s="420"/>
      <c r="N54" s="420"/>
    </row>
    <row r="55" spans="1:15">
      <c r="A55" s="420" t="s">
        <v>1232</v>
      </c>
      <c r="B55" s="420" t="s">
        <v>1233</v>
      </c>
      <c r="C55" s="434" t="s">
        <v>1234</v>
      </c>
      <c r="D55" s="434">
        <v>18</v>
      </c>
      <c r="E55" s="420">
        <v>0.2</v>
      </c>
      <c r="F55" s="420"/>
      <c r="G55" s="420"/>
      <c r="H55" s="420"/>
      <c r="I55" s="420"/>
      <c r="J55" s="420"/>
      <c r="K55" s="420"/>
      <c r="L55" s="420"/>
      <c r="M55" s="420"/>
      <c r="N55" s="420"/>
    </row>
    <row r="56" spans="1:15">
      <c r="A56" s="420" t="s">
        <v>1235</v>
      </c>
      <c r="B56" s="420" t="s">
        <v>1236</v>
      </c>
      <c r="C56" s="434" t="s">
        <v>1234</v>
      </c>
      <c r="D56" s="434">
        <v>18</v>
      </c>
      <c r="E56" s="420">
        <v>0.15</v>
      </c>
      <c r="F56" s="420"/>
      <c r="G56" s="420"/>
      <c r="H56" s="420"/>
      <c r="I56" s="420"/>
      <c r="J56" s="420"/>
      <c r="K56" s="420"/>
      <c r="L56" s="420"/>
      <c r="M56" s="420"/>
      <c r="N56" s="420"/>
    </row>
    <row r="57" spans="1:15">
      <c r="A57" s="420" t="s">
        <v>1237</v>
      </c>
      <c r="B57" s="420" t="s">
        <v>1204</v>
      </c>
      <c r="C57" s="434" t="s">
        <v>1234</v>
      </c>
      <c r="D57" s="434">
        <v>18</v>
      </c>
      <c r="E57" s="420">
        <v>0.1</v>
      </c>
      <c r="F57" s="420"/>
      <c r="G57" s="420"/>
      <c r="H57" s="420"/>
      <c r="I57" s="420"/>
      <c r="J57" s="420"/>
      <c r="K57" s="419"/>
      <c r="L57" s="419"/>
      <c r="M57" s="419"/>
      <c r="N57" s="419"/>
    </row>
    <row r="58" spans="1:15">
      <c r="A58" s="420"/>
      <c r="B58" s="420"/>
      <c r="C58" s="420"/>
      <c r="D58" s="434"/>
      <c r="E58" s="420">
        <f>SUM(E45:E57)</f>
        <v>4.660000000000001</v>
      </c>
      <c r="F58" s="420"/>
      <c r="G58" s="420"/>
      <c r="H58" s="420"/>
      <c r="I58" s="420"/>
      <c r="J58" s="420"/>
      <c r="K58" s="419"/>
      <c r="L58" s="419"/>
      <c r="M58" s="419"/>
      <c r="N58" s="419"/>
    </row>
    <row r="59" spans="1:15">
      <c r="A59" s="438" t="s">
        <v>1238</v>
      </c>
      <c r="B59" s="420"/>
      <c r="C59" s="419"/>
      <c r="D59" s="421"/>
      <c r="E59" s="420"/>
      <c r="F59" s="419"/>
      <c r="G59" s="419"/>
      <c r="H59" s="419"/>
      <c r="I59" s="419"/>
      <c r="J59" s="419"/>
      <c r="K59" s="419"/>
      <c r="L59" s="419"/>
      <c r="M59" s="419"/>
      <c r="N59" s="419"/>
    </row>
    <row r="60" spans="1:15">
      <c r="A60" s="419" t="s">
        <v>1239</v>
      </c>
      <c r="B60" s="419" t="s">
        <v>1240</v>
      </c>
      <c r="C60" s="421" t="s">
        <v>1241</v>
      </c>
      <c r="D60" s="421">
        <v>4</v>
      </c>
      <c r="E60" s="420">
        <v>2.91</v>
      </c>
      <c r="F60" s="419"/>
      <c r="G60" s="419"/>
      <c r="H60" s="419"/>
      <c r="I60" s="419"/>
      <c r="J60" s="419"/>
      <c r="K60" s="419"/>
      <c r="L60" s="419"/>
      <c r="M60" s="419"/>
      <c r="N60" s="419"/>
    </row>
    <row r="61" spans="1:15">
      <c r="A61" s="419" t="s">
        <v>1242</v>
      </c>
      <c r="B61" s="419" t="s">
        <v>1243</v>
      </c>
      <c r="C61" s="421" t="s">
        <v>1244</v>
      </c>
      <c r="D61" s="421">
        <v>4</v>
      </c>
      <c r="E61" s="420">
        <v>2.31</v>
      </c>
      <c r="F61" s="419"/>
      <c r="G61" s="419"/>
      <c r="H61" s="419"/>
      <c r="I61" s="419"/>
      <c r="J61" s="419"/>
      <c r="K61" s="419"/>
      <c r="L61" s="419"/>
      <c r="M61" s="419"/>
      <c r="N61" s="419"/>
    </row>
    <row r="62" spans="1:15">
      <c r="A62" s="419" t="s">
        <v>1245</v>
      </c>
      <c r="B62" s="419" t="s">
        <v>1246</v>
      </c>
      <c r="C62" s="421" t="s">
        <v>1244</v>
      </c>
      <c r="D62" s="421">
        <v>4</v>
      </c>
      <c r="E62" s="420">
        <v>0.49</v>
      </c>
      <c r="F62" s="419"/>
      <c r="G62" s="419"/>
      <c r="H62" s="419"/>
      <c r="I62" s="419"/>
      <c r="J62" s="419"/>
      <c r="K62" s="419"/>
      <c r="L62" s="419"/>
      <c r="M62" s="419"/>
      <c r="N62" s="419"/>
    </row>
    <row r="63" spans="1:15">
      <c r="A63" s="419" t="s">
        <v>1247</v>
      </c>
      <c r="B63" s="419" t="s">
        <v>1243</v>
      </c>
      <c r="C63" s="421" t="s">
        <v>1248</v>
      </c>
      <c r="D63" s="421">
        <v>4</v>
      </c>
      <c r="E63" s="420">
        <v>3.47</v>
      </c>
      <c r="F63" s="419"/>
      <c r="G63" s="419"/>
      <c r="H63" s="419"/>
      <c r="I63" s="419"/>
      <c r="J63" s="419"/>
      <c r="K63" s="419"/>
      <c r="L63" s="419"/>
      <c r="M63" s="419"/>
      <c r="N63" s="419"/>
    </row>
    <row r="64" spans="1:15">
      <c r="A64" s="419"/>
      <c r="B64" s="419"/>
      <c r="C64" s="419"/>
      <c r="D64" s="421"/>
      <c r="E64" s="442">
        <f>SUM(E60:E63)</f>
        <v>9.1800000000000015</v>
      </c>
      <c r="F64" s="421"/>
      <c r="G64" s="419"/>
      <c r="H64" s="419"/>
      <c r="I64" s="419"/>
      <c r="J64" s="419"/>
      <c r="K64" s="419"/>
      <c r="L64" s="419"/>
      <c r="M64" s="419"/>
      <c r="N64" s="419"/>
    </row>
    <row r="65" spans="1:14">
      <c r="A65" s="419"/>
      <c r="B65" s="419"/>
      <c r="C65" s="419"/>
      <c r="D65" s="421"/>
      <c r="E65" s="421"/>
      <c r="F65" s="421"/>
      <c r="G65" s="419"/>
      <c r="H65" s="419"/>
      <c r="I65" s="419"/>
      <c r="J65" s="419"/>
      <c r="K65" s="419"/>
      <c r="L65" s="437"/>
      <c r="M65" s="419"/>
      <c r="N65" s="419"/>
    </row>
    <row r="66" spans="1:14">
      <c r="A66" s="419" t="s">
        <v>1249</v>
      </c>
      <c r="B66" s="419"/>
      <c r="C66" s="419"/>
      <c r="D66" s="421"/>
      <c r="E66" s="421"/>
      <c r="F66" s="421"/>
      <c r="H66" s="419"/>
      <c r="I66" s="419"/>
      <c r="J66" s="419"/>
      <c r="K66" s="419"/>
      <c r="L66" s="419"/>
      <c r="M66" s="419"/>
      <c r="N66" s="419"/>
    </row>
    <row r="67" spans="1:14">
      <c r="A67" s="419" t="s">
        <v>1250</v>
      </c>
      <c r="B67" s="419"/>
      <c r="C67" s="419"/>
      <c r="D67" s="421"/>
      <c r="E67" s="443">
        <f>E33</f>
        <v>71.72999999999999</v>
      </c>
      <c r="F67" s="421"/>
      <c r="G67" s="419"/>
      <c r="H67" s="419"/>
      <c r="I67" s="419"/>
      <c r="J67" s="419"/>
      <c r="K67" s="419"/>
      <c r="L67" s="419"/>
      <c r="M67" s="419"/>
    </row>
    <row r="68" spans="1:14">
      <c r="A68" s="419" t="s">
        <v>1251</v>
      </c>
      <c r="B68" s="420"/>
      <c r="C68" s="419"/>
      <c r="D68" s="421"/>
      <c r="E68" s="419">
        <f>E58</f>
        <v>4.660000000000001</v>
      </c>
      <c r="F68" s="419"/>
      <c r="G68" s="419"/>
      <c r="H68" s="419"/>
      <c r="I68" s="419"/>
      <c r="J68" s="419"/>
      <c r="K68" s="419"/>
      <c r="L68" s="419"/>
      <c r="M68" s="419"/>
    </row>
    <row r="69" spans="1:14">
      <c r="A69" s="419" t="s">
        <v>1252</v>
      </c>
      <c r="B69" s="420"/>
      <c r="C69" s="419"/>
      <c r="D69" s="421"/>
      <c r="E69" s="419">
        <f>E64</f>
        <v>9.1800000000000015</v>
      </c>
      <c r="F69" s="419"/>
      <c r="G69" s="437"/>
      <c r="H69" s="419"/>
      <c r="I69" s="419"/>
      <c r="J69" s="419"/>
      <c r="K69" s="419"/>
      <c r="L69" s="419"/>
      <c r="M69" s="419"/>
    </row>
    <row r="70" spans="1:14">
      <c r="A70" s="438" t="s">
        <v>1249</v>
      </c>
      <c r="B70" s="420"/>
      <c r="C70" s="419"/>
      <c r="D70" s="421"/>
      <c r="E70" s="437">
        <f>SUM(E67:E69)</f>
        <v>85.57</v>
      </c>
      <c r="F70" s="419"/>
      <c r="G70" s="444"/>
      <c r="H70" s="419"/>
      <c r="I70" s="419"/>
      <c r="J70" s="419"/>
      <c r="K70" s="419"/>
      <c r="L70" s="419"/>
      <c r="M70" s="419"/>
    </row>
    <row r="71" spans="1:14">
      <c r="A71" s="419"/>
      <c r="B71" s="420"/>
      <c r="C71" s="420"/>
      <c r="D71" s="421"/>
      <c r="E71" s="437"/>
      <c r="F71" s="419"/>
      <c r="G71" s="419"/>
      <c r="H71" s="419"/>
      <c r="I71" s="419"/>
      <c r="J71" s="419"/>
      <c r="K71" s="419"/>
      <c r="L71" s="419"/>
      <c r="M71" s="419"/>
    </row>
    <row r="72" spans="1:14" ht="15" thickBot="1">
      <c r="A72" s="420"/>
      <c r="B72" s="420"/>
      <c r="C72" s="420"/>
      <c r="D72" s="434"/>
      <c r="E72" s="434"/>
      <c r="F72" s="434"/>
      <c r="G72" s="445"/>
      <c r="H72" s="420"/>
      <c r="I72" s="420"/>
      <c r="J72" s="420"/>
      <c r="K72" s="420"/>
      <c r="L72" s="420"/>
      <c r="M72" s="420"/>
    </row>
    <row r="73" spans="1:14">
      <c r="A73" s="446" t="s">
        <v>1253</v>
      </c>
      <c r="B73" s="447"/>
      <c r="C73" s="448" t="s">
        <v>1579</v>
      </c>
      <c r="D73" s="449" t="s">
        <v>1254</v>
      </c>
      <c r="E73" s="447" t="s">
        <v>1255</v>
      </c>
      <c r="F73" s="447" t="s">
        <v>1256</v>
      </c>
      <c r="G73" s="447" t="s">
        <v>1257</v>
      </c>
      <c r="H73" s="450"/>
      <c r="I73" s="452"/>
      <c r="J73" s="420"/>
      <c r="K73" s="420"/>
      <c r="L73" s="420"/>
      <c r="M73" s="420"/>
    </row>
    <row r="74" spans="1:14">
      <c r="A74" s="451" t="s">
        <v>1034</v>
      </c>
      <c r="B74" s="452"/>
      <c r="C74" s="453">
        <v>97087</v>
      </c>
      <c r="D74" s="485">
        <v>3197</v>
      </c>
      <c r="E74" s="518">
        <f>E70-E60</f>
        <v>82.66</v>
      </c>
      <c r="F74" s="455">
        <f>E74/D74</f>
        <v>2.5855489521426335E-2</v>
      </c>
      <c r="G74" s="427">
        <f>C74*F74</f>
        <v>2510.2319111667184</v>
      </c>
      <c r="H74" s="456"/>
      <c r="I74" s="452"/>
      <c r="J74" s="420"/>
      <c r="K74" s="420"/>
      <c r="L74" s="420"/>
      <c r="M74" s="420"/>
    </row>
    <row r="75" spans="1:14">
      <c r="A75" s="451" t="s">
        <v>1035</v>
      </c>
      <c r="B75" s="452"/>
      <c r="C75" s="453">
        <v>230744</v>
      </c>
      <c r="D75" s="485">
        <v>3197</v>
      </c>
      <c r="E75" s="518">
        <f>E70-E60</f>
        <v>82.66</v>
      </c>
      <c r="F75" s="455">
        <f>E75/D75</f>
        <v>2.5855489521426335E-2</v>
      </c>
      <c r="G75" s="427">
        <f>C75*F75</f>
        <v>5965.999074131998</v>
      </c>
      <c r="H75" s="456"/>
      <c r="I75" s="452"/>
      <c r="J75" s="420"/>
      <c r="K75" s="420"/>
      <c r="L75" s="420"/>
      <c r="M75" s="420"/>
    </row>
    <row r="76" spans="1:14" ht="15" thickBot="1">
      <c r="A76" s="457"/>
      <c r="B76" s="452"/>
      <c r="C76" s="454"/>
      <c r="D76" s="454"/>
      <c r="E76" s="454"/>
      <c r="F76" s="452"/>
      <c r="G76" s="484">
        <f>SUM(G74:G75)</f>
        <v>8476.2309852987164</v>
      </c>
      <c r="H76" s="456"/>
      <c r="I76" s="452"/>
      <c r="J76" s="420"/>
      <c r="K76" s="420"/>
      <c r="L76" s="420"/>
      <c r="M76" s="420"/>
    </row>
    <row r="77" spans="1:14" ht="15.6" thickTop="1" thickBot="1">
      <c r="A77" s="458"/>
      <c r="B77" s="459"/>
      <c r="C77" s="460"/>
      <c r="D77" s="460"/>
      <c r="E77" s="460"/>
      <c r="F77" s="459"/>
      <c r="G77" s="459"/>
      <c r="H77" s="461"/>
      <c r="I77" s="452"/>
      <c r="J77" s="420"/>
      <c r="K77" s="420"/>
      <c r="L77" s="420"/>
      <c r="M77" s="420"/>
    </row>
    <row r="78" spans="1:14" ht="15" thickBot="1">
      <c r="A78" s="452"/>
      <c r="B78" s="452"/>
      <c r="C78" s="454"/>
      <c r="D78" s="454"/>
      <c r="E78" s="454"/>
      <c r="F78" s="452"/>
      <c r="G78" s="452"/>
      <c r="H78" s="452"/>
      <c r="I78" s="452"/>
      <c r="J78" s="420"/>
      <c r="K78" s="420"/>
      <c r="L78" s="420"/>
      <c r="M78" s="420"/>
    </row>
    <row r="79" spans="1:14">
      <c r="A79" s="446" t="s">
        <v>1258</v>
      </c>
      <c r="B79" s="447"/>
      <c r="C79" s="448" t="s">
        <v>1579</v>
      </c>
      <c r="D79" s="449" t="s">
        <v>1254</v>
      </c>
      <c r="E79" s="447" t="s">
        <v>1255</v>
      </c>
      <c r="F79" s="447" t="s">
        <v>1256</v>
      </c>
      <c r="G79" s="447" t="s">
        <v>1257</v>
      </c>
      <c r="H79" s="450"/>
      <c r="I79" s="452"/>
      <c r="J79" s="420"/>
      <c r="K79" s="420"/>
      <c r="L79" s="420"/>
      <c r="M79" s="420"/>
    </row>
    <row r="80" spans="1:14">
      <c r="A80" s="451" t="s">
        <v>1034</v>
      </c>
      <c r="B80" s="452"/>
      <c r="C80" s="453">
        <f>+C74</f>
        <v>97087</v>
      </c>
      <c r="D80" s="485">
        <f>+D74</f>
        <v>3197</v>
      </c>
      <c r="E80" s="518">
        <f>E60</f>
        <v>2.91</v>
      </c>
      <c r="F80" s="455">
        <f>E80/D80</f>
        <v>9.1022833906787622E-4</v>
      </c>
      <c r="G80" s="427">
        <f>C80*F80</f>
        <v>88.371338755082903</v>
      </c>
      <c r="H80" s="456"/>
      <c r="I80" s="452"/>
      <c r="J80" s="420"/>
      <c r="K80" s="420"/>
      <c r="L80" s="420"/>
      <c r="M80" s="420"/>
    </row>
    <row r="81" spans="1:13">
      <c r="A81" s="451" t="s">
        <v>1035</v>
      </c>
      <c r="B81" s="452"/>
      <c r="C81" s="453">
        <f>+C75</f>
        <v>230744</v>
      </c>
      <c r="D81" s="485">
        <f>+D80</f>
        <v>3197</v>
      </c>
      <c r="E81" s="518">
        <f>E60</f>
        <v>2.91</v>
      </c>
      <c r="F81" s="455">
        <f>E81/D81</f>
        <v>9.1022833906787622E-4</v>
      </c>
      <c r="G81" s="427">
        <f>C81*F81</f>
        <v>210.02972786987803</v>
      </c>
      <c r="H81" s="456"/>
      <c r="I81" s="452"/>
      <c r="J81" s="420"/>
      <c r="K81" s="420"/>
      <c r="L81" s="420"/>
      <c r="M81" s="420"/>
    </row>
    <row r="82" spans="1:13" ht="15" thickBot="1">
      <c r="A82" s="457"/>
      <c r="B82" s="452"/>
      <c r="C82" s="454"/>
      <c r="D82" s="454"/>
      <c r="E82" s="454"/>
      <c r="F82" s="452"/>
      <c r="G82" s="484">
        <f>SUM(G80:G81)</f>
        <v>298.40106662496095</v>
      </c>
      <c r="H82" s="456"/>
      <c r="I82" s="452"/>
      <c r="J82" s="420"/>
      <c r="K82" s="420"/>
      <c r="L82" s="420"/>
      <c r="M82" s="420"/>
    </row>
    <row r="83" spans="1:13" ht="15.6" thickTop="1" thickBot="1">
      <c r="A83" s="458"/>
      <c r="B83" s="459"/>
      <c r="C83" s="460"/>
      <c r="D83" s="460"/>
      <c r="E83" s="460"/>
      <c r="F83" s="459"/>
      <c r="G83" s="459"/>
      <c r="H83" s="461"/>
      <c r="I83" s="452"/>
      <c r="J83" s="420"/>
      <c r="K83" s="420"/>
      <c r="L83" s="420"/>
      <c r="M83" s="420"/>
    </row>
    <row r="84" spans="1:13" ht="15" thickBot="1">
      <c r="A84" s="420"/>
      <c r="B84" s="420"/>
      <c r="C84" s="434"/>
      <c r="D84" s="434"/>
      <c r="E84" s="434"/>
      <c r="F84" s="420"/>
      <c r="G84" s="420"/>
      <c r="H84" s="420"/>
      <c r="I84" s="420"/>
      <c r="J84" s="420"/>
      <c r="K84" s="420"/>
      <c r="L84" s="420"/>
      <c r="M84" s="420"/>
    </row>
    <row r="85" spans="1:13">
      <c r="A85" s="446" t="s">
        <v>1259</v>
      </c>
      <c r="B85" s="447"/>
      <c r="C85" s="462"/>
      <c r="D85" s="449"/>
      <c r="E85" s="449"/>
      <c r="F85" s="448"/>
      <c r="G85" s="462"/>
      <c r="H85" s="450"/>
      <c r="I85" s="452"/>
      <c r="J85" s="420"/>
      <c r="K85" s="420"/>
      <c r="L85" s="420"/>
      <c r="M85" s="420"/>
    </row>
    <row r="86" spans="1:13" ht="52.8">
      <c r="A86" s="451"/>
      <c r="B86" s="452"/>
      <c r="C86" s="463" t="s">
        <v>1579</v>
      </c>
      <c r="D86" s="519" t="s">
        <v>1260</v>
      </c>
      <c r="E86" s="520" t="s">
        <v>1261</v>
      </c>
      <c r="F86" s="464" t="s">
        <v>1262</v>
      </c>
      <c r="G86" s="464" t="s">
        <v>1263</v>
      </c>
      <c r="H86" s="456"/>
      <c r="I86" s="452"/>
      <c r="J86" s="420"/>
      <c r="K86" s="420"/>
      <c r="L86" s="420"/>
      <c r="M86" s="420"/>
    </row>
    <row r="87" spans="1:13">
      <c r="A87" s="451" t="s">
        <v>1034</v>
      </c>
      <c r="B87" s="452"/>
      <c r="C87" s="453">
        <v>97087</v>
      </c>
      <c r="D87" s="427">
        <f>+C87*0.75</f>
        <v>72815.25</v>
      </c>
      <c r="E87" s="427">
        <v>21036</v>
      </c>
      <c r="F87" s="465">
        <v>229</v>
      </c>
      <c r="G87" s="465">
        <f>(F87/E87)*D87</f>
        <v>792.67409440958352</v>
      </c>
      <c r="H87" s="456"/>
      <c r="I87" s="452"/>
      <c r="J87" s="420"/>
      <c r="K87" s="420"/>
      <c r="L87" s="420"/>
      <c r="M87" s="420"/>
    </row>
    <row r="88" spans="1:13">
      <c r="A88" s="451" t="s">
        <v>1035</v>
      </c>
      <c r="B88" s="452"/>
      <c r="C88" s="453">
        <v>230744</v>
      </c>
      <c r="D88" s="619">
        <f>+C88*0.75</f>
        <v>173058</v>
      </c>
      <c r="E88" s="427">
        <v>21036</v>
      </c>
      <c r="F88" s="465">
        <v>229</v>
      </c>
      <c r="G88" s="465">
        <f>(F88/E88)*D88</f>
        <v>1883.9266970907015</v>
      </c>
      <c r="H88" s="456"/>
      <c r="I88" s="452"/>
      <c r="J88" s="420"/>
      <c r="K88" s="420"/>
      <c r="L88" s="420"/>
      <c r="M88" s="420"/>
    </row>
    <row r="89" spans="1:13" ht="15" thickBot="1">
      <c r="A89" s="451"/>
      <c r="B89" s="467"/>
      <c r="C89" s="466"/>
      <c r="D89" s="466"/>
      <c r="E89" s="466"/>
      <c r="F89" s="466"/>
      <c r="G89" s="483">
        <f>SUM(G87:G88)</f>
        <v>2676.6007915002851</v>
      </c>
      <c r="H89" s="468"/>
      <c r="I89" s="481"/>
      <c r="J89" s="420"/>
      <c r="K89" s="420"/>
      <c r="L89" s="420"/>
      <c r="M89" s="420"/>
    </row>
    <row r="90" spans="1:13" ht="15.6" thickTop="1" thickBot="1">
      <c r="A90" s="458"/>
      <c r="B90" s="459"/>
      <c r="C90" s="460"/>
      <c r="D90" s="460"/>
      <c r="E90" s="460"/>
      <c r="F90" s="459"/>
      <c r="G90" s="459"/>
      <c r="H90" s="469"/>
      <c r="I90" s="481"/>
      <c r="J90" s="420"/>
      <c r="K90" s="420"/>
      <c r="L90" s="420"/>
      <c r="M90" s="420"/>
    </row>
    <row r="91" spans="1:13">
      <c r="A91" s="420"/>
      <c r="B91" s="420"/>
      <c r="C91" s="434"/>
      <c r="D91" s="434"/>
      <c r="E91" s="434"/>
      <c r="F91" s="420"/>
      <c r="G91" s="420"/>
      <c r="H91" s="470"/>
      <c r="I91" s="470"/>
      <c r="J91" s="420"/>
      <c r="K91" s="420"/>
      <c r="L91" s="420"/>
      <c r="M91" s="420"/>
    </row>
    <row r="92" spans="1:13">
      <c r="A92" s="420"/>
      <c r="B92" s="420"/>
      <c r="C92" s="434"/>
      <c r="D92" s="434"/>
      <c r="E92" s="434"/>
      <c r="F92" s="420"/>
      <c r="G92" s="482"/>
      <c r="H92" s="470"/>
      <c r="I92" s="470"/>
      <c r="J92" s="420"/>
      <c r="K92" s="420"/>
      <c r="L92" s="420"/>
      <c r="M92" s="420"/>
    </row>
    <row r="93" spans="1:13">
      <c r="A93" s="420"/>
      <c r="B93" s="420"/>
      <c r="C93" s="434"/>
      <c r="D93" s="434"/>
      <c r="E93" s="434"/>
      <c r="F93" s="420"/>
      <c r="G93" s="420"/>
      <c r="H93" s="470"/>
      <c r="I93" s="470"/>
      <c r="J93" s="420"/>
      <c r="K93" s="420"/>
      <c r="L93" s="420"/>
      <c r="M93" s="420"/>
    </row>
    <row r="94" spans="1:13">
      <c r="A94" s="420"/>
      <c r="B94" s="420"/>
      <c r="C94" s="434"/>
      <c r="D94" s="434"/>
      <c r="E94" s="434"/>
      <c r="F94" s="420"/>
      <c r="G94" s="420"/>
      <c r="H94" s="470"/>
      <c r="I94" s="470"/>
      <c r="J94" s="420"/>
      <c r="K94" s="420"/>
      <c r="L94" s="420"/>
      <c r="M94" s="420"/>
    </row>
    <row r="95" spans="1:13">
      <c r="A95" s="420"/>
      <c r="B95" s="420"/>
      <c r="C95" s="434"/>
      <c r="D95" s="434"/>
      <c r="E95" s="434"/>
      <c r="F95" s="420"/>
      <c r="G95" s="420"/>
      <c r="H95" s="470"/>
      <c r="I95" s="470"/>
      <c r="J95" s="420"/>
      <c r="K95" s="420"/>
      <c r="L95" s="420"/>
      <c r="M95" s="420"/>
    </row>
    <row r="96" spans="1:13">
      <c r="A96" s="420"/>
      <c r="B96" s="420"/>
      <c r="C96" s="434"/>
      <c r="D96" s="434"/>
      <c r="E96" s="434"/>
      <c r="F96" s="420"/>
      <c r="G96" s="420"/>
      <c r="H96" s="470"/>
      <c r="I96" s="470"/>
      <c r="J96" s="420"/>
      <c r="K96" s="420"/>
      <c r="L96" s="420"/>
      <c r="M96" s="420"/>
    </row>
    <row r="97" spans="1:13">
      <c r="A97" s="420"/>
      <c r="B97" s="420"/>
      <c r="C97" s="434"/>
      <c r="D97" s="434"/>
      <c r="E97" s="434"/>
      <c r="F97" s="420"/>
      <c r="G97" s="420"/>
      <c r="H97" s="470"/>
      <c r="I97" s="470"/>
      <c r="J97" s="420"/>
      <c r="K97" s="420"/>
      <c r="L97" s="420"/>
      <c r="M97" s="420"/>
    </row>
    <row r="98" spans="1:13">
      <c r="A98" s="420"/>
      <c r="B98" s="420"/>
      <c r="C98" s="434"/>
      <c r="D98" s="434"/>
      <c r="E98" s="434"/>
      <c r="F98" s="420"/>
      <c r="G98" s="420"/>
      <c r="H98" s="470"/>
      <c r="I98" s="470"/>
      <c r="J98" s="420"/>
      <c r="K98" s="420"/>
      <c r="L98" s="420"/>
      <c r="M98" s="420"/>
    </row>
    <row r="99" spans="1:13">
      <c r="A99" s="420"/>
      <c r="B99" s="420"/>
      <c r="C99" s="434"/>
      <c r="D99" s="434"/>
      <c r="E99" s="434"/>
      <c r="F99" s="420"/>
      <c r="G99" s="420"/>
      <c r="H99" s="470"/>
      <c r="I99" s="470"/>
      <c r="J99" s="420"/>
      <c r="K99" s="420"/>
      <c r="L99" s="420"/>
      <c r="M99" s="420"/>
    </row>
    <row r="100" spans="1:13">
      <c r="A100" s="420"/>
      <c r="B100" s="420"/>
      <c r="C100" s="434"/>
      <c r="D100" s="434"/>
      <c r="E100" s="434"/>
      <c r="F100" s="420"/>
      <c r="G100" s="420"/>
      <c r="H100" s="470"/>
      <c r="I100" s="470"/>
      <c r="J100" s="420"/>
      <c r="K100" s="420"/>
      <c r="L100" s="420"/>
      <c r="M100" s="420"/>
    </row>
    <row r="101" spans="1:13">
      <c r="A101" s="420"/>
      <c r="B101" s="420"/>
      <c r="C101" s="434"/>
      <c r="D101" s="434"/>
      <c r="E101" s="434"/>
      <c r="F101" s="420"/>
      <c r="G101" s="420"/>
      <c r="H101" s="470"/>
      <c r="I101" s="470"/>
      <c r="J101" s="420"/>
      <c r="K101" s="420"/>
      <c r="L101" s="420"/>
      <c r="M101" s="420"/>
    </row>
    <row r="102" spans="1:13">
      <c r="A102" s="420"/>
      <c r="B102" s="420"/>
      <c r="C102" s="434"/>
      <c r="D102" s="434"/>
      <c r="E102" s="434"/>
      <c r="F102" s="420"/>
      <c r="G102" s="420"/>
      <c r="H102" s="470"/>
      <c r="I102" s="470"/>
      <c r="J102" s="420"/>
      <c r="K102" s="420"/>
      <c r="L102" s="420"/>
      <c r="M102" s="420"/>
    </row>
    <row r="103" spans="1:13">
      <c r="A103" s="420"/>
      <c r="B103" s="420"/>
      <c r="C103" s="434"/>
      <c r="D103" s="434"/>
      <c r="E103" s="434"/>
      <c r="F103" s="420"/>
      <c r="G103" s="420"/>
      <c r="H103" s="470"/>
      <c r="I103" s="470"/>
      <c r="J103" s="420"/>
      <c r="K103" s="420"/>
      <c r="L103" s="420"/>
      <c r="M103" s="420"/>
    </row>
    <row r="104" spans="1:13">
      <c r="A104" s="420"/>
      <c r="B104" s="420"/>
      <c r="C104" s="434"/>
      <c r="D104" s="434"/>
      <c r="E104" s="434"/>
      <c r="F104" s="420"/>
      <c r="G104" s="420"/>
      <c r="H104" s="470"/>
      <c r="I104" s="470"/>
      <c r="J104" s="420"/>
      <c r="K104" s="420"/>
      <c r="L104" s="420"/>
      <c r="M104" s="420"/>
    </row>
    <row r="105" spans="1:13">
      <c r="A105" s="420"/>
      <c r="B105" s="420"/>
      <c r="C105" s="434"/>
      <c r="D105" s="434"/>
      <c r="E105" s="434"/>
      <c r="F105" s="420"/>
      <c r="G105" s="420"/>
      <c r="H105" s="470"/>
      <c r="I105" s="470"/>
      <c r="J105" s="420"/>
      <c r="K105" s="420"/>
      <c r="L105" s="420"/>
      <c r="M105" s="420"/>
    </row>
    <row r="106" spans="1:13">
      <c r="A106" s="420"/>
      <c r="B106" s="420"/>
      <c r="C106" s="434"/>
      <c r="D106" s="434"/>
      <c r="E106" s="434"/>
      <c r="F106" s="420"/>
      <c r="G106" s="420"/>
      <c r="H106" s="470"/>
      <c r="I106" s="470"/>
      <c r="J106" s="420"/>
      <c r="K106" s="420"/>
      <c r="L106" s="420"/>
      <c r="M106" s="420"/>
    </row>
    <row r="107" spans="1:13">
      <c r="A107" s="420"/>
      <c r="B107" s="420"/>
      <c r="C107" s="434"/>
      <c r="D107" s="434"/>
      <c r="E107" s="434"/>
      <c r="F107" s="420"/>
      <c r="G107" s="420"/>
      <c r="H107" s="420"/>
      <c r="I107" s="420"/>
      <c r="J107" s="420"/>
      <c r="K107" s="420"/>
      <c r="L107" s="420"/>
      <c r="M107" s="420"/>
    </row>
    <row r="108" spans="1:13">
      <c r="A108" s="420"/>
      <c r="B108" s="420"/>
      <c r="C108" s="434"/>
      <c r="D108" s="434"/>
      <c r="E108" s="434"/>
      <c r="F108" s="420"/>
      <c r="G108" s="420"/>
      <c r="H108" s="470"/>
      <c r="I108" s="470"/>
      <c r="J108" s="420"/>
      <c r="K108" s="420"/>
      <c r="L108" s="420"/>
      <c r="M108" s="420"/>
    </row>
    <row r="109" spans="1:13">
      <c r="A109" s="420"/>
      <c r="B109" s="420"/>
      <c r="C109" s="434"/>
      <c r="D109" s="434"/>
      <c r="E109" s="434"/>
      <c r="F109" s="420"/>
      <c r="G109" s="420"/>
      <c r="H109" s="470"/>
      <c r="I109" s="470"/>
      <c r="J109" s="420"/>
      <c r="K109" s="420"/>
      <c r="L109" s="420"/>
      <c r="M109" s="420"/>
    </row>
    <row r="110" spans="1:13">
      <c r="A110" s="420"/>
      <c r="B110" s="420"/>
      <c r="C110" s="434"/>
      <c r="D110" s="434"/>
      <c r="E110" s="434"/>
      <c r="F110" s="420"/>
      <c r="G110" s="420"/>
      <c r="H110" s="470"/>
      <c r="I110" s="470"/>
      <c r="J110" s="420"/>
      <c r="K110" s="420"/>
      <c r="L110" s="420"/>
      <c r="M110" s="420"/>
    </row>
    <row r="111" spans="1:13">
      <c r="A111" s="420"/>
      <c r="B111" s="420"/>
      <c r="C111" s="434"/>
      <c r="D111" s="434"/>
      <c r="E111" s="434"/>
      <c r="F111" s="420"/>
      <c r="G111" s="420"/>
      <c r="H111" s="470"/>
      <c r="I111" s="470"/>
      <c r="J111" s="420"/>
      <c r="K111" s="420"/>
      <c r="L111" s="420"/>
      <c r="M111" s="420"/>
    </row>
    <row r="112" spans="1:13">
      <c r="A112" s="420"/>
      <c r="B112" s="420"/>
      <c r="C112" s="434"/>
      <c r="D112" s="434"/>
      <c r="E112" s="434"/>
      <c r="F112" s="420"/>
      <c r="G112" s="420"/>
      <c r="H112" s="470"/>
      <c r="I112" s="470"/>
      <c r="J112" s="420"/>
      <c r="K112" s="420"/>
      <c r="L112" s="420"/>
      <c r="M112" s="420"/>
    </row>
    <row r="113" spans="1:13">
      <c r="A113" s="420"/>
      <c r="B113" s="420"/>
      <c r="C113" s="434"/>
      <c r="D113" s="434"/>
      <c r="E113" s="434"/>
      <c r="F113" s="420"/>
      <c r="G113" s="420"/>
      <c r="H113" s="470"/>
      <c r="I113" s="470"/>
      <c r="J113" s="420"/>
      <c r="K113" s="420"/>
      <c r="L113" s="420"/>
      <c r="M113" s="420"/>
    </row>
    <row r="114" spans="1:13">
      <c r="A114" s="420"/>
      <c r="B114" s="420"/>
      <c r="C114" s="434"/>
      <c r="D114" s="434"/>
      <c r="E114" s="434"/>
      <c r="F114" s="420"/>
      <c r="G114" s="420"/>
      <c r="H114" s="470"/>
      <c r="I114" s="470"/>
      <c r="J114" s="420"/>
      <c r="K114" s="420"/>
      <c r="L114" s="420"/>
      <c r="M114" s="420"/>
    </row>
    <row r="115" spans="1:13">
      <c r="A115" s="420"/>
      <c r="B115" s="420"/>
      <c r="C115" s="434"/>
      <c r="D115" s="434"/>
      <c r="E115" s="434"/>
      <c r="F115" s="420"/>
      <c r="G115" s="434"/>
      <c r="H115" s="470"/>
      <c r="I115" s="470"/>
      <c r="J115" s="420"/>
      <c r="K115" s="420"/>
      <c r="L115" s="420"/>
      <c r="M115" s="420"/>
    </row>
    <row r="116" spans="1:13">
      <c r="A116" s="420"/>
      <c r="B116" s="420"/>
      <c r="C116" s="434"/>
      <c r="D116" s="434"/>
      <c r="E116" s="434"/>
      <c r="F116" s="420"/>
      <c r="G116" s="420"/>
      <c r="H116" s="470"/>
      <c r="I116" s="470"/>
      <c r="J116" s="420"/>
      <c r="K116" s="420"/>
      <c r="L116" s="420"/>
      <c r="M116" s="420"/>
    </row>
    <row r="117" spans="1:13">
      <c r="A117" s="420"/>
      <c r="B117" s="420"/>
      <c r="C117" s="434"/>
      <c r="D117" s="434"/>
      <c r="E117" s="434"/>
      <c r="F117" s="420"/>
      <c r="G117" s="420"/>
      <c r="H117" s="470"/>
      <c r="I117" s="470"/>
      <c r="J117" s="420"/>
      <c r="K117" s="420"/>
      <c r="L117" s="420"/>
      <c r="M117" s="420"/>
    </row>
    <row r="118" spans="1:13">
      <c r="A118" s="420"/>
      <c r="B118" s="420"/>
      <c r="C118" s="434"/>
      <c r="D118" s="434"/>
      <c r="E118" s="434"/>
      <c r="F118" s="420"/>
      <c r="G118" s="420"/>
      <c r="H118" s="470"/>
      <c r="I118" s="470"/>
      <c r="J118" s="420"/>
      <c r="K118" s="420"/>
      <c r="L118" s="420"/>
      <c r="M118" s="420"/>
    </row>
    <row r="119" spans="1:13">
      <c r="A119" s="420"/>
      <c r="B119" s="420"/>
      <c r="C119" s="434"/>
      <c r="D119" s="434"/>
      <c r="E119" s="434"/>
      <c r="F119" s="420"/>
      <c r="G119" s="420"/>
      <c r="H119" s="470"/>
      <c r="I119" s="470"/>
      <c r="J119" s="420"/>
      <c r="K119" s="420"/>
      <c r="L119" s="420"/>
      <c r="M119" s="420"/>
    </row>
    <row r="120" spans="1:13">
      <c r="A120" s="420"/>
      <c r="B120" s="420"/>
      <c r="C120" s="434"/>
      <c r="D120" s="434"/>
      <c r="E120" s="434"/>
      <c r="F120" s="420"/>
      <c r="G120" s="420"/>
      <c r="H120" s="470"/>
      <c r="I120" s="470"/>
      <c r="J120" s="420"/>
      <c r="K120" s="420"/>
      <c r="L120" s="420"/>
      <c r="M120" s="420"/>
    </row>
    <row r="121" spans="1:13">
      <c r="A121" s="420"/>
      <c r="B121" s="420"/>
      <c r="C121" s="434"/>
      <c r="D121" s="434"/>
      <c r="E121" s="434"/>
      <c r="F121" s="420"/>
      <c r="G121" s="420"/>
      <c r="H121" s="470"/>
      <c r="I121" s="470"/>
      <c r="J121" s="420"/>
      <c r="K121" s="420"/>
      <c r="L121" s="420"/>
      <c r="M121" s="420"/>
    </row>
    <row r="122" spans="1:13">
      <c r="A122" s="420"/>
      <c r="B122" s="420"/>
      <c r="C122" s="434"/>
      <c r="D122" s="434"/>
      <c r="E122" s="434"/>
      <c r="F122" s="420"/>
      <c r="G122" s="420"/>
      <c r="H122" s="470"/>
      <c r="I122" s="470"/>
      <c r="J122" s="420"/>
      <c r="K122" s="420"/>
      <c r="L122" s="420"/>
      <c r="M122" s="420"/>
    </row>
    <row r="123" spans="1:13">
      <c r="A123" s="420"/>
      <c r="B123" s="420"/>
      <c r="C123" s="434"/>
      <c r="D123" s="434"/>
      <c r="E123" s="434"/>
      <c r="F123" s="420"/>
      <c r="G123" s="420"/>
      <c r="H123" s="470"/>
      <c r="I123" s="470"/>
      <c r="J123" s="420"/>
      <c r="K123" s="420"/>
      <c r="L123" s="420"/>
      <c r="M123" s="420"/>
    </row>
    <row r="124" spans="1:13">
      <c r="A124" s="420"/>
      <c r="B124" s="420"/>
      <c r="C124" s="420"/>
      <c r="D124" s="420"/>
      <c r="E124" s="420"/>
      <c r="F124" s="420"/>
      <c r="G124" s="420"/>
      <c r="H124" s="420"/>
      <c r="I124" s="420"/>
      <c r="J124" s="420"/>
      <c r="K124" s="420"/>
      <c r="L124" s="420"/>
      <c r="M124" s="420"/>
    </row>
    <row r="125" spans="1:13">
      <c r="A125" s="420"/>
      <c r="B125" s="420"/>
      <c r="C125" s="420"/>
      <c r="D125" s="420"/>
      <c r="E125" s="420"/>
      <c r="F125" s="420"/>
      <c r="G125" s="420"/>
      <c r="H125" s="420"/>
      <c r="I125" s="420"/>
      <c r="J125" s="420"/>
      <c r="K125" s="420"/>
      <c r="L125" s="420"/>
      <c r="M125" s="420"/>
    </row>
    <row r="126" spans="1:13">
      <c r="A126" s="420"/>
      <c r="B126" s="420"/>
      <c r="C126" s="420"/>
      <c r="D126" s="420"/>
      <c r="E126" s="420"/>
      <c r="F126" s="420"/>
      <c r="G126" s="420"/>
      <c r="H126" s="420"/>
      <c r="I126" s="420"/>
      <c r="J126" s="420"/>
      <c r="K126" s="420"/>
      <c r="L126" s="420"/>
      <c r="M126" s="420"/>
    </row>
    <row r="127" spans="1:13">
      <c r="A127" s="420"/>
      <c r="B127" s="420"/>
      <c r="C127" s="434"/>
      <c r="D127" s="434"/>
      <c r="E127" s="434"/>
      <c r="F127" s="420"/>
      <c r="G127" s="420"/>
      <c r="H127" s="470"/>
      <c r="I127" s="470"/>
      <c r="J127" s="420"/>
      <c r="K127" s="420"/>
      <c r="L127" s="420"/>
      <c r="M127" s="420"/>
    </row>
    <row r="128" spans="1:13">
      <c r="A128" s="420"/>
      <c r="B128" s="420"/>
      <c r="C128" s="434"/>
      <c r="D128" s="434"/>
      <c r="E128" s="434"/>
      <c r="F128" s="420"/>
      <c r="G128" s="420"/>
      <c r="H128" s="470"/>
      <c r="I128" s="470"/>
      <c r="J128" s="420"/>
      <c r="K128" s="420"/>
      <c r="L128" s="420"/>
      <c r="M128" s="420"/>
    </row>
    <row r="129" spans="1:13">
      <c r="A129" s="420"/>
      <c r="B129" s="420"/>
      <c r="C129" s="434"/>
      <c r="D129" s="434"/>
      <c r="E129" s="434"/>
      <c r="F129" s="420"/>
      <c r="G129" s="420"/>
      <c r="H129" s="470"/>
      <c r="I129" s="470"/>
      <c r="J129" s="420"/>
      <c r="K129" s="420"/>
      <c r="L129" s="420"/>
      <c r="M129" s="420"/>
    </row>
    <row r="130" spans="1:13">
      <c r="A130" s="420"/>
      <c r="B130" s="420"/>
      <c r="C130" s="434"/>
      <c r="D130" s="434"/>
      <c r="E130" s="434"/>
      <c r="F130" s="420"/>
      <c r="G130" s="420"/>
      <c r="H130" s="420"/>
      <c r="I130" s="420"/>
      <c r="J130" s="420"/>
      <c r="K130" s="420"/>
      <c r="L130" s="420"/>
      <c r="M130" s="420"/>
    </row>
    <row r="131" spans="1:13">
      <c r="A131" s="420"/>
      <c r="B131" s="420"/>
      <c r="C131" s="434"/>
      <c r="D131" s="434"/>
      <c r="E131" s="434"/>
      <c r="F131" s="420"/>
      <c r="G131" s="420"/>
      <c r="H131" s="470"/>
      <c r="I131" s="470"/>
      <c r="J131" s="420"/>
      <c r="K131" s="420"/>
      <c r="L131" s="420"/>
      <c r="M131" s="420"/>
    </row>
    <row r="132" spans="1:13">
      <c r="A132" s="420"/>
      <c r="B132" s="420"/>
      <c r="C132" s="434"/>
      <c r="D132" s="434"/>
      <c r="E132" s="434"/>
      <c r="F132" s="420"/>
      <c r="G132" s="420"/>
      <c r="H132" s="470"/>
      <c r="I132" s="470"/>
      <c r="J132" s="420"/>
      <c r="K132" s="420"/>
      <c r="L132" s="420"/>
      <c r="M132" s="420"/>
    </row>
    <row r="133" spans="1:13">
      <c r="A133" s="420"/>
      <c r="B133" s="420"/>
      <c r="C133" s="434"/>
      <c r="D133" s="434"/>
      <c r="E133" s="434"/>
      <c r="F133" s="420"/>
      <c r="G133" s="420"/>
      <c r="H133" s="470"/>
      <c r="I133" s="470"/>
      <c r="J133" s="420"/>
      <c r="K133" s="420"/>
      <c r="L133" s="420"/>
      <c r="M133" s="420"/>
    </row>
    <row r="134" spans="1:13">
      <c r="A134" s="420"/>
      <c r="B134" s="420"/>
      <c r="C134" s="434"/>
      <c r="D134" s="434"/>
      <c r="E134" s="434"/>
      <c r="F134" s="420"/>
      <c r="G134" s="420"/>
      <c r="H134" s="470"/>
      <c r="I134" s="470"/>
      <c r="J134" s="420"/>
      <c r="K134" s="420"/>
      <c r="L134" s="420"/>
      <c r="M134" s="420"/>
    </row>
    <row r="135" spans="1:13">
      <c r="A135" s="420"/>
      <c r="B135" s="420"/>
      <c r="C135" s="420"/>
      <c r="D135" s="420"/>
      <c r="E135" s="420"/>
      <c r="F135" s="420"/>
      <c r="G135" s="420"/>
      <c r="H135" s="420"/>
      <c r="I135" s="420"/>
      <c r="J135" s="420"/>
      <c r="K135" s="420"/>
      <c r="L135" s="420"/>
      <c r="M135" s="420"/>
    </row>
    <row r="136" spans="1:13">
      <c r="A136" s="420"/>
      <c r="B136" s="420"/>
      <c r="C136" s="420"/>
      <c r="D136" s="420"/>
      <c r="E136" s="420"/>
      <c r="F136" s="420"/>
      <c r="G136" s="420"/>
      <c r="H136" s="420"/>
      <c r="I136" s="420"/>
      <c r="J136" s="420"/>
      <c r="K136" s="420"/>
      <c r="L136" s="420"/>
      <c r="M136" s="420"/>
    </row>
    <row r="137" spans="1:13">
      <c r="A137" s="420"/>
      <c r="B137" s="420"/>
      <c r="C137" s="420"/>
      <c r="D137" s="420"/>
      <c r="E137" s="420"/>
      <c r="F137" s="420"/>
      <c r="G137" s="420"/>
      <c r="H137" s="420"/>
      <c r="I137" s="420"/>
      <c r="J137" s="420"/>
      <c r="K137" s="420"/>
      <c r="L137" s="420"/>
      <c r="M137" s="420"/>
    </row>
    <row r="138" spans="1:13">
      <c r="A138" s="420"/>
      <c r="B138" s="420"/>
      <c r="C138" s="420"/>
      <c r="D138" s="420"/>
      <c r="E138" s="420"/>
      <c r="F138" s="420"/>
      <c r="G138" s="420"/>
      <c r="H138" s="420"/>
      <c r="I138" s="420"/>
      <c r="J138" s="420"/>
      <c r="K138" s="420"/>
      <c r="L138" s="420"/>
      <c r="M138" s="420"/>
    </row>
    <row r="139" spans="1:13">
      <c r="A139" s="420"/>
      <c r="B139" s="420"/>
      <c r="C139" s="420"/>
      <c r="D139" s="420"/>
      <c r="E139" s="420"/>
      <c r="F139" s="420"/>
      <c r="G139" s="471"/>
      <c r="H139" s="420"/>
      <c r="I139" s="420"/>
      <c r="J139" s="420"/>
      <c r="K139" s="420"/>
      <c r="L139" s="420"/>
      <c r="M139" s="420"/>
    </row>
    <row r="140" spans="1:13">
      <c r="A140" s="420"/>
      <c r="B140" s="420"/>
      <c r="C140" s="420"/>
      <c r="D140" s="420"/>
      <c r="E140" s="420"/>
      <c r="F140" s="420"/>
      <c r="G140" s="471"/>
      <c r="H140" s="420"/>
      <c r="I140" s="420"/>
      <c r="J140" s="420"/>
      <c r="K140" s="420"/>
      <c r="L140" s="420"/>
      <c r="M140" s="420"/>
    </row>
    <row r="141" spans="1:13">
      <c r="A141" s="420"/>
      <c r="B141" s="420"/>
      <c r="C141" s="420"/>
      <c r="D141" s="420"/>
      <c r="E141" s="420"/>
      <c r="F141" s="420"/>
      <c r="G141" s="420"/>
      <c r="H141" s="420"/>
      <c r="I141" s="420"/>
      <c r="J141" s="420"/>
      <c r="K141" s="420"/>
      <c r="L141" s="420"/>
      <c r="M141" s="420"/>
    </row>
    <row r="142" spans="1:13">
      <c r="A142" s="420"/>
      <c r="B142" s="420"/>
      <c r="C142" s="420"/>
      <c r="D142" s="420"/>
      <c r="E142" s="420"/>
      <c r="F142" s="420"/>
      <c r="G142" s="420"/>
      <c r="H142" s="420"/>
      <c r="I142" s="420"/>
      <c r="J142" s="420"/>
      <c r="K142" s="420"/>
      <c r="L142" s="420"/>
      <c r="M142" s="420"/>
    </row>
    <row r="143" spans="1:13">
      <c r="A143" s="420"/>
      <c r="B143" s="420"/>
      <c r="C143" s="420"/>
      <c r="D143" s="420"/>
      <c r="E143" s="420"/>
      <c r="F143" s="420"/>
      <c r="G143" s="420"/>
      <c r="H143" s="420"/>
      <c r="I143" s="420"/>
      <c r="J143" s="420"/>
      <c r="K143" s="420"/>
      <c r="L143" s="420"/>
      <c r="M143" s="420"/>
    </row>
    <row r="144" spans="1:13">
      <c r="A144" s="420"/>
      <c r="B144" s="420"/>
      <c r="C144" s="420"/>
      <c r="D144" s="420"/>
      <c r="E144" s="420"/>
      <c r="F144" s="420"/>
      <c r="G144" s="420"/>
      <c r="H144" s="420"/>
      <c r="I144" s="420"/>
      <c r="J144" s="420"/>
      <c r="K144" s="420"/>
      <c r="L144" s="420"/>
      <c r="M144" s="420"/>
    </row>
  </sheetData>
  <mergeCells count="1">
    <mergeCell ref="A3:B3"/>
  </mergeCells>
  <pageMargins left="0.7" right="0.7" top="0.75" bottom="0.75" header="0.3" footer="0.3"/>
  <pageSetup scale="57" fitToHeight="5" orientation="landscape" r:id="rId1"/>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Normal="100" workbookViewId="0"/>
  </sheetViews>
  <sheetFormatPr defaultColWidth="9.109375" defaultRowHeight="14.4"/>
  <cols>
    <col min="1" max="1" width="9.109375" style="146"/>
    <col min="2" max="2" width="73.33203125" style="146" customWidth="1"/>
    <col min="3" max="3" width="34.109375" style="146" bestFit="1" customWidth="1"/>
    <col min="4" max="4" width="25.109375" style="146" customWidth="1"/>
    <col min="5" max="5" width="7.6640625" style="146" customWidth="1"/>
    <col min="6" max="6" width="24.6640625" style="146" bestFit="1" customWidth="1"/>
    <col min="7" max="16384" width="9.109375" style="146"/>
  </cols>
  <sheetData>
    <row r="1" spans="1:6">
      <c r="A1" s="147" t="s">
        <v>0</v>
      </c>
    </row>
    <row r="2" spans="1:6">
      <c r="A2" s="147" t="s">
        <v>1519</v>
      </c>
    </row>
    <row r="3" spans="1:6">
      <c r="A3" s="147"/>
    </row>
    <row r="4" spans="1:6">
      <c r="A4" s="494"/>
      <c r="B4" s="493"/>
      <c r="C4" s="493"/>
      <c r="D4" s="493"/>
      <c r="E4" s="493"/>
      <c r="F4" s="493"/>
    </row>
    <row r="5" spans="1:6">
      <c r="A5" s="493"/>
      <c r="B5" s="493"/>
      <c r="C5" s="493"/>
      <c r="D5" s="493"/>
      <c r="E5" s="493"/>
      <c r="F5" s="493"/>
    </row>
    <row r="6" spans="1:6">
      <c r="A6" s="493"/>
      <c r="B6" s="493"/>
      <c r="C6" s="493"/>
      <c r="D6" s="493"/>
      <c r="E6" s="493"/>
      <c r="F6" s="493"/>
    </row>
    <row r="7" spans="1:6">
      <c r="A7" s="493"/>
      <c r="B7" s="493"/>
      <c r="C7" s="493"/>
      <c r="D7" s="493"/>
      <c r="E7" s="493"/>
      <c r="F7" s="493"/>
    </row>
    <row r="8" spans="1:6" s="36" customFormat="1">
      <c r="A8" s="493"/>
      <c r="B8" s="493"/>
      <c r="C8" s="495"/>
      <c r="D8" s="493"/>
      <c r="E8" s="493"/>
      <c r="F8" s="493"/>
    </row>
    <row r="9" spans="1:6" s="36" customFormat="1">
      <c r="A9" s="493"/>
      <c r="B9" s="494"/>
      <c r="C9" s="144"/>
      <c r="D9" s="144"/>
      <c r="E9" s="144"/>
      <c r="F9" s="144"/>
    </row>
    <row r="10" spans="1:6" s="36" customFormat="1">
      <c r="A10" s="493"/>
      <c r="B10" s="493"/>
      <c r="C10" s="188"/>
      <c r="D10" s="188"/>
      <c r="E10" s="144"/>
      <c r="F10" s="144"/>
    </row>
    <row r="11" spans="1:6" s="36" customFormat="1">
      <c r="A11" s="493"/>
      <c r="B11" s="493"/>
      <c r="C11" s="495"/>
      <c r="D11" s="144"/>
      <c r="E11" s="144"/>
      <c r="F11" s="144"/>
    </row>
    <row r="12" spans="1:6" s="36" customFormat="1">
      <c r="A12" s="493"/>
      <c r="B12" s="144"/>
      <c r="C12" s="493"/>
      <c r="D12" s="393"/>
      <c r="E12" s="144"/>
      <c r="F12" s="144"/>
    </row>
    <row r="13" spans="1:6" s="36" customFormat="1">
      <c r="A13" s="493"/>
      <c r="B13" s="493"/>
      <c r="C13" s="495"/>
      <c r="D13" s="393"/>
      <c r="E13" s="144"/>
      <c r="F13" s="144"/>
    </row>
    <row r="14" spans="1:6" s="36" customFormat="1">
      <c r="A14" s="493"/>
      <c r="B14" s="144"/>
      <c r="C14" s="493"/>
      <c r="D14" s="393"/>
      <c r="E14" s="144"/>
      <c r="F14" s="144"/>
    </row>
    <row r="15" spans="1:6" s="36" customFormat="1">
      <c r="A15" s="493"/>
      <c r="B15" s="144"/>
      <c r="C15" s="495"/>
      <c r="D15" s="393"/>
      <c r="E15" s="144"/>
      <c r="F15" s="144"/>
    </row>
    <row r="16" spans="1:6" s="36" customFormat="1">
      <c r="A16" s="493"/>
      <c r="B16" s="144"/>
      <c r="C16" s="144"/>
      <c r="D16" s="393"/>
      <c r="E16" s="144"/>
      <c r="F16" s="144"/>
    </row>
    <row r="17" spans="1:6" s="36" customFormat="1">
      <c r="A17" s="493"/>
      <c r="B17" s="493"/>
      <c r="C17" s="144"/>
      <c r="D17" s="189"/>
      <c r="E17" s="144"/>
      <c r="F17" s="144"/>
    </row>
    <row r="18" spans="1:6" s="36" customFormat="1">
      <c r="A18" s="493"/>
      <c r="B18" s="144"/>
      <c r="C18" s="496"/>
      <c r="D18" s="393"/>
      <c r="E18" s="144"/>
      <c r="F18" s="144"/>
    </row>
    <row r="19" spans="1:6" s="36" customFormat="1">
      <c r="A19" s="493"/>
      <c r="B19" s="493"/>
      <c r="C19" s="493"/>
      <c r="D19" s="493"/>
      <c r="E19" s="144"/>
      <c r="F19" s="144"/>
    </row>
    <row r="20" spans="1:6" s="36" customFormat="1">
      <c r="A20" s="493"/>
      <c r="B20" s="493"/>
      <c r="C20" s="495"/>
      <c r="D20" s="493"/>
      <c r="E20" s="144"/>
      <c r="F20" s="144"/>
    </row>
    <row r="21" spans="1:6" s="36" customFormat="1">
      <c r="A21" s="493"/>
      <c r="B21" s="493"/>
      <c r="C21" s="144"/>
      <c r="D21" s="393"/>
      <c r="E21" s="144"/>
      <c r="F21" s="144"/>
    </row>
    <row r="22" spans="1:6" s="36" customFormat="1">
      <c r="A22" s="493"/>
      <c r="B22" s="493"/>
      <c r="C22" s="495"/>
      <c r="D22" s="496"/>
      <c r="E22" s="144"/>
      <c r="F22" s="144"/>
    </row>
    <row r="23" spans="1:6" s="36" customFormat="1">
      <c r="A23" s="493"/>
      <c r="B23" s="494"/>
      <c r="C23" s="144"/>
      <c r="D23" s="393"/>
      <c r="E23" s="144"/>
      <c r="F23" s="144"/>
    </row>
    <row r="24" spans="1:6" s="36" customFormat="1">
      <c r="A24" s="493"/>
      <c r="B24" s="494"/>
      <c r="C24" s="144"/>
      <c r="D24" s="393"/>
      <c r="E24" s="144"/>
      <c r="F24" s="144"/>
    </row>
    <row r="25" spans="1:6" s="36" customFormat="1">
      <c r="A25" s="493"/>
      <c r="B25" s="144"/>
      <c r="C25" s="493"/>
      <c r="D25" s="393"/>
      <c r="E25" s="144"/>
      <c r="F25" s="144"/>
    </row>
    <row r="26" spans="1:6" s="36" customFormat="1">
      <c r="A26" s="493"/>
      <c r="B26" s="144"/>
      <c r="C26" s="144"/>
      <c r="D26" s="189"/>
      <c r="E26" s="144"/>
      <c r="F26" s="144"/>
    </row>
    <row r="27" spans="1:6" s="36" customFormat="1">
      <c r="B27" s="100"/>
      <c r="C27" s="144"/>
      <c r="D27" s="143"/>
      <c r="E27" s="144"/>
      <c r="F27" s="144"/>
    </row>
    <row r="28" spans="1:6">
      <c r="B28" s="5"/>
      <c r="C28" s="5"/>
      <c r="D28" s="5"/>
      <c r="E28" s="5"/>
      <c r="F28" s="5"/>
    </row>
    <row r="29" spans="1:6">
      <c r="B29" s="5"/>
      <c r="C29" s="5"/>
      <c r="D29" s="5"/>
      <c r="E29" s="5"/>
      <c r="F29" s="5"/>
    </row>
    <row r="36" ht="13.5" customHeight="1"/>
  </sheetData>
  <pageMargins left="0.7" right="0.7" top="0.75" bottom="0.7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zoomScale="60" zoomScaleNormal="100" workbookViewId="0">
      <selection activeCell="D21" sqref="D21"/>
    </sheetView>
  </sheetViews>
  <sheetFormatPr defaultColWidth="9.109375" defaultRowHeight="14.4"/>
  <cols>
    <col min="1" max="1" width="2" style="146" customWidth="1"/>
    <col min="2" max="2" width="55" style="146" bestFit="1" customWidth="1"/>
    <col min="3" max="3" width="34.109375" style="146" bestFit="1" customWidth="1"/>
    <col min="4" max="4" width="20.109375" style="146" bestFit="1" customWidth="1"/>
    <col min="5" max="5" width="23.109375" style="146" bestFit="1" customWidth="1"/>
    <col min="6" max="6" width="3.44140625" style="146" customWidth="1"/>
    <col min="7" max="16384" width="9.109375" style="146"/>
  </cols>
  <sheetData>
    <row r="1" spans="1:6">
      <c r="A1" s="147" t="s">
        <v>0</v>
      </c>
    </row>
    <row r="2" spans="1:6">
      <c r="A2" s="147" t="s">
        <v>871</v>
      </c>
    </row>
    <row r="5" spans="1:6">
      <c r="B5" s="146" t="s">
        <v>888</v>
      </c>
    </row>
    <row r="6" spans="1:6">
      <c r="B6" s="146" t="s">
        <v>889</v>
      </c>
    </row>
    <row r="7" spans="1:6">
      <c r="B7" s="146" t="s">
        <v>890</v>
      </c>
    </row>
    <row r="8" spans="1:6" ht="15" thickBot="1"/>
    <row r="9" spans="1:6">
      <c r="B9" s="29"/>
      <c r="C9" s="30" t="s">
        <v>11</v>
      </c>
      <c r="D9" s="30" t="s">
        <v>225</v>
      </c>
      <c r="E9" s="152"/>
      <c r="F9" s="154"/>
    </row>
    <row r="10" spans="1:6">
      <c r="B10" s="155" t="s">
        <v>872</v>
      </c>
      <c r="C10" s="146" t="s">
        <v>873</v>
      </c>
      <c r="D10" s="651">
        <v>81704490</v>
      </c>
      <c r="E10" s="157" t="s">
        <v>727</v>
      </c>
      <c r="F10" s="159"/>
    </row>
    <row r="11" spans="1:6">
      <c r="B11" s="155" t="s">
        <v>874</v>
      </c>
      <c r="C11" s="157" t="s">
        <v>974</v>
      </c>
      <c r="D11" s="651">
        <v>-773650</v>
      </c>
      <c r="E11" s="157"/>
      <c r="F11" s="159"/>
    </row>
    <row r="12" spans="1:6">
      <c r="B12" s="155" t="s">
        <v>875</v>
      </c>
      <c r="C12" s="257" t="s">
        <v>982</v>
      </c>
      <c r="D12" s="230">
        <f>+D10+D11</f>
        <v>80930840</v>
      </c>
      <c r="E12" s="157"/>
      <c r="F12" s="159"/>
    </row>
    <row r="13" spans="1:6">
      <c r="B13" s="155"/>
      <c r="C13" s="157"/>
      <c r="D13" s="177"/>
      <c r="E13" s="157"/>
      <c r="F13" s="159"/>
    </row>
    <row r="14" spans="1:6">
      <c r="B14" s="155" t="s">
        <v>891</v>
      </c>
      <c r="C14" s="36" t="s">
        <v>876</v>
      </c>
      <c r="D14" s="651">
        <v>2125689</v>
      </c>
      <c r="E14" s="157" t="s">
        <v>727</v>
      </c>
      <c r="F14" s="159"/>
    </row>
    <row r="15" spans="1:6">
      <c r="B15" s="155" t="s">
        <v>877</v>
      </c>
      <c r="C15" s="36" t="s">
        <v>878</v>
      </c>
      <c r="D15" s="651">
        <v>391099</v>
      </c>
      <c r="E15" s="157" t="s">
        <v>727</v>
      </c>
      <c r="F15" s="159"/>
    </row>
    <row r="16" spans="1:6">
      <c r="B16" s="155" t="s">
        <v>880</v>
      </c>
      <c r="C16" s="36" t="s">
        <v>879</v>
      </c>
      <c r="D16" s="651">
        <v>0</v>
      </c>
      <c r="E16" s="157" t="s">
        <v>727</v>
      </c>
      <c r="F16" s="159"/>
    </row>
    <row r="17" spans="2:6">
      <c r="B17" s="155" t="s">
        <v>881</v>
      </c>
      <c r="C17" s="36" t="s">
        <v>882</v>
      </c>
      <c r="D17" s="651">
        <v>0</v>
      </c>
      <c r="E17" s="157" t="s">
        <v>727</v>
      </c>
      <c r="F17" s="159"/>
    </row>
    <row r="18" spans="2:6">
      <c r="B18" s="155"/>
      <c r="C18" s="157"/>
      <c r="D18" s="177"/>
      <c r="E18" s="157"/>
      <c r="F18" s="159"/>
    </row>
    <row r="19" spans="2:6">
      <c r="B19" s="155"/>
      <c r="C19" s="157"/>
      <c r="D19" s="177"/>
      <c r="E19" s="157"/>
      <c r="F19" s="159"/>
    </row>
    <row r="20" spans="2:6">
      <c r="B20" s="28" t="s">
        <v>892</v>
      </c>
      <c r="C20" s="157"/>
      <c r="D20" s="177"/>
      <c r="E20" s="157"/>
      <c r="F20" s="159"/>
    </row>
    <row r="21" spans="2:6">
      <c r="B21" s="155" t="s">
        <v>883</v>
      </c>
      <c r="C21" s="157" t="s">
        <v>969</v>
      </c>
      <c r="D21" s="651">
        <v>1421695</v>
      </c>
      <c r="E21" s="157" t="s">
        <v>727</v>
      </c>
      <c r="F21" s="159"/>
    </row>
    <row r="22" spans="2:6">
      <c r="B22" s="155" t="s">
        <v>884</v>
      </c>
      <c r="C22" s="157" t="s">
        <v>969</v>
      </c>
      <c r="D22" s="230">
        <f>D21</f>
        <v>1421695</v>
      </c>
      <c r="E22" s="157"/>
      <c r="F22" s="159"/>
    </row>
    <row r="23" spans="2:6">
      <c r="B23" s="155"/>
      <c r="C23" s="157"/>
      <c r="D23" s="177"/>
      <c r="E23" s="157"/>
      <c r="F23" s="159"/>
    </row>
    <row r="24" spans="2:6">
      <c r="B24" s="155"/>
      <c r="C24" s="157"/>
      <c r="D24" s="177"/>
      <c r="E24" s="157"/>
      <c r="F24" s="159"/>
    </row>
    <row r="25" spans="2:6" ht="15" thickBot="1">
      <c r="B25" s="155" t="s">
        <v>885</v>
      </c>
      <c r="C25" s="36" t="s">
        <v>886</v>
      </c>
      <c r="D25" s="217">
        <f>+D10+D14+D15+D16+D17+D21</f>
        <v>85642973</v>
      </c>
      <c r="E25" s="157" t="s">
        <v>1282</v>
      </c>
      <c r="F25" s="159"/>
    </row>
    <row r="26" spans="2:6" ht="15.6" thickTop="1" thickBot="1">
      <c r="B26" s="164"/>
      <c r="C26" s="165"/>
      <c r="D26" s="119"/>
      <c r="E26" s="165"/>
      <c r="F26" s="167"/>
    </row>
    <row r="27" spans="2:6">
      <c r="B27" s="157"/>
      <c r="C27" s="157"/>
      <c r="D27" s="177"/>
      <c r="E27" s="157"/>
      <c r="F27" s="157"/>
    </row>
  </sheetData>
  <pageMargins left="0.7" right="0.7" top="0.75" bottom="0.75" header="0.3" footer="0.3"/>
  <pageSetup scale="8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1"/>
  <sheetViews>
    <sheetView view="pageBreakPreview" zoomScale="60" zoomScaleNormal="80" workbookViewId="0">
      <selection activeCell="E11" sqref="E11"/>
    </sheetView>
  </sheetViews>
  <sheetFormatPr defaultColWidth="9.109375" defaultRowHeight="14.4"/>
  <cols>
    <col min="1" max="1" width="3" style="146" customWidth="1"/>
    <col min="2" max="2" width="8.33203125" style="146" bestFit="1" customWidth="1"/>
    <col min="3" max="3" width="76.33203125" style="146" bestFit="1" customWidth="1"/>
    <col min="4" max="4" width="49.44140625" style="146" customWidth="1"/>
    <col min="5" max="5" width="16.5546875" style="146" customWidth="1"/>
    <col min="6" max="6" width="14.44140625" style="146" bestFit="1" customWidth="1"/>
    <col min="7" max="7" width="46.88671875" style="146" bestFit="1" customWidth="1"/>
    <col min="8" max="16384" width="9.109375" style="146"/>
  </cols>
  <sheetData>
    <row r="1" spans="1:16">
      <c r="A1" s="147" t="s">
        <v>0</v>
      </c>
      <c r="B1" s="147"/>
    </row>
    <row r="2" spans="1:16">
      <c r="A2" s="147" t="s">
        <v>932</v>
      </c>
      <c r="B2" s="147"/>
    </row>
    <row r="4" spans="1:16">
      <c r="B4" s="146" t="s">
        <v>746</v>
      </c>
      <c r="D4" s="6" t="s">
        <v>11</v>
      </c>
      <c r="E4" s="6"/>
      <c r="F4" s="6" t="s">
        <v>776</v>
      </c>
    </row>
    <row r="6" spans="1:16">
      <c r="B6" s="146">
        <v>1</v>
      </c>
      <c r="C6" s="146" t="s">
        <v>429</v>
      </c>
      <c r="D6" s="172" t="s">
        <v>1802</v>
      </c>
      <c r="E6" s="198">
        <f>+'Attachment H-1'!H291</f>
        <v>86491020.618457958</v>
      </c>
      <c r="P6" s="175"/>
    </row>
    <row r="7" spans="1:16">
      <c r="B7" s="146">
        <f>+B6+1</f>
        <v>2</v>
      </c>
      <c r="P7" s="175"/>
    </row>
    <row r="8" spans="1:16">
      <c r="B8" s="146">
        <f t="shared" ref="B8:B103" si="0">+B7+1</f>
        <v>3</v>
      </c>
      <c r="C8" s="146" t="s">
        <v>430</v>
      </c>
      <c r="D8" s="146" t="s">
        <v>898</v>
      </c>
      <c r="E8" s="174">
        <f>+F8*$E$6</f>
        <v>52899096.912815638</v>
      </c>
      <c r="F8" s="63">
        <f>'Sch 17 - Trans Demand Allocator'!Q11</f>
        <v>0.61161374365290466</v>
      </c>
      <c r="G8" s="146" t="s">
        <v>777</v>
      </c>
      <c r="P8" s="175"/>
    </row>
    <row r="9" spans="1:16">
      <c r="B9" s="146">
        <f t="shared" si="0"/>
        <v>4</v>
      </c>
      <c r="C9" s="146" t="s">
        <v>431</v>
      </c>
      <c r="D9" s="146" t="s">
        <v>899</v>
      </c>
      <c r="E9" s="174">
        <f>+F9*$E$6</f>
        <v>17520999.280761622</v>
      </c>
      <c r="F9" s="63">
        <f>'Sch 17 - Trans Demand Allocator'!Q23</f>
        <v>0.20257593395796375</v>
      </c>
      <c r="G9" s="146" t="s">
        <v>777</v>
      </c>
      <c r="P9" s="175"/>
    </row>
    <row r="10" spans="1:16">
      <c r="B10" s="146">
        <f t="shared" si="0"/>
        <v>5</v>
      </c>
      <c r="C10" s="146" t="s">
        <v>432</v>
      </c>
      <c r="D10" s="146" t="s">
        <v>900</v>
      </c>
      <c r="E10" s="174">
        <f>+F10*$E$6</f>
        <v>5832132.0035450114</v>
      </c>
      <c r="F10" s="63">
        <f>'Sch 17 - Trans Demand Allocator'!Q29</f>
        <v>6.7430491186739244E-2</v>
      </c>
      <c r="G10" s="146" t="s">
        <v>777</v>
      </c>
      <c r="P10" s="175"/>
    </row>
    <row r="11" spans="1:16">
      <c r="B11" s="146">
        <f t="shared" si="0"/>
        <v>6</v>
      </c>
      <c r="C11" s="146" t="s">
        <v>433</v>
      </c>
      <c r="D11" s="146" t="s">
        <v>901</v>
      </c>
      <c r="E11" s="216">
        <f>+F11*$E$6</f>
        <v>10238792.421335673</v>
      </c>
      <c r="F11" s="63">
        <f>'Sch 17 - Trans Demand Allocator'!Q39</f>
        <v>0.11837983120239216</v>
      </c>
      <c r="G11" s="146" t="s">
        <v>777</v>
      </c>
      <c r="P11" s="175"/>
    </row>
    <row r="12" spans="1:16">
      <c r="B12" s="146">
        <f t="shared" si="0"/>
        <v>7</v>
      </c>
      <c r="C12" s="146" t="s">
        <v>918</v>
      </c>
      <c r="D12" s="146" t="s">
        <v>902</v>
      </c>
      <c r="E12" s="174">
        <f>SUM(E9:E11)</f>
        <v>33591923.705642305</v>
      </c>
      <c r="F12" s="63"/>
      <c r="P12" s="175"/>
    </row>
    <row r="13" spans="1:16" ht="15" thickBot="1">
      <c r="B13" s="146">
        <f t="shared" si="0"/>
        <v>8</v>
      </c>
      <c r="C13" s="522"/>
      <c r="P13" s="175"/>
    </row>
    <row r="14" spans="1:16" ht="15" thickBot="1">
      <c r="B14" s="146">
        <f t="shared" si="0"/>
        <v>9</v>
      </c>
      <c r="C14" s="523" t="s">
        <v>843</v>
      </c>
      <c r="D14" s="146" t="s">
        <v>223</v>
      </c>
      <c r="E14" s="235">
        <f>+'Schedule 9 O&amp;M'!D103</f>
        <v>0</v>
      </c>
      <c r="P14" s="175"/>
    </row>
    <row r="15" spans="1:16">
      <c r="B15" s="146">
        <f t="shared" si="0"/>
        <v>10</v>
      </c>
      <c r="C15" s="522" t="s">
        <v>431</v>
      </c>
      <c r="D15" s="146" t="s">
        <v>894</v>
      </c>
      <c r="E15" s="174">
        <f>+$E$14*F15</f>
        <v>0</v>
      </c>
      <c r="F15" s="63">
        <f>'Sch 17 - Trans Demand Allocator'!D53</f>
        <v>0.50331923282023594</v>
      </c>
      <c r="G15" s="146" t="s">
        <v>777</v>
      </c>
      <c r="P15" s="175"/>
    </row>
    <row r="16" spans="1:16">
      <c r="B16" s="146">
        <f t="shared" si="0"/>
        <v>11</v>
      </c>
      <c r="C16" s="522" t="s">
        <v>432</v>
      </c>
      <c r="D16" s="146" t="s">
        <v>895</v>
      </c>
      <c r="E16" s="174">
        <f>+$E$14*F16</f>
        <v>0</v>
      </c>
      <c r="F16" s="63">
        <f>'Sch 17 - Trans Demand Allocator'!D54</f>
        <v>0.20274873649454728</v>
      </c>
      <c r="G16" s="146" t="s">
        <v>777</v>
      </c>
      <c r="P16" s="175"/>
    </row>
    <row r="17" spans="1:51">
      <c r="B17" s="146">
        <f t="shared" si="0"/>
        <v>12</v>
      </c>
      <c r="C17" s="522" t="s">
        <v>433</v>
      </c>
      <c r="D17" s="146" t="s">
        <v>896</v>
      </c>
      <c r="E17" s="174">
        <f>+$E$14*F17</f>
        <v>0</v>
      </c>
      <c r="F17" s="63">
        <f>'Sch 17 - Trans Demand Allocator'!D55</f>
        <v>0.29393203068521673</v>
      </c>
      <c r="G17" s="146" t="s">
        <v>777</v>
      </c>
      <c r="P17" s="175"/>
    </row>
    <row r="18" spans="1:51">
      <c r="B18" s="146">
        <f t="shared" si="0"/>
        <v>13</v>
      </c>
      <c r="C18" s="524" t="s">
        <v>911</v>
      </c>
      <c r="D18" s="146" t="s">
        <v>897</v>
      </c>
      <c r="E18" s="232">
        <f>SUM(E15:E17)</f>
        <v>0</v>
      </c>
      <c r="F18" s="224">
        <f>SUM(F15:F17)</f>
        <v>1</v>
      </c>
      <c r="P18" s="175"/>
    </row>
    <row r="19" spans="1:51">
      <c r="B19" s="146">
        <f t="shared" si="0"/>
        <v>14</v>
      </c>
      <c r="C19" s="522"/>
      <c r="E19" s="174"/>
      <c r="F19" s="224"/>
      <c r="P19" s="175"/>
    </row>
    <row r="20" spans="1:51">
      <c r="B20" s="146">
        <f t="shared" si="0"/>
        <v>15</v>
      </c>
      <c r="C20" s="522" t="s">
        <v>858</v>
      </c>
      <c r="D20" s="63" t="s">
        <v>904</v>
      </c>
      <c r="E20" s="174">
        <f>+E14/(1-F8)</f>
        <v>0</v>
      </c>
      <c r="F20" s="224"/>
      <c r="P20" s="175"/>
    </row>
    <row r="21" spans="1:51">
      <c r="B21" s="146">
        <f t="shared" si="0"/>
        <v>16</v>
      </c>
      <c r="C21" s="522" t="s">
        <v>859</v>
      </c>
      <c r="D21" s="175" t="s">
        <v>903</v>
      </c>
      <c r="E21" s="232">
        <f>+E6+E20</f>
        <v>86491020.618457958</v>
      </c>
      <c r="F21" s="224"/>
      <c r="P21" s="175"/>
    </row>
    <row r="22" spans="1:51">
      <c r="B22" s="146">
        <f t="shared" si="0"/>
        <v>17</v>
      </c>
      <c r="C22" s="522"/>
      <c r="E22" s="174"/>
      <c r="F22" s="224"/>
      <c r="P22" s="175"/>
    </row>
    <row r="23" spans="1:51">
      <c r="B23" s="146">
        <f t="shared" si="0"/>
        <v>18</v>
      </c>
      <c r="C23" s="523" t="s">
        <v>852</v>
      </c>
      <c r="E23" s="175"/>
      <c r="F23" s="224"/>
      <c r="P23" s="175"/>
    </row>
    <row r="24" spans="1:51">
      <c r="B24" s="146">
        <f t="shared" si="0"/>
        <v>19</v>
      </c>
      <c r="C24" s="522" t="s">
        <v>432</v>
      </c>
      <c r="D24" s="146" t="s">
        <v>912</v>
      </c>
      <c r="E24" s="175">
        <f>+E10+E16</f>
        <v>5832132.0035450114</v>
      </c>
      <c r="F24" s="224"/>
      <c r="P24" s="175"/>
    </row>
    <row r="25" spans="1:51">
      <c r="B25" s="146">
        <f t="shared" si="0"/>
        <v>20</v>
      </c>
      <c r="C25" s="522" t="s">
        <v>433</v>
      </c>
      <c r="D25" s="146" t="s">
        <v>913</v>
      </c>
      <c r="E25" s="175">
        <f>+E11+E17</f>
        <v>10238792.421335673</v>
      </c>
      <c r="F25" s="224"/>
      <c r="P25" s="175"/>
    </row>
    <row r="26" spans="1:51">
      <c r="B26" s="146">
        <f t="shared" si="0"/>
        <v>21</v>
      </c>
      <c r="C26" s="522"/>
      <c r="D26" s="147"/>
      <c r="E26" s="175"/>
      <c r="F26" s="175"/>
      <c r="P26" s="175"/>
    </row>
    <row r="27" spans="1:51" ht="15" thickBot="1">
      <c r="B27" s="146">
        <f t="shared" si="0"/>
        <v>22</v>
      </c>
      <c r="C27" s="522"/>
      <c r="D27" s="147"/>
      <c r="E27" s="175"/>
      <c r="F27" s="175"/>
      <c r="P27" s="175"/>
    </row>
    <row r="28" spans="1:51" s="199" customFormat="1" ht="15" thickBot="1">
      <c r="A28" s="172"/>
      <c r="B28" s="146">
        <f t="shared" si="0"/>
        <v>23</v>
      </c>
      <c r="C28" s="523" t="s">
        <v>856</v>
      </c>
      <c r="D28" s="172" t="s">
        <v>666</v>
      </c>
      <c r="E28" s="235">
        <f>+-'Schedule 12 Revenue Credits'!D8</f>
        <v>-381790</v>
      </c>
      <c r="F28" s="172"/>
      <c r="G28" s="172"/>
      <c r="H28" s="172"/>
      <c r="I28" s="172"/>
      <c r="J28" s="172"/>
      <c r="K28" s="172"/>
      <c r="L28" s="172"/>
      <c r="M28" s="172"/>
      <c r="N28" s="172"/>
      <c r="O28" s="172"/>
      <c r="P28" s="225"/>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row>
    <row r="29" spans="1:51" s="199" customFormat="1">
      <c r="A29" s="172"/>
      <c r="B29" s="146">
        <f t="shared" si="0"/>
        <v>24</v>
      </c>
      <c r="C29" s="522" t="s">
        <v>430</v>
      </c>
      <c r="D29" s="172" t="s">
        <v>905</v>
      </c>
      <c r="E29" s="198">
        <f>+$E$28*F29</f>
        <v>-233508.01118924248</v>
      </c>
      <c r="F29" s="63">
        <f>'Sch 17 - Trans Demand Allocator'!Q11</f>
        <v>0.61161374365290466</v>
      </c>
      <c r="G29" s="172" t="s">
        <v>853</v>
      </c>
      <c r="H29" s="172"/>
      <c r="I29" s="172"/>
      <c r="J29" s="172"/>
      <c r="K29" s="172"/>
      <c r="L29" s="172"/>
      <c r="M29" s="172"/>
      <c r="N29" s="172"/>
      <c r="O29" s="172"/>
      <c r="P29" s="225"/>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row>
    <row r="30" spans="1:51" s="199" customFormat="1">
      <c r="A30" s="172"/>
      <c r="B30" s="146">
        <f t="shared" si="0"/>
        <v>25</v>
      </c>
      <c r="C30" s="522" t="s">
        <v>431</v>
      </c>
      <c r="D30" s="172" t="s">
        <v>906</v>
      </c>
      <c r="E30" s="198">
        <f>+$E$28*F30</f>
        <v>-77341.465825810985</v>
      </c>
      <c r="F30" s="63">
        <f>'Sch 17 - Trans Demand Allocator'!Q23</f>
        <v>0.20257593395796375</v>
      </c>
      <c r="G30" s="172" t="s">
        <v>860</v>
      </c>
      <c r="H30" s="172"/>
      <c r="I30" s="172"/>
      <c r="J30" s="172"/>
      <c r="K30" s="172"/>
      <c r="L30" s="172"/>
      <c r="M30" s="172"/>
      <c r="N30" s="172"/>
      <c r="O30" s="172"/>
      <c r="P30" s="225"/>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row>
    <row r="31" spans="1:51" s="199" customFormat="1">
      <c r="A31" s="172"/>
      <c r="B31" s="146">
        <f t="shared" si="0"/>
        <v>26</v>
      </c>
      <c r="C31" s="522" t="s">
        <v>432</v>
      </c>
      <c r="D31" s="172" t="s">
        <v>907</v>
      </c>
      <c r="E31" s="198">
        <f>+$E$28*F31</f>
        <v>-25744.287230185175</v>
      </c>
      <c r="F31" s="63">
        <f>'Sch 17 - Trans Demand Allocator'!Q29</f>
        <v>6.7430491186739244E-2</v>
      </c>
      <c r="G31" s="172" t="s">
        <v>854</v>
      </c>
      <c r="H31" s="172"/>
      <c r="I31" s="172"/>
      <c r="J31" s="172"/>
      <c r="K31" s="172"/>
      <c r="L31" s="172"/>
      <c r="M31" s="172"/>
      <c r="N31" s="172"/>
      <c r="O31" s="172"/>
      <c r="P31" s="225"/>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row>
    <row r="32" spans="1:51" s="199" customFormat="1">
      <c r="A32" s="172"/>
      <c r="B32" s="146">
        <f t="shared" si="0"/>
        <v>27</v>
      </c>
      <c r="C32" s="522" t="s">
        <v>433</v>
      </c>
      <c r="D32" s="172" t="s">
        <v>908</v>
      </c>
      <c r="E32" s="198">
        <f>+$E$28*F32</f>
        <v>-45196.235754761306</v>
      </c>
      <c r="F32" s="63">
        <f>'Sch 17 - Trans Demand Allocator'!Q39</f>
        <v>0.11837983120239216</v>
      </c>
      <c r="G32" s="172" t="s">
        <v>855</v>
      </c>
      <c r="H32" s="172"/>
      <c r="I32" s="172"/>
      <c r="J32" s="172"/>
      <c r="K32" s="172"/>
      <c r="L32" s="172"/>
      <c r="M32" s="172"/>
      <c r="N32" s="172"/>
      <c r="O32" s="172"/>
      <c r="P32" s="225"/>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row>
    <row r="33" spans="1:51" s="199" customFormat="1">
      <c r="A33" s="172"/>
      <c r="B33" s="146">
        <f t="shared" si="0"/>
        <v>28</v>
      </c>
      <c r="C33" s="524" t="s">
        <v>910</v>
      </c>
      <c r="D33" s="234" t="s">
        <v>909</v>
      </c>
      <c r="E33" s="233">
        <f>SUM(E29:E32)</f>
        <v>-381789.99999999994</v>
      </c>
      <c r="F33" s="63">
        <f>SUM(F29:F32)</f>
        <v>0.99999999999999978</v>
      </c>
      <c r="G33" s="172"/>
      <c r="H33" s="172"/>
      <c r="I33" s="172"/>
      <c r="J33" s="172"/>
      <c r="K33" s="172"/>
      <c r="L33" s="172"/>
      <c r="M33" s="172"/>
      <c r="N33" s="172"/>
      <c r="O33" s="172"/>
      <c r="P33" s="225"/>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row>
    <row r="34" spans="1:51" s="199" customFormat="1">
      <c r="A34" s="172"/>
      <c r="B34" s="146">
        <f t="shared" si="0"/>
        <v>29</v>
      </c>
      <c r="C34" s="522"/>
      <c r="D34" s="102"/>
      <c r="E34" s="225"/>
      <c r="F34" s="63"/>
      <c r="G34" s="172"/>
      <c r="H34" s="172"/>
      <c r="I34" s="172"/>
      <c r="J34" s="172"/>
      <c r="K34" s="172"/>
      <c r="L34" s="172"/>
      <c r="M34" s="172"/>
      <c r="N34" s="172"/>
      <c r="O34" s="172"/>
      <c r="P34" s="225"/>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row>
    <row r="35" spans="1:51" s="199" customFormat="1">
      <c r="A35" s="172"/>
      <c r="B35" s="146">
        <f t="shared" si="0"/>
        <v>30</v>
      </c>
      <c r="C35" s="523" t="s">
        <v>857</v>
      </c>
      <c r="D35" s="102"/>
      <c r="E35" s="225"/>
      <c r="F35" s="63"/>
      <c r="G35" s="172"/>
      <c r="H35" s="172"/>
      <c r="I35" s="172"/>
      <c r="J35" s="172"/>
      <c r="K35" s="172"/>
      <c r="L35" s="172"/>
      <c r="M35" s="172"/>
      <c r="N35" s="172"/>
      <c r="O35" s="172"/>
      <c r="P35" s="225"/>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row>
    <row r="36" spans="1:51" s="199" customFormat="1">
      <c r="A36" s="172"/>
      <c r="B36" s="146">
        <f t="shared" si="0"/>
        <v>31</v>
      </c>
      <c r="C36" s="522" t="s">
        <v>431</v>
      </c>
      <c r="D36" s="172" t="s">
        <v>914</v>
      </c>
      <c r="E36" s="225">
        <f>+E21</f>
        <v>86491020.618457958</v>
      </c>
      <c r="F36" s="63"/>
      <c r="G36" s="172"/>
      <c r="H36" s="172"/>
      <c r="I36" s="172"/>
      <c r="J36" s="172"/>
      <c r="K36" s="172"/>
      <c r="L36" s="172"/>
      <c r="M36" s="172"/>
      <c r="N36" s="172"/>
      <c r="O36" s="172"/>
      <c r="P36" s="225"/>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row>
    <row r="37" spans="1:51" s="199" customFormat="1">
      <c r="A37" s="172"/>
      <c r="B37" s="146">
        <f t="shared" si="0"/>
        <v>32</v>
      </c>
      <c r="C37" s="522" t="s">
        <v>432</v>
      </c>
      <c r="D37" s="172" t="s">
        <v>915</v>
      </c>
      <c r="E37" s="225">
        <f>+E24+E31</f>
        <v>5806387.7163148262</v>
      </c>
      <c r="F37" s="63"/>
      <c r="G37" s="172"/>
      <c r="H37" s="172"/>
      <c r="I37" s="172"/>
      <c r="J37" s="172"/>
      <c r="K37" s="172"/>
      <c r="L37" s="172"/>
      <c r="M37" s="172"/>
      <c r="N37" s="172"/>
      <c r="O37" s="172"/>
      <c r="P37" s="225"/>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row>
    <row r="38" spans="1:51" s="199" customFormat="1">
      <c r="A38" s="172"/>
      <c r="B38" s="146">
        <f t="shared" si="0"/>
        <v>33</v>
      </c>
      <c r="C38" s="146" t="s">
        <v>433</v>
      </c>
      <c r="D38" s="172" t="s">
        <v>916</v>
      </c>
      <c r="E38" s="225">
        <f>+E25+E32</f>
        <v>10193596.185580911</v>
      </c>
      <c r="F38" s="63"/>
      <c r="G38" s="172"/>
      <c r="H38" s="172"/>
      <c r="I38" s="172"/>
      <c r="J38" s="172"/>
      <c r="K38" s="172"/>
      <c r="L38" s="172"/>
      <c r="M38" s="172"/>
      <c r="N38" s="172"/>
      <c r="O38" s="172"/>
      <c r="P38" s="225"/>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row>
    <row r="39" spans="1:51" s="199" customFormat="1">
      <c r="A39" s="172"/>
      <c r="B39" s="146">
        <f t="shared" si="0"/>
        <v>34</v>
      </c>
      <c r="C39" s="146"/>
      <c r="D39" s="102"/>
      <c r="E39" s="225"/>
      <c r="F39" s="175"/>
      <c r="G39" s="172"/>
      <c r="H39" s="172"/>
      <c r="I39" s="172"/>
      <c r="J39" s="172"/>
      <c r="K39" s="172"/>
      <c r="L39" s="172"/>
      <c r="M39" s="172"/>
      <c r="N39" s="172"/>
      <c r="O39" s="172"/>
      <c r="P39" s="225"/>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row>
    <row r="40" spans="1:51" s="199" customFormat="1">
      <c r="A40" s="172"/>
      <c r="B40" s="146">
        <f t="shared" si="0"/>
        <v>35</v>
      </c>
      <c r="C40" s="146"/>
      <c r="D40" s="172"/>
      <c r="E40" s="172"/>
      <c r="F40" s="63"/>
      <c r="G40" s="172"/>
      <c r="H40" s="172"/>
      <c r="I40" s="172"/>
      <c r="J40" s="172"/>
      <c r="K40" s="172"/>
      <c r="L40" s="172"/>
      <c r="M40" s="172"/>
      <c r="N40" s="172"/>
      <c r="O40" s="172"/>
      <c r="P40" s="225"/>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row>
    <row r="41" spans="1:51" s="199" customFormat="1">
      <c r="A41" s="172"/>
      <c r="B41" s="146">
        <f t="shared" si="0"/>
        <v>36</v>
      </c>
      <c r="C41" s="511" t="s">
        <v>919</v>
      </c>
      <c r="D41" s="511"/>
      <c r="E41" s="511"/>
      <c r="F41" s="515"/>
      <c r="G41" s="511"/>
      <c r="H41" s="172"/>
      <c r="I41" s="172"/>
      <c r="J41" s="172"/>
      <c r="K41" s="172"/>
      <c r="L41" s="172"/>
      <c r="M41" s="172"/>
      <c r="N41" s="172"/>
      <c r="O41" s="172"/>
      <c r="P41" s="225"/>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row>
    <row r="42" spans="1:51">
      <c r="A42" s="172"/>
      <c r="B42" s="146">
        <f t="shared" si="0"/>
        <v>37</v>
      </c>
      <c r="C42" s="511" t="s">
        <v>434</v>
      </c>
      <c r="D42" s="511" t="s">
        <v>675</v>
      </c>
      <c r="E42" s="566"/>
      <c r="F42" s="506"/>
      <c r="G42" s="511"/>
      <c r="P42" s="175"/>
    </row>
    <row r="43" spans="1:51">
      <c r="A43" s="172"/>
      <c r="B43" s="146">
        <f t="shared" si="0"/>
        <v>38</v>
      </c>
      <c r="C43" s="511" t="s">
        <v>861</v>
      </c>
      <c r="D43" s="511" t="s">
        <v>865</v>
      </c>
      <c r="E43" s="512">
        <f>+'Schedule 19 - Third Party Trans'!L31</f>
        <v>0</v>
      </c>
      <c r="F43" s="508"/>
      <c r="G43" s="507"/>
      <c r="P43" s="175"/>
    </row>
    <row r="44" spans="1:51">
      <c r="A44" s="172"/>
      <c r="B44" s="146">
        <f t="shared" si="0"/>
        <v>39</v>
      </c>
      <c r="C44" s="511" t="s">
        <v>862</v>
      </c>
      <c r="D44" s="511" t="s">
        <v>866</v>
      </c>
      <c r="E44" s="585">
        <f>+'Schedule 19 - Third Party Trans'!L32</f>
        <v>137439.52995168846</v>
      </c>
      <c r="F44" s="508"/>
      <c r="G44" s="507"/>
      <c r="P44" s="175"/>
    </row>
    <row r="45" spans="1:51">
      <c r="A45" s="172"/>
      <c r="B45" s="146">
        <f t="shared" si="0"/>
        <v>40</v>
      </c>
      <c r="C45" s="514" t="s">
        <v>863</v>
      </c>
      <c r="D45" s="511" t="s">
        <v>867</v>
      </c>
      <c r="E45" s="585">
        <f>+'Schedule 19 - Third Party Trans'!L33</f>
        <v>26299.075315307433</v>
      </c>
      <c r="F45" s="508"/>
      <c r="G45" s="507"/>
      <c r="P45" s="175"/>
    </row>
    <row r="46" spans="1:51" s="621" customFormat="1">
      <c r="A46" s="668"/>
      <c r="B46" s="621">
        <v>41</v>
      </c>
      <c r="C46" s="587" t="s">
        <v>1769</v>
      </c>
      <c r="D46" s="668" t="s">
        <v>1770</v>
      </c>
      <c r="E46" s="585">
        <f>+'Schedule 19 - Third Party Trans'!L34</f>
        <v>30454.273478338422</v>
      </c>
      <c r="F46" s="592"/>
      <c r="G46" s="567"/>
      <c r="P46" s="175"/>
    </row>
    <row r="47" spans="1:51">
      <c r="A47" s="172"/>
      <c r="C47" s="505" t="s">
        <v>917</v>
      </c>
      <c r="D47" s="510" t="s">
        <v>1801</v>
      </c>
      <c r="E47" s="513">
        <f>SUM(E43:E46)</f>
        <v>194192.87874533434</v>
      </c>
      <c r="F47" s="504"/>
      <c r="G47" s="503"/>
      <c r="P47" s="175"/>
    </row>
    <row r="48" spans="1:51">
      <c r="A48" s="172"/>
      <c r="B48" s="146">
        <v>42</v>
      </c>
      <c r="C48" s="106"/>
      <c r="E48" s="175"/>
      <c r="P48" s="175"/>
    </row>
    <row r="49" spans="1:16">
      <c r="A49" s="172"/>
      <c r="B49" s="146">
        <f t="shared" si="0"/>
        <v>43</v>
      </c>
      <c r="C49" s="194" t="s">
        <v>676</v>
      </c>
      <c r="E49" s="175"/>
      <c r="P49" s="175"/>
    </row>
    <row r="50" spans="1:16">
      <c r="B50" s="146">
        <f t="shared" si="0"/>
        <v>44</v>
      </c>
      <c r="C50" s="106" t="s">
        <v>677</v>
      </c>
      <c r="D50" s="146" t="s">
        <v>1803</v>
      </c>
      <c r="E50" s="220">
        <v>140</v>
      </c>
      <c r="F50" s="105">
        <f>+E50/E52</f>
        <v>0.58577405857740583</v>
      </c>
      <c r="P50" s="175"/>
    </row>
    <row r="51" spans="1:16">
      <c r="B51" s="146">
        <f t="shared" si="0"/>
        <v>45</v>
      </c>
      <c r="C51" s="106" t="s">
        <v>678</v>
      </c>
      <c r="D51" s="146" t="s">
        <v>1804</v>
      </c>
      <c r="E51" s="221">
        <v>99</v>
      </c>
      <c r="F51" s="105">
        <f>+E51/E52</f>
        <v>0.41422594142259417</v>
      </c>
      <c r="P51" s="175"/>
    </row>
    <row r="52" spans="1:16">
      <c r="B52" s="146">
        <f t="shared" si="0"/>
        <v>46</v>
      </c>
      <c r="C52" s="106"/>
      <c r="D52" s="146" t="s">
        <v>1771</v>
      </c>
      <c r="E52" s="196">
        <f>SUM(E50:E51)</f>
        <v>239</v>
      </c>
      <c r="P52" s="175"/>
    </row>
    <row r="53" spans="1:16">
      <c r="B53" s="146">
        <f t="shared" si="0"/>
        <v>47</v>
      </c>
      <c r="C53" s="106" t="s">
        <v>679</v>
      </c>
      <c r="E53" s="175"/>
      <c r="P53" s="175"/>
    </row>
    <row r="54" spans="1:16">
      <c r="B54" s="146">
        <f t="shared" si="0"/>
        <v>48</v>
      </c>
      <c r="C54" s="106" t="s">
        <v>680</v>
      </c>
      <c r="D54" s="146" t="s">
        <v>777</v>
      </c>
      <c r="E54" s="196">
        <f>'Sch 17 - Trans Demand Allocator'!P27</f>
        <v>159.16355440414506</v>
      </c>
      <c r="F54" s="146" t="s">
        <v>681</v>
      </c>
      <c r="P54" s="175"/>
    </row>
    <row r="55" spans="1:16">
      <c r="B55" s="146">
        <f t="shared" si="0"/>
        <v>49</v>
      </c>
      <c r="C55" s="106"/>
      <c r="E55" s="175"/>
      <c r="P55" s="175"/>
    </row>
    <row r="56" spans="1:16">
      <c r="B56" s="146">
        <f t="shared" si="0"/>
        <v>50</v>
      </c>
      <c r="C56" s="106" t="s">
        <v>682</v>
      </c>
      <c r="D56" s="146" t="s">
        <v>1772</v>
      </c>
      <c r="E56" s="196">
        <f>+E54*F50</f>
        <v>93.233881240921789</v>
      </c>
      <c r="F56" s="105">
        <f>+E56/E58</f>
        <v>0.58577405857740583</v>
      </c>
      <c r="P56" s="175"/>
    </row>
    <row r="57" spans="1:16">
      <c r="B57" s="146">
        <f t="shared" si="0"/>
        <v>51</v>
      </c>
      <c r="C57" s="106" t="s">
        <v>683</v>
      </c>
      <c r="D57" s="146" t="s">
        <v>1805</v>
      </c>
      <c r="E57" s="215">
        <f>+E54*F51</f>
        <v>65.929673163223271</v>
      </c>
      <c r="F57" s="105">
        <f>+E57/E58</f>
        <v>0.41422594142259417</v>
      </c>
      <c r="P57" s="175"/>
    </row>
    <row r="58" spans="1:16">
      <c r="B58" s="146">
        <f t="shared" si="0"/>
        <v>52</v>
      </c>
      <c r="C58" s="106"/>
      <c r="D58" s="146" t="s">
        <v>1773</v>
      </c>
      <c r="E58" s="196">
        <f>SUM(E56:E57)</f>
        <v>159.16355440414506</v>
      </c>
      <c r="F58" s="146" t="s">
        <v>681</v>
      </c>
      <c r="P58" s="175"/>
    </row>
    <row r="59" spans="1:16">
      <c r="B59" s="146">
        <f t="shared" si="0"/>
        <v>53</v>
      </c>
      <c r="C59" s="106"/>
      <c r="E59" s="175"/>
      <c r="P59" s="175"/>
    </row>
    <row r="60" spans="1:16">
      <c r="B60" s="146">
        <f t="shared" si="0"/>
        <v>54</v>
      </c>
      <c r="C60" s="194" t="s">
        <v>684</v>
      </c>
      <c r="E60" s="195"/>
      <c r="P60" s="175"/>
    </row>
    <row r="61" spans="1:16">
      <c r="B61" s="146">
        <f t="shared" si="0"/>
        <v>55</v>
      </c>
      <c r="C61" s="146" t="s">
        <v>468</v>
      </c>
      <c r="D61" s="146" t="s">
        <v>777</v>
      </c>
      <c r="E61" s="196">
        <f>'Sch 17 - Trans Demand Allocator'!P26</f>
        <v>0</v>
      </c>
      <c r="P61" s="175"/>
    </row>
    <row r="62" spans="1:16">
      <c r="B62" s="146">
        <f t="shared" si="0"/>
        <v>56</v>
      </c>
      <c r="C62" s="106" t="s">
        <v>685</v>
      </c>
      <c r="D62" s="146" t="s">
        <v>1774</v>
      </c>
      <c r="E62" s="215">
        <f>+E57</f>
        <v>65.929673163223271</v>
      </c>
      <c r="P62" s="175"/>
    </row>
    <row r="63" spans="1:16">
      <c r="B63" s="146">
        <f t="shared" si="0"/>
        <v>57</v>
      </c>
      <c r="C63" s="194" t="s">
        <v>686</v>
      </c>
      <c r="E63" s="196">
        <f>SUM(E61:E62)</f>
        <v>65.929673163223271</v>
      </c>
      <c r="F63" s="105">
        <f>+E63/E70</f>
        <v>0.40764213401064542</v>
      </c>
      <c r="P63" s="175"/>
    </row>
    <row r="64" spans="1:16">
      <c r="B64" s="146">
        <f t="shared" si="0"/>
        <v>58</v>
      </c>
      <c r="C64" s="106"/>
      <c r="E64" s="196"/>
      <c r="P64" s="175"/>
    </row>
    <row r="65" spans="2:16">
      <c r="B65" s="146">
        <f t="shared" si="0"/>
        <v>59</v>
      </c>
      <c r="C65" s="194" t="s">
        <v>687</v>
      </c>
      <c r="E65" s="196"/>
      <c r="P65" s="175"/>
    </row>
    <row r="66" spans="2:16">
      <c r="B66" s="146">
        <f t="shared" si="0"/>
        <v>60</v>
      </c>
      <c r="C66" s="106" t="s">
        <v>688</v>
      </c>
      <c r="D66" s="146" t="s">
        <v>868</v>
      </c>
      <c r="E66" s="196">
        <f>+E56</f>
        <v>93.233881240921789</v>
      </c>
      <c r="P66" s="175"/>
    </row>
    <row r="67" spans="2:16">
      <c r="B67" s="146">
        <f t="shared" si="0"/>
        <v>61</v>
      </c>
      <c r="C67" s="106" t="s">
        <v>689</v>
      </c>
      <c r="D67" s="146" t="s">
        <v>777</v>
      </c>
      <c r="E67" s="215">
        <f>'Sch 17 - Trans Demand Allocator'!P28</f>
        <v>2.5706424870466322</v>
      </c>
      <c r="P67" s="175"/>
    </row>
    <row r="68" spans="2:16">
      <c r="B68" s="146">
        <f t="shared" si="0"/>
        <v>62</v>
      </c>
      <c r="C68" s="194" t="s">
        <v>690</v>
      </c>
      <c r="D68" s="146" t="s">
        <v>1775</v>
      </c>
      <c r="E68" s="196">
        <f>SUM(E66:E67)</f>
        <v>95.804523727968416</v>
      </c>
      <c r="F68" s="105">
        <f>+E68/E70</f>
        <v>0.59235786598935458</v>
      </c>
      <c r="P68" s="175"/>
    </row>
    <row r="69" spans="2:16">
      <c r="B69" s="146">
        <f t="shared" si="0"/>
        <v>63</v>
      </c>
      <c r="C69" s="106"/>
      <c r="E69" s="196"/>
      <c r="P69" s="175"/>
    </row>
    <row r="70" spans="2:16">
      <c r="B70" s="146">
        <f t="shared" si="0"/>
        <v>64</v>
      </c>
      <c r="C70" s="194" t="s">
        <v>691</v>
      </c>
      <c r="D70" s="146" t="s">
        <v>1776</v>
      </c>
      <c r="E70" s="196">
        <f>+E63+E68</f>
        <v>161.73419689119169</v>
      </c>
      <c r="F70" s="105">
        <f>+F63+F68</f>
        <v>1</v>
      </c>
      <c r="P70" s="175"/>
    </row>
    <row r="71" spans="2:16">
      <c r="B71" s="146">
        <f t="shared" si="0"/>
        <v>65</v>
      </c>
      <c r="C71" s="194"/>
      <c r="E71" s="196"/>
      <c r="P71" s="175"/>
    </row>
    <row r="72" spans="2:16">
      <c r="B72" s="146">
        <f t="shared" si="0"/>
        <v>66</v>
      </c>
      <c r="C72" s="194" t="s">
        <v>838</v>
      </c>
      <c r="D72" s="146" t="s">
        <v>1777</v>
      </c>
      <c r="E72" s="173">
        <f>+E37*F68</f>
        <v>3439459.4367430522</v>
      </c>
      <c r="P72" s="175"/>
    </row>
    <row r="73" spans="2:16">
      <c r="B73" s="146">
        <f t="shared" si="0"/>
        <v>67</v>
      </c>
      <c r="C73" s="194"/>
      <c r="E73" s="196"/>
      <c r="P73" s="175"/>
    </row>
    <row r="74" spans="2:16">
      <c r="B74" s="146">
        <f t="shared" si="0"/>
        <v>68</v>
      </c>
      <c r="C74" s="194" t="s">
        <v>692</v>
      </c>
      <c r="D74" s="146" t="s">
        <v>1778</v>
      </c>
      <c r="E74" s="174">
        <f>+E37-E72</f>
        <v>2366928.279571774</v>
      </c>
      <c r="F74" s="180"/>
      <c r="P74" s="175"/>
    </row>
    <row r="75" spans="2:16">
      <c r="B75" s="146">
        <f t="shared" si="0"/>
        <v>69</v>
      </c>
      <c r="C75" s="194" t="s">
        <v>693</v>
      </c>
      <c r="D75" s="146" t="s">
        <v>869</v>
      </c>
      <c r="E75" s="216">
        <f>+E38</f>
        <v>10193596.185580911</v>
      </c>
      <c r="P75" s="175"/>
    </row>
    <row r="76" spans="2:16">
      <c r="B76" s="146">
        <f t="shared" si="0"/>
        <v>70</v>
      </c>
      <c r="C76" s="194"/>
      <c r="D76" s="146" t="s">
        <v>1779</v>
      </c>
      <c r="E76" s="174">
        <f>SUM(E74:E75)</f>
        <v>12560524.465152685</v>
      </c>
      <c r="P76" s="175"/>
    </row>
    <row r="77" spans="2:16">
      <c r="B77" s="146">
        <f t="shared" si="0"/>
        <v>71</v>
      </c>
      <c r="C77" s="236"/>
      <c r="E77" s="195"/>
      <c r="P77" s="175"/>
    </row>
    <row r="78" spans="2:16">
      <c r="B78" s="146">
        <f t="shared" si="0"/>
        <v>72</v>
      </c>
      <c r="C78" s="602" t="s">
        <v>1521</v>
      </c>
      <c r="P78" s="175"/>
    </row>
    <row r="79" spans="2:16">
      <c r="B79" s="146">
        <f t="shared" si="0"/>
        <v>73</v>
      </c>
      <c r="E79" s="146" t="s">
        <v>435</v>
      </c>
      <c r="P79" s="175"/>
    </row>
    <row r="80" spans="2:16">
      <c r="B80" s="146">
        <f t="shared" si="0"/>
        <v>74</v>
      </c>
      <c r="P80" s="175"/>
    </row>
    <row r="81" spans="2:16">
      <c r="B81" s="146">
        <f t="shared" si="0"/>
        <v>75</v>
      </c>
      <c r="C81" s="146" t="s">
        <v>436</v>
      </c>
      <c r="D81" s="146" t="s">
        <v>1780</v>
      </c>
      <c r="E81" s="173">
        <f>+E83*12</f>
        <v>33.674328324806126</v>
      </c>
      <c r="F81" s="146" t="s">
        <v>694</v>
      </c>
      <c r="P81" s="175"/>
    </row>
    <row r="82" spans="2:16">
      <c r="B82" s="146">
        <f t="shared" si="0"/>
        <v>76</v>
      </c>
      <c r="P82" s="175"/>
    </row>
    <row r="83" spans="2:16">
      <c r="B83" s="146">
        <f t="shared" si="0"/>
        <v>77</v>
      </c>
      <c r="C83" s="146" t="s">
        <v>437</v>
      </c>
      <c r="D83" s="146" t="s">
        <v>1781</v>
      </c>
      <c r="E83" s="173">
        <f>+E76/E104/1000</f>
        <v>2.806194027067177</v>
      </c>
      <c r="F83" s="146" t="s">
        <v>695</v>
      </c>
      <c r="P83" s="175"/>
    </row>
    <row r="84" spans="2:16">
      <c r="B84" s="146">
        <f t="shared" si="0"/>
        <v>78</v>
      </c>
      <c r="P84" s="175"/>
    </row>
    <row r="85" spans="2:16">
      <c r="B85" s="146">
        <f t="shared" si="0"/>
        <v>79</v>
      </c>
      <c r="C85" s="146" t="s">
        <v>438</v>
      </c>
      <c r="D85" s="146" t="s">
        <v>1782</v>
      </c>
      <c r="E85" s="173">
        <f>+E81/52</f>
        <v>0.64758323701550247</v>
      </c>
      <c r="F85" s="146" t="s">
        <v>696</v>
      </c>
      <c r="P85" s="175"/>
    </row>
    <row r="86" spans="2:16">
      <c r="B86" s="146">
        <f t="shared" si="0"/>
        <v>80</v>
      </c>
      <c r="P86" s="175"/>
    </row>
    <row r="87" spans="2:16">
      <c r="B87" s="146">
        <f t="shared" si="0"/>
        <v>81</v>
      </c>
      <c r="C87" s="146" t="s">
        <v>439</v>
      </c>
      <c r="D87" s="146" t="s">
        <v>1783</v>
      </c>
      <c r="E87" s="245">
        <f>+E85/6</f>
        <v>0.10793053950258374</v>
      </c>
      <c r="F87" s="146" t="s">
        <v>697</v>
      </c>
      <c r="P87" s="175"/>
    </row>
    <row r="88" spans="2:16">
      <c r="B88" s="146">
        <f t="shared" si="0"/>
        <v>82</v>
      </c>
      <c r="P88" s="175"/>
    </row>
    <row r="89" spans="2:16">
      <c r="B89" s="146">
        <f t="shared" si="0"/>
        <v>83</v>
      </c>
      <c r="C89" s="146" t="s">
        <v>440</v>
      </c>
      <c r="D89" s="146" t="s">
        <v>1784</v>
      </c>
      <c r="E89" s="197">
        <f>+E87/16</f>
        <v>6.745658718911484E-3</v>
      </c>
      <c r="F89" s="146" t="s">
        <v>698</v>
      </c>
      <c r="P89" s="175"/>
    </row>
    <row r="90" spans="2:16">
      <c r="B90" s="146">
        <f t="shared" si="0"/>
        <v>84</v>
      </c>
      <c r="P90" s="175"/>
    </row>
    <row r="91" spans="2:16">
      <c r="B91" s="146">
        <f t="shared" si="0"/>
        <v>85</v>
      </c>
      <c r="P91" s="175"/>
    </row>
    <row r="92" spans="2:16">
      <c r="B92" s="146">
        <f t="shared" si="0"/>
        <v>86</v>
      </c>
      <c r="C92" s="146" t="s">
        <v>699</v>
      </c>
      <c r="P92" s="175"/>
    </row>
    <row r="93" spans="2:16">
      <c r="B93" s="146">
        <f t="shared" si="0"/>
        <v>87</v>
      </c>
      <c r="P93" s="175"/>
    </row>
    <row r="94" spans="2:16" s="172" customFormat="1">
      <c r="B94" s="172">
        <f t="shared" si="0"/>
        <v>88</v>
      </c>
      <c r="C94" s="172" t="s">
        <v>468</v>
      </c>
      <c r="D94" s="172" t="s">
        <v>926</v>
      </c>
      <c r="E94" s="590">
        <f>'Sch 17 - Trans Demand Allocator'!O80</f>
        <v>240</v>
      </c>
      <c r="P94" s="225"/>
    </row>
    <row r="95" spans="2:16" s="172" customFormat="1">
      <c r="B95" s="172">
        <f t="shared" si="0"/>
        <v>89</v>
      </c>
      <c r="C95" s="172" t="s">
        <v>700</v>
      </c>
      <c r="D95" s="172" t="s">
        <v>927</v>
      </c>
      <c r="E95" s="243">
        <f>+(6*107)+(6*91)</f>
        <v>1188</v>
      </c>
      <c r="P95" s="225"/>
    </row>
    <row r="96" spans="2:16">
      <c r="B96" s="146">
        <f t="shared" si="0"/>
        <v>90</v>
      </c>
      <c r="C96" s="146" t="s">
        <v>474</v>
      </c>
      <c r="D96" s="146" t="s">
        <v>777</v>
      </c>
      <c r="E96" s="226">
        <f>'Sch 17 - Trans Demand Allocator'!O75</f>
        <v>720</v>
      </c>
      <c r="P96" s="175"/>
    </row>
    <row r="97" spans="2:16">
      <c r="B97" s="146">
        <f t="shared" si="0"/>
        <v>91</v>
      </c>
      <c r="C97" s="146" t="s">
        <v>475</v>
      </c>
      <c r="D97" s="146" t="s">
        <v>777</v>
      </c>
      <c r="E97" s="226">
        <f>'Sch 17 - Trans Demand Allocator'!O76</f>
        <v>0</v>
      </c>
      <c r="P97" s="175"/>
    </row>
    <row r="98" spans="2:16">
      <c r="B98" s="146">
        <f t="shared" si="0"/>
        <v>92</v>
      </c>
      <c r="C98" s="146" t="s">
        <v>476</v>
      </c>
      <c r="D98" s="146" t="s">
        <v>777</v>
      </c>
      <c r="E98" s="229">
        <f>'Sch 17 - Trans Demand Allocator'!O77</f>
        <v>1080</v>
      </c>
      <c r="P98" s="175"/>
    </row>
    <row r="99" spans="2:16">
      <c r="B99" s="146">
        <f t="shared" si="0"/>
        <v>93</v>
      </c>
      <c r="C99" s="146" t="s">
        <v>477</v>
      </c>
      <c r="D99" s="146" t="s">
        <v>777</v>
      </c>
      <c r="E99" s="226">
        <f>'Sch 17 - Trans Demand Allocator'!O78</f>
        <v>1248</v>
      </c>
      <c r="P99" s="175"/>
    </row>
    <row r="100" spans="2:16">
      <c r="B100" s="146">
        <f t="shared" si="0"/>
        <v>94</v>
      </c>
      <c r="C100" s="146" t="s">
        <v>478</v>
      </c>
      <c r="D100" s="146" t="s">
        <v>777</v>
      </c>
      <c r="E100" s="227">
        <f>'Sch 17 - Trans Demand Allocator'!O79</f>
        <v>0</v>
      </c>
      <c r="P100" s="175"/>
    </row>
    <row r="101" spans="2:16">
      <c r="B101" s="146">
        <f t="shared" si="0"/>
        <v>95</v>
      </c>
      <c r="C101" s="146" t="s">
        <v>842</v>
      </c>
      <c r="D101" s="146" t="s">
        <v>777</v>
      </c>
      <c r="E101" s="227">
        <v>0</v>
      </c>
      <c r="P101" s="175"/>
    </row>
    <row r="102" spans="2:16">
      <c r="B102" s="146">
        <f t="shared" ref="B102:B111" si="1">+B101+1</f>
        <v>96</v>
      </c>
      <c r="C102" s="146" t="s">
        <v>870</v>
      </c>
      <c r="D102" s="146" t="s">
        <v>777</v>
      </c>
      <c r="E102" s="227">
        <f>'Sch 17 - Trans Demand Allocator'!O81</f>
        <v>0</v>
      </c>
      <c r="P102" s="175"/>
    </row>
    <row r="103" spans="2:16" s="621" customFormat="1">
      <c r="B103" s="621">
        <f t="shared" si="0"/>
        <v>97</v>
      </c>
      <c r="C103" s="621" t="s">
        <v>1586</v>
      </c>
      <c r="D103" s="621" t="s">
        <v>777</v>
      </c>
      <c r="E103" s="228">
        <f>+'Sch 17 - Trans Demand Allocator'!O82</f>
        <v>0</v>
      </c>
      <c r="P103" s="175"/>
    </row>
    <row r="104" spans="2:16">
      <c r="B104" s="621">
        <f t="shared" si="1"/>
        <v>98</v>
      </c>
      <c r="C104" s="146" t="s">
        <v>701</v>
      </c>
      <c r="E104" s="735">
        <f>SUM(E94:E103)</f>
        <v>4476</v>
      </c>
      <c r="P104" s="175"/>
    </row>
    <row r="105" spans="2:16">
      <c r="B105" s="621">
        <f t="shared" si="1"/>
        <v>99</v>
      </c>
      <c r="P105" s="175"/>
    </row>
    <row r="106" spans="2:16">
      <c r="B106" s="621">
        <f t="shared" si="1"/>
        <v>100</v>
      </c>
      <c r="C106" s="147" t="s">
        <v>933</v>
      </c>
      <c r="P106" s="175"/>
    </row>
    <row r="107" spans="2:16">
      <c r="B107" s="621">
        <f t="shared" si="1"/>
        <v>101</v>
      </c>
      <c r="C107" s="146" t="s">
        <v>934</v>
      </c>
      <c r="D107" s="146" t="s">
        <v>1785</v>
      </c>
      <c r="E107" s="173">
        <f>+E83</f>
        <v>2.806194027067177</v>
      </c>
      <c r="P107" s="175"/>
    </row>
    <row r="108" spans="2:16">
      <c r="B108" s="621">
        <f t="shared" si="1"/>
        <v>102</v>
      </c>
      <c r="C108" s="146" t="s">
        <v>935</v>
      </c>
      <c r="E108" s="173">
        <f>+E107*0.15*-1</f>
        <v>-0.42092910406007655</v>
      </c>
      <c r="P108" s="175"/>
    </row>
    <row r="109" spans="2:16">
      <c r="B109" s="621">
        <f t="shared" si="1"/>
        <v>103</v>
      </c>
      <c r="C109" s="146" t="s">
        <v>603</v>
      </c>
      <c r="D109" s="146" t="s">
        <v>1786</v>
      </c>
      <c r="E109" s="180">
        <f>SUM(E107:E108)</f>
        <v>2.3852649230071004</v>
      </c>
      <c r="P109" s="175"/>
    </row>
    <row r="110" spans="2:16">
      <c r="B110" s="621">
        <f t="shared" si="1"/>
        <v>104</v>
      </c>
      <c r="C110" s="146" t="s">
        <v>936</v>
      </c>
      <c r="E110" s="241">
        <v>-0.75</v>
      </c>
      <c r="P110" s="175"/>
    </row>
    <row r="111" spans="2:16">
      <c r="B111" s="621">
        <f t="shared" si="1"/>
        <v>105</v>
      </c>
      <c r="C111" s="146" t="s">
        <v>937</v>
      </c>
      <c r="D111" s="146" t="s">
        <v>1787</v>
      </c>
      <c r="E111" s="180">
        <f>SUM(E109:E110)</f>
        <v>1.6352649230071004</v>
      </c>
      <c r="P111" s="175"/>
    </row>
  </sheetData>
  <pageMargins left="0.7" right="0.7" top="0.75" bottom="0.75" header="0.3" footer="0.3"/>
  <pageSetup scale="56"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3"/>
  <sheetViews>
    <sheetView view="pageBreakPreview" topLeftCell="A40" zoomScale="60" zoomScaleNormal="100" workbookViewId="0">
      <selection activeCell="D77" sqref="D77"/>
    </sheetView>
  </sheetViews>
  <sheetFormatPr defaultColWidth="9.109375" defaultRowHeight="14.4"/>
  <cols>
    <col min="1" max="1" width="46.5546875" style="146" customWidth="1"/>
    <col min="2" max="2" width="30.44140625" style="146" bestFit="1" customWidth="1"/>
    <col min="3" max="3" width="11.33203125" style="146" customWidth="1"/>
    <col min="4" max="4" width="11.109375" style="146" customWidth="1"/>
    <col min="5" max="5" width="11" style="146" bestFit="1" customWidth="1"/>
    <col min="6" max="6" width="14.88671875" style="146" customWidth="1"/>
    <col min="7" max="7" width="11" style="146" bestFit="1" customWidth="1"/>
    <col min="8" max="8" width="11.44140625" style="146" bestFit="1" customWidth="1"/>
    <col min="9" max="9" width="11" style="146" bestFit="1" customWidth="1"/>
    <col min="10" max="10" width="18.44140625" style="146" bestFit="1" customWidth="1"/>
    <col min="11" max="12" width="11" style="146" bestFit="1" customWidth="1"/>
    <col min="13" max="13" width="12" style="146" bestFit="1" customWidth="1"/>
    <col min="14" max="14" width="12.33203125" style="146" bestFit="1" customWidth="1"/>
    <col min="15" max="17" width="9.109375" style="146"/>
    <col min="18" max="18" width="24.109375" style="146" bestFit="1" customWidth="1"/>
    <col min="19" max="16384" width="9.109375" style="146"/>
  </cols>
  <sheetData>
    <row r="1" spans="1:18">
      <c r="A1" s="147" t="s">
        <v>0</v>
      </c>
    </row>
    <row r="2" spans="1:18">
      <c r="A2" s="147" t="s">
        <v>931</v>
      </c>
    </row>
    <row r="4" spans="1:18">
      <c r="A4" s="147" t="s">
        <v>702</v>
      </c>
    </row>
    <row r="5" spans="1:18">
      <c r="A5" s="583" t="s">
        <v>1522</v>
      </c>
      <c r="B5" s="193">
        <v>3.5000000000000003E-2</v>
      </c>
      <c r="C5" s="6" t="s">
        <v>448</v>
      </c>
      <c r="D5" s="6" t="s">
        <v>449</v>
      </c>
      <c r="E5" s="6" t="s">
        <v>16</v>
      </c>
      <c r="F5" s="6" t="s">
        <v>17</v>
      </c>
      <c r="G5" s="6" t="s">
        <v>18</v>
      </c>
      <c r="H5" s="6" t="s">
        <v>19</v>
      </c>
      <c r="I5" s="6" t="s">
        <v>20</v>
      </c>
      <c r="J5" s="6" t="s">
        <v>21</v>
      </c>
      <c r="K5" s="6" t="s">
        <v>450</v>
      </c>
      <c r="L5" s="6" t="s">
        <v>451</v>
      </c>
      <c r="M5" s="6" t="s">
        <v>452</v>
      </c>
      <c r="N5" s="6" t="s">
        <v>453</v>
      </c>
      <c r="O5" s="6" t="s">
        <v>55</v>
      </c>
      <c r="P5" s="6" t="s">
        <v>305</v>
      </c>
    </row>
    <row r="6" spans="1:18">
      <c r="A6" s="5" t="s">
        <v>1523</v>
      </c>
      <c r="B6" s="584">
        <v>3.5000000000000003E-2</v>
      </c>
      <c r="C6" s="598">
        <v>42017</v>
      </c>
      <c r="D6" s="598">
        <v>42062</v>
      </c>
      <c r="E6" s="598">
        <v>42067</v>
      </c>
      <c r="F6" s="598">
        <v>42124</v>
      </c>
      <c r="G6" s="598">
        <v>42155</v>
      </c>
      <c r="H6" s="598">
        <v>42175</v>
      </c>
      <c r="I6" s="598">
        <v>42186</v>
      </c>
      <c r="J6" s="598">
        <v>42234</v>
      </c>
      <c r="K6" s="598">
        <v>42266</v>
      </c>
      <c r="L6" s="598">
        <v>42278</v>
      </c>
      <c r="M6" s="598">
        <v>42324</v>
      </c>
      <c r="N6" s="598">
        <v>42353</v>
      </c>
    </row>
    <row r="7" spans="1:18">
      <c r="B7" s="583"/>
      <c r="C7" s="599">
        <v>1900</v>
      </c>
      <c r="D7" s="599">
        <v>1900</v>
      </c>
      <c r="E7" s="599">
        <v>2000</v>
      </c>
      <c r="F7" s="599">
        <v>2000</v>
      </c>
      <c r="G7" s="599">
        <v>1700</v>
      </c>
      <c r="H7" s="599">
        <v>1700</v>
      </c>
      <c r="I7" s="599">
        <v>1600</v>
      </c>
      <c r="J7" s="599">
        <v>1600</v>
      </c>
      <c r="K7" s="599">
        <v>1600</v>
      </c>
      <c r="L7" s="599">
        <v>1700</v>
      </c>
      <c r="M7" s="599">
        <v>1900</v>
      </c>
      <c r="N7" s="599">
        <v>1900</v>
      </c>
    </row>
    <row r="8" spans="1:18">
      <c r="A8" s="147" t="s">
        <v>454</v>
      </c>
      <c r="B8" s="583"/>
    </row>
    <row r="9" spans="1:18">
      <c r="A9" s="146" t="s">
        <v>454</v>
      </c>
      <c r="B9" s="583"/>
      <c r="C9" s="862">
        <f>1392.405031-C14</f>
        <v>1349.0119926580312</v>
      </c>
      <c r="D9" s="862">
        <f>1391.503762-D14</f>
        <v>1346.315451119171</v>
      </c>
      <c r="E9" s="862">
        <f>1195.132079-E14</f>
        <v>1152.8292313316063</v>
      </c>
      <c r="F9" s="862">
        <f>1154.395478-F14</f>
        <v>1113.1448313678757</v>
      </c>
      <c r="G9" s="862">
        <f>1301.862894-G14</f>
        <v>1250.0422121347151</v>
      </c>
      <c r="H9" s="862">
        <f>1917.44712-H14</f>
        <v>1852.9257106735752</v>
      </c>
      <c r="I9" s="862">
        <f>1911.100574-I14</f>
        <v>1848.4242009430052</v>
      </c>
      <c r="J9" s="862">
        <f>1758.661354-J14</f>
        <v>1694.6787591813472</v>
      </c>
      <c r="K9" s="862">
        <f>1572.463085-K14</f>
        <v>1521.9645730829016</v>
      </c>
      <c r="L9" s="862">
        <f>1306.706044-L14</f>
        <v>1263.1687631709844</v>
      </c>
      <c r="M9" s="862">
        <f>1340.270047-M14</f>
        <v>1294.6158666891192</v>
      </c>
      <c r="N9" s="862">
        <f>1361.754815-N14</f>
        <v>1315.1107735492228</v>
      </c>
      <c r="O9" s="176">
        <f>SUM(C9:N9)</f>
        <v>17002.232365901556</v>
      </c>
      <c r="P9" s="176">
        <f>AVERAGE(C9:N9)</f>
        <v>1416.8526971584631</v>
      </c>
    </row>
    <row r="10" spans="1:18">
      <c r="A10" s="146" t="s">
        <v>455</v>
      </c>
      <c r="B10" s="583"/>
      <c r="C10" s="176">
        <f>C14</f>
        <v>43.393038341968911</v>
      </c>
      <c r="D10" s="176">
        <f>D14</f>
        <v>45.188310880829022</v>
      </c>
      <c r="E10" s="176">
        <f t="shared" ref="E10:N10" si="0">E14</f>
        <v>42.302847668393788</v>
      </c>
      <c r="F10" s="176">
        <f t="shared" si="0"/>
        <v>41.250646632124351</v>
      </c>
      <c r="G10" s="176">
        <f t="shared" si="0"/>
        <v>51.820681865284975</v>
      </c>
      <c r="H10" s="176">
        <f t="shared" si="0"/>
        <v>64.521409326424873</v>
      </c>
      <c r="I10" s="176">
        <f t="shared" si="0"/>
        <v>62.676373056994819</v>
      </c>
      <c r="J10" s="176">
        <f t="shared" si="0"/>
        <v>63.982594818652856</v>
      </c>
      <c r="K10" s="176">
        <f t="shared" si="0"/>
        <v>50.498511917098448</v>
      </c>
      <c r="L10" s="176">
        <f t="shared" si="0"/>
        <v>43.537280829015543</v>
      </c>
      <c r="M10" s="176">
        <f t="shared" si="0"/>
        <v>45.654180310880825</v>
      </c>
      <c r="N10" s="176">
        <f t="shared" si="0"/>
        <v>46.644041450777202</v>
      </c>
      <c r="O10" s="176">
        <f>SUM(C10:N10)</f>
        <v>601.46991709844553</v>
      </c>
      <c r="P10" s="176">
        <f>AVERAGE(C10:N10)</f>
        <v>50.12249309153713</v>
      </c>
      <c r="Q10" s="105"/>
    </row>
    <row r="11" spans="1:18">
      <c r="A11" s="147" t="s">
        <v>456</v>
      </c>
      <c r="B11" s="583"/>
      <c r="C11" s="176">
        <f>+C9+C10</f>
        <v>1392.405031</v>
      </c>
      <c r="D11" s="176">
        <f t="shared" ref="D11:N11" si="1">+D9+D10</f>
        <v>1391.5037620000001</v>
      </c>
      <c r="E11" s="176">
        <f t="shared" si="1"/>
        <v>1195.132079</v>
      </c>
      <c r="F11" s="176">
        <f t="shared" si="1"/>
        <v>1154.3954779999999</v>
      </c>
      <c r="G11" s="176">
        <f t="shared" si="1"/>
        <v>1301.8628940000001</v>
      </c>
      <c r="H11" s="176">
        <f t="shared" si="1"/>
        <v>1917.44712</v>
      </c>
      <c r="I11" s="176">
        <f t="shared" si="1"/>
        <v>1911.1005740000001</v>
      </c>
      <c r="J11" s="176">
        <f t="shared" si="1"/>
        <v>1758.6613540000001</v>
      </c>
      <c r="K11" s="176">
        <f t="shared" si="1"/>
        <v>1572.4630850000001</v>
      </c>
      <c r="L11" s="176">
        <f t="shared" si="1"/>
        <v>1306.706044</v>
      </c>
      <c r="M11" s="176">
        <f t="shared" si="1"/>
        <v>1340.270047</v>
      </c>
      <c r="N11" s="176">
        <f t="shared" si="1"/>
        <v>1361.754815</v>
      </c>
      <c r="O11" s="176">
        <f>SUM(C11:N11)</f>
        <v>17603.702282999999</v>
      </c>
      <c r="P11" s="176">
        <f>AVERAGE(C11:N11)</f>
        <v>1466.97519025</v>
      </c>
      <c r="Q11" s="105">
        <f>+P11/$P$41</f>
        <v>0.61161374365290466</v>
      </c>
      <c r="R11" s="146" t="s">
        <v>778</v>
      </c>
    </row>
    <row r="12" spans="1:18">
      <c r="B12" s="583"/>
      <c r="C12" s="176"/>
      <c r="D12" s="176"/>
      <c r="E12" s="176"/>
      <c r="F12" s="176"/>
      <c r="G12" s="176"/>
      <c r="H12" s="176"/>
      <c r="I12" s="176"/>
      <c r="J12" s="176"/>
      <c r="K12" s="176"/>
      <c r="L12" s="176"/>
      <c r="M12" s="176"/>
      <c r="N12" s="176"/>
      <c r="O12" s="176"/>
      <c r="P12" s="176"/>
      <c r="Q12" s="105"/>
    </row>
    <row r="13" spans="1:18">
      <c r="A13" s="147" t="s">
        <v>457</v>
      </c>
      <c r="B13" s="583"/>
      <c r="C13" s="176"/>
      <c r="D13" s="176"/>
      <c r="E13" s="176"/>
      <c r="F13" s="176"/>
      <c r="G13" s="176"/>
      <c r="H13" s="176"/>
      <c r="I13" s="176"/>
      <c r="J13" s="176"/>
      <c r="K13" s="176"/>
      <c r="L13" s="176"/>
      <c r="M13" s="176"/>
      <c r="N13" s="176"/>
      <c r="O13" s="176"/>
      <c r="P13" s="176"/>
      <c r="Q13" s="105"/>
    </row>
    <row r="14" spans="1:18">
      <c r="A14" s="146" t="s">
        <v>458</v>
      </c>
      <c r="B14" s="583" t="s">
        <v>459</v>
      </c>
      <c r="C14" s="176">
        <f t="shared" ref="C14:N14" si="2">+C59/(1-$B$5)</f>
        <v>43.393038341968911</v>
      </c>
      <c r="D14" s="176">
        <f t="shared" si="2"/>
        <v>45.188310880829022</v>
      </c>
      <c r="E14" s="176">
        <f t="shared" si="2"/>
        <v>42.302847668393788</v>
      </c>
      <c r="F14" s="176">
        <f t="shared" si="2"/>
        <v>41.250646632124351</v>
      </c>
      <c r="G14" s="176">
        <f t="shared" si="2"/>
        <v>51.820681865284975</v>
      </c>
      <c r="H14" s="176">
        <f t="shared" si="2"/>
        <v>64.521409326424873</v>
      </c>
      <c r="I14" s="176">
        <f t="shared" si="2"/>
        <v>62.676373056994819</v>
      </c>
      <c r="J14" s="176">
        <f t="shared" si="2"/>
        <v>63.982594818652856</v>
      </c>
      <c r="K14" s="176">
        <f t="shared" si="2"/>
        <v>50.498511917098448</v>
      </c>
      <c r="L14" s="176">
        <f t="shared" si="2"/>
        <v>43.537280829015543</v>
      </c>
      <c r="M14" s="176">
        <f t="shared" si="2"/>
        <v>45.654180310880825</v>
      </c>
      <c r="N14" s="176">
        <f t="shared" si="2"/>
        <v>46.644041450777202</v>
      </c>
      <c r="O14" s="176">
        <f t="shared" ref="O14:O20" si="3">SUM(C14:N14)</f>
        <v>601.46991709844553</v>
      </c>
      <c r="P14" s="176">
        <f t="shared" ref="P14:P20" si="4">AVERAGE(C14:N14)</f>
        <v>50.12249309153713</v>
      </c>
      <c r="Q14" s="105"/>
    </row>
    <row r="15" spans="1:18">
      <c r="A15" s="146" t="s">
        <v>460</v>
      </c>
      <c r="B15" s="583" t="s">
        <v>459</v>
      </c>
      <c r="C15" s="176">
        <f t="shared" ref="C15:N15" si="5">+C60/(1-$B$5)</f>
        <v>296.37305699481868</v>
      </c>
      <c r="D15" s="176">
        <f t="shared" si="5"/>
        <v>298.44559585492232</v>
      </c>
      <c r="E15" s="176">
        <f t="shared" si="5"/>
        <v>283.93782383419688</v>
      </c>
      <c r="F15" s="176">
        <f t="shared" si="5"/>
        <v>280.82901554404145</v>
      </c>
      <c r="G15" s="176">
        <f t="shared" si="5"/>
        <v>224.87046632124353</v>
      </c>
      <c r="H15" s="176">
        <f t="shared" si="5"/>
        <v>316.06217616580312</v>
      </c>
      <c r="I15" s="176">
        <f t="shared" si="5"/>
        <v>308.80829015544043</v>
      </c>
      <c r="J15" s="176">
        <f t="shared" si="5"/>
        <v>281.8652849740933</v>
      </c>
      <c r="K15" s="176">
        <f t="shared" si="5"/>
        <v>282.90155440414509</v>
      </c>
      <c r="L15" s="176">
        <f t="shared" si="5"/>
        <v>284.97409326424872</v>
      </c>
      <c r="M15" s="176">
        <f t="shared" si="5"/>
        <v>209.32642487046633</v>
      </c>
      <c r="N15" s="176">
        <f t="shared" si="5"/>
        <v>231.0880829015544</v>
      </c>
      <c r="O15" s="176">
        <f t="shared" si="3"/>
        <v>3299.4818652849749</v>
      </c>
      <c r="P15" s="176">
        <f t="shared" si="4"/>
        <v>274.95682210708122</v>
      </c>
      <c r="Q15" s="105"/>
    </row>
    <row r="16" spans="1:18">
      <c r="A16" s="146" t="s">
        <v>461</v>
      </c>
      <c r="B16" s="583" t="s">
        <v>459</v>
      </c>
      <c r="C16" s="176">
        <f t="shared" ref="C16:N16" si="6">+C61/(1-$B$5)</f>
        <v>54.922279792746117</v>
      </c>
      <c r="D16" s="176">
        <f t="shared" si="6"/>
        <v>36.269430051813472</v>
      </c>
      <c r="E16" s="176">
        <f t="shared" si="6"/>
        <v>42.487046632124354</v>
      </c>
      <c r="F16" s="176">
        <f t="shared" si="6"/>
        <v>22.797927461139896</v>
      </c>
      <c r="G16" s="176">
        <f t="shared" si="6"/>
        <v>40.414507772020727</v>
      </c>
      <c r="H16" s="176">
        <f t="shared" si="6"/>
        <v>40.414507772020727</v>
      </c>
      <c r="I16" s="176">
        <f t="shared" si="6"/>
        <v>43.523316062176164</v>
      </c>
      <c r="J16" s="176">
        <f t="shared" si="6"/>
        <v>48.704663212435236</v>
      </c>
      <c r="K16" s="176">
        <f t="shared" si="6"/>
        <v>56.994818652849744</v>
      </c>
      <c r="L16" s="176">
        <f t="shared" si="6"/>
        <v>58.031088082901555</v>
      </c>
      <c r="M16" s="176">
        <f t="shared" si="6"/>
        <v>46.632124352331608</v>
      </c>
      <c r="N16" s="176">
        <f t="shared" si="6"/>
        <v>58.031088082901555</v>
      </c>
      <c r="O16" s="176">
        <f t="shared" si="3"/>
        <v>549.2227979274611</v>
      </c>
      <c r="P16" s="176">
        <f t="shared" si="4"/>
        <v>45.768566493955092</v>
      </c>
      <c r="Q16" s="105"/>
    </row>
    <row r="17" spans="1:18">
      <c r="A17" s="146" t="s">
        <v>462</v>
      </c>
      <c r="B17" s="583" t="s">
        <v>459</v>
      </c>
      <c r="C17" s="176">
        <f t="shared" ref="C17:N17" si="7">+C62/(1-$B$5)</f>
        <v>31.624702590673575</v>
      </c>
      <c r="D17" s="176">
        <f t="shared" si="7"/>
        <v>32.236106735751299</v>
      </c>
      <c r="E17" s="176">
        <f t="shared" si="7"/>
        <v>27.829444559585493</v>
      </c>
      <c r="F17" s="176">
        <f t="shared" si="7"/>
        <v>25.484128497409326</v>
      </c>
      <c r="G17" s="176">
        <f t="shared" si="7"/>
        <v>22.989268393782382</v>
      </c>
      <c r="H17" s="176">
        <f t="shared" si="7"/>
        <v>37.040146113989636</v>
      </c>
      <c r="I17" s="176">
        <f t="shared" si="7"/>
        <v>35.361267357512958</v>
      </c>
      <c r="J17" s="176">
        <f t="shared" si="7"/>
        <v>30.200661139896376</v>
      </c>
      <c r="K17" s="176">
        <f t="shared" si="7"/>
        <v>23.304054922279796</v>
      </c>
      <c r="L17" s="176">
        <f t="shared" si="7"/>
        <v>23.37958756476684</v>
      </c>
      <c r="M17" s="176">
        <f t="shared" si="7"/>
        <v>31.179810362694305</v>
      </c>
      <c r="N17" s="176">
        <f t="shared" si="7"/>
        <v>29.636459067357514</v>
      </c>
      <c r="O17" s="176">
        <f t="shared" si="3"/>
        <v>350.2656373056995</v>
      </c>
      <c r="P17" s="176">
        <f t="shared" si="4"/>
        <v>29.18880310880829</v>
      </c>
      <c r="Q17" s="105"/>
    </row>
    <row r="18" spans="1:18">
      <c r="A18" s="146" t="s">
        <v>463</v>
      </c>
      <c r="B18" s="583" t="s">
        <v>1507</v>
      </c>
      <c r="C18" s="176">
        <f>(+C63-C85-C88)/(1-$B$5)</f>
        <v>38.637072538860103</v>
      </c>
      <c r="D18" s="176">
        <f t="shared" ref="D18:N18" si="8">(+D63-D85-D88)/(1-$B$5)</f>
        <v>41.534279792746112</v>
      </c>
      <c r="E18" s="176">
        <f t="shared" si="8"/>
        <v>24.090481865284975</v>
      </c>
      <c r="F18" s="176">
        <f t="shared" si="8"/>
        <v>20.23078238341969</v>
      </c>
      <c r="G18" s="176">
        <f t="shared" si="8"/>
        <v>15.008238341968914</v>
      </c>
      <c r="H18" s="176">
        <f t="shared" si="8"/>
        <v>24.755642487046632</v>
      </c>
      <c r="I18" s="176">
        <f t="shared" si="8"/>
        <v>33.094849740932638</v>
      </c>
      <c r="J18" s="176">
        <f t="shared" si="8"/>
        <v>25.22079274611399</v>
      </c>
      <c r="K18" s="176">
        <f t="shared" si="8"/>
        <v>25.014683937823836</v>
      </c>
      <c r="L18" s="176">
        <f t="shared" si="8"/>
        <v>22.572668393782386</v>
      </c>
      <c r="M18" s="176">
        <f t="shared" si="8"/>
        <v>38.892077720207254</v>
      </c>
      <c r="N18" s="176">
        <f t="shared" si="8"/>
        <v>31.342160621761657</v>
      </c>
      <c r="O18" s="176">
        <f t="shared" si="3"/>
        <v>340.39373056994816</v>
      </c>
      <c r="P18" s="176">
        <f t="shared" si="4"/>
        <v>28.366144214162347</v>
      </c>
      <c r="Q18" s="105"/>
    </row>
    <row r="19" spans="1:18">
      <c r="A19" s="146" t="s">
        <v>464</v>
      </c>
      <c r="B19" s="583" t="s">
        <v>459</v>
      </c>
      <c r="C19" s="176">
        <f t="shared" ref="C19:N19" si="9">+C64/(1-$B$5)</f>
        <v>5.9730569948186529</v>
      </c>
      <c r="D19" s="176">
        <f t="shared" si="9"/>
        <v>6.0725388601036272</v>
      </c>
      <c r="E19" s="176">
        <f t="shared" si="9"/>
        <v>4.7917098445595849</v>
      </c>
      <c r="F19" s="176">
        <f t="shared" si="9"/>
        <v>4.3585492227979277</v>
      </c>
      <c r="G19" s="176">
        <f t="shared" si="9"/>
        <v>4.4383419689119172</v>
      </c>
      <c r="H19" s="176">
        <f t="shared" si="9"/>
        <v>6.4384901554404141</v>
      </c>
      <c r="I19" s="176">
        <f t="shared" si="9"/>
        <v>0</v>
      </c>
      <c r="J19" s="176">
        <f t="shared" si="9"/>
        <v>0</v>
      </c>
      <c r="K19" s="176">
        <f t="shared" si="9"/>
        <v>0</v>
      </c>
      <c r="L19" s="176">
        <f t="shared" si="9"/>
        <v>0</v>
      </c>
      <c r="M19" s="176">
        <f t="shared" si="9"/>
        <v>0</v>
      </c>
      <c r="N19" s="176">
        <f t="shared" si="9"/>
        <v>0</v>
      </c>
      <c r="O19" s="176">
        <f t="shared" si="3"/>
        <v>32.072687046632126</v>
      </c>
      <c r="P19" s="176">
        <f t="shared" si="4"/>
        <v>2.6727239205526772</v>
      </c>
      <c r="Q19" s="105"/>
    </row>
    <row r="20" spans="1:18">
      <c r="A20" s="146" t="s">
        <v>465</v>
      </c>
      <c r="B20" s="583"/>
      <c r="C20" s="176">
        <f t="shared" ref="C20:N20" si="10">+C65/(1-$B$5)</f>
        <v>42.382129533678757</v>
      </c>
      <c r="D20" s="176">
        <f t="shared" si="10"/>
        <v>39.200176165803107</v>
      </c>
      <c r="E20" s="176">
        <f t="shared" si="10"/>
        <v>33.229709844559586</v>
      </c>
      <c r="F20" s="176">
        <f t="shared" si="10"/>
        <v>32.28579792746114</v>
      </c>
      <c r="G20" s="176">
        <f t="shared" si="10"/>
        <v>26.123642487046634</v>
      </c>
      <c r="H20" s="176">
        <f t="shared" si="10"/>
        <v>20.186564766839378</v>
      </c>
      <c r="I20" s="176">
        <f t="shared" si="10"/>
        <v>33.96047668393782</v>
      </c>
      <c r="J20" s="176">
        <f t="shared" si="10"/>
        <v>33.862709844559589</v>
      </c>
      <c r="K20" s="176">
        <f t="shared" si="10"/>
        <v>24.261202072538861</v>
      </c>
      <c r="L20" s="176">
        <f t="shared" si="10"/>
        <v>24.291792746113988</v>
      </c>
      <c r="M20" s="176">
        <f t="shared" si="10"/>
        <v>38.340834196891194</v>
      </c>
      <c r="N20" s="176">
        <f t="shared" si="10"/>
        <v>33.560751295336786</v>
      </c>
      <c r="O20" s="176">
        <f t="shared" si="3"/>
        <v>381.68578756476688</v>
      </c>
      <c r="P20" s="176">
        <f t="shared" si="4"/>
        <v>31.807148963730572</v>
      </c>
      <c r="Q20" s="105"/>
    </row>
    <row r="21" spans="1:18" s="562" customFormat="1">
      <c r="A21" s="562" t="s">
        <v>1527</v>
      </c>
      <c r="B21" s="583"/>
      <c r="C21" s="176">
        <f t="shared" ref="C21:N21" si="11">+C66/(1-$B$5)</f>
        <v>3.6748124352331604</v>
      </c>
      <c r="D21" s="176">
        <f t="shared" si="11"/>
        <v>3.6845989637305703</v>
      </c>
      <c r="E21" s="176">
        <f t="shared" si="11"/>
        <v>3.1047253886010364</v>
      </c>
      <c r="F21" s="176">
        <f t="shared" si="11"/>
        <v>2.9801212435233162</v>
      </c>
      <c r="G21" s="176">
        <f t="shared" si="11"/>
        <v>2.457156476683938</v>
      </c>
      <c r="H21" s="176">
        <f t="shared" si="11"/>
        <v>3.1805253886010365</v>
      </c>
      <c r="I21" s="176">
        <f t="shared" si="11"/>
        <v>3.2539544041450776</v>
      </c>
      <c r="J21" s="176">
        <f t="shared" si="11"/>
        <v>3.1094103626943004</v>
      </c>
      <c r="K21" s="176">
        <f t="shared" si="11"/>
        <v>2.4847098445595854</v>
      </c>
      <c r="L21" s="176">
        <f t="shared" si="11"/>
        <v>2.6024155440414511</v>
      </c>
      <c r="M21" s="176">
        <f t="shared" si="11"/>
        <v>3.3151274611398969</v>
      </c>
      <c r="N21" s="176">
        <f t="shared" si="11"/>
        <v>3.2925461139896375</v>
      </c>
      <c r="O21" s="176">
        <f t="shared" ref="O21" si="12">SUM(C21:N21)</f>
        <v>37.140103626943009</v>
      </c>
      <c r="P21" s="176">
        <f t="shared" ref="P21" si="13">AVERAGE(C21:N21)</f>
        <v>3.095008635578584</v>
      </c>
      <c r="Q21" s="105"/>
    </row>
    <row r="22" spans="1:18" s="792" customFormat="1">
      <c r="A22" s="792" t="s">
        <v>1813</v>
      </c>
      <c r="B22" s="805"/>
      <c r="C22" s="176">
        <f>+C67/(1-$B$5)</f>
        <v>0</v>
      </c>
      <c r="D22" s="176">
        <f t="shared" ref="D22:N22" si="14">+D67/(1-$B$5)</f>
        <v>0</v>
      </c>
      <c r="E22" s="176">
        <f t="shared" si="14"/>
        <v>0</v>
      </c>
      <c r="F22" s="176">
        <f t="shared" si="14"/>
        <v>0</v>
      </c>
      <c r="G22" s="176">
        <f t="shared" si="14"/>
        <v>0</v>
      </c>
      <c r="H22" s="176">
        <f t="shared" si="14"/>
        <v>0</v>
      </c>
      <c r="I22" s="176">
        <f t="shared" si="14"/>
        <v>35.804145077720207</v>
      </c>
      <c r="J22" s="176">
        <f t="shared" si="14"/>
        <v>34.122279792746113</v>
      </c>
      <c r="K22" s="176">
        <f t="shared" si="14"/>
        <v>31.345077720207257</v>
      </c>
      <c r="L22" s="176">
        <f t="shared" si="14"/>
        <v>33.197927461139898</v>
      </c>
      <c r="M22" s="176">
        <f t="shared" si="14"/>
        <v>51.806217616580312</v>
      </c>
      <c r="N22" s="176">
        <f t="shared" si="14"/>
        <v>52.61036269430052</v>
      </c>
      <c r="O22" s="176">
        <f t="shared" ref="O22" si="15">SUM(C22:N22)</f>
        <v>238.88601036269432</v>
      </c>
      <c r="P22" s="176">
        <f t="shared" ref="P22" si="16">AVERAGE(C22:N22)</f>
        <v>19.907167530224527</v>
      </c>
      <c r="Q22" s="105"/>
    </row>
    <row r="23" spans="1:18">
      <c r="A23" s="147" t="s">
        <v>466</v>
      </c>
      <c r="B23" s="583"/>
      <c r="C23" s="176">
        <f>SUM(C14:C22)</f>
        <v>516.98014922279799</v>
      </c>
      <c r="D23" s="176">
        <f t="shared" ref="D23:N23" si="17">SUM(D14:D22)</f>
        <v>502.63103730569958</v>
      </c>
      <c r="E23" s="176">
        <f t="shared" si="17"/>
        <v>461.7737896373057</v>
      </c>
      <c r="F23" s="176">
        <f t="shared" si="17"/>
        <v>430.21696891191715</v>
      </c>
      <c r="G23" s="176">
        <f t="shared" si="17"/>
        <v>388.12230362694305</v>
      </c>
      <c r="H23" s="176">
        <f t="shared" si="17"/>
        <v>512.59946217616584</v>
      </c>
      <c r="I23" s="176">
        <f t="shared" si="17"/>
        <v>556.48267253886024</v>
      </c>
      <c r="J23" s="176">
        <f t="shared" si="17"/>
        <v>521.06839689119181</v>
      </c>
      <c r="K23" s="176">
        <f t="shared" si="17"/>
        <v>496.80461347150265</v>
      </c>
      <c r="L23" s="176">
        <f t="shared" si="17"/>
        <v>492.58685388601037</v>
      </c>
      <c r="M23" s="176">
        <f t="shared" si="17"/>
        <v>465.1467968911918</v>
      </c>
      <c r="N23" s="176">
        <f t="shared" si="17"/>
        <v>486.20549222797928</v>
      </c>
      <c r="O23" s="176">
        <f>SUM(C23:N23)</f>
        <v>5830.6185367875651</v>
      </c>
      <c r="P23" s="176">
        <f>AVERAGE(C23:N23)</f>
        <v>485.8848780656304</v>
      </c>
      <c r="Q23" s="105">
        <f>+P23/$P$41</f>
        <v>0.20257593395796375</v>
      </c>
      <c r="R23" s="146" t="s">
        <v>779</v>
      </c>
    </row>
    <row r="24" spans="1:18">
      <c r="B24" s="583"/>
      <c r="C24" s="176"/>
      <c r="D24" s="176"/>
      <c r="E24" s="176"/>
      <c r="F24" s="176"/>
      <c r="G24" s="176"/>
      <c r="H24" s="176"/>
      <c r="I24" s="176"/>
      <c r="J24" s="176"/>
      <c r="K24" s="176"/>
      <c r="L24" s="176"/>
      <c r="M24" s="176"/>
      <c r="N24" s="176"/>
      <c r="O24" s="176"/>
      <c r="P24" s="176"/>
      <c r="Q24" s="105"/>
    </row>
    <row r="25" spans="1:18">
      <c r="A25" s="147" t="s">
        <v>467</v>
      </c>
      <c r="B25" s="583"/>
      <c r="C25" s="176"/>
      <c r="D25" s="176"/>
      <c r="E25" s="176"/>
      <c r="F25" s="176"/>
      <c r="G25" s="176"/>
      <c r="H25" s="176"/>
      <c r="I25" s="176"/>
      <c r="J25" s="176"/>
      <c r="K25" s="176"/>
      <c r="L25" s="176"/>
      <c r="M25" s="176"/>
      <c r="N25" s="176"/>
      <c r="O25" s="176"/>
      <c r="P25" s="176"/>
      <c r="Q25" s="105"/>
    </row>
    <row r="26" spans="1:18">
      <c r="A26" s="146" t="s">
        <v>468</v>
      </c>
      <c r="B26" s="583"/>
      <c r="C26" s="176">
        <f t="shared" ref="C26:N26" si="18">+C70/(1-$B$5)</f>
        <v>0</v>
      </c>
      <c r="D26" s="176">
        <f t="shared" si="18"/>
        <v>0</v>
      </c>
      <c r="E26" s="176">
        <f t="shared" si="18"/>
        <v>0</v>
      </c>
      <c r="F26" s="176">
        <f t="shared" si="18"/>
        <v>0</v>
      </c>
      <c r="G26" s="176">
        <f t="shared" si="18"/>
        <v>0</v>
      </c>
      <c r="H26" s="176">
        <f t="shared" si="18"/>
        <v>0</v>
      </c>
      <c r="I26" s="176">
        <f t="shared" si="18"/>
        <v>0</v>
      </c>
      <c r="J26" s="176">
        <f t="shared" si="18"/>
        <v>0</v>
      </c>
      <c r="K26" s="176">
        <f t="shared" si="18"/>
        <v>0</v>
      </c>
      <c r="L26" s="176">
        <f t="shared" si="18"/>
        <v>0</v>
      </c>
      <c r="M26" s="176">
        <f t="shared" si="18"/>
        <v>0</v>
      </c>
      <c r="N26" s="176">
        <f t="shared" si="18"/>
        <v>0</v>
      </c>
      <c r="O26" s="176">
        <f>SUM(C26:N26)</f>
        <v>0</v>
      </c>
      <c r="P26" s="176">
        <f>AVERAGE(C26:N26)</f>
        <v>0</v>
      </c>
      <c r="Q26" s="105"/>
      <c r="R26" s="146" t="s">
        <v>1806</v>
      </c>
    </row>
    <row r="27" spans="1:18">
      <c r="A27" s="146" t="s">
        <v>469</v>
      </c>
      <c r="B27" s="583"/>
      <c r="C27" s="176">
        <f t="shared" ref="C27:N27" si="19">+C71/(1-$B$5)</f>
        <v>209.32642487046633</v>
      </c>
      <c r="D27" s="176">
        <f t="shared" si="19"/>
        <v>189.63730569948189</v>
      </c>
      <c r="E27" s="176">
        <f t="shared" si="19"/>
        <v>137.8238341968912</v>
      </c>
      <c r="F27" s="176">
        <f t="shared" si="19"/>
        <v>128.32497409326425</v>
      </c>
      <c r="G27" s="176">
        <f t="shared" si="19"/>
        <v>141.93197927461139</v>
      </c>
      <c r="H27" s="176">
        <f t="shared" si="19"/>
        <v>165.64518134715027</v>
      </c>
      <c r="I27" s="176">
        <f t="shared" si="19"/>
        <v>164.07917098445597</v>
      </c>
      <c r="J27" s="176">
        <f t="shared" si="19"/>
        <v>164.83481865284975</v>
      </c>
      <c r="K27" s="176">
        <f t="shared" si="19"/>
        <v>120.18735751295337</v>
      </c>
      <c r="L27" s="176">
        <f t="shared" si="19"/>
        <v>75.252227979274608</v>
      </c>
      <c r="M27" s="176">
        <f t="shared" si="19"/>
        <v>217.49720207253887</v>
      </c>
      <c r="N27" s="176">
        <f t="shared" si="19"/>
        <v>195.42217616580311</v>
      </c>
      <c r="O27" s="176">
        <f>SUM(C27:N27)</f>
        <v>1909.9626528497408</v>
      </c>
      <c r="P27" s="176">
        <f>AVERAGE(C27:N27)</f>
        <v>159.16355440414506</v>
      </c>
      <c r="Q27" s="105"/>
      <c r="R27" s="146" t="s">
        <v>1807</v>
      </c>
    </row>
    <row r="28" spans="1:18">
      <c r="A28" s="146" t="s">
        <v>470</v>
      </c>
      <c r="B28" s="583"/>
      <c r="C28" s="176">
        <f t="shared" ref="C28:N28" si="20">+C72/(1-$B$5)</f>
        <v>5.5958549222797929E-2</v>
      </c>
      <c r="D28" s="176">
        <f t="shared" si="20"/>
        <v>0.40663212435233165</v>
      </c>
      <c r="E28" s="176">
        <f t="shared" si="20"/>
        <v>0.45139896373056992</v>
      </c>
      <c r="F28" s="176">
        <f t="shared" si="20"/>
        <v>1.2087046632124354</v>
      </c>
      <c r="G28" s="176">
        <f t="shared" si="20"/>
        <v>3.6932642487046634E-2</v>
      </c>
      <c r="H28" s="176">
        <f t="shared" si="20"/>
        <v>6.3755440414507776</v>
      </c>
      <c r="I28" s="176">
        <f t="shared" si="20"/>
        <v>6.9052849740932638</v>
      </c>
      <c r="J28" s="176">
        <f t="shared" si="20"/>
        <v>8.2221761658031092</v>
      </c>
      <c r="K28" s="176">
        <f t="shared" si="20"/>
        <v>6.2375129533678759</v>
      </c>
      <c r="L28" s="176">
        <f t="shared" si="20"/>
        <v>0.39544041450777201</v>
      </c>
      <c r="M28" s="176">
        <f>+M72/(1-$B$5)</f>
        <v>0.11937823834196891</v>
      </c>
      <c r="N28" s="176">
        <f t="shared" si="20"/>
        <v>0.43274611398963736</v>
      </c>
      <c r="O28" s="176">
        <f>SUM(C28:N28)</f>
        <v>30.847709844559585</v>
      </c>
      <c r="P28" s="176">
        <f>AVERAGE(C28:N28)</f>
        <v>2.5706424870466322</v>
      </c>
      <c r="Q28" s="105"/>
      <c r="R28" s="146" t="s">
        <v>1808</v>
      </c>
    </row>
    <row r="29" spans="1:18">
      <c r="A29" s="147" t="s">
        <v>471</v>
      </c>
      <c r="C29" s="176">
        <f>SUM(C26:C28)</f>
        <v>209.38238341968912</v>
      </c>
      <c r="D29" s="176">
        <f t="shared" ref="D29:K29" si="21">SUM(D26:D28)</f>
        <v>190.04393782383423</v>
      </c>
      <c r="E29" s="176">
        <f t="shared" si="21"/>
        <v>138.27523316062178</v>
      </c>
      <c r="F29" s="176">
        <f t="shared" si="21"/>
        <v>129.53367875647669</v>
      </c>
      <c r="G29" s="176">
        <f t="shared" si="21"/>
        <v>141.96891191709844</v>
      </c>
      <c r="H29" s="176">
        <f t="shared" si="21"/>
        <v>172.02072538860105</v>
      </c>
      <c r="I29" s="176">
        <f t="shared" si="21"/>
        <v>170.98445595854923</v>
      </c>
      <c r="J29" s="176">
        <f>SUM(J26:J28)</f>
        <v>173.05699481865287</v>
      </c>
      <c r="K29" s="176">
        <f t="shared" si="21"/>
        <v>126.42487046632124</v>
      </c>
      <c r="L29" s="176">
        <f>SUM(L26:L28)</f>
        <v>75.647668393782382</v>
      </c>
      <c r="M29" s="176">
        <f>SUM(M26:M28)</f>
        <v>217.61658031088083</v>
      </c>
      <c r="N29" s="176">
        <f>SUM(N26:N28)</f>
        <v>195.85492227979276</v>
      </c>
      <c r="O29" s="176">
        <f>SUM(C29:N29)</f>
        <v>1940.8103626943007</v>
      </c>
      <c r="P29" s="176">
        <f>AVERAGE(C29:N29)</f>
        <v>161.73419689119171</v>
      </c>
      <c r="Q29" s="105">
        <f>+P29/$P$41</f>
        <v>6.7430491186739244E-2</v>
      </c>
      <c r="R29" s="146" t="s">
        <v>780</v>
      </c>
    </row>
    <row r="30" spans="1:18">
      <c r="K30" s="176"/>
      <c r="L30" s="176"/>
      <c r="M30" s="176"/>
      <c r="N30" s="176"/>
      <c r="O30" s="176"/>
      <c r="P30" s="176"/>
      <c r="Q30" s="105"/>
    </row>
    <row r="31" spans="1:18">
      <c r="A31" s="147" t="s">
        <v>472</v>
      </c>
      <c r="B31" s="146" t="s">
        <v>473</v>
      </c>
      <c r="K31" s="176"/>
      <c r="L31" s="176"/>
      <c r="M31" s="176"/>
      <c r="N31" s="176"/>
      <c r="O31" s="176"/>
      <c r="P31" s="176"/>
      <c r="Q31" s="105"/>
    </row>
    <row r="32" spans="1:18">
      <c r="A32" s="146" t="s">
        <v>474</v>
      </c>
      <c r="B32" s="146">
        <v>71452501</v>
      </c>
      <c r="C32" s="176">
        <f>+C75/(1-$B$5)</f>
        <v>62.176165803108809</v>
      </c>
      <c r="D32" s="176">
        <f t="shared" ref="D32:N32" si="22">+D75/(1-$B$5)</f>
        <v>62.176165803108809</v>
      </c>
      <c r="E32" s="176">
        <f t="shared" si="22"/>
        <v>62.176165803108809</v>
      </c>
      <c r="F32" s="176">
        <f t="shared" si="22"/>
        <v>62.176165803108809</v>
      </c>
      <c r="G32" s="176">
        <f t="shared" si="22"/>
        <v>62.176165803108809</v>
      </c>
      <c r="H32" s="176">
        <f t="shared" si="22"/>
        <v>62.176165803108809</v>
      </c>
      <c r="I32" s="176">
        <f t="shared" si="22"/>
        <v>62.176165803108809</v>
      </c>
      <c r="J32" s="176">
        <f t="shared" si="22"/>
        <v>62.176165803108809</v>
      </c>
      <c r="K32" s="176">
        <f t="shared" si="22"/>
        <v>62.176165803108809</v>
      </c>
      <c r="L32" s="176">
        <f t="shared" si="22"/>
        <v>62.176165803108809</v>
      </c>
      <c r="M32" s="176">
        <f t="shared" si="22"/>
        <v>62.176165803108809</v>
      </c>
      <c r="N32" s="176">
        <f t="shared" si="22"/>
        <v>62.176165803108809</v>
      </c>
      <c r="O32" s="176">
        <f t="shared" ref="O32:O38" si="23">SUM(C32:N32)</f>
        <v>746.11398963730574</v>
      </c>
      <c r="P32" s="176">
        <f t="shared" ref="P32:P38" si="24">AVERAGE(C32:N32)</f>
        <v>62.176165803108809</v>
      </c>
      <c r="Q32" s="105"/>
    </row>
    <row r="33" spans="1:18">
      <c r="A33" s="146" t="s">
        <v>475</v>
      </c>
      <c r="B33" s="146">
        <v>71674788</v>
      </c>
      <c r="C33" s="176">
        <f t="shared" ref="C33:N33" si="25">+C76/(1-$B$5)</f>
        <v>0</v>
      </c>
      <c r="D33" s="176">
        <f t="shared" si="25"/>
        <v>0</v>
      </c>
      <c r="E33" s="176">
        <f t="shared" si="25"/>
        <v>0</v>
      </c>
      <c r="F33" s="176">
        <f t="shared" si="25"/>
        <v>0</v>
      </c>
      <c r="G33" s="176">
        <f t="shared" si="25"/>
        <v>0</v>
      </c>
      <c r="H33" s="176">
        <f t="shared" si="25"/>
        <v>0</v>
      </c>
      <c r="I33" s="176">
        <f t="shared" si="25"/>
        <v>0</v>
      </c>
      <c r="J33" s="176">
        <f t="shared" si="25"/>
        <v>0</v>
      </c>
      <c r="K33" s="176">
        <f t="shared" si="25"/>
        <v>0</v>
      </c>
      <c r="L33" s="176">
        <f t="shared" si="25"/>
        <v>0</v>
      </c>
      <c r="M33" s="176">
        <f t="shared" si="25"/>
        <v>0</v>
      </c>
      <c r="N33" s="176">
        <f t="shared" si="25"/>
        <v>0</v>
      </c>
      <c r="O33" s="176">
        <f t="shared" si="23"/>
        <v>0</v>
      </c>
      <c r="P33" s="176">
        <f t="shared" si="24"/>
        <v>0</v>
      </c>
      <c r="Q33" s="105"/>
    </row>
    <row r="34" spans="1:18">
      <c r="A34" s="146" t="s">
        <v>476</v>
      </c>
      <c r="B34" s="146">
        <v>71639149</v>
      </c>
      <c r="C34" s="176">
        <f t="shared" ref="C34:N34" si="26">+C77/(1-$B$5)</f>
        <v>93.264248704663217</v>
      </c>
      <c r="D34" s="176">
        <f t="shared" si="26"/>
        <v>93.264248704663217</v>
      </c>
      <c r="E34" s="176">
        <f t="shared" si="26"/>
        <v>93.264248704663217</v>
      </c>
      <c r="F34" s="176">
        <f t="shared" si="26"/>
        <v>93.264248704663217</v>
      </c>
      <c r="G34" s="176">
        <f t="shared" si="26"/>
        <v>93.264248704663217</v>
      </c>
      <c r="H34" s="176">
        <f t="shared" si="26"/>
        <v>93.264248704663217</v>
      </c>
      <c r="I34" s="176">
        <f t="shared" si="26"/>
        <v>93.264248704663217</v>
      </c>
      <c r="J34" s="176">
        <f t="shared" si="26"/>
        <v>93.264248704663217</v>
      </c>
      <c r="K34" s="176">
        <f t="shared" si="26"/>
        <v>93.264248704663217</v>
      </c>
      <c r="L34" s="176">
        <f t="shared" si="26"/>
        <v>93.264248704663217</v>
      </c>
      <c r="M34" s="176">
        <f t="shared" si="26"/>
        <v>93.264248704663217</v>
      </c>
      <c r="N34" s="176">
        <f t="shared" si="26"/>
        <v>93.264248704663217</v>
      </c>
      <c r="O34" s="176">
        <f t="shared" si="23"/>
        <v>1119.1709844559589</v>
      </c>
      <c r="P34" s="176">
        <f t="shared" si="24"/>
        <v>93.264248704663245</v>
      </c>
      <c r="Q34" s="105"/>
    </row>
    <row r="35" spans="1:18">
      <c r="A35" s="146" t="s">
        <v>477</v>
      </c>
      <c r="B35" s="146">
        <v>70353428</v>
      </c>
      <c r="C35" s="176">
        <f t="shared" ref="C35:N35" si="27">+C78/(1-$B$5)</f>
        <v>107.7720207253886</v>
      </c>
      <c r="D35" s="176">
        <f t="shared" si="27"/>
        <v>107.7720207253886</v>
      </c>
      <c r="E35" s="176">
        <f t="shared" si="27"/>
        <v>107.7720207253886</v>
      </c>
      <c r="F35" s="176">
        <f t="shared" si="27"/>
        <v>107.7720207253886</v>
      </c>
      <c r="G35" s="176">
        <f t="shared" si="27"/>
        <v>107.7720207253886</v>
      </c>
      <c r="H35" s="176">
        <f t="shared" si="27"/>
        <v>107.7720207253886</v>
      </c>
      <c r="I35" s="176">
        <f t="shared" si="27"/>
        <v>107.7720207253886</v>
      </c>
      <c r="J35" s="176">
        <f t="shared" si="27"/>
        <v>107.7720207253886</v>
      </c>
      <c r="K35" s="176">
        <f t="shared" si="27"/>
        <v>107.7720207253886</v>
      </c>
      <c r="L35" s="176">
        <f t="shared" si="27"/>
        <v>107.7720207253886</v>
      </c>
      <c r="M35" s="176">
        <f t="shared" si="27"/>
        <v>107.7720207253886</v>
      </c>
      <c r="N35" s="176">
        <f t="shared" si="27"/>
        <v>107.7720207253886</v>
      </c>
      <c r="O35" s="176">
        <f t="shared" si="23"/>
        <v>1293.2642487046633</v>
      </c>
      <c r="P35" s="176">
        <f t="shared" si="24"/>
        <v>107.7720207253886</v>
      </c>
      <c r="Q35" s="105"/>
    </row>
    <row r="36" spans="1:18" s="668" customFormat="1">
      <c r="A36" s="668" t="s">
        <v>478</v>
      </c>
      <c r="C36" s="242">
        <f t="shared" ref="C36:N36" si="28">+C79/(1-$B$5)</f>
        <v>0</v>
      </c>
      <c r="D36" s="242">
        <f t="shared" si="28"/>
        <v>0</v>
      </c>
      <c r="E36" s="242">
        <f t="shared" si="28"/>
        <v>0</v>
      </c>
      <c r="F36" s="242">
        <f t="shared" si="28"/>
        <v>0</v>
      </c>
      <c r="G36" s="242">
        <f t="shared" si="28"/>
        <v>0</v>
      </c>
      <c r="H36" s="242">
        <f t="shared" si="28"/>
        <v>0</v>
      </c>
      <c r="I36" s="242">
        <f t="shared" si="28"/>
        <v>0</v>
      </c>
      <c r="J36" s="242">
        <f t="shared" si="28"/>
        <v>0</v>
      </c>
      <c r="K36" s="242">
        <f t="shared" si="28"/>
        <v>0</v>
      </c>
      <c r="L36" s="242">
        <f t="shared" si="28"/>
        <v>0</v>
      </c>
      <c r="M36" s="242">
        <f t="shared" si="28"/>
        <v>0</v>
      </c>
      <c r="N36" s="242">
        <f t="shared" si="28"/>
        <v>0</v>
      </c>
      <c r="O36" s="242">
        <f t="shared" si="23"/>
        <v>0</v>
      </c>
      <c r="P36" s="242">
        <f t="shared" si="24"/>
        <v>0</v>
      </c>
      <c r="Q36" s="589"/>
    </row>
    <row r="37" spans="1:18">
      <c r="A37" s="511" t="s">
        <v>468</v>
      </c>
      <c r="C37" s="176">
        <f t="shared" ref="C37:N37" si="29">+C80/(1-$B$5)</f>
        <v>20.725388601036268</v>
      </c>
      <c r="D37" s="176">
        <f t="shared" si="29"/>
        <v>20.725388601036268</v>
      </c>
      <c r="E37" s="176">
        <f t="shared" si="29"/>
        <v>20.725388601036268</v>
      </c>
      <c r="F37" s="176">
        <f t="shared" si="29"/>
        <v>20.725388601036268</v>
      </c>
      <c r="G37" s="176">
        <f t="shared" si="29"/>
        <v>20.725388601036268</v>
      </c>
      <c r="H37" s="176">
        <f t="shared" si="29"/>
        <v>20.725388601036268</v>
      </c>
      <c r="I37" s="176">
        <f t="shared" si="29"/>
        <v>20.725388601036268</v>
      </c>
      <c r="J37" s="176">
        <f t="shared" si="29"/>
        <v>20.725388601036268</v>
      </c>
      <c r="K37" s="176">
        <f t="shared" si="29"/>
        <v>20.725388601036268</v>
      </c>
      <c r="L37" s="176">
        <f t="shared" si="29"/>
        <v>20.725388601036268</v>
      </c>
      <c r="M37" s="176">
        <f t="shared" si="29"/>
        <v>20.725388601036268</v>
      </c>
      <c r="N37" s="176">
        <f t="shared" si="29"/>
        <v>20.725388601036268</v>
      </c>
      <c r="O37" s="176">
        <f t="shared" si="23"/>
        <v>248.70466321243518</v>
      </c>
      <c r="P37" s="176">
        <f t="shared" si="24"/>
        <v>20.725388601036265</v>
      </c>
      <c r="Q37" s="105"/>
    </row>
    <row r="38" spans="1:18">
      <c r="A38" s="146" t="s">
        <v>870</v>
      </c>
      <c r="C38" s="176">
        <f t="shared" ref="C38:N38" si="30">+C81/(1-$B$5)</f>
        <v>0</v>
      </c>
      <c r="D38" s="176">
        <f t="shared" si="30"/>
        <v>0</v>
      </c>
      <c r="E38" s="176">
        <f t="shared" si="30"/>
        <v>0</v>
      </c>
      <c r="F38" s="176">
        <f t="shared" si="30"/>
        <v>0</v>
      </c>
      <c r="G38" s="176">
        <f t="shared" si="30"/>
        <v>0</v>
      </c>
      <c r="H38" s="176">
        <f t="shared" si="30"/>
        <v>0</v>
      </c>
      <c r="I38" s="176">
        <f t="shared" si="30"/>
        <v>0</v>
      </c>
      <c r="J38" s="176">
        <f t="shared" si="30"/>
        <v>0</v>
      </c>
      <c r="K38" s="176">
        <f t="shared" si="30"/>
        <v>0</v>
      </c>
      <c r="L38" s="176">
        <f t="shared" si="30"/>
        <v>0</v>
      </c>
      <c r="M38" s="176">
        <f t="shared" si="30"/>
        <v>0</v>
      </c>
      <c r="N38" s="176">
        <f t="shared" si="30"/>
        <v>0</v>
      </c>
      <c r="O38" s="176">
        <f t="shared" si="23"/>
        <v>0</v>
      </c>
      <c r="P38" s="176">
        <f t="shared" si="24"/>
        <v>0</v>
      </c>
      <c r="Q38" s="105"/>
    </row>
    <row r="39" spans="1:18">
      <c r="A39" s="147" t="s">
        <v>479</v>
      </c>
      <c r="C39" s="176">
        <f t="shared" ref="C39:P39" si="31">SUM(C32:C38)</f>
        <v>283.93782383419693</v>
      </c>
      <c r="D39" s="176">
        <f t="shared" si="31"/>
        <v>283.93782383419693</v>
      </c>
      <c r="E39" s="176">
        <f t="shared" si="31"/>
        <v>283.93782383419693</v>
      </c>
      <c r="F39" s="176">
        <f t="shared" si="31"/>
        <v>283.93782383419693</v>
      </c>
      <c r="G39" s="176">
        <f t="shared" si="31"/>
        <v>283.93782383419693</v>
      </c>
      <c r="H39" s="176">
        <f t="shared" si="31"/>
        <v>283.93782383419693</v>
      </c>
      <c r="I39" s="176">
        <f t="shared" si="31"/>
        <v>283.93782383419693</v>
      </c>
      <c r="J39" s="176">
        <f t="shared" si="31"/>
        <v>283.93782383419693</v>
      </c>
      <c r="K39" s="176">
        <f t="shared" si="31"/>
        <v>283.93782383419693</v>
      </c>
      <c r="L39" s="176">
        <f t="shared" si="31"/>
        <v>283.93782383419693</v>
      </c>
      <c r="M39" s="176">
        <f t="shared" si="31"/>
        <v>283.93782383419693</v>
      </c>
      <c r="N39" s="176">
        <f t="shared" si="31"/>
        <v>283.93782383419693</v>
      </c>
      <c r="O39" s="176">
        <f t="shared" si="31"/>
        <v>3407.2538860103632</v>
      </c>
      <c r="P39" s="176">
        <f t="shared" si="31"/>
        <v>283.93782383419693</v>
      </c>
      <c r="Q39" s="105">
        <f>+P39/$P$41</f>
        <v>0.11837983120239216</v>
      </c>
      <c r="R39" s="146" t="s">
        <v>781</v>
      </c>
    </row>
    <row r="40" spans="1:18">
      <c r="K40" s="176"/>
      <c r="L40" s="176"/>
      <c r="M40" s="176"/>
      <c r="N40" s="176"/>
      <c r="O40" s="176"/>
      <c r="P40" s="176"/>
      <c r="Q40" s="105"/>
    </row>
    <row r="41" spans="1:18">
      <c r="A41" s="147" t="s">
        <v>480</v>
      </c>
      <c r="C41" s="176">
        <f t="shared" ref="C41:N41" si="32">+C11+C23+C29+C39</f>
        <v>2402.7053874766839</v>
      </c>
      <c r="D41" s="176">
        <f t="shared" si="32"/>
        <v>2368.116560963731</v>
      </c>
      <c r="E41" s="176">
        <f t="shared" si="32"/>
        <v>2079.1189256321245</v>
      </c>
      <c r="F41" s="176">
        <f t="shared" si="32"/>
        <v>1998.0839495025907</v>
      </c>
      <c r="G41" s="176">
        <f t="shared" si="32"/>
        <v>2115.8919333782387</v>
      </c>
      <c r="H41" s="176">
        <f t="shared" si="32"/>
        <v>2886.0051313989638</v>
      </c>
      <c r="I41" s="176">
        <f t="shared" si="32"/>
        <v>2922.5055263316062</v>
      </c>
      <c r="J41" s="176">
        <f t="shared" si="32"/>
        <v>2736.724569544042</v>
      </c>
      <c r="K41" s="176">
        <f t="shared" si="32"/>
        <v>2479.630392772021</v>
      </c>
      <c r="L41" s="176">
        <f t="shared" si="32"/>
        <v>2158.8783901139896</v>
      </c>
      <c r="M41" s="176">
        <f t="shared" si="32"/>
        <v>2306.9712480362696</v>
      </c>
      <c r="N41" s="176">
        <f t="shared" si="32"/>
        <v>2327.753053341969</v>
      </c>
      <c r="O41" s="176">
        <f>SUM(C41:N41)</f>
        <v>28782.385068492233</v>
      </c>
      <c r="P41" s="176">
        <f>AVERAGE(C41:N41)</f>
        <v>2398.5320890410194</v>
      </c>
      <c r="Q41" s="105">
        <f>+Q11+Q23+Q29+Q39</f>
        <v>0.99999999999999978</v>
      </c>
    </row>
    <row r="42" spans="1:18">
      <c r="K42" s="176"/>
      <c r="L42" s="176"/>
      <c r="M42" s="176"/>
      <c r="N42" s="176"/>
      <c r="O42" s="176"/>
      <c r="P42" s="176"/>
      <c r="Q42" s="63"/>
    </row>
    <row r="43" spans="1:18">
      <c r="A43" s="147" t="s">
        <v>481</v>
      </c>
    </row>
    <row r="44" spans="1:18">
      <c r="A44" s="146" t="s">
        <v>482</v>
      </c>
      <c r="B44" s="146" t="s">
        <v>483</v>
      </c>
      <c r="C44" s="860">
        <v>100</v>
      </c>
      <c r="D44" s="860">
        <v>100</v>
      </c>
      <c r="E44" s="860">
        <v>100</v>
      </c>
      <c r="F44" s="860">
        <v>100</v>
      </c>
      <c r="G44" s="860">
        <v>100</v>
      </c>
      <c r="H44" s="860">
        <v>100</v>
      </c>
      <c r="I44" s="860">
        <v>100</v>
      </c>
      <c r="J44" s="860">
        <v>100</v>
      </c>
      <c r="K44" s="860">
        <v>100</v>
      </c>
      <c r="L44" s="860">
        <v>100</v>
      </c>
      <c r="M44" s="860">
        <v>100</v>
      </c>
      <c r="N44" s="860">
        <v>100</v>
      </c>
      <c r="O44" s="242">
        <f>SUM(C44:N44)</f>
        <v>1200</v>
      </c>
      <c r="P44" s="176">
        <f>AVERAGE(C44:N44)</f>
        <v>100</v>
      </c>
    </row>
    <row r="47" spans="1:18">
      <c r="A47" s="147" t="s">
        <v>484</v>
      </c>
    </row>
    <row r="48" spans="1:18">
      <c r="A48" s="511" t="s">
        <v>462</v>
      </c>
      <c r="B48" s="146" t="s">
        <v>459</v>
      </c>
      <c r="C48" s="176">
        <f t="shared" ref="C48:N48" si="33">+C17</f>
        <v>31.624702590673575</v>
      </c>
      <c r="D48" s="176">
        <f t="shared" si="33"/>
        <v>32.236106735751299</v>
      </c>
      <c r="E48" s="176">
        <f t="shared" si="33"/>
        <v>27.829444559585493</v>
      </c>
      <c r="F48" s="176">
        <f t="shared" si="33"/>
        <v>25.484128497409326</v>
      </c>
      <c r="G48" s="176">
        <f t="shared" si="33"/>
        <v>22.989268393782382</v>
      </c>
      <c r="H48" s="176">
        <f t="shared" si="33"/>
        <v>37.040146113989636</v>
      </c>
      <c r="I48" s="176">
        <f t="shared" si="33"/>
        <v>35.361267357512958</v>
      </c>
      <c r="J48" s="176">
        <f t="shared" si="33"/>
        <v>30.200661139896376</v>
      </c>
      <c r="K48" s="176">
        <f t="shared" si="33"/>
        <v>23.304054922279796</v>
      </c>
      <c r="L48" s="176">
        <f t="shared" si="33"/>
        <v>23.37958756476684</v>
      </c>
      <c r="M48" s="176">
        <f t="shared" si="33"/>
        <v>31.179810362694305</v>
      </c>
      <c r="N48" s="176">
        <f t="shared" si="33"/>
        <v>29.636459067357514</v>
      </c>
      <c r="O48" s="176">
        <f>SUM(C48:N48)</f>
        <v>350.2656373056995</v>
      </c>
      <c r="P48" s="176">
        <f>AVERAGE(C48:N48)</f>
        <v>29.18880310880829</v>
      </c>
    </row>
    <row r="49" spans="1:16">
      <c r="A49" s="146" t="s">
        <v>463</v>
      </c>
      <c r="C49" s="176">
        <f t="shared" ref="C49:N49" si="34">+C18</f>
        <v>38.637072538860103</v>
      </c>
      <c r="D49" s="176">
        <f t="shared" si="34"/>
        <v>41.534279792746112</v>
      </c>
      <c r="E49" s="176">
        <f t="shared" si="34"/>
        <v>24.090481865284975</v>
      </c>
      <c r="F49" s="176">
        <f t="shared" si="34"/>
        <v>20.23078238341969</v>
      </c>
      <c r="G49" s="176">
        <f t="shared" si="34"/>
        <v>15.008238341968914</v>
      </c>
      <c r="H49" s="176">
        <f t="shared" si="34"/>
        <v>24.755642487046632</v>
      </c>
      <c r="I49" s="176">
        <f t="shared" si="34"/>
        <v>33.094849740932638</v>
      </c>
      <c r="J49" s="176">
        <f t="shared" si="34"/>
        <v>25.22079274611399</v>
      </c>
      <c r="K49" s="176">
        <f t="shared" si="34"/>
        <v>25.014683937823836</v>
      </c>
      <c r="L49" s="176">
        <f t="shared" si="34"/>
        <v>22.572668393782386</v>
      </c>
      <c r="M49" s="176">
        <f t="shared" si="34"/>
        <v>38.892077720207254</v>
      </c>
      <c r="N49" s="176">
        <f t="shared" si="34"/>
        <v>31.342160621761657</v>
      </c>
      <c r="O49" s="176">
        <f>SUM(C49:N49)</f>
        <v>340.39373056994816</v>
      </c>
      <c r="P49" s="176">
        <f>AVERAGE(C49:N49)</f>
        <v>28.366144214162347</v>
      </c>
    </row>
    <row r="50" spans="1:16">
      <c r="A50" s="146" t="s">
        <v>464</v>
      </c>
      <c r="B50" s="146" t="s">
        <v>459</v>
      </c>
      <c r="C50" s="176">
        <f t="shared" ref="C50:N50" si="35">+C19</f>
        <v>5.9730569948186529</v>
      </c>
      <c r="D50" s="176">
        <f t="shared" si="35"/>
        <v>6.0725388601036272</v>
      </c>
      <c r="E50" s="176">
        <f t="shared" si="35"/>
        <v>4.7917098445595849</v>
      </c>
      <c r="F50" s="176">
        <f t="shared" si="35"/>
        <v>4.3585492227979277</v>
      </c>
      <c r="G50" s="176">
        <f t="shared" si="35"/>
        <v>4.4383419689119172</v>
      </c>
      <c r="H50" s="176">
        <f t="shared" si="35"/>
        <v>6.4384901554404141</v>
      </c>
      <c r="I50" s="176">
        <f t="shared" si="35"/>
        <v>0</v>
      </c>
      <c r="J50" s="176">
        <f t="shared" si="35"/>
        <v>0</v>
      </c>
      <c r="K50" s="176">
        <f t="shared" si="35"/>
        <v>0</v>
      </c>
      <c r="L50" s="176">
        <f t="shared" si="35"/>
        <v>0</v>
      </c>
      <c r="M50" s="176">
        <f t="shared" si="35"/>
        <v>0</v>
      </c>
      <c r="N50" s="176">
        <f t="shared" si="35"/>
        <v>0</v>
      </c>
      <c r="O50" s="176">
        <f>SUM(C50:N50)</f>
        <v>32.072687046632126</v>
      </c>
      <c r="P50" s="176">
        <f>AVERAGE(C50:N50)</f>
        <v>2.6727239205526772</v>
      </c>
    </row>
    <row r="52" spans="1:16">
      <c r="A52" s="147" t="s">
        <v>844</v>
      </c>
      <c r="C52" s="147" t="s">
        <v>851</v>
      </c>
      <c r="E52" s="147" t="s">
        <v>11</v>
      </c>
    </row>
    <row r="53" spans="1:16">
      <c r="A53" s="146" t="s">
        <v>845</v>
      </c>
      <c r="C53" s="176">
        <f>$N$23</f>
        <v>486.20549222797928</v>
      </c>
      <c r="D53" s="223">
        <f>+C53/$C$56</f>
        <v>0.50331923282023594</v>
      </c>
      <c r="E53" s="146" t="s">
        <v>848</v>
      </c>
    </row>
    <row r="54" spans="1:16">
      <c r="A54" s="146" t="s">
        <v>846</v>
      </c>
      <c r="C54" s="176">
        <f>$N$29</f>
        <v>195.85492227979276</v>
      </c>
      <c r="D54" s="223">
        <f>+C54/$C$56</f>
        <v>0.20274873649454728</v>
      </c>
      <c r="E54" s="146" t="s">
        <v>849</v>
      </c>
    </row>
    <row r="55" spans="1:16">
      <c r="A55" s="146" t="s">
        <v>847</v>
      </c>
      <c r="C55" s="176">
        <f>$N$39</f>
        <v>283.93782383419693</v>
      </c>
      <c r="D55" s="223">
        <f>+C55/$C$56</f>
        <v>0.29393203068521673</v>
      </c>
      <c r="E55" s="146" t="s">
        <v>850</v>
      </c>
    </row>
    <row r="56" spans="1:16">
      <c r="A56" s="147" t="s">
        <v>55</v>
      </c>
      <c r="C56" s="176">
        <f>SUM(C53:C55)</f>
        <v>965.998238341969</v>
      </c>
      <c r="D56" s="224">
        <f>SUM(D53:D55)</f>
        <v>1</v>
      </c>
    </row>
    <row r="58" spans="1:16">
      <c r="A58" s="147" t="s">
        <v>703</v>
      </c>
    </row>
    <row r="59" spans="1:16">
      <c r="A59" s="146" t="s">
        <v>458</v>
      </c>
      <c r="C59" s="860">
        <v>41.874282000000001</v>
      </c>
      <c r="D59" s="860">
        <v>43.606720000000003</v>
      </c>
      <c r="E59" s="860">
        <v>40.822248000000002</v>
      </c>
      <c r="F59" s="860">
        <v>39.806874000000001</v>
      </c>
      <c r="G59" s="860">
        <v>50.006957999999997</v>
      </c>
      <c r="H59" s="860">
        <v>62.263159999999999</v>
      </c>
      <c r="I59" s="860">
        <v>60.482700000000001</v>
      </c>
      <c r="J59" s="860">
        <v>61.743204000000006</v>
      </c>
      <c r="K59" s="860">
        <v>48.731064000000003</v>
      </c>
      <c r="L59" s="860">
        <v>42.013475999999997</v>
      </c>
      <c r="M59" s="860">
        <v>44.056283999999998</v>
      </c>
      <c r="N59" s="860">
        <v>45.011499999999998</v>
      </c>
      <c r="O59" s="242">
        <f>+SUM(C59:N59)</f>
        <v>580.41846999999996</v>
      </c>
    </row>
    <row r="60" spans="1:16">
      <c r="A60" s="146" t="s">
        <v>460</v>
      </c>
      <c r="C60" s="860">
        <v>286</v>
      </c>
      <c r="D60" s="860">
        <v>288</v>
      </c>
      <c r="E60" s="860">
        <v>274</v>
      </c>
      <c r="F60" s="860">
        <v>271</v>
      </c>
      <c r="G60" s="860">
        <v>217</v>
      </c>
      <c r="H60" s="860">
        <v>305</v>
      </c>
      <c r="I60" s="860">
        <v>298</v>
      </c>
      <c r="J60" s="860">
        <v>272</v>
      </c>
      <c r="K60" s="860">
        <v>273</v>
      </c>
      <c r="L60" s="860">
        <v>275</v>
      </c>
      <c r="M60" s="860">
        <v>202</v>
      </c>
      <c r="N60" s="860">
        <v>223</v>
      </c>
      <c r="O60" s="242">
        <f t="shared" ref="O60:O67" si="36">+SUM(C60:N60)</f>
        <v>3184</v>
      </c>
    </row>
    <row r="61" spans="1:16">
      <c r="A61" s="146" t="s">
        <v>461</v>
      </c>
      <c r="C61" s="860">
        <v>53</v>
      </c>
      <c r="D61" s="860">
        <v>35</v>
      </c>
      <c r="E61" s="860">
        <v>41</v>
      </c>
      <c r="F61" s="860">
        <v>22</v>
      </c>
      <c r="G61" s="860">
        <v>39</v>
      </c>
      <c r="H61" s="860">
        <v>39</v>
      </c>
      <c r="I61" s="860">
        <v>42</v>
      </c>
      <c r="J61" s="860">
        <v>47</v>
      </c>
      <c r="K61" s="860">
        <v>55</v>
      </c>
      <c r="L61" s="860">
        <v>56</v>
      </c>
      <c r="M61" s="860">
        <v>45</v>
      </c>
      <c r="N61" s="860">
        <v>56</v>
      </c>
      <c r="O61" s="242">
        <f t="shared" si="36"/>
        <v>530</v>
      </c>
    </row>
    <row r="62" spans="1:16">
      <c r="A62" s="146" t="s">
        <v>462</v>
      </c>
      <c r="C62" s="860">
        <v>30.517837999999998</v>
      </c>
      <c r="D62" s="860">
        <v>31.107843000000003</v>
      </c>
      <c r="E62" s="860">
        <v>26.855414</v>
      </c>
      <c r="F62" s="860">
        <v>24.592184</v>
      </c>
      <c r="G62" s="860">
        <v>22.184643999999999</v>
      </c>
      <c r="H62" s="860">
        <v>35.743741</v>
      </c>
      <c r="I62" s="860">
        <v>34.123623000000002</v>
      </c>
      <c r="J62" s="860">
        <v>29.143638000000003</v>
      </c>
      <c r="K62" s="860">
        <v>22.488413000000001</v>
      </c>
      <c r="L62" s="860">
        <v>22.561302000000001</v>
      </c>
      <c r="M62" s="860">
        <v>30.088517000000003</v>
      </c>
      <c r="N62" s="860">
        <v>28.599183</v>
      </c>
      <c r="O62" s="242">
        <f t="shared" si="36"/>
        <v>338.00634000000002</v>
      </c>
    </row>
    <row r="63" spans="1:16">
      <c r="A63" s="511" t="s">
        <v>1270</v>
      </c>
      <c r="C63" s="860">
        <v>62.284774999999996</v>
      </c>
      <c r="D63" s="860">
        <v>65.080579999999998</v>
      </c>
      <c r="E63" s="860">
        <v>48.247315</v>
      </c>
      <c r="F63" s="860">
        <v>44.522705000000002</v>
      </c>
      <c r="G63" s="860">
        <v>39.482950000000002</v>
      </c>
      <c r="H63" s="860">
        <v>48.889195000000001</v>
      </c>
      <c r="I63" s="860">
        <v>56.936529999999998</v>
      </c>
      <c r="J63" s="860">
        <v>49.338065</v>
      </c>
      <c r="K63" s="860">
        <v>49.13917</v>
      </c>
      <c r="L63" s="860">
        <v>46.782625000000003</v>
      </c>
      <c r="M63" s="860">
        <v>62.530855000000003</v>
      </c>
      <c r="N63" s="860">
        <v>55.245184999999999</v>
      </c>
      <c r="O63" s="242">
        <f t="shared" si="36"/>
        <v>628.47994999999992</v>
      </c>
    </row>
    <row r="64" spans="1:16">
      <c r="A64" s="146" t="s">
        <v>464</v>
      </c>
      <c r="C64" s="860">
        <v>5.7640000000000002</v>
      </c>
      <c r="D64" s="860">
        <v>5.86</v>
      </c>
      <c r="E64" s="860">
        <v>4.6239999999999997</v>
      </c>
      <c r="F64" s="860">
        <v>4.2060000000000004</v>
      </c>
      <c r="G64" s="860">
        <v>4.2830000000000004</v>
      </c>
      <c r="H64" s="860">
        <v>6.2131429999999996</v>
      </c>
      <c r="I64" s="860">
        <v>0</v>
      </c>
      <c r="J64" s="860">
        <v>0</v>
      </c>
      <c r="K64" s="860">
        <v>0</v>
      </c>
      <c r="L64" s="860">
        <v>0</v>
      </c>
      <c r="M64" s="860">
        <v>0</v>
      </c>
      <c r="N64" s="860">
        <v>0</v>
      </c>
      <c r="O64" s="242">
        <f t="shared" si="36"/>
        <v>30.950143000000001</v>
      </c>
    </row>
    <row r="65" spans="1:17">
      <c r="A65" s="146" t="s">
        <v>465</v>
      </c>
      <c r="C65" s="860">
        <v>40.898755000000001</v>
      </c>
      <c r="D65" s="860">
        <v>37.82817</v>
      </c>
      <c r="E65" s="860">
        <v>32.066670000000002</v>
      </c>
      <c r="F65" s="860">
        <v>31.155795000000001</v>
      </c>
      <c r="G65" s="860">
        <v>25.209315</v>
      </c>
      <c r="H65" s="860">
        <v>19.480035000000001</v>
      </c>
      <c r="I65" s="860">
        <v>32.771859999999997</v>
      </c>
      <c r="J65" s="860">
        <v>32.677515</v>
      </c>
      <c r="K65" s="860">
        <v>23.41206</v>
      </c>
      <c r="L65" s="860">
        <v>23.441579999999998</v>
      </c>
      <c r="M65" s="860">
        <v>36.998905000000001</v>
      </c>
      <c r="N65" s="860">
        <v>32.386125</v>
      </c>
      <c r="O65" s="242">
        <f t="shared" si="36"/>
        <v>368.32678499999997</v>
      </c>
    </row>
    <row r="66" spans="1:17" s="562" customFormat="1">
      <c r="A66" s="562" t="s">
        <v>1527</v>
      </c>
      <c r="C66" s="860">
        <v>3.5461939999999998</v>
      </c>
      <c r="D66" s="860">
        <v>3.5556380000000001</v>
      </c>
      <c r="E66" s="860">
        <v>2.9960599999999999</v>
      </c>
      <c r="F66" s="860">
        <v>2.8758170000000001</v>
      </c>
      <c r="G66" s="860">
        <v>2.371156</v>
      </c>
      <c r="H66" s="860">
        <v>3.069207</v>
      </c>
      <c r="I66" s="860">
        <v>3.140066</v>
      </c>
      <c r="J66" s="860">
        <v>3.0005809999999999</v>
      </c>
      <c r="K66" s="860">
        <v>2.397745</v>
      </c>
      <c r="L66" s="860">
        <v>2.5113310000000002</v>
      </c>
      <c r="M66" s="860">
        <v>3.1990980000000002</v>
      </c>
      <c r="N66" s="860">
        <v>3.1773069999999999</v>
      </c>
      <c r="O66" s="242">
        <f t="shared" si="36"/>
        <v>35.840199999999996</v>
      </c>
    </row>
    <row r="67" spans="1:17" s="792" customFormat="1">
      <c r="A67" s="792" t="s">
        <v>1812</v>
      </c>
      <c r="C67" s="860">
        <v>0</v>
      </c>
      <c r="D67" s="860">
        <v>0</v>
      </c>
      <c r="E67" s="860">
        <v>0</v>
      </c>
      <c r="F67" s="860">
        <v>0</v>
      </c>
      <c r="G67" s="860">
        <v>0</v>
      </c>
      <c r="H67" s="860">
        <v>0</v>
      </c>
      <c r="I67" s="860">
        <v>34.551000000000002</v>
      </c>
      <c r="J67" s="860">
        <v>32.927999999999997</v>
      </c>
      <c r="K67" s="860">
        <v>30.248000000000001</v>
      </c>
      <c r="L67" s="860">
        <v>32.036000000000001</v>
      </c>
      <c r="M67" s="860">
        <v>49.993000000000002</v>
      </c>
      <c r="N67" s="860">
        <v>50.768999999999998</v>
      </c>
      <c r="O67" s="242">
        <f t="shared" si="36"/>
        <v>230.52500000000001</v>
      </c>
    </row>
    <row r="69" spans="1:17">
      <c r="A69" s="581" t="s">
        <v>467</v>
      </c>
    </row>
    <row r="70" spans="1:17">
      <c r="A70" s="580" t="s">
        <v>468</v>
      </c>
      <c r="C70" s="860">
        <v>0</v>
      </c>
      <c r="D70" s="860">
        <v>0</v>
      </c>
      <c r="E70" s="860">
        <v>0</v>
      </c>
      <c r="F70" s="860">
        <v>0</v>
      </c>
      <c r="G70" s="860">
        <v>0</v>
      </c>
      <c r="H70" s="860">
        <v>0</v>
      </c>
      <c r="I70" s="860">
        <v>0</v>
      </c>
      <c r="J70" s="860">
        <v>0</v>
      </c>
      <c r="K70" s="860">
        <v>0</v>
      </c>
      <c r="L70" s="860">
        <v>0</v>
      </c>
      <c r="M70" s="860">
        <v>0</v>
      </c>
      <c r="N70" s="860">
        <v>0</v>
      </c>
      <c r="O70" s="242">
        <f t="shared" ref="O70:O72" si="37">+SUM(C70:N70)</f>
        <v>0</v>
      </c>
    </row>
    <row r="71" spans="1:17">
      <c r="A71" s="580" t="s">
        <v>469</v>
      </c>
      <c r="C71" s="860">
        <v>202</v>
      </c>
      <c r="D71" s="860">
        <v>183</v>
      </c>
      <c r="E71" s="860">
        <v>133</v>
      </c>
      <c r="F71" s="860">
        <v>123.8336</v>
      </c>
      <c r="G71" s="860">
        <v>136.96436</v>
      </c>
      <c r="H71" s="860">
        <v>159.8476</v>
      </c>
      <c r="I71" s="860">
        <v>158.3364</v>
      </c>
      <c r="J71" s="860">
        <v>159.06559999999999</v>
      </c>
      <c r="K71" s="860">
        <v>115.9808</v>
      </c>
      <c r="L71" s="860">
        <v>72.618399999999994</v>
      </c>
      <c r="M71" s="860">
        <v>209.88480000000001</v>
      </c>
      <c r="N71" s="860">
        <v>188.58240000000001</v>
      </c>
      <c r="O71" s="242">
        <f t="shared" si="37"/>
        <v>1843.1139600000001</v>
      </c>
      <c r="P71" s="176">
        <f>AVERAGE(C71:N71)</f>
        <v>153.59283000000002</v>
      </c>
    </row>
    <row r="72" spans="1:17">
      <c r="A72" s="580" t="s">
        <v>470</v>
      </c>
      <c r="C72" s="860">
        <v>5.3999999999999999E-2</v>
      </c>
      <c r="D72" s="860">
        <v>0.39240000000000003</v>
      </c>
      <c r="E72" s="860">
        <v>0.43559999999999999</v>
      </c>
      <c r="F72" s="860">
        <v>1.1664000000000001</v>
      </c>
      <c r="G72" s="860">
        <v>3.5639999999999998E-2</v>
      </c>
      <c r="H72" s="860">
        <v>6.1524000000000001</v>
      </c>
      <c r="I72" s="860">
        <v>6.6635999999999997</v>
      </c>
      <c r="J72" s="860">
        <v>7.9344000000000001</v>
      </c>
      <c r="K72" s="860">
        <v>6.0191999999999997</v>
      </c>
      <c r="L72" s="860">
        <v>0.38159999999999999</v>
      </c>
      <c r="M72" s="860">
        <v>0.1152</v>
      </c>
      <c r="N72" s="860">
        <v>0.41760000000000003</v>
      </c>
      <c r="O72" s="242">
        <f t="shared" si="37"/>
        <v>29.768039999999999</v>
      </c>
    </row>
    <row r="73" spans="1:17">
      <c r="A73" s="580"/>
    </row>
    <row r="74" spans="1:17">
      <c r="A74" s="581" t="s">
        <v>472</v>
      </c>
    </row>
    <row r="75" spans="1:17">
      <c r="A75" s="580" t="s">
        <v>474</v>
      </c>
      <c r="C75" s="861">
        <v>60</v>
      </c>
      <c r="D75" s="861">
        <v>60</v>
      </c>
      <c r="E75" s="861">
        <v>60</v>
      </c>
      <c r="F75" s="861">
        <v>60</v>
      </c>
      <c r="G75" s="861">
        <v>60</v>
      </c>
      <c r="H75" s="861">
        <v>60</v>
      </c>
      <c r="I75" s="861">
        <v>60</v>
      </c>
      <c r="J75" s="861">
        <v>60</v>
      </c>
      <c r="K75" s="861">
        <v>60</v>
      </c>
      <c r="L75" s="861">
        <v>60</v>
      </c>
      <c r="M75" s="861">
        <v>60</v>
      </c>
      <c r="N75" s="861">
        <v>60</v>
      </c>
      <c r="O75" s="176">
        <f t="shared" ref="O75:O81" si="38">SUM(C75:N75)</f>
        <v>720</v>
      </c>
      <c r="Q75" s="146" t="s">
        <v>986</v>
      </c>
    </row>
    <row r="76" spans="1:17">
      <c r="A76" s="580" t="s">
        <v>475</v>
      </c>
      <c r="C76" s="861">
        <v>0</v>
      </c>
      <c r="D76" s="861">
        <v>0</v>
      </c>
      <c r="E76" s="861">
        <v>0</v>
      </c>
      <c r="F76" s="861">
        <v>0</v>
      </c>
      <c r="G76" s="861">
        <v>0</v>
      </c>
      <c r="H76" s="861">
        <v>0</v>
      </c>
      <c r="I76" s="861">
        <v>0</v>
      </c>
      <c r="J76" s="861">
        <v>0</v>
      </c>
      <c r="K76" s="861">
        <v>0</v>
      </c>
      <c r="L76" s="861">
        <v>0</v>
      </c>
      <c r="M76" s="861">
        <v>0</v>
      </c>
      <c r="N76" s="861">
        <v>0</v>
      </c>
      <c r="O76" s="176">
        <f t="shared" si="38"/>
        <v>0</v>
      </c>
      <c r="Q76" s="146" t="s">
        <v>987</v>
      </c>
    </row>
    <row r="77" spans="1:17">
      <c r="A77" s="580" t="s">
        <v>476</v>
      </c>
      <c r="C77" s="861">
        <v>90</v>
      </c>
      <c r="D77" s="861">
        <v>90</v>
      </c>
      <c r="E77" s="861">
        <v>90</v>
      </c>
      <c r="F77" s="861">
        <v>90</v>
      </c>
      <c r="G77" s="861">
        <v>90</v>
      </c>
      <c r="H77" s="861">
        <v>90</v>
      </c>
      <c r="I77" s="861">
        <v>90</v>
      </c>
      <c r="J77" s="861">
        <v>90</v>
      </c>
      <c r="K77" s="861">
        <v>90</v>
      </c>
      <c r="L77" s="861">
        <v>90</v>
      </c>
      <c r="M77" s="861">
        <v>90</v>
      </c>
      <c r="N77" s="861">
        <v>90</v>
      </c>
      <c r="O77" s="176">
        <f t="shared" si="38"/>
        <v>1080</v>
      </c>
      <c r="Q77" s="146" t="s">
        <v>988</v>
      </c>
    </row>
    <row r="78" spans="1:17">
      <c r="A78" s="580" t="s">
        <v>477</v>
      </c>
      <c r="C78" s="861">
        <v>104</v>
      </c>
      <c r="D78" s="861">
        <v>104</v>
      </c>
      <c r="E78" s="861">
        <v>104</v>
      </c>
      <c r="F78" s="861">
        <v>104</v>
      </c>
      <c r="G78" s="861">
        <v>104</v>
      </c>
      <c r="H78" s="861">
        <v>104</v>
      </c>
      <c r="I78" s="861">
        <v>104</v>
      </c>
      <c r="J78" s="861">
        <v>104</v>
      </c>
      <c r="K78" s="861">
        <v>104</v>
      </c>
      <c r="L78" s="861">
        <v>104</v>
      </c>
      <c r="M78" s="861">
        <v>104</v>
      </c>
      <c r="N78" s="861">
        <v>104</v>
      </c>
      <c r="O78" s="176">
        <f t="shared" si="38"/>
        <v>1248</v>
      </c>
      <c r="Q78" s="146" t="s">
        <v>989</v>
      </c>
    </row>
    <row r="79" spans="1:17" s="668" customFormat="1">
      <c r="A79" s="668" t="s">
        <v>478</v>
      </c>
      <c r="C79" s="861">
        <v>0</v>
      </c>
      <c r="D79" s="861">
        <v>0</v>
      </c>
      <c r="E79" s="861">
        <v>0</v>
      </c>
      <c r="F79" s="861">
        <v>0</v>
      </c>
      <c r="G79" s="861">
        <v>0</v>
      </c>
      <c r="H79" s="861">
        <v>0</v>
      </c>
      <c r="I79" s="861">
        <v>0</v>
      </c>
      <c r="J79" s="861">
        <v>0</v>
      </c>
      <c r="K79" s="861">
        <v>0</v>
      </c>
      <c r="L79" s="861">
        <v>0</v>
      </c>
      <c r="M79" s="861">
        <v>0</v>
      </c>
      <c r="N79" s="861">
        <v>0</v>
      </c>
      <c r="O79" s="242">
        <f t="shared" si="38"/>
        <v>0</v>
      </c>
      <c r="Q79" s="668" t="s">
        <v>1791</v>
      </c>
    </row>
    <row r="80" spans="1:17">
      <c r="A80" s="580" t="s">
        <v>468</v>
      </c>
      <c r="C80" s="861">
        <v>20</v>
      </c>
      <c r="D80" s="861">
        <v>20</v>
      </c>
      <c r="E80" s="861">
        <v>20</v>
      </c>
      <c r="F80" s="861">
        <v>20</v>
      </c>
      <c r="G80" s="861">
        <v>20</v>
      </c>
      <c r="H80" s="861">
        <v>20</v>
      </c>
      <c r="I80" s="861">
        <v>20</v>
      </c>
      <c r="J80" s="861">
        <v>20</v>
      </c>
      <c r="K80" s="861">
        <v>20</v>
      </c>
      <c r="L80" s="861">
        <v>20</v>
      </c>
      <c r="M80" s="861">
        <v>20</v>
      </c>
      <c r="N80" s="861">
        <v>20</v>
      </c>
      <c r="O80" s="176">
        <f t="shared" si="38"/>
        <v>240</v>
      </c>
      <c r="Q80" s="146" t="s">
        <v>1792</v>
      </c>
    </row>
    <row r="81" spans="1:17">
      <c r="A81" s="146" t="s">
        <v>870</v>
      </c>
      <c r="C81" s="861">
        <v>0</v>
      </c>
      <c r="D81" s="861">
        <v>0</v>
      </c>
      <c r="E81" s="861">
        <v>0</v>
      </c>
      <c r="F81" s="861">
        <v>0</v>
      </c>
      <c r="G81" s="861">
        <v>0</v>
      </c>
      <c r="H81" s="861">
        <v>0</v>
      </c>
      <c r="I81" s="861">
        <v>0</v>
      </c>
      <c r="J81" s="861">
        <v>0</v>
      </c>
      <c r="K81" s="861">
        <v>0</v>
      </c>
      <c r="L81" s="861">
        <v>0</v>
      </c>
      <c r="M81" s="861">
        <v>0</v>
      </c>
      <c r="N81" s="861">
        <v>0</v>
      </c>
      <c r="O81" s="176">
        <f t="shared" si="38"/>
        <v>0</v>
      </c>
      <c r="Q81" s="146" t="s">
        <v>1587</v>
      </c>
    </row>
    <row r="82" spans="1:17" s="805" customFormat="1">
      <c r="C82" s="863"/>
      <c r="D82" s="863"/>
      <c r="E82" s="863"/>
      <c r="F82" s="863"/>
      <c r="G82" s="863"/>
      <c r="H82" s="863"/>
      <c r="I82" s="863"/>
      <c r="J82" s="863"/>
      <c r="K82" s="863"/>
      <c r="L82" s="863"/>
      <c r="M82" s="863"/>
      <c r="N82" s="863"/>
      <c r="O82" s="242"/>
    </row>
    <row r="84" spans="1:17">
      <c r="A84" s="147" t="s">
        <v>606</v>
      </c>
    </row>
    <row r="85" spans="1:17" s="410" customFormat="1">
      <c r="A85" s="410" t="s">
        <v>1271</v>
      </c>
      <c r="C85" s="58">
        <v>1</v>
      </c>
      <c r="D85" s="58">
        <v>1</v>
      </c>
      <c r="E85" s="58">
        <v>1</v>
      </c>
      <c r="F85" s="58">
        <v>1</v>
      </c>
      <c r="G85" s="58">
        <v>1</v>
      </c>
      <c r="H85" s="58">
        <v>1</v>
      </c>
      <c r="I85" s="58">
        <v>1</v>
      </c>
      <c r="J85" s="58">
        <v>1</v>
      </c>
      <c r="K85" s="58">
        <v>1</v>
      </c>
      <c r="L85" s="58">
        <v>1</v>
      </c>
      <c r="M85" s="58">
        <v>1</v>
      </c>
      <c r="N85" s="58">
        <v>1</v>
      </c>
    </row>
    <row r="87" spans="1:17" s="583" customFormat="1">
      <c r="A87" s="583" t="s">
        <v>1508</v>
      </c>
      <c r="C87" s="561">
        <v>24</v>
      </c>
      <c r="D87" s="620">
        <v>24</v>
      </c>
      <c r="E87" s="620">
        <v>24</v>
      </c>
      <c r="F87" s="620">
        <v>24</v>
      </c>
      <c r="G87" s="620">
        <v>24</v>
      </c>
      <c r="H87" s="620">
        <v>24</v>
      </c>
      <c r="I87" s="620">
        <v>24</v>
      </c>
      <c r="J87" s="620">
        <v>24</v>
      </c>
      <c r="K87" s="620">
        <v>24</v>
      </c>
      <c r="L87" s="620">
        <v>24</v>
      </c>
      <c r="M87" s="620">
        <v>24</v>
      </c>
      <c r="N87" s="620">
        <v>24</v>
      </c>
    </row>
    <row r="88" spans="1:17" s="583" customFormat="1">
      <c r="A88" s="583" t="s">
        <v>1509</v>
      </c>
      <c r="B88" s="525">
        <v>1</v>
      </c>
      <c r="C88" s="569">
        <f>+C87*$B$88</f>
        <v>24</v>
      </c>
      <c r="D88" s="569">
        <f t="shared" ref="D88:N88" si="39">+D87*$B$88</f>
        <v>24</v>
      </c>
      <c r="E88" s="569">
        <f t="shared" si="39"/>
        <v>24</v>
      </c>
      <c r="F88" s="569">
        <f t="shared" si="39"/>
        <v>24</v>
      </c>
      <c r="G88" s="569">
        <f t="shared" si="39"/>
        <v>24</v>
      </c>
      <c r="H88" s="569">
        <f t="shared" si="39"/>
        <v>24</v>
      </c>
      <c r="I88" s="569">
        <f t="shared" si="39"/>
        <v>24</v>
      </c>
      <c r="J88" s="569">
        <f t="shared" si="39"/>
        <v>24</v>
      </c>
      <c r="K88" s="569">
        <f t="shared" si="39"/>
        <v>24</v>
      </c>
      <c r="L88" s="569">
        <f t="shared" si="39"/>
        <v>24</v>
      </c>
      <c r="M88" s="569">
        <f t="shared" si="39"/>
        <v>24</v>
      </c>
      <c r="N88" s="569">
        <f t="shared" si="39"/>
        <v>24</v>
      </c>
    </row>
    <row r="89" spans="1:17" s="583" customFormat="1"/>
    <row r="90" spans="1:17" s="583" customFormat="1">
      <c r="A90" s="583" t="s">
        <v>1510</v>
      </c>
      <c r="C90" s="570">
        <v>2013</v>
      </c>
      <c r="D90" s="570">
        <v>2014</v>
      </c>
      <c r="E90" s="570">
        <v>2015</v>
      </c>
      <c r="F90" s="570">
        <v>2016</v>
      </c>
      <c r="G90" s="570">
        <v>2017</v>
      </c>
      <c r="H90" s="570">
        <v>2018</v>
      </c>
      <c r="I90" s="570">
        <v>2019</v>
      </c>
      <c r="J90" s="571" t="s">
        <v>1511</v>
      </c>
    </row>
    <row r="91" spans="1:17" s="583" customFormat="1">
      <c r="A91" s="572" t="s">
        <v>1512</v>
      </c>
      <c r="C91" s="573">
        <v>0</v>
      </c>
      <c r="D91" s="573">
        <v>0.20833333333333334</v>
      </c>
      <c r="E91" s="573">
        <v>0.54166666666666663</v>
      </c>
      <c r="F91" s="573">
        <v>0.64166666666666672</v>
      </c>
      <c r="G91" s="573">
        <v>0.74166666666666659</v>
      </c>
      <c r="H91" s="573">
        <v>0.84166666666666667</v>
      </c>
      <c r="I91" s="573">
        <v>0.94166666666666643</v>
      </c>
      <c r="J91" s="573">
        <v>0.99999999999999989</v>
      </c>
    </row>
    <row r="92" spans="1:17" s="583" customFormat="1"/>
    <row r="93" spans="1:17" s="583" customFormat="1">
      <c r="A93" s="583" t="s">
        <v>1513</v>
      </c>
    </row>
  </sheetData>
  <pageMargins left="0.7" right="0.7" top="0.75" bottom="0.75" header="0.3" footer="0.3"/>
  <pageSetup scale="44" fitToHeight="0" orientation="landscape" r:id="rId1"/>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view="pageBreakPreview" zoomScale="60" zoomScaleNormal="100" workbookViewId="0">
      <selection activeCell="B24" sqref="B24"/>
    </sheetView>
  </sheetViews>
  <sheetFormatPr defaultColWidth="8.88671875" defaultRowHeight="14.4"/>
  <cols>
    <col min="1" max="1" width="51.44140625" style="146" customWidth="1"/>
    <col min="2" max="2" width="19.5546875" style="146" customWidth="1"/>
    <col min="3" max="3" width="28.33203125" style="146" customWidth="1"/>
    <col min="4" max="4" width="27.44140625" style="146" customWidth="1"/>
    <col min="5" max="5" width="17.33203125" style="146" customWidth="1"/>
    <col min="6" max="6" width="16.88671875" style="146" customWidth="1"/>
    <col min="7" max="7" width="21.44140625" style="146" bestFit="1" customWidth="1"/>
    <col min="8" max="16384" width="8.88671875" style="146"/>
  </cols>
  <sheetData>
    <row r="1" spans="1:7">
      <c r="A1" s="147" t="s">
        <v>0</v>
      </c>
    </row>
    <row r="2" spans="1:7">
      <c r="A2" s="147" t="s">
        <v>930</v>
      </c>
      <c r="G2" s="174"/>
    </row>
    <row r="4" spans="1:7" ht="76.95" customHeight="1">
      <c r="C4" s="179" t="s">
        <v>591</v>
      </c>
      <c r="D4" s="179" t="s">
        <v>592</v>
      </c>
    </row>
    <row r="5" spans="1:7">
      <c r="A5" s="146" t="s">
        <v>593</v>
      </c>
      <c r="B5" s="174">
        <f>+C5*D5*1000</f>
        <v>4562846.6894431747</v>
      </c>
      <c r="C5" s="195">
        <f>+'Sch 17 - Trans Demand Allocator'!O27</f>
        <v>1909.9626528497408</v>
      </c>
      <c r="D5" s="241">
        <f>+G25</f>
        <v>2.3889716810091679</v>
      </c>
      <c r="E5" s="146" t="s">
        <v>962</v>
      </c>
    </row>
    <row r="6" spans="1:7">
      <c r="B6" s="175"/>
      <c r="D6" s="250"/>
    </row>
    <row r="7" spans="1:7">
      <c r="A7" s="146" t="s">
        <v>594</v>
      </c>
      <c r="B7" s="216">
        <f>$F$25</f>
        <v>1566440</v>
      </c>
    </row>
    <row r="9" spans="1:7">
      <c r="A9" s="146" t="s">
        <v>595</v>
      </c>
      <c r="B9" s="198">
        <f>+B5-B7</f>
        <v>2996406.6894431747</v>
      </c>
      <c r="C9" s="146" t="s">
        <v>839</v>
      </c>
    </row>
    <row r="12" spans="1:7">
      <c r="A12" s="146" t="s">
        <v>596</v>
      </c>
      <c r="B12" s="169" t="s">
        <v>597</v>
      </c>
      <c r="C12" s="169" t="s">
        <v>598</v>
      </c>
      <c r="D12" s="146" t="s">
        <v>990</v>
      </c>
      <c r="E12" s="169" t="s">
        <v>599</v>
      </c>
      <c r="F12" s="169" t="s">
        <v>600</v>
      </c>
      <c r="G12" s="169" t="s">
        <v>991</v>
      </c>
    </row>
    <row r="13" spans="1:7">
      <c r="A13" s="178">
        <v>42005</v>
      </c>
      <c r="B13" s="240">
        <v>139100</v>
      </c>
      <c r="C13" s="249" t="s">
        <v>1491</v>
      </c>
      <c r="D13" s="263">
        <v>2.2200000000000002</v>
      </c>
      <c r="E13" s="200">
        <f>'Sch 17 - Trans Demand Allocator'!$C$27</f>
        <v>209.32642487046633</v>
      </c>
      <c r="F13" s="175">
        <f t="shared" ref="F13:F18" si="0">+B13</f>
        <v>139100</v>
      </c>
      <c r="G13" s="609">
        <f>+D13*(F13/$F$25)</f>
        <v>0.19713618140496927</v>
      </c>
    </row>
    <row r="14" spans="1:7">
      <c r="A14" s="178">
        <v>42036</v>
      </c>
      <c r="B14" s="240">
        <v>139100</v>
      </c>
      <c r="C14" s="249" t="s">
        <v>1491</v>
      </c>
      <c r="D14" s="709">
        <v>2.2200000000000002</v>
      </c>
      <c r="E14" s="200">
        <f>'Sch 17 - Trans Demand Allocator'!$D$27</f>
        <v>189.63730569948189</v>
      </c>
      <c r="F14" s="175">
        <f t="shared" si="0"/>
        <v>139100</v>
      </c>
      <c r="G14" s="609">
        <f t="shared" ref="G14:G24" si="1">+D14*(F14/$F$25)</f>
        <v>0.19713618140496927</v>
      </c>
    </row>
    <row r="15" spans="1:7">
      <c r="A15" s="178">
        <v>42064</v>
      </c>
      <c r="B15" s="240">
        <v>139100</v>
      </c>
      <c r="C15" s="249" t="s">
        <v>1491</v>
      </c>
      <c r="D15" s="709">
        <v>2.2200000000000002</v>
      </c>
      <c r="E15" s="200">
        <f>'Sch 17 - Trans Demand Allocator'!$E$27</f>
        <v>137.8238341968912</v>
      </c>
      <c r="F15" s="175">
        <f t="shared" si="0"/>
        <v>139100</v>
      </c>
      <c r="G15" s="609">
        <f t="shared" si="1"/>
        <v>0.19713618140496927</v>
      </c>
    </row>
    <row r="16" spans="1:7">
      <c r="A16" s="178">
        <v>42095</v>
      </c>
      <c r="B16" s="240">
        <v>101920</v>
      </c>
      <c r="C16" s="249" t="s">
        <v>1491</v>
      </c>
      <c r="D16" s="709">
        <v>2.2200000000000002</v>
      </c>
      <c r="E16" s="200">
        <f>'Sch 17 - Trans Demand Allocator'!$F$27</f>
        <v>128.32497409326425</v>
      </c>
      <c r="F16" s="175">
        <f t="shared" si="0"/>
        <v>101920</v>
      </c>
      <c r="G16" s="609">
        <f t="shared" si="1"/>
        <v>0.14444370674906157</v>
      </c>
    </row>
    <row r="17" spans="1:7">
      <c r="A17" s="178">
        <v>42125</v>
      </c>
      <c r="B17" s="240">
        <v>101920</v>
      </c>
      <c r="C17" s="249" t="s">
        <v>1491</v>
      </c>
      <c r="D17" s="709">
        <v>2.2200000000000002</v>
      </c>
      <c r="E17" s="200">
        <f>'Sch 17 - Trans Demand Allocator'!$G$27</f>
        <v>141.93197927461139</v>
      </c>
      <c r="F17" s="175">
        <f t="shared" si="0"/>
        <v>101920</v>
      </c>
      <c r="G17" s="609">
        <f t="shared" si="1"/>
        <v>0.14444370674906157</v>
      </c>
    </row>
    <row r="18" spans="1:7">
      <c r="A18" s="178">
        <v>42156</v>
      </c>
      <c r="B18" s="240">
        <v>125580</v>
      </c>
      <c r="C18" s="249" t="s">
        <v>1491</v>
      </c>
      <c r="D18" s="709">
        <v>2.5</v>
      </c>
      <c r="E18" s="200">
        <f>'Sch 17 - Trans Demand Allocator'!$H$27</f>
        <v>165.64518134715027</v>
      </c>
      <c r="F18" s="175">
        <f t="shared" si="0"/>
        <v>125580</v>
      </c>
      <c r="G18" s="609">
        <f t="shared" si="1"/>
        <v>0.20042261433569114</v>
      </c>
    </row>
    <row r="19" spans="1:7">
      <c r="A19" s="178">
        <v>42186</v>
      </c>
      <c r="B19" s="240">
        <v>125580</v>
      </c>
      <c r="C19" s="249" t="s">
        <v>1491</v>
      </c>
      <c r="D19" s="709">
        <v>2.5</v>
      </c>
      <c r="E19" s="200">
        <f>'Sch 17 - Trans Demand Allocator'!$I$27</f>
        <v>164.07917098445597</v>
      </c>
      <c r="F19" s="175">
        <f t="shared" ref="F19:F24" si="2">+B19</f>
        <v>125580</v>
      </c>
      <c r="G19" s="609">
        <f t="shared" si="1"/>
        <v>0.20042261433569114</v>
      </c>
    </row>
    <row r="20" spans="1:7">
      <c r="A20" s="178">
        <v>42217</v>
      </c>
      <c r="B20" s="240">
        <v>125580</v>
      </c>
      <c r="C20" s="249" t="s">
        <v>1491</v>
      </c>
      <c r="D20" s="709">
        <v>2.5</v>
      </c>
      <c r="E20" s="200">
        <f>'Sch 17 - Trans Demand Allocator'!$J$27</f>
        <v>164.83481865284975</v>
      </c>
      <c r="F20" s="175">
        <f t="shared" si="2"/>
        <v>125580</v>
      </c>
      <c r="G20" s="609">
        <f t="shared" si="1"/>
        <v>0.20042261433569114</v>
      </c>
    </row>
    <row r="21" spans="1:7">
      <c r="A21" s="178">
        <v>42248</v>
      </c>
      <c r="B21" s="240">
        <v>125580</v>
      </c>
      <c r="C21" s="249" t="s">
        <v>1491</v>
      </c>
      <c r="D21" s="709">
        <v>2.5</v>
      </c>
      <c r="E21" s="200">
        <f>'Sch 17 - Trans Demand Allocator'!$K$27</f>
        <v>120.18735751295337</v>
      </c>
      <c r="F21" s="175">
        <f t="shared" si="2"/>
        <v>125580</v>
      </c>
      <c r="G21" s="609">
        <f t="shared" si="1"/>
        <v>0.20042261433569114</v>
      </c>
    </row>
    <row r="22" spans="1:7">
      <c r="A22" s="178">
        <v>42278</v>
      </c>
      <c r="B22" s="240">
        <v>147660</v>
      </c>
      <c r="C22" s="249" t="s">
        <v>1491</v>
      </c>
      <c r="D22" s="709">
        <v>2.5</v>
      </c>
      <c r="E22" s="200">
        <f>'Sch 17 - Trans Demand Allocator'!$L$27</f>
        <v>75.252227979274608</v>
      </c>
      <c r="F22" s="175">
        <f t="shared" si="2"/>
        <v>147660</v>
      </c>
      <c r="G22" s="609">
        <f t="shared" si="1"/>
        <v>0.23566175531779066</v>
      </c>
    </row>
    <row r="23" spans="1:7">
      <c r="A23" s="178">
        <v>42309</v>
      </c>
      <c r="B23" s="240">
        <v>147660</v>
      </c>
      <c r="C23" s="249" t="s">
        <v>1491</v>
      </c>
      <c r="D23" s="709">
        <v>2.5</v>
      </c>
      <c r="E23" s="200">
        <f>'Sch 17 - Trans Demand Allocator'!$M$27</f>
        <v>217.49720207253887</v>
      </c>
      <c r="F23" s="175">
        <f t="shared" si="2"/>
        <v>147660</v>
      </c>
      <c r="G23" s="609">
        <f t="shared" si="1"/>
        <v>0.23566175531779066</v>
      </c>
    </row>
    <row r="24" spans="1:7">
      <c r="A24" s="178">
        <v>42339</v>
      </c>
      <c r="B24" s="240">
        <v>147660</v>
      </c>
      <c r="C24" s="249" t="s">
        <v>1491</v>
      </c>
      <c r="D24" s="709">
        <v>2.5</v>
      </c>
      <c r="E24" s="218">
        <f>'Sch 17 - Trans Demand Allocator'!$N$27</f>
        <v>195.42217616580311</v>
      </c>
      <c r="F24" s="222">
        <f t="shared" si="2"/>
        <v>147660</v>
      </c>
      <c r="G24" s="609">
        <f t="shared" si="1"/>
        <v>0.23566175531779066</v>
      </c>
    </row>
    <row r="25" spans="1:7">
      <c r="B25" s="174">
        <f>SUM(B13:B24)</f>
        <v>1566440</v>
      </c>
      <c r="C25" s="174">
        <f>SUM(C13:C24)</f>
        <v>0</v>
      </c>
      <c r="E25" s="200">
        <f>SUM(E13:E24)</f>
        <v>1909.9626528497408</v>
      </c>
      <c r="F25" s="175">
        <f>SUM(F13:F24)</f>
        <v>1566440</v>
      </c>
      <c r="G25" s="180">
        <f>SUM(G13:G24)</f>
        <v>2.3889716810091679</v>
      </c>
    </row>
    <row r="26" spans="1:7">
      <c r="C26" s="173"/>
    </row>
    <row r="27" spans="1:7">
      <c r="A27" s="146" t="s">
        <v>601</v>
      </c>
      <c r="B27" s="593">
        <v>2.2200000000000002</v>
      </c>
      <c r="C27" s="593">
        <v>2.5</v>
      </c>
    </row>
    <row r="28" spans="1:7">
      <c r="A28" s="146" t="s">
        <v>602</v>
      </c>
      <c r="B28" s="180">
        <f>ROUND((+(B27*0.15)*-1),2)</f>
        <v>-0.33</v>
      </c>
      <c r="C28" s="180">
        <f>ROUND((+(C27*0.15)*-1),2)</f>
        <v>-0.38</v>
      </c>
    </row>
    <row r="29" spans="1:7">
      <c r="A29" s="146" t="s">
        <v>603</v>
      </c>
      <c r="B29" s="180">
        <f>+B27+B28</f>
        <v>1.8900000000000001</v>
      </c>
      <c r="C29" s="180">
        <f>+C27+C28</f>
        <v>2.12</v>
      </c>
    </row>
    <row r="30" spans="1:7">
      <c r="A30" s="146" t="s">
        <v>604</v>
      </c>
      <c r="B30" s="263">
        <v>-0.75</v>
      </c>
      <c r="C30" s="263">
        <v>-0.75</v>
      </c>
    </row>
    <row r="31" spans="1:7">
      <c r="A31" s="146" t="s">
        <v>605</v>
      </c>
      <c r="B31" s="180">
        <f>+B29+B30</f>
        <v>1.1400000000000001</v>
      </c>
      <c r="C31" s="180">
        <f>+C29+C30</f>
        <v>1.37</v>
      </c>
    </row>
    <row r="33" spans="1:1">
      <c r="A33" s="146" t="s">
        <v>606</v>
      </c>
    </row>
    <row r="35" spans="1:1">
      <c r="A35" s="621" t="s">
        <v>1552</v>
      </c>
    </row>
    <row r="36" spans="1:1">
      <c r="A36" s="621" t="s">
        <v>607</v>
      </c>
    </row>
    <row r="37" spans="1:1">
      <c r="A37" s="621" t="s">
        <v>840</v>
      </c>
    </row>
  </sheetData>
  <pageMargins left="0.7" right="0.7" top="0.75" bottom="0.75" header="0.3" footer="0.3"/>
  <pageSetup scale="6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BreakPreview" topLeftCell="A4" zoomScale="60" zoomScaleNormal="100" workbookViewId="0">
      <selection activeCell="I32" sqref="I32"/>
    </sheetView>
  </sheetViews>
  <sheetFormatPr defaultRowHeight="14.4"/>
  <cols>
    <col min="1" max="1" width="43" customWidth="1"/>
    <col min="2" max="2" width="34.6640625" bestFit="1" customWidth="1"/>
    <col min="3" max="3" width="45.6640625" bestFit="1" customWidth="1"/>
    <col min="4" max="4" width="14.33203125" bestFit="1" customWidth="1"/>
    <col min="5" max="5" width="16" bestFit="1" customWidth="1"/>
    <col min="6" max="6" width="19.33203125" customWidth="1"/>
    <col min="7" max="7" width="16" bestFit="1" customWidth="1"/>
    <col min="8" max="8" width="10.88671875" customWidth="1"/>
    <col min="12" max="12" width="11.5546875" bestFit="1" customWidth="1"/>
  </cols>
  <sheetData>
    <row r="1" spans="1:9">
      <c r="A1" s="147" t="s">
        <v>0</v>
      </c>
      <c r="E1" s="583"/>
      <c r="F1" s="583"/>
      <c r="G1" s="583"/>
      <c r="H1" s="583"/>
      <c r="I1" s="583"/>
    </row>
    <row r="2" spans="1:9">
      <c r="A2" s="147" t="s">
        <v>929</v>
      </c>
      <c r="E2" s="583"/>
      <c r="F2" s="583"/>
      <c r="G2" s="583"/>
      <c r="H2" s="583"/>
      <c r="I2" s="583"/>
    </row>
    <row r="3" spans="1:9" ht="43.2">
      <c r="E3" s="574" t="s">
        <v>1505</v>
      </c>
      <c r="F3" s="574" t="s">
        <v>1506</v>
      </c>
      <c r="G3" s="591" t="s">
        <v>55</v>
      </c>
      <c r="H3" s="583"/>
      <c r="I3" s="583"/>
    </row>
    <row r="4" spans="1:9">
      <c r="B4" s="147" t="s">
        <v>485</v>
      </c>
      <c r="C4" s="147" t="s">
        <v>11</v>
      </c>
      <c r="D4" s="244"/>
      <c r="E4" s="591" t="s">
        <v>486</v>
      </c>
      <c r="F4" s="591" t="s">
        <v>486</v>
      </c>
      <c r="G4" s="591" t="s">
        <v>486</v>
      </c>
      <c r="H4" s="583"/>
      <c r="I4" s="583"/>
    </row>
    <row r="5" spans="1:9">
      <c r="A5" t="s">
        <v>487</v>
      </c>
      <c r="B5" s="583"/>
      <c r="E5" s="591" t="s">
        <v>488</v>
      </c>
      <c r="F5" s="591" t="s">
        <v>488</v>
      </c>
      <c r="G5" s="591" t="s">
        <v>488</v>
      </c>
      <c r="H5" s="583"/>
      <c r="I5" s="583"/>
    </row>
    <row r="6" spans="1:9">
      <c r="A6" t="s">
        <v>489</v>
      </c>
      <c r="B6" s="585" t="s">
        <v>1506</v>
      </c>
      <c r="C6" s="146" t="s">
        <v>1580</v>
      </c>
      <c r="D6" s="707">
        <v>1415030</v>
      </c>
      <c r="E6" s="585">
        <v>0</v>
      </c>
      <c r="F6" s="585">
        <f>+D6*'Sch 20 - Gen Demand Allocator'!$O$17</f>
        <v>4594.1651592242642</v>
      </c>
      <c r="G6" s="586">
        <f>SUM(E6:F6)</f>
        <v>4594.1651592242642</v>
      </c>
      <c r="H6" s="583"/>
      <c r="I6" s="583"/>
    </row>
    <row r="7" spans="1:9">
      <c r="A7" t="s">
        <v>490</v>
      </c>
      <c r="B7" s="585" t="s">
        <v>1506</v>
      </c>
      <c r="C7" s="146" t="s">
        <v>967</v>
      </c>
      <c r="D7" s="707">
        <v>359629</v>
      </c>
      <c r="E7" s="585">
        <v>0</v>
      </c>
      <c r="F7" s="585">
        <f>+D7*'Sch 20 - Gen Demand Allocator'!$O$17</f>
        <v>1167.6042359855714</v>
      </c>
      <c r="G7" s="586">
        <f>SUM(E7:F7)</f>
        <v>1167.6042359855714</v>
      </c>
      <c r="H7" s="583"/>
      <c r="I7" s="583"/>
    </row>
    <row r="8" spans="1:9">
      <c r="B8" s="583"/>
      <c r="D8" s="107"/>
      <c r="E8" s="585"/>
      <c r="F8" s="583"/>
      <c r="G8" s="583"/>
      <c r="H8" s="583"/>
      <c r="I8" s="583"/>
    </row>
    <row r="9" spans="1:9">
      <c r="A9" t="s">
        <v>491</v>
      </c>
      <c r="B9" s="583"/>
      <c r="D9" s="107"/>
      <c r="E9" s="585"/>
      <c r="F9" s="583"/>
      <c r="G9" s="583"/>
      <c r="H9" s="583"/>
      <c r="I9" s="583"/>
    </row>
    <row r="10" spans="1:9">
      <c r="A10" s="172" t="s">
        <v>608</v>
      </c>
      <c r="B10" s="585" t="s">
        <v>1506</v>
      </c>
      <c r="C10" s="146" t="s">
        <v>782</v>
      </c>
      <c r="D10" s="107">
        <f>+'Sch 18 - Imputed WAPA Trans Exp'!B9</f>
        <v>2996406.6894431747</v>
      </c>
      <c r="E10" s="585">
        <v>0</v>
      </c>
      <c r="F10" s="585">
        <f>+D10*'Sch 20 - Gen Demand Allocator'!$O$17</f>
        <v>9728.4066171786853</v>
      </c>
      <c r="G10" s="586">
        <f>SUM(E10:F10)</f>
        <v>9728.4066171786853</v>
      </c>
      <c r="H10" s="583"/>
      <c r="I10" s="583"/>
    </row>
    <row r="11" spans="1:9">
      <c r="B11" s="583"/>
      <c r="E11" s="583"/>
      <c r="F11" s="583"/>
      <c r="G11" s="583"/>
      <c r="H11" s="583"/>
      <c r="I11" s="583"/>
    </row>
    <row r="12" spans="1:9">
      <c r="A12" t="s">
        <v>468</v>
      </c>
      <c r="B12" s="583"/>
      <c r="E12" s="583"/>
      <c r="F12" s="583"/>
      <c r="G12" s="583"/>
      <c r="H12" s="583"/>
      <c r="I12" s="583"/>
    </row>
    <row r="13" spans="1:9">
      <c r="A13" t="s">
        <v>492</v>
      </c>
      <c r="B13" s="583" t="s">
        <v>493</v>
      </c>
      <c r="C13" s="146" t="s">
        <v>1581</v>
      </c>
      <c r="D13" s="707">
        <v>727275</v>
      </c>
      <c r="E13" s="585">
        <v>0</v>
      </c>
      <c r="F13" s="585">
        <v>0</v>
      </c>
      <c r="G13" s="586">
        <f>SUM(E13:F13)</f>
        <v>0</v>
      </c>
      <c r="H13" s="583"/>
      <c r="I13" s="583"/>
    </row>
    <row r="14" spans="1:9">
      <c r="A14" t="s">
        <v>494</v>
      </c>
      <c r="B14" s="585" t="s">
        <v>1506</v>
      </c>
      <c r="C14" s="146" t="s">
        <v>968</v>
      </c>
      <c r="D14" s="707">
        <v>3229101</v>
      </c>
      <c r="E14" s="585">
        <v>0</v>
      </c>
      <c r="F14" s="585">
        <f>+D14*'Sch 20 - Gen Demand Allocator'!$O$17</f>
        <v>10483.893139944899</v>
      </c>
      <c r="G14" s="586">
        <f>SUM(E14:F14)</f>
        <v>10483.893139944899</v>
      </c>
      <c r="H14" s="583"/>
      <c r="I14" s="583"/>
    </row>
    <row r="15" spans="1:9">
      <c r="A15" t="s">
        <v>495</v>
      </c>
      <c r="B15" s="585" t="s">
        <v>1506</v>
      </c>
      <c r="C15" s="146" t="s">
        <v>1538</v>
      </c>
      <c r="D15" s="707">
        <v>872730</v>
      </c>
      <c r="E15" s="585">
        <v>0</v>
      </c>
      <c r="F15" s="585">
        <f>+D15*'Sch 20 - Gen Demand Allocator'!$O$17</f>
        <v>2833.4846324175405</v>
      </c>
      <c r="G15" s="586">
        <f>SUM(E15:F15)</f>
        <v>2833.4846324175405</v>
      </c>
      <c r="H15" s="583"/>
      <c r="I15" s="583"/>
    </row>
    <row r="16" spans="1:9">
      <c r="A16" t="s">
        <v>496</v>
      </c>
      <c r="B16" s="585" t="s">
        <v>1505</v>
      </c>
      <c r="C16" s="146" t="s">
        <v>1582</v>
      </c>
      <c r="D16" s="707">
        <v>2734554</v>
      </c>
      <c r="E16" s="585">
        <f>+D16*'Sch 20 - Gen Demand Allocator'!$O$16</f>
        <v>100949.48406684957</v>
      </c>
      <c r="F16" s="585">
        <v>0</v>
      </c>
      <c r="G16" s="586">
        <f>SUM(E16:F16)</f>
        <v>100949.48406684957</v>
      </c>
      <c r="H16" s="583"/>
      <c r="I16" s="583"/>
    </row>
    <row r="17" spans="1:13">
      <c r="A17" s="146" t="s">
        <v>841</v>
      </c>
      <c r="B17" s="585" t="s">
        <v>1505</v>
      </c>
      <c r="C17" s="146" t="s">
        <v>1583</v>
      </c>
      <c r="D17" s="707">
        <v>1745460</v>
      </c>
      <c r="E17" s="585">
        <f>+D17*'Sch 20 - Gen Demand Allocator'!$O$16</f>
        <v>64435.840893733774</v>
      </c>
      <c r="F17" s="585">
        <v>0</v>
      </c>
      <c r="G17" s="586">
        <f>SUM(E17:F17)</f>
        <v>64435.840893733774</v>
      </c>
      <c r="H17" s="583"/>
      <c r="I17" s="583"/>
    </row>
    <row r="18" spans="1:13">
      <c r="B18" s="583"/>
      <c r="E18" s="583"/>
      <c r="F18" s="583"/>
      <c r="G18" s="583"/>
      <c r="H18" s="583"/>
      <c r="I18" s="583"/>
    </row>
    <row r="19" spans="1:13">
      <c r="A19" t="s">
        <v>497</v>
      </c>
      <c r="B19" s="583"/>
      <c r="E19" s="583"/>
      <c r="F19" s="583"/>
      <c r="G19" s="583"/>
      <c r="H19" s="583"/>
      <c r="I19" s="583"/>
    </row>
    <row r="20" spans="1:13">
      <c r="A20" t="s">
        <v>498</v>
      </c>
      <c r="B20" s="583" t="s">
        <v>499</v>
      </c>
      <c r="C20" s="146" t="s">
        <v>1585</v>
      </c>
      <c r="D20" s="707">
        <v>386382</v>
      </c>
      <c r="E20" s="585">
        <v>0</v>
      </c>
      <c r="F20" s="585">
        <v>0</v>
      </c>
      <c r="G20" s="586">
        <f>SUM(E20:F20)</f>
        <v>0</v>
      </c>
      <c r="H20" s="583"/>
      <c r="I20" s="583"/>
    </row>
    <row r="21" spans="1:13">
      <c r="B21" s="583"/>
      <c r="E21" s="583"/>
      <c r="F21" s="583"/>
      <c r="G21" s="583"/>
      <c r="H21" s="583"/>
      <c r="I21" s="583"/>
    </row>
    <row r="22" spans="1:13">
      <c r="A22" t="s">
        <v>500</v>
      </c>
      <c r="B22" s="583"/>
      <c r="E22" s="583"/>
      <c r="F22" s="583"/>
      <c r="G22" s="583"/>
      <c r="H22" s="583"/>
      <c r="I22" s="583"/>
    </row>
    <row r="23" spans="1:13">
      <c r="A23" t="s">
        <v>501</v>
      </c>
      <c r="B23" s="583" t="s">
        <v>499</v>
      </c>
      <c r="E23" s="585">
        <v>0</v>
      </c>
      <c r="F23" s="585">
        <v>0</v>
      </c>
      <c r="G23" s="586">
        <f>SUM(E23:F23)</f>
        <v>0</v>
      </c>
      <c r="H23" s="583"/>
      <c r="I23" s="583"/>
    </row>
    <row r="24" spans="1:13">
      <c r="A24" t="s">
        <v>502</v>
      </c>
      <c r="B24" s="583" t="s">
        <v>503</v>
      </c>
      <c r="E24" s="575">
        <v>0</v>
      </c>
      <c r="F24" s="575">
        <v>0</v>
      </c>
      <c r="G24" s="586">
        <f>SUM(E24:F24)</f>
        <v>0</v>
      </c>
      <c r="H24" s="583"/>
      <c r="I24" s="583"/>
    </row>
    <row r="25" spans="1:13">
      <c r="E25" s="583"/>
      <c r="F25" s="583"/>
      <c r="G25" s="583"/>
      <c r="H25" s="583"/>
      <c r="I25" s="583"/>
    </row>
    <row r="26" spans="1:13" ht="15" thickBot="1">
      <c r="A26" t="s">
        <v>504</v>
      </c>
      <c r="E26" s="576">
        <f>SUM(E6:E24)</f>
        <v>165385.32496058336</v>
      </c>
      <c r="F26" s="576">
        <f>SUM(F6:F24)</f>
        <v>28807.553784750962</v>
      </c>
      <c r="G26" s="576">
        <f>SUM(G6:G24)</f>
        <v>194192.87874533431</v>
      </c>
      <c r="H26" s="583"/>
      <c r="I26" s="583"/>
    </row>
    <row r="27" spans="1:13" ht="15" thickTop="1">
      <c r="A27" s="583"/>
      <c r="B27" s="583"/>
      <c r="C27" s="583"/>
      <c r="D27" s="583"/>
      <c r="E27" s="583"/>
      <c r="F27" s="583"/>
      <c r="G27" s="583"/>
      <c r="H27" s="583"/>
      <c r="I27" s="583"/>
      <c r="J27" s="583"/>
      <c r="K27" s="583"/>
      <c r="L27" s="583"/>
      <c r="M27" s="583"/>
    </row>
    <row r="28" spans="1:13">
      <c r="A28" s="583"/>
      <c r="B28" s="583" t="s">
        <v>919</v>
      </c>
      <c r="C28" s="583"/>
      <c r="D28" s="583"/>
      <c r="E28" s="583"/>
      <c r="F28" s="583"/>
      <c r="G28" s="583"/>
      <c r="H28" s="583"/>
      <c r="I28" s="583"/>
      <c r="J28" s="583"/>
      <c r="K28" s="583"/>
      <c r="L28" s="583"/>
      <c r="M28" s="583"/>
    </row>
    <row r="29" spans="1:13">
      <c r="A29" s="583"/>
      <c r="B29" s="583"/>
      <c r="C29" s="583"/>
      <c r="D29" s="583"/>
      <c r="E29" s="583" t="s">
        <v>1505</v>
      </c>
      <c r="F29" s="583"/>
      <c r="G29" s="583"/>
      <c r="H29" s="583" t="s">
        <v>1506</v>
      </c>
      <c r="I29" s="583"/>
      <c r="J29" s="583"/>
      <c r="K29" s="583"/>
      <c r="L29" s="583" t="s">
        <v>55</v>
      </c>
      <c r="M29" s="583"/>
    </row>
    <row r="30" spans="1:13">
      <c r="A30" s="583"/>
      <c r="B30" s="583"/>
      <c r="C30" s="583"/>
      <c r="D30" s="583"/>
      <c r="E30" s="583"/>
      <c r="F30" s="590" t="s">
        <v>681</v>
      </c>
      <c r="G30" s="583" t="s">
        <v>864</v>
      </c>
      <c r="H30" s="583"/>
      <c r="I30" s="590" t="s">
        <v>681</v>
      </c>
      <c r="J30" s="583" t="s">
        <v>864</v>
      </c>
      <c r="K30" s="583"/>
      <c r="L30" s="583"/>
      <c r="M30" s="583"/>
    </row>
    <row r="31" spans="1:13">
      <c r="A31" s="583"/>
      <c r="B31" s="583" t="s">
        <v>861</v>
      </c>
      <c r="C31" s="583"/>
      <c r="D31" s="583"/>
      <c r="E31" s="585">
        <f>+$E$26*G31</f>
        <v>0</v>
      </c>
      <c r="F31" s="592">
        <v>0</v>
      </c>
      <c r="G31" s="567">
        <f>+F31/$F$35</f>
        <v>0</v>
      </c>
      <c r="H31" s="585">
        <f>+J31*$F$26</f>
        <v>0</v>
      </c>
      <c r="I31" s="592">
        <v>0</v>
      </c>
      <c r="J31" s="567">
        <f>+I31/$I$35</f>
        <v>0</v>
      </c>
      <c r="K31" s="583"/>
      <c r="L31" s="586">
        <f>+E31+H31</f>
        <v>0</v>
      </c>
      <c r="M31" s="583"/>
    </row>
    <row r="32" spans="1:13">
      <c r="A32" s="583"/>
      <c r="B32" s="583" t="s">
        <v>862</v>
      </c>
      <c r="C32" s="583"/>
      <c r="D32" s="583"/>
      <c r="E32" s="585">
        <f>+$E$26*G32</f>
        <v>137439.52995168846</v>
      </c>
      <c r="F32" s="592">
        <f>+'Sch 17 - Trans Demand Allocator'!O18</f>
        <v>340.39373056994816</v>
      </c>
      <c r="G32" s="567">
        <f>+F32/$F$35</f>
        <v>0.83102615050304318</v>
      </c>
      <c r="H32" s="585">
        <f>+J32*$F$26</f>
        <v>0</v>
      </c>
      <c r="I32" s="592">
        <v>0</v>
      </c>
      <c r="J32" s="567">
        <f>+I32/$I$35</f>
        <v>0</v>
      </c>
      <c r="K32" s="583"/>
      <c r="L32" s="586">
        <f>+E32+H32</f>
        <v>137439.52995168846</v>
      </c>
      <c r="M32" s="583"/>
    </row>
    <row r="33" spans="1:13">
      <c r="A33" s="583"/>
      <c r="B33" s="587" t="s">
        <v>863</v>
      </c>
      <c r="C33" s="583"/>
      <c r="D33" s="583"/>
      <c r="E33" s="585">
        <f>+$E$26*G33</f>
        <v>12949.87138745467</v>
      </c>
      <c r="F33" s="592">
        <f>+'Sch 17 - Trans Demand Allocator'!O19</f>
        <v>32.072687046632126</v>
      </c>
      <c r="G33" s="567">
        <f>+F33/$F$35</f>
        <v>7.8301211975978169E-2</v>
      </c>
      <c r="H33" s="585">
        <f>+J33*$F$26</f>
        <v>13349.203927852763</v>
      </c>
      <c r="I33" s="592">
        <f>+'Sch 17 - Trans Demand Allocator'!O19</f>
        <v>32.072687046632126</v>
      </c>
      <c r="J33" s="567">
        <f>+I33/$I$35</f>
        <v>0.46339248474888045</v>
      </c>
      <c r="K33" s="583"/>
      <c r="L33" s="586">
        <f>+E33+H33</f>
        <v>26299.075315307433</v>
      </c>
      <c r="M33" s="583"/>
    </row>
    <row r="34" spans="1:13" s="621" customFormat="1">
      <c r="A34" s="668"/>
      <c r="B34" s="587" t="s">
        <v>1769</v>
      </c>
      <c r="C34" s="668"/>
      <c r="D34" s="668"/>
      <c r="E34" s="585">
        <f>+$E$26*G34</f>
        <v>14995.923621440228</v>
      </c>
      <c r="F34" s="592">
        <f>+'Sch 17 - Trans Demand Allocator'!O21</f>
        <v>37.140103626943009</v>
      </c>
      <c r="G34" s="567">
        <f>+F34/$F$35</f>
        <v>9.0672637520978594E-2</v>
      </c>
      <c r="H34" s="585">
        <f>+J34*$F$26</f>
        <v>15458.349856898194</v>
      </c>
      <c r="I34" s="592">
        <f>+'Sch 17 - Trans Demand Allocator'!O21</f>
        <v>37.140103626943009</v>
      </c>
      <c r="J34" s="567">
        <f>+I34/$I$35</f>
        <v>0.53660751525111938</v>
      </c>
      <c r="K34" s="668"/>
      <c r="L34" s="586">
        <f>+E34+H34</f>
        <v>30454.273478338422</v>
      </c>
      <c r="M34" s="668"/>
    </row>
    <row r="35" spans="1:13">
      <c r="A35" s="583"/>
      <c r="B35" s="583"/>
      <c r="C35" s="583"/>
      <c r="D35" s="583"/>
      <c r="E35" s="585">
        <f>SUM(E31:E34)</f>
        <v>165385.32496058336</v>
      </c>
      <c r="F35" s="568">
        <f>SUM(F31:F34)</f>
        <v>409.60652124352333</v>
      </c>
      <c r="G35" s="567">
        <f>+F35/$F$35</f>
        <v>1</v>
      </c>
      <c r="H35" s="585">
        <f>SUM(H31:H34)</f>
        <v>28807.553784750955</v>
      </c>
      <c r="I35" s="568">
        <f>SUM(I31:I34)</f>
        <v>69.212790673575142</v>
      </c>
      <c r="J35" s="567">
        <f>+I35/$I$35</f>
        <v>1</v>
      </c>
      <c r="K35" s="583"/>
      <c r="L35" s="586">
        <f>+E35+H35</f>
        <v>194192.87874533431</v>
      </c>
      <c r="M35" s="583"/>
    </row>
    <row r="36" spans="1:13">
      <c r="A36" s="583"/>
      <c r="B36" s="583"/>
      <c r="C36" s="583"/>
      <c r="D36" s="583"/>
      <c r="E36" s="583"/>
      <c r="F36" s="583"/>
      <c r="G36" s="583"/>
      <c r="H36" s="583"/>
      <c r="I36" s="583"/>
      <c r="J36" s="583"/>
      <c r="K36" s="583"/>
      <c r="L36" s="583"/>
      <c r="M36" s="583"/>
    </row>
    <row r="37" spans="1:13">
      <c r="A37" s="583"/>
      <c r="B37" s="583"/>
      <c r="C37" s="583"/>
      <c r="D37" s="583"/>
      <c r="E37" s="583"/>
      <c r="F37" s="583"/>
      <c r="G37" s="583"/>
      <c r="H37" s="583"/>
      <c r="I37" s="583"/>
      <c r="J37" s="583"/>
      <c r="K37" s="583"/>
      <c r="L37" s="583"/>
      <c r="M37" s="583"/>
    </row>
  </sheetData>
  <pageMargins left="0.7" right="0.7" top="0.75" bottom="0.75" header="0.3" footer="0.3"/>
  <pageSetup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view="pageBreakPreview" zoomScale="60" zoomScaleNormal="100" workbookViewId="0">
      <selection activeCell="O8" sqref="O8"/>
    </sheetView>
  </sheetViews>
  <sheetFormatPr defaultRowHeight="14.4"/>
  <cols>
    <col min="1" max="1" width="48.88671875" bestFit="1" customWidth="1"/>
    <col min="2" max="3" width="14.88671875" bestFit="1" customWidth="1"/>
    <col min="4" max="4" width="14.44140625" bestFit="1" customWidth="1"/>
    <col min="5" max="13" width="14.88671875" bestFit="1" customWidth="1"/>
    <col min="15" max="15" width="11.33203125" bestFit="1" customWidth="1"/>
    <col min="16" max="16" width="19" customWidth="1"/>
    <col min="17" max="17" width="33.109375" bestFit="1" customWidth="1"/>
  </cols>
  <sheetData>
    <row r="1" spans="1:17" s="146" customFormat="1">
      <c r="A1" s="147" t="s">
        <v>0</v>
      </c>
    </row>
    <row r="2" spans="1:17" s="146" customFormat="1">
      <c r="A2" s="147" t="s">
        <v>928</v>
      </c>
    </row>
    <row r="4" spans="1:17">
      <c r="B4" s="6" t="s">
        <v>448</v>
      </c>
      <c r="C4" s="6" t="s">
        <v>449</v>
      </c>
      <c r="D4" s="6" t="s">
        <v>16</v>
      </c>
      <c r="E4" s="6" t="s">
        <v>17</v>
      </c>
      <c r="F4" s="6" t="s">
        <v>18</v>
      </c>
      <c r="G4" s="6" t="s">
        <v>19</v>
      </c>
      <c r="H4" s="6" t="s">
        <v>20</v>
      </c>
      <c r="I4" s="6" t="s">
        <v>21</v>
      </c>
      <c r="J4" s="6" t="s">
        <v>450</v>
      </c>
      <c r="K4" s="6" t="s">
        <v>451</v>
      </c>
      <c r="L4" s="6" t="s">
        <v>452</v>
      </c>
      <c r="M4" s="6" t="s">
        <v>453</v>
      </c>
      <c r="N4" s="6" t="s">
        <v>55</v>
      </c>
      <c r="O4" s="6" t="s">
        <v>305</v>
      </c>
      <c r="P4" s="6" t="s">
        <v>11</v>
      </c>
    </row>
    <row r="5" spans="1:17">
      <c r="B5" s="864" t="s">
        <v>1816</v>
      </c>
      <c r="C5" s="247">
        <v>42403</v>
      </c>
      <c r="D5" s="247">
        <v>42437</v>
      </c>
      <c r="E5" s="247">
        <v>42485</v>
      </c>
      <c r="F5" s="247">
        <v>42513</v>
      </c>
      <c r="G5" s="247">
        <v>42543</v>
      </c>
      <c r="H5" s="247">
        <v>42573</v>
      </c>
      <c r="I5" s="247">
        <v>42583</v>
      </c>
      <c r="J5" s="247">
        <v>42618</v>
      </c>
      <c r="K5" s="247">
        <v>42645</v>
      </c>
      <c r="L5" s="247">
        <v>42704</v>
      </c>
      <c r="M5" s="247">
        <v>42726</v>
      </c>
    </row>
    <row r="6" spans="1:17">
      <c r="B6" s="239">
        <v>1900</v>
      </c>
      <c r="C6" s="239">
        <v>1900</v>
      </c>
      <c r="D6" s="239">
        <v>2000</v>
      </c>
      <c r="E6" s="239">
        <v>2000</v>
      </c>
      <c r="F6" s="239">
        <v>1700</v>
      </c>
      <c r="G6" s="239">
        <v>1600</v>
      </c>
      <c r="H6" s="239">
        <v>1600</v>
      </c>
      <c r="I6" s="239">
        <v>1600</v>
      </c>
      <c r="J6" s="239">
        <v>1600</v>
      </c>
      <c r="K6" s="239">
        <v>1900</v>
      </c>
      <c r="L6" s="239">
        <v>1900</v>
      </c>
      <c r="M6" s="239">
        <v>1800</v>
      </c>
    </row>
    <row r="8" spans="1:17">
      <c r="A8" t="s">
        <v>505</v>
      </c>
      <c r="B8" s="248">
        <v>1474000</v>
      </c>
      <c r="C8" s="248">
        <v>1471000</v>
      </c>
      <c r="D8" s="248">
        <v>1256000</v>
      </c>
      <c r="E8" s="248">
        <v>1219000</v>
      </c>
      <c r="F8" s="248">
        <v>1353000</v>
      </c>
      <c r="G8" s="248">
        <v>1996000</v>
      </c>
      <c r="H8" s="248">
        <v>1976000</v>
      </c>
      <c r="I8" s="248">
        <v>1816000</v>
      </c>
      <c r="J8" s="248">
        <v>1628000</v>
      </c>
      <c r="K8" s="248">
        <v>1360000</v>
      </c>
      <c r="L8" s="248">
        <v>1412000</v>
      </c>
      <c r="M8" s="248">
        <v>1437000</v>
      </c>
      <c r="N8" s="108"/>
      <c r="O8" s="148">
        <f>AVERAGE(B8:M8)</f>
        <v>1533166.6666666667</v>
      </c>
      <c r="P8" t="s">
        <v>506</v>
      </c>
    </row>
    <row r="10" spans="1:17">
      <c r="A10" t="s">
        <v>507</v>
      </c>
      <c r="B10" s="733">
        <v>0</v>
      </c>
      <c r="C10" s="733">
        <v>0</v>
      </c>
      <c r="D10" s="733">
        <v>0</v>
      </c>
      <c r="E10" s="733">
        <v>0</v>
      </c>
      <c r="F10" s="733">
        <v>0</v>
      </c>
      <c r="G10" s="733">
        <v>0</v>
      </c>
      <c r="H10" s="733">
        <v>0</v>
      </c>
      <c r="I10" s="733">
        <v>0</v>
      </c>
      <c r="J10" s="733">
        <v>0</v>
      </c>
      <c r="K10" s="733">
        <v>0</v>
      </c>
      <c r="L10" s="733">
        <v>0</v>
      </c>
      <c r="M10" s="733">
        <v>0</v>
      </c>
      <c r="O10" s="579">
        <f>+AVERAGE(B10:M10)</f>
        <v>0</v>
      </c>
    </row>
    <row r="11" spans="1:17">
      <c r="A11" s="410" t="s">
        <v>1269</v>
      </c>
      <c r="B11" s="733">
        <f>+B32</f>
        <v>61633.111600000018</v>
      </c>
      <c r="C11" s="733">
        <f t="shared" ref="C11:M11" si="0">+C32</f>
        <v>62977.470200000011</v>
      </c>
      <c r="D11" s="733">
        <f t="shared" si="0"/>
        <v>46210.125100000012</v>
      </c>
      <c r="E11" s="733">
        <f t="shared" si="0"/>
        <v>43492.091600000007</v>
      </c>
      <c r="F11" s="733">
        <f t="shared" si="0"/>
        <v>42717.218500000003</v>
      </c>
      <c r="G11" s="733">
        <f t="shared" si="0"/>
        <v>62199.485000000001</v>
      </c>
      <c r="H11" s="733">
        <f t="shared" si="0"/>
        <v>48899.044999999991</v>
      </c>
      <c r="I11" s="733">
        <f t="shared" si="0"/>
        <v>47403.829999999994</v>
      </c>
      <c r="J11" s="733">
        <f t="shared" si="0"/>
        <v>47676.865000000005</v>
      </c>
      <c r="K11" s="733">
        <f t="shared" si="0"/>
        <v>44874.404999999999</v>
      </c>
      <c r="L11" s="733">
        <f t="shared" si="0"/>
        <v>59308.414999999994</v>
      </c>
      <c r="M11" s="733">
        <f t="shared" si="0"/>
        <v>54078.239999999998</v>
      </c>
      <c r="O11" s="579">
        <f t="shared" ref="O11:O14" si="1">+AVERAGE(B11:M11)</f>
        <v>51789.191833333338</v>
      </c>
    </row>
    <row r="12" spans="1:17">
      <c r="A12" t="s">
        <v>508</v>
      </c>
      <c r="B12" s="733">
        <f>+B37</f>
        <v>3510.9682000000003</v>
      </c>
      <c r="C12" s="733">
        <f t="shared" ref="C12:M12" si="2">+C37</f>
        <v>3423.4051000000009</v>
      </c>
      <c r="D12" s="733">
        <f t="shared" si="2"/>
        <v>3359.9791999999998</v>
      </c>
      <c r="E12" s="733">
        <f t="shared" si="2"/>
        <v>3321.763100000001</v>
      </c>
      <c r="F12" s="733">
        <f t="shared" si="2"/>
        <v>4108.5716000000002</v>
      </c>
      <c r="G12" s="733">
        <f t="shared" si="2"/>
        <v>6528.4549999999999</v>
      </c>
      <c r="H12" s="733">
        <f t="shared" si="2"/>
        <v>0</v>
      </c>
      <c r="I12" s="733">
        <f t="shared" si="2"/>
        <v>0</v>
      </c>
      <c r="J12" s="733">
        <f t="shared" si="2"/>
        <v>0</v>
      </c>
      <c r="K12" s="733">
        <f t="shared" si="2"/>
        <v>0</v>
      </c>
      <c r="L12" s="733">
        <f t="shared" si="2"/>
        <v>0</v>
      </c>
      <c r="M12" s="733">
        <f t="shared" si="2"/>
        <v>0</v>
      </c>
      <c r="O12" s="579">
        <f t="shared" si="1"/>
        <v>2021.0951833333336</v>
      </c>
    </row>
    <row r="13" spans="1:17" s="562" customFormat="1">
      <c r="A13" s="562" t="s">
        <v>1527</v>
      </c>
      <c r="B13" s="733">
        <f>+B42</f>
        <v>3651.6822000000002</v>
      </c>
      <c r="C13" s="733">
        <f t="shared" ref="C13:M13" si="3">+C42</f>
        <v>3605.1837000000005</v>
      </c>
      <c r="D13" s="733">
        <f t="shared" si="3"/>
        <v>3096.8001000000004</v>
      </c>
      <c r="E13" s="733">
        <f t="shared" si="3"/>
        <v>2626.6486000000004</v>
      </c>
      <c r="F13" s="733">
        <f t="shared" si="3"/>
        <v>2621.4821000000002</v>
      </c>
      <c r="G13" s="733">
        <f t="shared" si="3"/>
        <v>3176.4149999999995</v>
      </c>
      <c r="H13" s="733">
        <f t="shared" si="3"/>
        <v>3044.97</v>
      </c>
      <c r="I13" s="733">
        <f t="shared" si="3"/>
        <v>3106.0349999999994</v>
      </c>
      <c r="J13" s="733">
        <f t="shared" si="3"/>
        <v>2481.9299999999998</v>
      </c>
      <c r="K13" s="733">
        <f t="shared" si="3"/>
        <v>2598.8850000000002</v>
      </c>
      <c r="L13" s="733">
        <f t="shared" si="3"/>
        <v>3451.7249999999999</v>
      </c>
      <c r="M13" s="733">
        <f t="shared" si="3"/>
        <v>0</v>
      </c>
      <c r="O13" s="579">
        <f t="shared" si="1"/>
        <v>2788.4797250000006</v>
      </c>
    </row>
    <row r="14" spans="1:17">
      <c r="A14" t="s">
        <v>509</v>
      </c>
      <c r="B14" s="597">
        <f>+SUM(B10:B13)</f>
        <v>68795.762000000017</v>
      </c>
      <c r="C14" s="597">
        <f t="shared" ref="C14:M14" si="4">+SUM(C10:C13)</f>
        <v>70006.059000000008</v>
      </c>
      <c r="D14" s="597">
        <f t="shared" si="4"/>
        <v>52666.904400000014</v>
      </c>
      <c r="E14" s="597">
        <f t="shared" si="4"/>
        <v>49440.503300000011</v>
      </c>
      <c r="F14" s="597">
        <f t="shared" si="4"/>
        <v>49447.272200000007</v>
      </c>
      <c r="G14" s="597">
        <f t="shared" si="4"/>
        <v>71904.354999999996</v>
      </c>
      <c r="H14" s="597">
        <f t="shared" si="4"/>
        <v>51944.014999999992</v>
      </c>
      <c r="I14" s="597">
        <f t="shared" si="4"/>
        <v>50509.864999999991</v>
      </c>
      <c r="J14" s="597">
        <f t="shared" si="4"/>
        <v>50158.795000000006</v>
      </c>
      <c r="K14" s="597">
        <f t="shared" si="4"/>
        <v>47473.29</v>
      </c>
      <c r="L14" s="597">
        <f t="shared" si="4"/>
        <v>62760.139999999992</v>
      </c>
      <c r="M14" s="597">
        <f t="shared" si="4"/>
        <v>54078.239999999998</v>
      </c>
      <c r="N14" s="108"/>
      <c r="O14" s="579">
        <f t="shared" si="1"/>
        <v>56598.766741666674</v>
      </c>
    </row>
    <row r="16" spans="1:17" s="172" customFormat="1" ht="28.8">
      <c r="A16" s="587" t="s">
        <v>1503</v>
      </c>
      <c r="B16" s="589">
        <f>+B14/B8</f>
        <v>4.6672837177747638E-2</v>
      </c>
      <c r="C16" s="589">
        <f t="shared" ref="C16:M16" si="5">+C14/C8</f>
        <v>4.7590794697484708E-2</v>
      </c>
      <c r="D16" s="589">
        <f>+D14/D8</f>
        <v>4.193224872611466E-2</v>
      </c>
      <c r="E16" s="589">
        <f t="shared" si="5"/>
        <v>4.055824716981133E-2</v>
      </c>
      <c r="F16" s="589">
        <f t="shared" si="5"/>
        <v>3.6546394826311904E-2</v>
      </c>
      <c r="G16" s="589">
        <f t="shared" si="5"/>
        <v>3.6024225951903806E-2</v>
      </c>
      <c r="H16" s="589">
        <f t="shared" si="5"/>
        <v>2.6287456983805663E-2</v>
      </c>
      <c r="I16" s="589">
        <f t="shared" si="5"/>
        <v>2.7813802312775325E-2</v>
      </c>
      <c r="J16" s="589">
        <f>+J14/J8</f>
        <v>3.0810070638820641E-2</v>
      </c>
      <c r="K16" s="589">
        <f t="shared" si="5"/>
        <v>3.4906830882352941E-2</v>
      </c>
      <c r="L16" s="589">
        <f>+L14/L8</f>
        <v>4.4447691218130303E-2</v>
      </c>
      <c r="M16" s="589">
        <f t="shared" si="5"/>
        <v>3.7632734864300625E-2</v>
      </c>
      <c r="N16" s="588"/>
      <c r="O16" s="589">
        <f>+O14/O8</f>
        <v>3.6916251815414719E-2</v>
      </c>
      <c r="P16" s="583"/>
      <c r="Q16" s="583" t="s">
        <v>1505</v>
      </c>
    </row>
    <row r="17" spans="1:17" s="172" customFormat="1" ht="28.8">
      <c r="A17" s="587" t="s">
        <v>1504</v>
      </c>
      <c r="B17" s="589">
        <f>(B14-B11)/(B8-B11)</f>
        <v>5.0713808563681408E-3</v>
      </c>
      <c r="C17" s="589">
        <f t="shared" ref="C17:M17" si="6">(C14-C11)/(C8-C11)</f>
        <v>4.9918155791146054E-3</v>
      </c>
      <c r="D17" s="589">
        <f>(D14-D11)/(D8-D11)</f>
        <v>5.3371080664183215E-3</v>
      </c>
      <c r="E17" s="589">
        <f t="shared" si="6"/>
        <v>5.0602906688194628E-3</v>
      </c>
      <c r="F17" s="589">
        <f t="shared" si="6"/>
        <v>5.1363368236400841E-3</v>
      </c>
      <c r="G17" s="589">
        <f t="shared" si="6"/>
        <v>5.0185476344233966E-3</v>
      </c>
      <c r="H17" s="589">
        <f t="shared" si="6"/>
        <v>1.5800780919648296E-3</v>
      </c>
      <c r="I17" s="589">
        <f t="shared" si="6"/>
        <v>1.7562149306248902E-3</v>
      </c>
      <c r="J17" s="589">
        <f t="shared" si="6"/>
        <v>1.5705205758441297E-3</v>
      </c>
      <c r="K17" s="589">
        <f t="shared" si="6"/>
        <v>1.9761496619644164E-3</v>
      </c>
      <c r="L17" s="589">
        <f t="shared" si="6"/>
        <v>2.5517457477197201E-3</v>
      </c>
      <c r="M17" s="589">
        <f t="shared" si="6"/>
        <v>0</v>
      </c>
      <c r="N17" s="583"/>
      <c r="O17" s="589">
        <f>(O14-O11)/(O8-O11)</f>
        <v>3.2466909954024046E-3</v>
      </c>
      <c r="P17" s="583"/>
      <c r="Q17" s="583" t="s">
        <v>1506</v>
      </c>
    </row>
    <row r="18" spans="1:17" s="172" customFormat="1">
      <c r="A18" s="583"/>
      <c r="B18" s="583"/>
      <c r="C18" s="583"/>
      <c r="D18" s="583"/>
      <c r="E18" s="583"/>
      <c r="F18" s="583"/>
      <c r="G18" s="583"/>
      <c r="H18" s="583"/>
      <c r="I18" s="583"/>
      <c r="J18" s="583"/>
      <c r="K18" s="583"/>
      <c r="L18" s="583"/>
      <c r="M18" s="583"/>
      <c r="N18" s="583"/>
      <c r="O18" s="583"/>
      <c r="P18" s="583"/>
      <c r="Q18" s="583"/>
    </row>
    <row r="19" spans="1:17" s="172" customFormat="1">
      <c r="A19" s="583"/>
      <c r="B19" s="588"/>
      <c r="C19" s="583"/>
      <c r="D19" s="583"/>
      <c r="E19" s="583"/>
      <c r="F19" s="583"/>
      <c r="G19" s="583"/>
      <c r="H19" s="583"/>
      <c r="I19" s="583"/>
      <c r="J19" s="583"/>
      <c r="K19" s="583"/>
      <c r="L19" s="583"/>
      <c r="M19" s="583"/>
      <c r="N19" s="583"/>
      <c r="O19" s="583"/>
      <c r="P19" s="583"/>
      <c r="Q19" s="583"/>
    </row>
    <row r="20" spans="1:17" s="172" customFormat="1">
      <c r="A20" s="583"/>
      <c r="B20" s="588"/>
    </row>
    <row r="21" spans="1:17" s="172" customFormat="1">
      <c r="A21" s="583"/>
      <c r="B21" s="588"/>
    </row>
    <row r="22" spans="1:17" s="172" customFormat="1"/>
    <row r="23" spans="1:17">
      <c r="A23" s="511" t="s">
        <v>510</v>
      </c>
    </row>
    <row r="24" spans="1:17">
      <c r="A24" t="s">
        <v>511</v>
      </c>
      <c r="B24" s="509">
        <v>0</v>
      </c>
      <c r="C24" s="651">
        <v>0</v>
      </c>
      <c r="D24" s="651">
        <v>0</v>
      </c>
      <c r="E24" s="651">
        <v>0</v>
      </c>
      <c r="F24" s="651">
        <v>0</v>
      </c>
      <c r="G24" s="651">
        <v>0</v>
      </c>
      <c r="H24" s="651">
        <v>0</v>
      </c>
      <c r="I24" s="651">
        <v>0</v>
      </c>
      <c r="J24" s="651">
        <v>0</v>
      </c>
      <c r="K24" s="651">
        <v>0</v>
      </c>
      <c r="L24" s="651">
        <v>0</v>
      </c>
      <c r="M24" s="651">
        <v>0</v>
      </c>
    </row>
    <row r="25" spans="1:17" s="172" customFormat="1">
      <c r="A25" s="172" t="s">
        <v>512</v>
      </c>
      <c r="B25" s="651">
        <v>0</v>
      </c>
      <c r="C25" s="651">
        <v>0</v>
      </c>
      <c r="D25" s="651">
        <v>0</v>
      </c>
      <c r="E25" s="651">
        <v>0</v>
      </c>
      <c r="F25" s="651">
        <v>0</v>
      </c>
      <c r="G25" s="651">
        <v>0</v>
      </c>
      <c r="H25" s="651">
        <v>0</v>
      </c>
      <c r="I25" s="651">
        <v>0</v>
      </c>
      <c r="J25" s="651">
        <v>0</v>
      </c>
      <c r="K25" s="651">
        <v>0</v>
      </c>
      <c r="L25" s="651">
        <v>0</v>
      </c>
      <c r="M25" s="651">
        <v>0</v>
      </c>
    </row>
    <row r="26" spans="1:17" s="172" customFormat="1">
      <c r="A26" s="172" t="s">
        <v>513</v>
      </c>
      <c r="B26" s="557">
        <v>0</v>
      </c>
      <c r="C26" s="557">
        <v>0</v>
      </c>
      <c r="D26" s="557">
        <v>0</v>
      </c>
      <c r="E26" s="557">
        <v>0</v>
      </c>
      <c r="F26" s="557">
        <v>0</v>
      </c>
      <c r="G26" s="557">
        <v>0</v>
      </c>
      <c r="H26" s="557">
        <v>0</v>
      </c>
      <c r="I26" s="557">
        <v>0</v>
      </c>
      <c r="J26" s="557">
        <v>0</v>
      </c>
      <c r="K26" s="557">
        <v>0</v>
      </c>
      <c r="L26" s="557">
        <v>0</v>
      </c>
      <c r="M26" s="557">
        <v>0</v>
      </c>
    </row>
    <row r="27" spans="1:17" s="172" customFormat="1">
      <c r="B27" s="237"/>
      <c r="C27" s="237"/>
      <c r="D27" s="237"/>
      <c r="E27" s="237"/>
      <c r="F27" s="237"/>
      <c r="G27" s="237"/>
      <c r="H27" s="237"/>
      <c r="I27" s="237"/>
      <c r="J27" s="237"/>
      <c r="K27" s="237"/>
      <c r="L27" s="237"/>
      <c r="M27" s="237"/>
    </row>
    <row r="28" spans="1:17" s="172" customFormat="1">
      <c r="A28" s="172" t="s">
        <v>983</v>
      </c>
      <c r="B28" s="237"/>
      <c r="C28" s="237"/>
      <c r="D28" s="237"/>
      <c r="E28" s="237"/>
      <c r="F28" s="237"/>
      <c r="G28" s="237"/>
      <c r="H28" s="237"/>
      <c r="I28" s="237"/>
      <c r="J28" s="237"/>
      <c r="K28" s="237"/>
      <c r="L28" s="237"/>
      <c r="M28" s="237"/>
    </row>
    <row r="29" spans="1:17" s="172" customFormat="1">
      <c r="A29" s="172" t="s">
        <v>511</v>
      </c>
      <c r="B29" s="800">
        <v>66938.111600000018</v>
      </c>
      <c r="C29" s="800">
        <v>68221.470200000011</v>
      </c>
      <c r="D29" s="800">
        <v>51020.125100000012</v>
      </c>
      <c r="E29" s="800">
        <v>47892.091600000007</v>
      </c>
      <c r="F29" s="800">
        <v>47058.218500000003</v>
      </c>
      <c r="G29" s="800">
        <v>66660.485000000001</v>
      </c>
      <c r="H29" s="800">
        <v>53878.044999999991</v>
      </c>
      <c r="I29" s="800">
        <v>52239.829999999994</v>
      </c>
      <c r="J29" s="800">
        <v>51998.865000000005</v>
      </c>
      <c r="K29" s="800">
        <v>49560.404999999999</v>
      </c>
      <c r="L29" s="800">
        <v>64174.414999999994</v>
      </c>
      <c r="M29" s="800">
        <v>59408.24</v>
      </c>
      <c r="N29" s="36"/>
    </row>
    <row r="30" spans="1:17" s="172" customFormat="1">
      <c r="A30" s="172" t="s">
        <v>512</v>
      </c>
      <c r="B30" s="651">
        <v>4305</v>
      </c>
      <c r="C30" s="651">
        <v>4244</v>
      </c>
      <c r="D30" s="651">
        <v>3810</v>
      </c>
      <c r="E30" s="651">
        <v>3400</v>
      </c>
      <c r="F30" s="651">
        <v>3341</v>
      </c>
      <c r="G30" s="651">
        <v>3461</v>
      </c>
      <c r="H30" s="651">
        <v>3979</v>
      </c>
      <c r="I30" s="651">
        <v>3836</v>
      </c>
      <c r="J30" s="651">
        <v>3322</v>
      </c>
      <c r="K30" s="651">
        <v>3686</v>
      </c>
      <c r="L30" s="651">
        <v>3866</v>
      </c>
      <c r="M30" s="651">
        <v>4330</v>
      </c>
      <c r="N30" s="36"/>
    </row>
    <row r="31" spans="1:17" s="172" customFormat="1">
      <c r="A31" s="172" t="s">
        <v>984</v>
      </c>
      <c r="B31" s="651">
        <v>1000</v>
      </c>
      <c r="C31" s="651">
        <v>1000</v>
      </c>
      <c r="D31" s="651">
        <v>1000</v>
      </c>
      <c r="E31" s="651">
        <v>1000</v>
      </c>
      <c r="F31" s="651">
        <v>1000</v>
      </c>
      <c r="G31" s="651">
        <v>1000</v>
      </c>
      <c r="H31" s="651">
        <v>1000</v>
      </c>
      <c r="I31" s="651">
        <v>1000</v>
      </c>
      <c r="J31" s="651">
        <v>1000</v>
      </c>
      <c r="K31" s="651">
        <v>1000</v>
      </c>
      <c r="L31" s="651">
        <v>1000</v>
      </c>
      <c r="M31" s="651">
        <v>1000</v>
      </c>
      <c r="N31" s="257"/>
    </row>
    <row r="32" spans="1:17">
      <c r="A32" t="s">
        <v>513</v>
      </c>
      <c r="B32" s="557">
        <f>+B29-B30-B31</f>
        <v>61633.111600000018</v>
      </c>
      <c r="C32" s="670">
        <f t="shared" ref="C32:M32" si="7">+C29-C30-C31</f>
        <v>62977.470200000011</v>
      </c>
      <c r="D32" s="670">
        <f t="shared" si="7"/>
        <v>46210.125100000012</v>
      </c>
      <c r="E32" s="670">
        <f t="shared" si="7"/>
        <v>43492.091600000007</v>
      </c>
      <c r="F32" s="670">
        <f t="shared" si="7"/>
        <v>42717.218500000003</v>
      </c>
      <c r="G32" s="670">
        <f t="shared" si="7"/>
        <v>62199.485000000001</v>
      </c>
      <c r="H32" s="670">
        <f t="shared" si="7"/>
        <v>48899.044999999991</v>
      </c>
      <c r="I32" s="670">
        <f t="shared" si="7"/>
        <v>47403.829999999994</v>
      </c>
      <c r="J32" s="670">
        <f t="shared" si="7"/>
        <v>47676.865000000005</v>
      </c>
      <c r="K32" s="670">
        <f t="shared" si="7"/>
        <v>44874.404999999999</v>
      </c>
      <c r="L32" s="670">
        <f t="shared" si="7"/>
        <v>59308.414999999994</v>
      </c>
      <c r="M32" s="670">
        <f t="shared" si="7"/>
        <v>54078.239999999998</v>
      </c>
      <c r="N32" s="13"/>
    </row>
    <row r="33" spans="1:14">
      <c r="B33" s="261"/>
      <c r="C33" s="261"/>
      <c r="D33" s="261"/>
      <c r="E33" s="261"/>
      <c r="F33" s="261"/>
      <c r="G33" s="261"/>
      <c r="H33" s="261"/>
      <c r="I33" s="261"/>
      <c r="J33" s="261"/>
      <c r="K33" s="261"/>
      <c r="L33" s="261"/>
      <c r="M33" s="261"/>
      <c r="N33" s="13"/>
    </row>
    <row r="34" spans="1:14" s="172" customFormat="1">
      <c r="A34" s="172" t="s">
        <v>514</v>
      </c>
      <c r="B34" s="262"/>
      <c r="C34" s="262"/>
      <c r="D34" s="262"/>
      <c r="E34" s="262"/>
      <c r="F34" s="262"/>
      <c r="G34" s="262"/>
      <c r="H34" s="262"/>
      <c r="I34" s="262"/>
      <c r="J34" s="262"/>
      <c r="K34" s="262"/>
      <c r="L34" s="262"/>
      <c r="M34" s="262"/>
    </row>
    <row r="35" spans="1:14" s="172" customFormat="1">
      <c r="A35" s="172" t="s">
        <v>511</v>
      </c>
      <c r="B35" s="256">
        <v>5118.9682000000003</v>
      </c>
      <c r="C35" s="800">
        <v>5008.4051000000009</v>
      </c>
      <c r="D35" s="800">
        <v>4777.9791999999998</v>
      </c>
      <c r="E35" s="800">
        <v>4243.763100000001</v>
      </c>
      <c r="F35" s="800">
        <v>5013.5716000000002</v>
      </c>
      <c r="G35" s="800">
        <v>7465.4549999999999</v>
      </c>
      <c r="H35" s="800">
        <v>0</v>
      </c>
      <c r="I35" s="800">
        <v>0</v>
      </c>
      <c r="J35" s="800">
        <v>0</v>
      </c>
      <c r="K35" s="800">
        <v>0</v>
      </c>
      <c r="L35" s="800">
        <v>0</v>
      </c>
      <c r="M35" s="800">
        <v>0</v>
      </c>
      <c r="N35" s="257"/>
    </row>
    <row r="36" spans="1:14" s="172" customFormat="1">
      <c r="A36" s="172" t="s">
        <v>512</v>
      </c>
      <c r="B36" s="651">
        <v>1608</v>
      </c>
      <c r="C36" s="651">
        <v>1585</v>
      </c>
      <c r="D36" s="651">
        <v>1418</v>
      </c>
      <c r="E36" s="651">
        <v>922</v>
      </c>
      <c r="F36" s="651">
        <v>905</v>
      </c>
      <c r="G36" s="651">
        <v>937</v>
      </c>
      <c r="H36" s="651">
        <v>0</v>
      </c>
      <c r="I36" s="651">
        <v>0</v>
      </c>
      <c r="J36" s="651">
        <v>0</v>
      </c>
      <c r="K36" s="651">
        <v>0</v>
      </c>
      <c r="L36" s="651">
        <v>0</v>
      </c>
      <c r="M36" s="651">
        <v>0</v>
      </c>
      <c r="N36" s="257"/>
    </row>
    <row r="37" spans="1:14" s="146" customFormat="1">
      <c r="A37" s="146" t="s">
        <v>513</v>
      </c>
      <c r="B37" s="557">
        <f>+B35-B36</f>
        <v>3510.9682000000003</v>
      </c>
      <c r="C37" s="670">
        <f t="shared" ref="C37:M37" si="8">+C35-C36</f>
        <v>3423.4051000000009</v>
      </c>
      <c r="D37" s="670">
        <f t="shared" si="8"/>
        <v>3359.9791999999998</v>
      </c>
      <c r="E37" s="670">
        <f t="shared" si="8"/>
        <v>3321.763100000001</v>
      </c>
      <c r="F37" s="670">
        <f t="shared" si="8"/>
        <v>4108.5716000000002</v>
      </c>
      <c r="G37" s="670">
        <f t="shared" si="8"/>
        <v>6528.4549999999999</v>
      </c>
      <c r="H37" s="670">
        <f t="shared" si="8"/>
        <v>0</v>
      </c>
      <c r="I37" s="670">
        <f t="shared" si="8"/>
        <v>0</v>
      </c>
      <c r="J37" s="670">
        <f t="shared" si="8"/>
        <v>0</v>
      </c>
      <c r="K37" s="670">
        <f t="shared" si="8"/>
        <v>0</v>
      </c>
      <c r="L37" s="670">
        <f t="shared" si="8"/>
        <v>0</v>
      </c>
      <c r="M37" s="670">
        <f t="shared" si="8"/>
        <v>0</v>
      </c>
      <c r="N37" s="252"/>
    </row>
    <row r="38" spans="1:14">
      <c r="B38" s="261"/>
      <c r="C38" s="261"/>
      <c r="D38" s="261"/>
      <c r="E38" s="261"/>
      <c r="F38" s="261"/>
      <c r="G38" s="261"/>
      <c r="H38" s="261"/>
      <c r="I38" s="261"/>
      <c r="J38" s="261"/>
      <c r="K38" s="261"/>
      <c r="L38" s="261"/>
      <c r="M38" s="261"/>
      <c r="N38" s="13"/>
    </row>
    <row r="39" spans="1:14">
      <c r="A39" s="583" t="s">
        <v>1528</v>
      </c>
      <c r="B39" s="261"/>
      <c r="C39" s="261"/>
      <c r="D39" s="261"/>
      <c r="E39" s="261"/>
      <c r="F39" s="261"/>
      <c r="G39" s="261"/>
      <c r="H39" s="261"/>
      <c r="I39" s="261"/>
      <c r="J39" s="261"/>
      <c r="K39" s="261"/>
      <c r="L39" s="261"/>
      <c r="M39" s="261"/>
      <c r="N39" s="13"/>
    </row>
    <row r="40" spans="1:14">
      <c r="A40" s="583" t="s">
        <v>511</v>
      </c>
      <c r="B40" s="509">
        <v>3651.6822000000002</v>
      </c>
      <c r="C40" s="800">
        <v>3605.1837000000005</v>
      </c>
      <c r="D40" s="800">
        <v>3096.8001000000004</v>
      </c>
      <c r="E40" s="800">
        <v>2626.6486000000004</v>
      </c>
      <c r="F40" s="800">
        <v>2621.4821000000002</v>
      </c>
      <c r="G40" s="800">
        <v>3176.4149999999995</v>
      </c>
      <c r="H40" s="800">
        <v>3044.97</v>
      </c>
      <c r="I40" s="800">
        <v>3106.0349999999994</v>
      </c>
      <c r="J40" s="800">
        <v>2481.9299999999998</v>
      </c>
      <c r="K40" s="800">
        <v>2598.8850000000002</v>
      </c>
      <c r="L40" s="800">
        <v>3451.7249999999999</v>
      </c>
      <c r="M40" s="800">
        <v>0</v>
      </c>
      <c r="N40" s="13"/>
    </row>
    <row r="41" spans="1:14">
      <c r="A41" s="583" t="s">
        <v>512</v>
      </c>
      <c r="B41" s="509">
        <v>0</v>
      </c>
      <c r="C41" s="509">
        <v>0</v>
      </c>
      <c r="D41" s="509">
        <v>0</v>
      </c>
      <c r="E41" s="509">
        <v>0</v>
      </c>
      <c r="F41" s="509">
        <v>0</v>
      </c>
      <c r="G41" s="509">
        <v>0</v>
      </c>
      <c r="H41" s="509">
        <v>0</v>
      </c>
      <c r="I41" s="509">
        <v>0</v>
      </c>
      <c r="J41" s="509">
        <v>0</v>
      </c>
      <c r="K41" s="509">
        <v>0</v>
      </c>
      <c r="L41" s="509">
        <v>0</v>
      </c>
      <c r="M41" s="509">
        <v>0</v>
      </c>
      <c r="N41" s="13"/>
    </row>
    <row r="42" spans="1:14">
      <c r="A42" s="562" t="s">
        <v>513</v>
      </c>
      <c r="B42" s="557">
        <f>+B40-B41</f>
        <v>3651.6822000000002</v>
      </c>
      <c r="C42" s="670">
        <f t="shared" ref="C42:M42" si="9">+C40-C41</f>
        <v>3605.1837000000005</v>
      </c>
      <c r="D42" s="670">
        <f t="shared" si="9"/>
        <v>3096.8001000000004</v>
      </c>
      <c r="E42" s="670">
        <f t="shared" si="9"/>
        <v>2626.6486000000004</v>
      </c>
      <c r="F42" s="670">
        <f t="shared" si="9"/>
        <v>2621.4821000000002</v>
      </c>
      <c r="G42" s="670">
        <f t="shared" si="9"/>
        <v>3176.4149999999995</v>
      </c>
      <c r="H42" s="670">
        <f t="shared" si="9"/>
        <v>3044.97</v>
      </c>
      <c r="I42" s="670">
        <f t="shared" si="9"/>
        <v>3106.0349999999994</v>
      </c>
      <c r="J42" s="670">
        <f t="shared" si="9"/>
        <v>2481.9299999999998</v>
      </c>
      <c r="K42" s="670">
        <f t="shared" si="9"/>
        <v>2598.8850000000002</v>
      </c>
      <c r="L42" s="670">
        <f t="shared" si="9"/>
        <v>3451.7249999999999</v>
      </c>
      <c r="M42" s="670">
        <f t="shared" si="9"/>
        <v>0</v>
      </c>
      <c r="N42" s="13"/>
    </row>
    <row r="43" spans="1:14">
      <c r="B43" s="13"/>
      <c r="C43" s="13"/>
      <c r="D43" s="13"/>
      <c r="E43" s="110"/>
      <c r="F43" s="13"/>
      <c r="G43" s="50"/>
      <c r="H43" s="50"/>
      <c r="I43" s="50"/>
      <c r="J43" s="13"/>
      <c r="K43" s="13"/>
      <c r="L43" s="13"/>
      <c r="M43" s="13"/>
      <c r="N43" s="13"/>
    </row>
    <row r="44" spans="1:14">
      <c r="B44" s="13"/>
      <c r="C44" s="13"/>
      <c r="D44" s="13"/>
      <c r="E44" s="110"/>
      <c r="F44" s="13"/>
      <c r="G44" s="50"/>
      <c r="H44" s="50"/>
      <c r="I44" s="50"/>
      <c r="J44" s="13"/>
      <c r="K44" s="13"/>
      <c r="L44" s="13"/>
      <c r="M44" s="13"/>
      <c r="N44" s="13"/>
    </row>
    <row r="45" spans="1:14">
      <c r="B45" s="13"/>
      <c r="C45" s="13"/>
      <c r="D45" s="13"/>
      <c r="E45" s="110"/>
      <c r="F45" s="13"/>
      <c r="G45" s="50"/>
      <c r="H45" s="50"/>
      <c r="I45" s="50"/>
      <c r="J45" s="13"/>
      <c r="K45" s="13"/>
      <c r="L45" s="13"/>
      <c r="M45" s="13"/>
      <c r="N45" s="13"/>
    </row>
    <row r="46" spans="1:14">
      <c r="B46" s="13"/>
      <c r="C46" s="13"/>
      <c r="D46" s="13"/>
      <c r="E46" s="110"/>
      <c r="F46" s="13"/>
      <c r="G46" s="50"/>
      <c r="H46" s="50"/>
      <c r="I46" s="50"/>
      <c r="J46" s="13"/>
      <c r="K46" s="13"/>
      <c r="L46" s="13"/>
      <c r="M46" s="13"/>
      <c r="N46" s="13"/>
    </row>
    <row r="47" spans="1:14">
      <c r="B47" s="13"/>
      <c r="C47" s="13"/>
      <c r="D47" s="13"/>
      <c r="E47" s="110"/>
      <c r="F47" s="13"/>
      <c r="G47" s="50"/>
      <c r="H47" s="50"/>
      <c r="I47" s="50"/>
      <c r="J47" s="13"/>
      <c r="K47" s="13"/>
      <c r="L47" s="13"/>
      <c r="M47" s="13"/>
      <c r="N47" s="13"/>
    </row>
  </sheetData>
  <pageMargins left="0.7" right="0.7" top="0.75" bottom="0.75" header="0.3" footer="0.3"/>
  <pageSetup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5"/>
  <sheetViews>
    <sheetView topLeftCell="B262" zoomScaleNormal="100" workbookViewId="0">
      <selection activeCell="D292" sqref="D292"/>
    </sheetView>
  </sheetViews>
  <sheetFormatPr defaultColWidth="8.88671875" defaultRowHeight="14.4"/>
  <cols>
    <col min="1" max="1" width="8.88671875" style="621"/>
    <col min="2" max="2" width="2.88671875" style="621" customWidth="1"/>
    <col min="3" max="3" width="3.88671875" style="621" customWidth="1"/>
    <col min="4" max="4" width="71.109375" style="621" customWidth="1"/>
    <col min="5" max="5" width="13.44140625" style="621" customWidth="1"/>
    <col min="6" max="6" width="38.44140625" style="621" customWidth="1"/>
    <col min="7" max="7" width="1.44140625" style="621" customWidth="1"/>
    <col min="8" max="8" width="25.33203125" style="624" bestFit="1" customWidth="1"/>
    <col min="9" max="9" width="1.44140625" style="760" customWidth="1"/>
    <col min="10" max="10" width="17.5546875" style="621" bestFit="1" customWidth="1"/>
    <col min="11" max="11" width="1.5546875" style="621" customWidth="1"/>
    <col min="12" max="12" width="19" style="621" customWidth="1"/>
    <col min="13" max="16384" width="8.88671875" style="621"/>
  </cols>
  <sheetData>
    <row r="1" spans="1:12" ht="15" thickBot="1">
      <c r="A1" s="622" t="s">
        <v>0</v>
      </c>
      <c r="C1" s="622"/>
      <c r="J1" s="758"/>
      <c r="K1" s="758"/>
      <c r="L1" s="758"/>
    </row>
    <row r="2" spans="1:12" ht="15" thickBot="1">
      <c r="A2" s="622" t="s">
        <v>784</v>
      </c>
      <c r="C2" s="622"/>
      <c r="J2" s="865" t="s">
        <v>1809</v>
      </c>
      <c r="K2" s="866"/>
      <c r="L2" s="867"/>
    </row>
    <row r="3" spans="1:12">
      <c r="A3" s="622"/>
      <c r="C3" s="622"/>
      <c r="J3" s="765" t="s">
        <v>1810</v>
      </c>
      <c r="K3" s="758"/>
      <c r="L3" s="758"/>
    </row>
    <row r="4" spans="1:12">
      <c r="A4" s="663" t="s">
        <v>6</v>
      </c>
      <c r="B4" s="664"/>
      <c r="C4" s="663"/>
      <c r="D4" s="664"/>
      <c r="H4" s="696" t="s">
        <v>1481</v>
      </c>
      <c r="I4" s="696"/>
      <c r="J4" s="765" t="s">
        <v>1481</v>
      </c>
      <c r="K4" s="758"/>
      <c r="L4" s="758"/>
    </row>
    <row r="5" spans="1:12">
      <c r="A5" s="622" t="s">
        <v>98</v>
      </c>
      <c r="D5" s="622" t="s">
        <v>4</v>
      </c>
      <c r="E5" s="639" t="s">
        <v>5</v>
      </c>
      <c r="F5" s="638" t="s">
        <v>63</v>
      </c>
      <c r="G5" s="622"/>
      <c r="H5" s="626" t="s">
        <v>1554</v>
      </c>
      <c r="I5" s="626"/>
      <c r="J5" s="788" t="s">
        <v>1554</v>
      </c>
      <c r="K5" s="763"/>
      <c r="L5" s="764" t="s">
        <v>1811</v>
      </c>
    </row>
    <row r="6" spans="1:12">
      <c r="A6" s="622"/>
      <c r="D6" s="622"/>
      <c r="E6" s="639"/>
      <c r="F6" s="638"/>
      <c r="G6" s="622"/>
      <c r="H6" s="633"/>
      <c r="I6" s="633"/>
      <c r="J6" s="758"/>
      <c r="K6" s="758"/>
      <c r="L6" s="758"/>
    </row>
    <row r="7" spans="1:12" ht="15" thickBot="1">
      <c r="D7" s="622"/>
      <c r="E7" s="622"/>
      <c r="F7" s="622"/>
      <c r="G7" s="622"/>
      <c r="H7" s="633"/>
      <c r="I7" s="633"/>
      <c r="J7" s="758"/>
      <c r="K7" s="758"/>
      <c r="L7" s="758"/>
    </row>
    <row r="8" spans="1:12" ht="15" thickBot="1">
      <c r="B8" s="766" t="s">
        <v>52</v>
      </c>
      <c r="C8" s="767"/>
      <c r="D8" s="759"/>
      <c r="E8" s="759"/>
      <c r="F8" s="759"/>
      <c r="G8" s="759"/>
      <c r="H8" s="757"/>
      <c r="I8" s="757"/>
      <c r="J8" s="759"/>
      <c r="K8" s="759"/>
      <c r="L8" s="787"/>
    </row>
    <row r="9" spans="1:12">
      <c r="D9" s="622"/>
      <c r="E9" s="622"/>
      <c r="F9" s="622"/>
      <c r="G9" s="622"/>
      <c r="H9" s="633"/>
      <c r="I9" s="633"/>
      <c r="J9" s="758"/>
      <c r="K9" s="758"/>
      <c r="L9" s="758"/>
    </row>
    <row r="10" spans="1:12">
      <c r="A10" s="657">
        <v>1</v>
      </c>
      <c r="B10" s="637"/>
      <c r="C10" s="631" t="s">
        <v>51</v>
      </c>
      <c r="D10" s="631"/>
      <c r="E10" s="631"/>
      <c r="F10" s="631"/>
      <c r="G10" s="631"/>
      <c r="H10" s="634"/>
      <c r="I10" s="634"/>
      <c r="J10" s="758"/>
      <c r="K10" s="758"/>
      <c r="L10" s="758"/>
    </row>
    <row r="11" spans="1:12">
      <c r="A11" s="657">
        <f>+A10+1</f>
        <v>2</v>
      </c>
      <c r="B11" s="637"/>
      <c r="C11" s="630"/>
      <c r="D11" s="630" t="s">
        <v>705</v>
      </c>
      <c r="E11" s="631"/>
      <c r="F11" s="632" t="s">
        <v>1100</v>
      </c>
      <c r="G11" s="631"/>
      <c r="H11" s="714">
        <f>+'Schedule 3 - Transmission Wages'!F10</f>
        <v>4712259.1416653851</v>
      </c>
      <c r="I11" s="768"/>
      <c r="J11" s="768">
        <v>4712259.1416653851</v>
      </c>
      <c r="K11" s="758"/>
      <c r="L11" s="768">
        <f>H11-J11</f>
        <v>0</v>
      </c>
    </row>
    <row r="12" spans="1:12">
      <c r="A12" s="657">
        <f t="shared" ref="A12:A75" si="0">+A11+1</f>
        <v>3</v>
      </c>
      <c r="B12" s="637"/>
      <c r="C12" s="630"/>
      <c r="D12" s="630"/>
      <c r="E12" s="631"/>
      <c r="F12" s="631"/>
      <c r="G12" s="631"/>
      <c r="H12" s="714"/>
      <c r="I12" s="768"/>
      <c r="J12" s="768"/>
      <c r="K12" s="758"/>
      <c r="L12" s="768"/>
    </row>
    <row r="13" spans="1:12">
      <c r="A13" s="657">
        <f t="shared" si="0"/>
        <v>4</v>
      </c>
      <c r="B13" s="637"/>
      <c r="C13" s="630"/>
      <c r="D13" s="630" t="s">
        <v>53</v>
      </c>
      <c r="E13" s="631"/>
      <c r="F13" s="632" t="s">
        <v>57</v>
      </c>
      <c r="G13" s="631"/>
      <c r="H13" s="714">
        <f>+'FERC Form 1 Inputs'!J55</f>
        <v>117898372</v>
      </c>
      <c r="I13" s="768"/>
      <c r="J13" s="768">
        <v>117898372</v>
      </c>
      <c r="K13" s="758"/>
      <c r="L13" s="768">
        <f>H13-J13</f>
        <v>0</v>
      </c>
    </row>
    <row r="14" spans="1:12">
      <c r="A14" s="657">
        <f t="shared" si="0"/>
        <v>5</v>
      </c>
      <c r="B14" s="637"/>
      <c r="C14" s="630"/>
      <c r="D14" s="659" t="s">
        <v>54</v>
      </c>
      <c r="E14" s="631"/>
      <c r="F14" s="632" t="s">
        <v>58</v>
      </c>
      <c r="G14" s="631"/>
      <c r="H14" s="715">
        <f>+'FERC Form 1 Inputs'!J54</f>
        <v>34644235</v>
      </c>
      <c r="I14" s="769"/>
      <c r="J14" s="769">
        <v>34644235</v>
      </c>
      <c r="K14" s="758"/>
      <c r="L14" s="768">
        <f>H14-J14</f>
        <v>0</v>
      </c>
    </row>
    <row r="15" spans="1:12">
      <c r="A15" s="657">
        <f t="shared" si="0"/>
        <v>6</v>
      </c>
      <c r="B15" s="637"/>
      <c r="C15" s="630"/>
      <c r="D15" s="631" t="s">
        <v>55</v>
      </c>
      <c r="E15" s="631"/>
      <c r="F15" s="630" t="s">
        <v>623</v>
      </c>
      <c r="G15" s="631"/>
      <c r="H15" s="714">
        <f>+H13-H14</f>
        <v>83254137</v>
      </c>
      <c r="I15" s="768"/>
      <c r="J15" s="768">
        <f>+J13-J14</f>
        <v>83254137</v>
      </c>
      <c r="K15" s="758"/>
      <c r="L15" s="731">
        <f>H15-J15</f>
        <v>0</v>
      </c>
    </row>
    <row r="16" spans="1:12">
      <c r="A16" s="657">
        <f t="shared" si="0"/>
        <v>7</v>
      </c>
      <c r="B16" s="637"/>
      <c r="C16" s="630"/>
      <c r="D16" s="631"/>
      <c r="E16" s="631"/>
      <c r="F16" s="632"/>
      <c r="G16" s="631"/>
      <c r="H16" s="714"/>
      <c r="I16" s="768"/>
      <c r="J16" s="768"/>
      <c r="K16" s="758"/>
      <c r="L16" s="768"/>
    </row>
    <row r="17" spans="1:12" ht="15" thickBot="1">
      <c r="A17" s="657">
        <f t="shared" si="0"/>
        <v>8</v>
      </c>
      <c r="B17" s="637"/>
      <c r="C17" s="631" t="s">
        <v>59</v>
      </c>
      <c r="D17" s="631"/>
      <c r="E17" s="631"/>
      <c r="F17" s="630" t="s">
        <v>624</v>
      </c>
      <c r="G17" s="631"/>
      <c r="H17" s="716">
        <f>ROUND(+H11/H15,4)</f>
        <v>5.6599999999999998E-2</v>
      </c>
      <c r="I17" s="770"/>
      <c r="J17" s="770">
        <v>5.6599999999999998E-2</v>
      </c>
      <c r="K17" s="758"/>
      <c r="L17" s="770">
        <v>0</v>
      </c>
    </row>
    <row r="18" spans="1:12" ht="15" thickTop="1">
      <c r="A18" s="657">
        <f t="shared" si="0"/>
        <v>9</v>
      </c>
      <c r="B18" s="637"/>
      <c r="C18" s="630"/>
      <c r="D18" s="631"/>
      <c r="E18" s="631"/>
      <c r="F18" s="631"/>
      <c r="G18" s="631"/>
      <c r="H18" s="714"/>
      <c r="I18" s="768"/>
      <c r="J18" s="768"/>
      <c r="K18" s="758"/>
      <c r="L18" s="768"/>
    </row>
    <row r="19" spans="1:12">
      <c r="A19" s="657">
        <f t="shared" si="0"/>
        <v>10</v>
      </c>
      <c r="B19" s="637"/>
      <c r="C19" s="631" t="s">
        <v>60</v>
      </c>
      <c r="D19" s="631"/>
      <c r="E19" s="631"/>
      <c r="F19" s="631"/>
      <c r="G19" s="631"/>
      <c r="H19" s="714"/>
      <c r="I19" s="768"/>
      <c r="J19" s="768"/>
      <c r="K19" s="758"/>
      <c r="L19" s="768"/>
    </row>
    <row r="20" spans="1:12">
      <c r="A20" s="657">
        <f t="shared" si="0"/>
        <v>11</v>
      </c>
      <c r="B20" s="637"/>
      <c r="C20" s="630"/>
      <c r="D20" s="630" t="s">
        <v>61</v>
      </c>
      <c r="E20" s="631" t="s">
        <v>106</v>
      </c>
      <c r="F20" s="630" t="s">
        <v>9</v>
      </c>
      <c r="G20" s="631"/>
      <c r="H20" s="714">
        <f>+'Schedule 1 - Plant'!L91</f>
        <v>5072246716.4863882</v>
      </c>
      <c r="I20" s="768"/>
      <c r="J20" s="768">
        <v>4469317579.1163807</v>
      </c>
      <c r="K20" s="758"/>
      <c r="L20" s="768">
        <f>+H20-J20</f>
        <v>602929137.37000751</v>
      </c>
    </row>
    <row r="21" spans="1:12">
      <c r="A21" s="657">
        <f t="shared" si="0"/>
        <v>12</v>
      </c>
      <c r="B21" s="637"/>
      <c r="C21" s="630"/>
      <c r="D21" s="630" t="s">
        <v>921</v>
      </c>
      <c r="E21" s="631" t="s">
        <v>106</v>
      </c>
      <c r="F21" s="632" t="s">
        <v>9</v>
      </c>
      <c r="G21" s="631"/>
      <c r="H21" s="715">
        <f>+'Schedule 1 - Plant'!L183</f>
        <v>1983191214.0532568</v>
      </c>
      <c r="I21" s="769"/>
      <c r="J21" s="769">
        <v>1765730632.031208</v>
      </c>
      <c r="K21" s="758"/>
      <c r="L21" s="769">
        <f>+H21-J21</f>
        <v>217460582.02204871</v>
      </c>
    </row>
    <row r="22" spans="1:12">
      <c r="A22" s="657">
        <f t="shared" si="0"/>
        <v>13</v>
      </c>
      <c r="B22" s="637"/>
      <c r="C22" s="630"/>
      <c r="D22" s="621" t="s">
        <v>62</v>
      </c>
      <c r="E22" s="631"/>
      <c r="F22" s="630" t="s">
        <v>622</v>
      </c>
      <c r="G22" s="631"/>
      <c r="H22" s="714">
        <f>+H20-H21</f>
        <v>3089055502.4331312</v>
      </c>
      <c r="I22" s="768"/>
      <c r="J22" s="768">
        <f>+J20-J21</f>
        <v>2703586947.0851727</v>
      </c>
      <c r="K22" s="758"/>
      <c r="L22" s="768">
        <f>+H22-J22</f>
        <v>385468555.34795856</v>
      </c>
    </row>
    <row r="23" spans="1:12">
      <c r="A23" s="657">
        <f t="shared" si="0"/>
        <v>14</v>
      </c>
      <c r="B23" s="637"/>
      <c r="C23" s="630"/>
      <c r="D23" s="631"/>
      <c r="E23" s="631"/>
      <c r="F23" s="631"/>
      <c r="G23" s="631"/>
      <c r="H23" s="714"/>
      <c r="I23" s="768"/>
      <c r="J23" s="768"/>
      <c r="K23" s="758"/>
      <c r="L23" s="768"/>
    </row>
    <row r="24" spans="1:12">
      <c r="A24" s="657">
        <f t="shared" si="0"/>
        <v>15</v>
      </c>
      <c r="B24" s="637"/>
      <c r="C24" s="630"/>
      <c r="D24" s="632" t="s">
        <v>67</v>
      </c>
      <c r="E24" s="631" t="s">
        <v>106</v>
      </c>
      <c r="F24" s="632" t="s">
        <v>620</v>
      </c>
      <c r="G24" s="631"/>
      <c r="H24" s="714">
        <f>+H43</f>
        <v>762264864.75350094</v>
      </c>
      <c r="I24" s="768"/>
      <c r="J24" s="768">
        <v>688605723.57811677</v>
      </c>
      <c r="K24" s="758"/>
      <c r="L24" s="768">
        <f>+H24-J24</f>
        <v>73659141.175384164</v>
      </c>
    </row>
    <row r="25" spans="1:12" ht="15" thickBot="1">
      <c r="A25" s="657">
        <f t="shared" si="0"/>
        <v>16</v>
      </c>
      <c r="B25" s="637"/>
      <c r="C25" s="631" t="s">
        <v>68</v>
      </c>
      <c r="D25" s="631"/>
      <c r="E25" s="631"/>
      <c r="F25" s="630" t="s">
        <v>922</v>
      </c>
      <c r="G25" s="631"/>
      <c r="H25" s="716">
        <f>ROUND(+H24/H20,4)</f>
        <v>0.15029999999999999</v>
      </c>
      <c r="I25" s="770"/>
      <c r="J25" s="770">
        <f>ROUND(+J24/J20,4)</f>
        <v>0.15409999999999999</v>
      </c>
      <c r="K25" s="758"/>
      <c r="L25" s="770">
        <f>+H25-J25</f>
        <v>-3.7999999999999978E-3</v>
      </c>
    </row>
    <row r="26" spans="1:12" ht="15" thickTop="1">
      <c r="A26" s="657">
        <f t="shared" si="0"/>
        <v>17</v>
      </c>
      <c r="B26" s="637"/>
      <c r="C26" s="630"/>
      <c r="D26" s="631"/>
      <c r="E26" s="631"/>
      <c r="F26" s="631"/>
      <c r="G26" s="631"/>
      <c r="H26" s="714"/>
      <c r="I26" s="768"/>
      <c r="J26" s="768"/>
      <c r="K26" s="758"/>
      <c r="L26" s="768">
        <f>+H26-J26</f>
        <v>0</v>
      </c>
    </row>
    <row r="27" spans="1:12">
      <c r="A27" s="657">
        <f t="shared" si="0"/>
        <v>18</v>
      </c>
      <c r="B27" s="637"/>
      <c r="C27" s="630"/>
      <c r="D27" s="632" t="s">
        <v>69</v>
      </c>
      <c r="E27" s="631"/>
      <c r="F27" s="632" t="s">
        <v>621</v>
      </c>
      <c r="G27" s="631"/>
      <c r="H27" s="714">
        <f>+H58</f>
        <v>450693207.87392384</v>
      </c>
      <c r="I27" s="768">
        <f t="shared" ref="I27" si="1">+I58</f>
        <v>0</v>
      </c>
      <c r="J27" s="768">
        <f>+J58</f>
        <v>391768268.5227387</v>
      </c>
      <c r="K27" s="758"/>
      <c r="L27" s="768">
        <f>+H27-J27</f>
        <v>58924939.351185143</v>
      </c>
    </row>
    <row r="28" spans="1:12" ht="15" thickBot="1">
      <c r="A28" s="657">
        <f t="shared" si="0"/>
        <v>19</v>
      </c>
      <c r="B28" s="637"/>
      <c r="C28" s="631" t="s">
        <v>70</v>
      </c>
      <c r="D28" s="631"/>
      <c r="E28" s="631"/>
      <c r="F28" s="630" t="s">
        <v>923</v>
      </c>
      <c r="G28" s="631"/>
      <c r="H28" s="716">
        <f>ROUND(+H27/H22,4)</f>
        <v>0.1459</v>
      </c>
      <c r="I28" s="770"/>
      <c r="J28" s="770">
        <f>ROUND(+J27/J22,4)</f>
        <v>0.1449</v>
      </c>
      <c r="K28" s="758"/>
      <c r="L28" s="770">
        <f>+H28-J28</f>
        <v>1.0000000000000009E-3</v>
      </c>
    </row>
    <row r="29" spans="1:12" ht="15.6" thickTop="1" thickBot="1">
      <c r="A29" s="657">
        <f t="shared" si="0"/>
        <v>20</v>
      </c>
      <c r="H29" s="717"/>
      <c r="I29" s="771"/>
      <c r="J29" s="758"/>
      <c r="K29" s="758"/>
      <c r="L29" s="758"/>
    </row>
    <row r="30" spans="1:12" ht="15" thickBot="1">
      <c r="A30" s="657">
        <f t="shared" si="0"/>
        <v>21</v>
      </c>
      <c r="B30" s="623" t="s">
        <v>7</v>
      </c>
      <c r="C30" s="766"/>
      <c r="D30" s="759"/>
      <c r="E30" s="759"/>
      <c r="F30" s="759"/>
      <c r="G30" s="759"/>
      <c r="H30" s="791"/>
      <c r="I30" s="791"/>
      <c r="J30" s="759"/>
      <c r="K30" s="759"/>
      <c r="L30" s="787"/>
    </row>
    <row r="31" spans="1:12">
      <c r="A31" s="657">
        <f t="shared" si="0"/>
        <v>22</v>
      </c>
      <c r="H31" s="717"/>
      <c r="I31" s="771"/>
      <c r="J31" s="758"/>
      <c r="K31" s="758"/>
      <c r="L31" s="758"/>
    </row>
    <row r="32" spans="1:12">
      <c r="A32" s="657">
        <f t="shared" si="0"/>
        <v>23</v>
      </c>
      <c r="B32" s="657"/>
      <c r="C32" s="622" t="s">
        <v>1</v>
      </c>
      <c r="H32" s="717"/>
      <c r="I32" s="771"/>
      <c r="J32" s="758"/>
      <c r="K32" s="758"/>
      <c r="L32" s="758"/>
    </row>
    <row r="33" spans="1:12">
      <c r="A33" s="657">
        <f t="shared" si="0"/>
        <v>24</v>
      </c>
      <c r="B33" s="657"/>
      <c r="D33" s="629" t="s">
        <v>2</v>
      </c>
      <c r="E33" s="621" t="s">
        <v>106</v>
      </c>
      <c r="F33" s="621" t="s">
        <v>9</v>
      </c>
      <c r="H33" s="715">
        <f>+'Schedule 1 - Plant'!L20</f>
        <v>740548864.81868827</v>
      </c>
      <c r="I33" s="769"/>
      <c r="J33" s="769">
        <v>667576329.64330411</v>
      </c>
      <c r="K33" s="758"/>
      <c r="L33" s="769">
        <f>+H33-J33</f>
        <v>72972535.175384164</v>
      </c>
    </row>
    <row r="34" spans="1:12">
      <c r="A34" s="657">
        <f t="shared" si="0"/>
        <v>25</v>
      </c>
      <c r="B34" s="657"/>
      <c r="D34" s="622" t="s">
        <v>3</v>
      </c>
      <c r="H34" s="717">
        <f>+H33</f>
        <v>740548864.81868827</v>
      </c>
      <c r="I34" s="771"/>
      <c r="J34" s="771">
        <f>+J33</f>
        <v>667576329.64330411</v>
      </c>
      <c r="K34" s="758"/>
      <c r="L34" s="768">
        <f>+H34-J34</f>
        <v>72972535.175384164</v>
      </c>
    </row>
    <row r="35" spans="1:12">
      <c r="A35" s="657">
        <f t="shared" si="0"/>
        <v>26</v>
      </c>
      <c r="B35" s="657"/>
      <c r="H35" s="717"/>
      <c r="I35" s="771"/>
      <c r="J35" s="758"/>
      <c r="K35" s="758"/>
      <c r="L35" s="758"/>
    </row>
    <row r="36" spans="1:12">
      <c r="A36" s="657">
        <f t="shared" si="0"/>
        <v>27</v>
      </c>
      <c r="B36" s="657"/>
      <c r="H36" s="717"/>
      <c r="I36" s="771"/>
      <c r="J36" s="758"/>
      <c r="K36" s="758"/>
      <c r="L36" s="758"/>
    </row>
    <row r="37" spans="1:12">
      <c r="A37" s="657">
        <f t="shared" si="0"/>
        <v>28</v>
      </c>
      <c r="B37" s="657"/>
      <c r="D37" s="629" t="s">
        <v>29</v>
      </c>
      <c r="E37" s="621" t="s">
        <v>106</v>
      </c>
      <c r="F37" s="621" t="s">
        <v>9</v>
      </c>
      <c r="H37" s="717">
        <f>+'Schedule 1 - Plant'!L93</f>
        <v>186355577.07153854</v>
      </c>
      <c r="I37" s="771"/>
      <c r="J37" s="771">
        <v>174224736.64923078</v>
      </c>
      <c r="K37" s="758"/>
      <c r="L37" s="768">
        <f>+H37-J37</f>
        <v>12130840.42230776</v>
      </c>
    </row>
    <row r="38" spans="1:12">
      <c r="A38" s="657">
        <f t="shared" si="0"/>
        <v>29</v>
      </c>
      <c r="B38" s="657"/>
      <c r="D38" s="621" t="s">
        <v>51</v>
      </c>
      <c r="F38" s="621" t="s">
        <v>65</v>
      </c>
      <c r="H38" s="718">
        <f>+H17</f>
        <v>5.6599999999999998E-2</v>
      </c>
      <c r="I38" s="773"/>
      <c r="J38" s="773">
        <v>5.6599999999999998E-2</v>
      </c>
      <c r="K38" s="758"/>
      <c r="L38" s="773">
        <f>+H38-J38</f>
        <v>0</v>
      </c>
    </row>
    <row r="39" spans="1:12">
      <c r="A39" s="657">
        <f t="shared" si="0"/>
        <v>30</v>
      </c>
      <c r="B39" s="657"/>
      <c r="D39" s="621" t="s">
        <v>518</v>
      </c>
      <c r="F39" s="621" t="s">
        <v>627</v>
      </c>
      <c r="H39" s="714">
        <f>ROUND(+H37*H38,0)</f>
        <v>10547726</v>
      </c>
      <c r="I39" s="768"/>
      <c r="J39" s="768">
        <f>ROUND(+J37*J38,0)</f>
        <v>9861120</v>
      </c>
      <c r="K39" s="758"/>
      <c r="L39" s="768">
        <f>H39-J39</f>
        <v>686606</v>
      </c>
    </row>
    <row r="40" spans="1:12">
      <c r="A40" s="657">
        <f t="shared" si="0"/>
        <v>31</v>
      </c>
      <c r="B40" s="657"/>
      <c r="D40" s="621" t="s">
        <v>516</v>
      </c>
      <c r="F40" s="621" t="s">
        <v>517</v>
      </c>
      <c r="H40" s="715">
        <f>+'Schedule 1A - Svcs Co Plant_Rev'!P28</f>
        <v>11168273.934812618</v>
      </c>
      <c r="I40" s="769"/>
      <c r="J40" s="769">
        <v>11168273.934812618</v>
      </c>
      <c r="K40" s="758"/>
      <c r="L40" s="769">
        <f>H40-J40</f>
        <v>0</v>
      </c>
    </row>
    <row r="41" spans="1:12">
      <c r="A41" s="657">
        <f t="shared" si="0"/>
        <v>32</v>
      </c>
      <c r="B41" s="657"/>
      <c r="D41" s="622" t="s">
        <v>64</v>
      </c>
      <c r="F41" s="621" t="s">
        <v>783</v>
      </c>
      <c r="H41" s="717">
        <f>+H39+H40</f>
        <v>21715999.93481262</v>
      </c>
      <c r="I41" s="771"/>
      <c r="J41" s="771">
        <f>+J39+J40</f>
        <v>21029393.93481262</v>
      </c>
      <c r="K41" s="758"/>
      <c r="L41" s="768">
        <f>H41-J41</f>
        <v>686606</v>
      </c>
    </row>
    <row r="42" spans="1:12">
      <c r="A42" s="657">
        <f t="shared" si="0"/>
        <v>33</v>
      </c>
      <c r="B42" s="657"/>
      <c r="H42" s="717"/>
      <c r="I42" s="771"/>
      <c r="J42" s="758"/>
      <c r="K42" s="758"/>
      <c r="L42" s="758"/>
    </row>
    <row r="43" spans="1:12">
      <c r="A43" s="657">
        <f t="shared" si="0"/>
        <v>34</v>
      </c>
      <c r="B43" s="657"/>
      <c r="C43" s="622" t="s">
        <v>66</v>
      </c>
      <c r="F43" s="621" t="s">
        <v>629</v>
      </c>
      <c r="H43" s="717">
        <f>+H34+H41</f>
        <v>762264864.75350094</v>
      </c>
      <c r="I43" s="771"/>
      <c r="J43" s="771">
        <v>688605723.57811677</v>
      </c>
      <c r="K43" s="758"/>
      <c r="L43" s="768">
        <f>H43-J43</f>
        <v>73659141.175384164</v>
      </c>
    </row>
    <row r="44" spans="1:12">
      <c r="A44" s="657">
        <f t="shared" si="0"/>
        <v>35</v>
      </c>
      <c r="B44" s="657"/>
      <c r="H44" s="717"/>
      <c r="I44" s="771"/>
      <c r="J44" s="758"/>
      <c r="K44" s="758"/>
      <c r="L44" s="758"/>
    </row>
    <row r="45" spans="1:12">
      <c r="A45" s="657">
        <f t="shared" si="0"/>
        <v>36</v>
      </c>
      <c r="B45" s="657"/>
      <c r="C45" s="622" t="s">
        <v>94</v>
      </c>
      <c r="H45" s="717"/>
      <c r="I45" s="771"/>
      <c r="J45" s="758"/>
      <c r="K45" s="758"/>
      <c r="L45" s="758"/>
    </row>
    <row r="46" spans="1:12">
      <c r="A46" s="657">
        <f t="shared" si="0"/>
        <v>37</v>
      </c>
      <c r="B46" s="657"/>
      <c r="H46" s="717"/>
      <c r="I46" s="771"/>
      <c r="J46" s="758"/>
      <c r="K46" s="758"/>
      <c r="L46" s="758"/>
    </row>
    <row r="47" spans="1:12">
      <c r="A47" s="657">
        <f t="shared" si="0"/>
        <v>38</v>
      </c>
      <c r="B47" s="657"/>
      <c r="D47" s="621" t="s">
        <v>76</v>
      </c>
      <c r="E47" s="621" t="s">
        <v>106</v>
      </c>
      <c r="F47" s="621" t="s">
        <v>9</v>
      </c>
      <c r="H47" s="719">
        <f>+'Schedule 1 - Plant'!L112</f>
        <v>299830604.52056473</v>
      </c>
      <c r="I47" s="774"/>
      <c r="J47" s="774">
        <v>285395453.69636571</v>
      </c>
      <c r="K47" s="758"/>
      <c r="L47" s="769">
        <f>H47-J47</f>
        <v>14435150.824199021</v>
      </c>
    </row>
    <row r="48" spans="1:12">
      <c r="A48" s="657">
        <f t="shared" si="0"/>
        <v>39</v>
      </c>
      <c r="B48" s="657"/>
      <c r="D48" s="621" t="s">
        <v>95</v>
      </c>
      <c r="H48" s="771">
        <f>+H46+H47</f>
        <v>299830604.52056473</v>
      </c>
      <c r="I48" s="771"/>
      <c r="J48" s="771">
        <f>+J46+J47</f>
        <v>285395453.69636571</v>
      </c>
      <c r="K48" s="758"/>
      <c r="L48" s="768">
        <f>H48-J48</f>
        <v>14435150.824199021</v>
      </c>
    </row>
    <row r="49" spans="1:12">
      <c r="A49" s="657">
        <f t="shared" si="0"/>
        <v>40</v>
      </c>
      <c r="B49" s="657"/>
      <c r="H49" s="717"/>
      <c r="I49" s="771"/>
      <c r="J49" s="758"/>
      <c r="K49" s="758"/>
      <c r="L49" s="758"/>
    </row>
    <row r="50" spans="1:12">
      <c r="A50" s="657">
        <f t="shared" si="0"/>
        <v>41</v>
      </c>
      <c r="B50" s="657"/>
      <c r="D50" s="621" t="s">
        <v>520</v>
      </c>
      <c r="E50" s="621" t="s">
        <v>106</v>
      </c>
      <c r="F50" s="621" t="s">
        <v>9</v>
      </c>
      <c r="H50" s="717">
        <f>+'Schedule 1 - Plant'!L185</f>
        <v>112502129.35769229</v>
      </c>
      <c r="I50" s="771"/>
      <c r="J50" s="771">
        <v>107218552.40846151</v>
      </c>
      <c r="K50" s="758"/>
      <c r="L50" s="768">
        <f>H50-J50</f>
        <v>5283576.9492307752</v>
      </c>
    </row>
    <row r="51" spans="1:12">
      <c r="A51" s="657">
        <f t="shared" si="0"/>
        <v>42</v>
      </c>
      <c r="B51" s="657"/>
      <c r="D51" s="621" t="s">
        <v>51</v>
      </c>
      <c r="F51" s="621" t="s">
        <v>65</v>
      </c>
      <c r="H51" s="718">
        <f>+H17</f>
        <v>5.6599999999999998E-2</v>
      </c>
      <c r="I51" s="773"/>
      <c r="J51" s="773">
        <v>5.6599999999999998E-2</v>
      </c>
      <c r="K51" s="758"/>
      <c r="L51" s="773">
        <f>H51-J51</f>
        <v>0</v>
      </c>
    </row>
    <row r="52" spans="1:12">
      <c r="A52" s="657">
        <f t="shared" si="0"/>
        <v>43</v>
      </c>
      <c r="B52" s="657"/>
      <c r="D52" s="621" t="s">
        <v>518</v>
      </c>
      <c r="F52" s="621" t="s">
        <v>632</v>
      </c>
      <c r="H52" s="714">
        <f>ROUND(+H50*H51,0)</f>
        <v>6367621</v>
      </c>
      <c r="I52" s="768"/>
      <c r="J52" s="768">
        <f>ROUND(+J50*J51,0)</f>
        <v>6068570</v>
      </c>
      <c r="K52" s="758"/>
      <c r="L52" s="768">
        <f>H52-J52</f>
        <v>299051</v>
      </c>
    </row>
    <row r="53" spans="1:12">
      <c r="A53" s="657">
        <f t="shared" si="0"/>
        <v>44</v>
      </c>
      <c r="B53" s="657"/>
      <c r="D53" s="621" t="s">
        <v>519</v>
      </c>
      <c r="E53" s="621" t="s">
        <v>106</v>
      </c>
      <c r="F53" s="621" t="s">
        <v>517</v>
      </c>
      <c r="H53" s="715">
        <f>+'Schedule 1A - Svcs Co Plant_Rev'!P32</f>
        <v>5373431.3590123849</v>
      </c>
      <c r="I53" s="769"/>
      <c r="J53" s="769">
        <v>5373431.3590123849</v>
      </c>
      <c r="K53" s="758"/>
      <c r="L53" s="769">
        <v>0</v>
      </c>
    </row>
    <row r="54" spans="1:12">
      <c r="A54" s="657">
        <f t="shared" si="0"/>
        <v>45</v>
      </c>
      <c r="B54" s="657"/>
      <c r="D54" s="622" t="s">
        <v>96</v>
      </c>
      <c r="F54" s="621" t="s">
        <v>634</v>
      </c>
      <c r="H54" s="717">
        <f>+H52+H53</f>
        <v>11741052.359012384</v>
      </c>
      <c r="I54" s="771"/>
      <c r="J54" s="771">
        <f>+J52+J53</f>
        <v>11442001.359012384</v>
      </c>
      <c r="K54" s="758"/>
      <c r="L54" s="731">
        <v>0</v>
      </c>
    </row>
    <row r="55" spans="1:12">
      <c r="A55" s="657">
        <f t="shared" si="0"/>
        <v>46</v>
      </c>
      <c r="B55" s="657"/>
      <c r="H55" s="717"/>
      <c r="I55" s="771"/>
      <c r="J55" s="758"/>
      <c r="K55" s="758"/>
      <c r="L55" s="761"/>
    </row>
    <row r="56" spans="1:12">
      <c r="A56" s="657">
        <f t="shared" si="0"/>
        <v>47</v>
      </c>
      <c r="B56" s="657"/>
      <c r="C56" s="622" t="s">
        <v>95</v>
      </c>
      <c r="F56" s="621" t="s">
        <v>635</v>
      </c>
      <c r="H56" s="719">
        <f>+H48+H54</f>
        <v>311571656.8795771</v>
      </c>
      <c r="I56" s="774"/>
      <c r="J56" s="774">
        <f>+J48+J54</f>
        <v>296837455.05537808</v>
      </c>
      <c r="K56" s="758"/>
      <c r="L56" s="769">
        <f>H56-J56</f>
        <v>14734201.824199021</v>
      </c>
    </row>
    <row r="57" spans="1:12">
      <c r="A57" s="657">
        <f t="shared" si="0"/>
        <v>48</v>
      </c>
      <c r="B57" s="657"/>
      <c r="C57" s="622"/>
      <c r="H57" s="717"/>
      <c r="I57" s="771"/>
      <c r="J57" s="758"/>
      <c r="K57" s="758"/>
      <c r="L57" s="758"/>
    </row>
    <row r="58" spans="1:12" ht="15" thickBot="1">
      <c r="A58" s="657">
        <f t="shared" si="0"/>
        <v>49</v>
      </c>
      <c r="B58" s="657"/>
      <c r="C58" s="622" t="s">
        <v>97</v>
      </c>
      <c r="F58" s="621" t="s">
        <v>636</v>
      </c>
      <c r="H58" s="720">
        <f>+H43-H56</f>
        <v>450693207.87392384</v>
      </c>
      <c r="I58" s="775"/>
      <c r="J58" s="775">
        <f>+J43-J56</f>
        <v>391768268.5227387</v>
      </c>
      <c r="K58" s="758"/>
      <c r="L58" s="776">
        <f>H58-J58</f>
        <v>58924939.351185143</v>
      </c>
    </row>
    <row r="59" spans="1:12" ht="15" thickTop="1">
      <c r="A59" s="657">
        <f t="shared" si="0"/>
        <v>50</v>
      </c>
      <c r="B59" s="657"/>
      <c r="C59" s="622"/>
      <c r="H59" s="717"/>
      <c r="I59" s="771"/>
      <c r="J59" s="758"/>
      <c r="K59" s="758"/>
      <c r="L59" s="758"/>
    </row>
    <row r="60" spans="1:12">
      <c r="A60" s="657">
        <f t="shared" si="0"/>
        <v>51</v>
      </c>
      <c r="B60" s="657"/>
      <c r="C60" s="622" t="s">
        <v>568</v>
      </c>
      <c r="H60" s="717"/>
      <c r="I60" s="771"/>
      <c r="J60" s="758"/>
      <c r="K60" s="758"/>
      <c r="L60" s="758"/>
    </row>
    <row r="61" spans="1:12">
      <c r="A61" s="657">
        <f t="shared" si="0"/>
        <v>52</v>
      </c>
      <c r="B61" s="657"/>
      <c r="C61" s="622"/>
      <c r="D61" s="629" t="s">
        <v>1289</v>
      </c>
      <c r="E61" s="621" t="s">
        <v>106</v>
      </c>
      <c r="F61" s="621" t="s">
        <v>580</v>
      </c>
      <c r="H61" s="717">
        <f>+'Schedule 1B - Projected Plant'!P24</f>
        <v>0</v>
      </c>
      <c r="I61" s="771"/>
      <c r="J61" s="771">
        <v>83142510.767302886</v>
      </c>
      <c r="K61" s="758"/>
      <c r="L61" s="768">
        <f>H61-J61</f>
        <v>-83142510.767302886</v>
      </c>
    </row>
    <row r="62" spans="1:12">
      <c r="A62" s="657">
        <f t="shared" si="0"/>
        <v>53</v>
      </c>
      <c r="B62" s="657"/>
      <c r="C62" s="622"/>
      <c r="D62" s="621" t="s">
        <v>1290</v>
      </c>
      <c r="E62" s="621" t="s">
        <v>106</v>
      </c>
      <c r="F62" s="621" t="s">
        <v>580</v>
      </c>
      <c r="H62" s="717">
        <f>-'Schedule 1B - Projected Plant'!P45</f>
        <v>0</v>
      </c>
      <c r="I62" s="771"/>
      <c r="J62" s="771">
        <v>-16984200.758875336</v>
      </c>
      <c r="K62" s="758"/>
      <c r="L62" s="768">
        <f>H62-J62</f>
        <v>16984200.758875336</v>
      </c>
    </row>
    <row r="63" spans="1:12">
      <c r="A63" s="657">
        <f t="shared" si="0"/>
        <v>54</v>
      </c>
      <c r="B63" s="657"/>
      <c r="C63" s="622"/>
      <c r="D63" s="621" t="s">
        <v>1291</v>
      </c>
      <c r="F63" s="621" t="s">
        <v>580</v>
      </c>
      <c r="H63" s="714">
        <f>+'Schedule 1B - Projected Plant'!P55</f>
        <v>0</v>
      </c>
      <c r="I63" s="768"/>
      <c r="J63" s="768">
        <v>-10417671.802102923</v>
      </c>
      <c r="K63" s="758"/>
      <c r="L63" s="768">
        <f>H63-J63</f>
        <v>10417671.802102923</v>
      </c>
    </row>
    <row r="64" spans="1:12">
      <c r="A64" s="657">
        <f t="shared" si="0"/>
        <v>55</v>
      </c>
      <c r="B64" s="657"/>
      <c r="C64" s="622"/>
      <c r="H64" s="714"/>
      <c r="I64" s="768"/>
      <c r="J64" s="768"/>
      <c r="K64" s="758"/>
      <c r="L64" s="768"/>
    </row>
    <row r="65" spans="1:12">
      <c r="A65" s="657">
        <f t="shared" si="0"/>
        <v>56</v>
      </c>
      <c r="B65" s="657"/>
      <c r="C65" s="622"/>
      <c r="H65" s="714"/>
      <c r="I65" s="768"/>
      <c r="J65" s="768"/>
      <c r="K65" s="758"/>
      <c r="L65" s="768"/>
    </row>
    <row r="66" spans="1:12">
      <c r="A66" s="657">
        <f t="shared" si="0"/>
        <v>57</v>
      </c>
      <c r="B66" s="657"/>
      <c r="C66" s="622"/>
      <c r="H66" s="715"/>
      <c r="I66" s="769"/>
      <c r="J66" s="769"/>
      <c r="K66" s="758"/>
      <c r="L66" s="769"/>
    </row>
    <row r="67" spans="1:12">
      <c r="A67" s="657">
        <f t="shared" si="0"/>
        <v>58</v>
      </c>
      <c r="B67" s="657"/>
      <c r="C67" s="622"/>
      <c r="D67" s="622" t="s">
        <v>1514</v>
      </c>
      <c r="F67" s="621" t="s">
        <v>653</v>
      </c>
      <c r="H67" s="714">
        <f>+H61+H62+H63</f>
        <v>0</v>
      </c>
      <c r="I67" s="768"/>
      <c r="J67" s="768">
        <f>+J61+J62+J63</f>
        <v>55740638.206324622</v>
      </c>
      <c r="K67" s="758"/>
      <c r="L67" s="731">
        <f>H67-J67</f>
        <v>-55740638.206324622</v>
      </c>
    </row>
    <row r="68" spans="1:12">
      <c r="A68" s="657">
        <f t="shared" si="0"/>
        <v>59</v>
      </c>
      <c r="B68" s="657"/>
      <c r="C68" s="622"/>
      <c r="H68" s="714"/>
      <c r="I68" s="768"/>
      <c r="J68" s="768"/>
      <c r="K68" s="758"/>
      <c r="L68" s="768"/>
    </row>
    <row r="69" spans="1:12" ht="15" thickBot="1">
      <c r="A69" s="657">
        <f t="shared" si="0"/>
        <v>60</v>
      </c>
      <c r="B69" s="657"/>
      <c r="C69" s="622" t="s">
        <v>569</v>
      </c>
      <c r="F69" s="621" t="s">
        <v>1549</v>
      </c>
      <c r="H69" s="721">
        <f>+H58+H67</f>
        <v>450693207.87392384</v>
      </c>
      <c r="I69" s="776"/>
      <c r="J69" s="776">
        <f>+J58+J67</f>
        <v>447508906.72906333</v>
      </c>
      <c r="K69" s="758"/>
      <c r="L69" s="776">
        <f>H69-J69</f>
        <v>3184301.1448605061</v>
      </c>
    </row>
    <row r="70" spans="1:12" ht="15.6" thickTop="1" thickBot="1">
      <c r="A70" s="657">
        <f t="shared" si="0"/>
        <v>61</v>
      </c>
      <c r="H70" s="714"/>
      <c r="I70" s="768"/>
      <c r="J70" s="768"/>
      <c r="K70" s="758"/>
      <c r="L70" s="768"/>
    </row>
    <row r="71" spans="1:12" ht="15" thickBot="1">
      <c r="A71" s="657">
        <f t="shared" si="0"/>
        <v>62</v>
      </c>
      <c r="B71" s="623" t="s">
        <v>99</v>
      </c>
      <c r="C71" s="766"/>
      <c r="D71" s="759"/>
      <c r="E71" s="759"/>
      <c r="F71" s="759"/>
      <c r="G71" s="759"/>
      <c r="H71" s="790"/>
      <c r="I71" s="790"/>
      <c r="J71" s="759"/>
      <c r="K71" s="759"/>
      <c r="L71" s="787"/>
    </row>
    <row r="72" spans="1:12">
      <c r="A72" s="657">
        <f t="shared" si="0"/>
        <v>63</v>
      </c>
      <c r="H72" s="714"/>
      <c r="I72" s="768"/>
      <c r="J72" s="768"/>
      <c r="K72" s="758"/>
      <c r="L72" s="768"/>
    </row>
    <row r="73" spans="1:12">
      <c r="A73" s="657">
        <f t="shared" si="0"/>
        <v>64</v>
      </c>
      <c r="H73" s="714"/>
      <c r="I73" s="768"/>
      <c r="J73" s="768"/>
      <c r="K73" s="758"/>
      <c r="L73" s="768"/>
    </row>
    <row r="74" spans="1:12">
      <c r="A74" s="657">
        <f t="shared" si="0"/>
        <v>65</v>
      </c>
      <c r="C74" s="621" t="s">
        <v>100</v>
      </c>
      <c r="E74" s="621" t="s">
        <v>817</v>
      </c>
      <c r="F74" s="621" t="s">
        <v>101</v>
      </c>
      <c r="H74" s="714">
        <f>'Schedule 2 - ADIT'!H62</f>
        <v>-84103659.120779023</v>
      </c>
      <c r="I74" s="768"/>
      <c r="J74" s="768">
        <v>-73442304.451345026</v>
      </c>
      <c r="K74" s="758"/>
      <c r="L74" s="768">
        <f>H74-J74</f>
        <v>-10661354.669433996</v>
      </c>
    </row>
    <row r="75" spans="1:12">
      <c r="A75" s="657">
        <f t="shared" si="0"/>
        <v>66</v>
      </c>
      <c r="C75" s="805"/>
      <c r="I75" s="768"/>
      <c r="J75" s="768"/>
      <c r="K75" s="758"/>
      <c r="L75" s="768">
        <f>H75-J75</f>
        <v>0</v>
      </c>
    </row>
    <row r="76" spans="1:12">
      <c r="A76" s="657">
        <f t="shared" ref="A76:A139" si="2">+A75+1</f>
        <v>67</v>
      </c>
      <c r="H76" s="714"/>
      <c r="I76" s="768"/>
      <c r="J76" s="768"/>
      <c r="K76" s="758"/>
      <c r="L76" s="768"/>
    </row>
    <row r="77" spans="1:12">
      <c r="A77" s="657">
        <f t="shared" si="2"/>
        <v>68</v>
      </c>
      <c r="H77" s="714"/>
      <c r="I77" s="768"/>
      <c r="J77" s="768"/>
      <c r="K77" s="758"/>
      <c r="L77" s="768"/>
    </row>
    <row r="78" spans="1:12">
      <c r="A78" s="657">
        <f t="shared" si="2"/>
        <v>69</v>
      </c>
      <c r="C78" s="621" t="s">
        <v>107</v>
      </c>
      <c r="E78" s="621" t="s">
        <v>817</v>
      </c>
      <c r="F78" s="621" t="s">
        <v>108</v>
      </c>
      <c r="H78" s="714">
        <f>+'Schedule 4 - Regulatory Assets'!E55</f>
        <v>0</v>
      </c>
      <c r="I78" s="768"/>
      <c r="J78" s="768">
        <v>0</v>
      </c>
      <c r="K78" s="758"/>
      <c r="L78" s="768">
        <f>H78-J78</f>
        <v>0</v>
      </c>
    </row>
    <row r="79" spans="1:12">
      <c r="A79" s="657">
        <f t="shared" si="2"/>
        <v>70</v>
      </c>
      <c r="H79" s="714"/>
      <c r="I79" s="768"/>
      <c r="J79" s="768"/>
      <c r="K79" s="758"/>
      <c r="L79" s="768"/>
    </row>
    <row r="80" spans="1:12">
      <c r="A80" s="657">
        <f t="shared" si="2"/>
        <v>71</v>
      </c>
      <c r="C80" s="621" t="s">
        <v>127</v>
      </c>
      <c r="E80" s="621" t="s">
        <v>817</v>
      </c>
      <c r="F80" s="621" t="s">
        <v>128</v>
      </c>
      <c r="H80" s="714">
        <f>+'Schedule 5 Misc Def Debits'!E45</f>
        <v>51034017.5</v>
      </c>
      <c r="I80" s="768"/>
      <c r="J80" s="768">
        <v>51034017.5</v>
      </c>
      <c r="K80" s="758"/>
      <c r="L80" s="768">
        <f>H80-J80</f>
        <v>0</v>
      </c>
    </row>
    <row r="81" spans="1:12">
      <c r="A81" s="657">
        <f t="shared" si="2"/>
        <v>72</v>
      </c>
      <c r="H81" s="714"/>
      <c r="I81" s="768"/>
      <c r="J81" s="768"/>
      <c r="K81" s="758"/>
      <c r="L81" s="768"/>
    </row>
    <row r="82" spans="1:12">
      <c r="A82" s="657">
        <f t="shared" si="2"/>
        <v>73</v>
      </c>
      <c r="H82" s="714"/>
      <c r="I82" s="768"/>
      <c r="J82" s="768"/>
      <c r="K82" s="758"/>
      <c r="L82" s="768"/>
    </row>
    <row r="83" spans="1:12">
      <c r="A83" s="657">
        <f t="shared" si="2"/>
        <v>74</v>
      </c>
      <c r="H83" s="722"/>
      <c r="I83" s="778"/>
      <c r="J83" s="778"/>
      <c r="K83" s="758"/>
      <c r="L83" s="778"/>
    </row>
    <row r="84" spans="1:12">
      <c r="A84" s="657">
        <f t="shared" si="2"/>
        <v>75</v>
      </c>
      <c r="H84" s="714"/>
      <c r="I84" s="768"/>
      <c r="J84" s="768"/>
      <c r="K84" s="758"/>
      <c r="L84" s="768"/>
    </row>
    <row r="85" spans="1:12">
      <c r="A85" s="657">
        <f t="shared" si="2"/>
        <v>76</v>
      </c>
      <c r="H85" s="714"/>
      <c r="I85" s="768"/>
      <c r="J85" s="768"/>
      <c r="K85" s="758"/>
      <c r="L85" s="768"/>
    </row>
    <row r="86" spans="1:12">
      <c r="A86" s="657">
        <f t="shared" si="2"/>
        <v>77</v>
      </c>
      <c r="C86" s="621" t="s">
        <v>180</v>
      </c>
      <c r="H86" s="714"/>
      <c r="I86" s="768"/>
      <c r="J86" s="768"/>
      <c r="K86" s="758"/>
      <c r="L86" s="768"/>
    </row>
    <row r="87" spans="1:12">
      <c r="A87" s="657">
        <f t="shared" si="2"/>
        <v>78</v>
      </c>
      <c r="D87" s="621" t="s">
        <v>179</v>
      </c>
      <c r="E87" s="621" t="s">
        <v>817</v>
      </c>
      <c r="F87" s="621" t="s">
        <v>145</v>
      </c>
      <c r="H87" s="717">
        <f>+'Schedule 7 - Working capital'!E34</f>
        <v>925443.5</v>
      </c>
      <c r="I87" s="771"/>
      <c r="J87" s="771">
        <v>925443.5</v>
      </c>
      <c r="K87" s="758"/>
      <c r="L87" s="768">
        <f>H87-J87</f>
        <v>0</v>
      </c>
    </row>
    <row r="88" spans="1:12">
      <c r="A88" s="657">
        <f t="shared" si="2"/>
        <v>79</v>
      </c>
      <c r="D88" s="621" t="s">
        <v>181</v>
      </c>
      <c r="E88" s="621" t="s">
        <v>817</v>
      </c>
      <c r="F88" s="621" t="s">
        <v>145</v>
      </c>
      <c r="H88" s="719">
        <f>+'Schedule 7 - Working capital'!E64</f>
        <v>3256052.6749999998</v>
      </c>
      <c r="I88" s="774"/>
      <c r="J88" s="774">
        <v>3256052.6749999998</v>
      </c>
      <c r="K88" s="758"/>
      <c r="L88" s="768">
        <f>H88-J88</f>
        <v>0</v>
      </c>
    </row>
    <row r="89" spans="1:12">
      <c r="A89" s="657">
        <f t="shared" si="2"/>
        <v>80</v>
      </c>
      <c r="C89" s="621" t="s">
        <v>182</v>
      </c>
      <c r="H89" s="717">
        <f>+H87+H88</f>
        <v>4181496.1749999998</v>
      </c>
      <c r="I89" s="771"/>
      <c r="J89" s="771">
        <f>+J87+J88</f>
        <v>4181496.1749999998</v>
      </c>
      <c r="K89" s="758"/>
      <c r="L89" s="731">
        <f>H89-J89</f>
        <v>0</v>
      </c>
    </row>
    <row r="90" spans="1:12">
      <c r="A90" s="657">
        <f t="shared" si="2"/>
        <v>81</v>
      </c>
      <c r="H90" s="717"/>
      <c r="I90" s="771"/>
      <c r="J90" s="758"/>
      <c r="K90" s="758"/>
      <c r="L90" s="758"/>
    </row>
    <row r="91" spans="1:12">
      <c r="A91" s="657">
        <f t="shared" si="2"/>
        <v>82</v>
      </c>
      <c r="C91" s="621" t="s">
        <v>648</v>
      </c>
      <c r="E91" s="621" t="s">
        <v>1352</v>
      </c>
      <c r="F91" s="621" t="s">
        <v>183</v>
      </c>
      <c r="H91" s="714">
        <f>+'Schedule 8 Other Deferred'!E112</f>
        <v>-6579805.5</v>
      </c>
      <c r="I91" s="768"/>
      <c r="J91" s="768">
        <v>-6579805.5</v>
      </c>
      <c r="K91" s="758"/>
      <c r="L91" s="768">
        <f>H91-J91</f>
        <v>0</v>
      </c>
    </row>
    <row r="92" spans="1:12">
      <c r="A92" s="657">
        <f t="shared" si="2"/>
        <v>83</v>
      </c>
      <c r="D92" s="621" t="s">
        <v>147</v>
      </c>
      <c r="F92" s="621" t="s">
        <v>644</v>
      </c>
      <c r="H92" s="723">
        <f>+H17</f>
        <v>5.6599999999999998E-2</v>
      </c>
      <c r="I92" s="779">
        <f t="shared" ref="I92:J92" si="3">+I17</f>
        <v>0</v>
      </c>
      <c r="J92" s="779">
        <f t="shared" si="3"/>
        <v>5.6599999999999998E-2</v>
      </c>
      <c r="K92" s="758"/>
      <c r="L92" s="773">
        <f>H92-J92</f>
        <v>0</v>
      </c>
    </row>
    <row r="93" spans="1:12">
      <c r="A93" s="657">
        <f t="shared" si="2"/>
        <v>84</v>
      </c>
      <c r="C93" s="621" t="s">
        <v>148</v>
      </c>
      <c r="F93" s="621" t="s">
        <v>649</v>
      </c>
      <c r="H93" s="717">
        <f>ROUND(+H91*H92,0)</f>
        <v>-372417</v>
      </c>
      <c r="I93" s="771">
        <f t="shared" ref="I93:J93" si="4">ROUND(+I91*I92,0)</f>
        <v>0</v>
      </c>
      <c r="J93" s="771">
        <f t="shared" si="4"/>
        <v>-372417</v>
      </c>
      <c r="K93" s="758"/>
      <c r="L93" s="768">
        <f>H93-J93</f>
        <v>0</v>
      </c>
    </row>
    <row r="94" spans="1:12">
      <c r="A94" s="657">
        <f t="shared" si="2"/>
        <v>85</v>
      </c>
      <c r="H94" s="714"/>
      <c r="I94" s="768"/>
      <c r="J94" s="768"/>
      <c r="K94" s="758"/>
      <c r="L94" s="768"/>
    </row>
    <row r="95" spans="1:12">
      <c r="A95" s="657">
        <f t="shared" si="2"/>
        <v>86</v>
      </c>
      <c r="C95" s="621" t="s">
        <v>150</v>
      </c>
      <c r="E95" s="621" t="s">
        <v>1353</v>
      </c>
      <c r="F95" s="621" t="s">
        <v>183</v>
      </c>
      <c r="H95" s="714">
        <f>+'Schedule 8 Other Deferred'!E102</f>
        <v>-675516.95284699998</v>
      </c>
      <c r="I95" s="768"/>
      <c r="J95" s="768">
        <v>-675516.95284699998</v>
      </c>
      <c r="K95" s="758"/>
      <c r="L95" s="768">
        <f>H95-J95</f>
        <v>0</v>
      </c>
    </row>
    <row r="96" spans="1:12">
      <c r="A96" s="657">
        <f t="shared" si="2"/>
        <v>87</v>
      </c>
      <c r="H96" s="714"/>
      <c r="I96" s="768"/>
      <c r="J96" s="768"/>
      <c r="K96" s="758"/>
      <c r="L96" s="768"/>
    </row>
    <row r="97" spans="1:12" ht="15" thickBot="1">
      <c r="A97" s="657">
        <f t="shared" si="2"/>
        <v>88</v>
      </c>
      <c r="C97" s="622" t="s">
        <v>211</v>
      </c>
      <c r="F97" s="691" t="s">
        <v>1292</v>
      </c>
      <c r="H97" s="776">
        <f>+H74+H78+H80+H89+H93+H95</f>
        <v>-29936079.398626022</v>
      </c>
      <c r="I97" s="776">
        <f t="shared" ref="I97" si="5">+I74+I61+I78+I80+I89+I93+I95</f>
        <v>0</v>
      </c>
      <c r="J97" s="776">
        <f>+J74+J78+J80+J89+J93+J95</f>
        <v>-19274724.729192026</v>
      </c>
      <c r="K97" s="758"/>
      <c r="L97" s="776">
        <f>H97-J97</f>
        <v>-10661354.669433996</v>
      </c>
    </row>
    <row r="98" spans="1:12" ht="15" thickTop="1">
      <c r="A98" s="657">
        <f t="shared" si="2"/>
        <v>89</v>
      </c>
      <c r="H98" s="714"/>
      <c r="I98" s="768"/>
      <c r="J98" s="768"/>
      <c r="K98" s="758"/>
      <c r="L98" s="768"/>
    </row>
    <row r="99" spans="1:12" ht="15" thickBot="1">
      <c r="A99" s="657">
        <f t="shared" si="2"/>
        <v>90</v>
      </c>
      <c r="B99" s="622" t="s">
        <v>212</v>
      </c>
      <c r="F99" s="621" t="s">
        <v>651</v>
      </c>
      <c r="H99" s="721">
        <f>+H97+H69</f>
        <v>420757128.47529781</v>
      </c>
      <c r="I99" s="776"/>
      <c r="J99" s="776">
        <f>+J97+J69</f>
        <v>428234181.99987131</v>
      </c>
      <c r="K99" s="758"/>
      <c r="L99" s="776">
        <f>H99-J99</f>
        <v>-7477053.5245735049</v>
      </c>
    </row>
    <row r="100" spans="1:12" ht="15.6" thickTop="1" thickBot="1">
      <c r="A100" s="657">
        <f t="shared" si="2"/>
        <v>91</v>
      </c>
      <c r="H100" s="714"/>
      <c r="I100" s="768"/>
      <c r="J100" s="768"/>
      <c r="K100" s="758"/>
      <c r="L100" s="768"/>
    </row>
    <row r="101" spans="1:12" ht="15" thickBot="1">
      <c r="A101" s="657">
        <f t="shared" si="2"/>
        <v>92</v>
      </c>
      <c r="B101" s="766" t="s">
        <v>706</v>
      </c>
      <c r="C101" s="759"/>
      <c r="D101" s="759"/>
      <c r="E101" s="759"/>
      <c r="F101" s="759"/>
      <c r="G101" s="759"/>
      <c r="H101" s="790"/>
      <c r="I101" s="790"/>
      <c r="J101" s="759"/>
      <c r="K101" s="759"/>
      <c r="L101" s="787"/>
    </row>
    <row r="102" spans="1:12">
      <c r="A102" s="657">
        <f t="shared" si="2"/>
        <v>93</v>
      </c>
      <c r="H102" s="714"/>
      <c r="I102" s="768"/>
      <c r="J102" s="768"/>
      <c r="K102" s="758"/>
      <c r="L102" s="768"/>
    </row>
    <row r="103" spans="1:12">
      <c r="A103" s="657">
        <f t="shared" si="2"/>
        <v>94</v>
      </c>
      <c r="C103" s="622" t="s">
        <v>213</v>
      </c>
      <c r="H103" s="714"/>
      <c r="I103" s="768"/>
      <c r="J103" s="768"/>
      <c r="K103" s="758"/>
      <c r="L103" s="768"/>
    </row>
    <row r="104" spans="1:12">
      <c r="A104" s="657">
        <f t="shared" si="2"/>
        <v>95</v>
      </c>
      <c r="D104" s="621" t="s">
        <v>213</v>
      </c>
      <c r="F104" s="621" t="s">
        <v>214</v>
      </c>
      <c r="H104" s="714">
        <f>+'FERC Form 1 Inputs'!J46</f>
        <v>37692212</v>
      </c>
      <c r="I104" s="768"/>
      <c r="J104" s="768">
        <v>37692212</v>
      </c>
      <c r="K104" s="758"/>
      <c r="L104" s="768">
        <f>H104-J104</f>
        <v>0</v>
      </c>
    </row>
    <row r="105" spans="1:12">
      <c r="A105" s="657">
        <f t="shared" si="2"/>
        <v>96</v>
      </c>
      <c r="D105" s="658" t="s">
        <v>815</v>
      </c>
      <c r="F105" s="621" t="s">
        <v>1293</v>
      </c>
      <c r="H105" s="714">
        <f>+'FERC Form 1 Inputs'!J38+'FERC Form 1 Inputs'!J39+'FERC Form 1 Inputs'!J40+'FERC Form 1 Inputs'!J41+'FERC Form 1 Inputs'!J42+'FERC Form 1 Inputs'!J43+'FERC Form 1 Inputs'!J44</f>
        <v>850115</v>
      </c>
      <c r="I105" s="768"/>
      <c r="J105" s="768">
        <v>850115</v>
      </c>
      <c r="K105" s="758"/>
      <c r="L105" s="768">
        <f>H105-J105</f>
        <v>0</v>
      </c>
    </row>
    <row r="106" spans="1:12">
      <c r="A106" s="657">
        <f t="shared" si="2"/>
        <v>97</v>
      </c>
      <c r="D106" s="658" t="s">
        <v>248</v>
      </c>
      <c r="F106" s="621" t="s">
        <v>215</v>
      </c>
      <c r="H106" s="714">
        <f>+'FERC Form 1 Inputs'!J45</f>
        <v>16931068</v>
      </c>
      <c r="I106" s="768"/>
      <c r="J106" s="768">
        <v>16931068</v>
      </c>
      <c r="K106" s="758"/>
      <c r="L106" s="768">
        <f>H106-J106</f>
        <v>0</v>
      </c>
    </row>
    <row r="107" spans="1:12">
      <c r="A107" s="657">
        <f t="shared" si="2"/>
        <v>98</v>
      </c>
      <c r="D107" s="658" t="s">
        <v>1041</v>
      </c>
      <c r="F107" s="621" t="s">
        <v>617</v>
      </c>
      <c r="H107" s="715">
        <f>+'Schedule 13 Direct Assignment'!M82</f>
        <v>183113.1761638959</v>
      </c>
      <c r="I107" s="769"/>
      <c r="J107" s="769">
        <v>183113.1761638959</v>
      </c>
      <c r="K107" s="758"/>
      <c r="L107" s="769">
        <f>H107-J107</f>
        <v>0</v>
      </c>
    </row>
    <row r="108" spans="1:12">
      <c r="A108" s="657">
        <f t="shared" si="2"/>
        <v>99</v>
      </c>
      <c r="D108" s="622" t="s">
        <v>213</v>
      </c>
      <c r="F108" s="621" t="s">
        <v>1294</v>
      </c>
      <c r="H108" s="717">
        <f>+H104-H106-H105-H107</f>
        <v>19727915.823836103</v>
      </c>
      <c r="I108" s="771"/>
      <c r="J108" s="771">
        <f>+J104-J106-J105-J107</f>
        <v>19727915.823836103</v>
      </c>
      <c r="K108" s="758"/>
      <c r="L108" s="768">
        <f>H108-J108</f>
        <v>0</v>
      </c>
    </row>
    <row r="109" spans="1:12">
      <c r="A109" s="657">
        <f t="shared" si="2"/>
        <v>100</v>
      </c>
      <c r="C109" s="622"/>
      <c r="H109" s="717"/>
      <c r="I109" s="771"/>
      <c r="J109" s="758"/>
      <c r="K109" s="758"/>
      <c r="L109" s="758"/>
    </row>
    <row r="110" spans="1:12">
      <c r="A110" s="657">
        <f t="shared" si="2"/>
        <v>101</v>
      </c>
      <c r="C110" s="622" t="s">
        <v>216</v>
      </c>
      <c r="H110" s="717"/>
      <c r="I110" s="771"/>
      <c r="J110" s="758"/>
      <c r="K110" s="758"/>
      <c r="L110" s="758"/>
    </row>
    <row r="111" spans="1:12">
      <c r="A111" s="657">
        <f t="shared" si="2"/>
        <v>102</v>
      </c>
      <c r="D111" s="658" t="s">
        <v>217</v>
      </c>
      <c r="F111" s="621" t="s">
        <v>223</v>
      </c>
      <c r="H111" s="714">
        <f>+'Schedule 9 O&amp;M'!D118</f>
        <v>140516457</v>
      </c>
      <c r="I111" s="768"/>
      <c r="J111" s="768">
        <v>140516457</v>
      </c>
      <c r="K111" s="758"/>
      <c r="L111" s="768">
        <f>H111-J111</f>
        <v>0</v>
      </c>
    </row>
    <row r="112" spans="1:12">
      <c r="A112" s="657">
        <f t="shared" si="2"/>
        <v>103</v>
      </c>
      <c r="D112" s="658" t="s">
        <v>219</v>
      </c>
      <c r="F112" s="621" t="s">
        <v>220</v>
      </c>
      <c r="H112" s="714">
        <f>+'FERC Form 1 Inputs'!J47</f>
        <v>2741216</v>
      </c>
      <c r="I112" s="768"/>
      <c r="J112" s="768">
        <v>2741216</v>
      </c>
      <c r="K112" s="758"/>
      <c r="L112" s="768">
        <f t="shared" ref="L112:L125" si="6">H112-J112</f>
        <v>0</v>
      </c>
    </row>
    <row r="113" spans="1:12">
      <c r="A113" s="657">
        <f t="shared" si="2"/>
        <v>104</v>
      </c>
      <c r="D113" s="658" t="s">
        <v>221</v>
      </c>
      <c r="E113" s="621" t="s">
        <v>992</v>
      </c>
      <c r="F113" s="621" t="s">
        <v>222</v>
      </c>
      <c r="H113" s="714">
        <f>+'FERC Form 1 Inputs'!J48</f>
        <v>27366316</v>
      </c>
      <c r="I113" s="768"/>
      <c r="J113" s="768">
        <v>27366316</v>
      </c>
      <c r="K113" s="758"/>
      <c r="L113" s="768">
        <f t="shared" si="6"/>
        <v>0</v>
      </c>
    </row>
    <row r="114" spans="1:12">
      <c r="A114" s="657">
        <f t="shared" si="2"/>
        <v>105</v>
      </c>
      <c r="D114" s="658" t="s">
        <v>707</v>
      </c>
      <c r="E114" s="621" t="s">
        <v>993</v>
      </c>
      <c r="F114" s="621" t="s">
        <v>223</v>
      </c>
      <c r="H114" s="714">
        <f>+'Schedule 9 O&amp;M'!D66</f>
        <v>4778506.01</v>
      </c>
      <c r="I114" s="768"/>
      <c r="J114" s="768">
        <v>4778506.01</v>
      </c>
      <c r="K114" s="758"/>
      <c r="L114" s="768">
        <f t="shared" si="6"/>
        <v>0</v>
      </c>
    </row>
    <row r="115" spans="1:12">
      <c r="A115" s="657">
        <f t="shared" si="2"/>
        <v>106</v>
      </c>
      <c r="D115" s="658" t="s">
        <v>1028</v>
      </c>
      <c r="F115" s="621" t="s">
        <v>223</v>
      </c>
      <c r="H115" s="717">
        <f>+'Schedule 9 O&amp;M'!D40</f>
        <v>4393815.9800000004</v>
      </c>
      <c r="I115" s="771"/>
      <c r="J115" s="771">
        <v>4393815.9800000004</v>
      </c>
      <c r="K115" s="758"/>
      <c r="L115" s="768">
        <f t="shared" si="6"/>
        <v>0</v>
      </c>
    </row>
    <row r="116" spans="1:12">
      <c r="A116" s="657">
        <f t="shared" si="2"/>
        <v>107</v>
      </c>
      <c r="D116" s="658" t="s">
        <v>1029</v>
      </c>
      <c r="F116" s="621" t="s">
        <v>223</v>
      </c>
      <c r="H116" s="717">
        <f>+'Schedule 9 O&amp;M'!D134</f>
        <v>754577.78675742843</v>
      </c>
      <c r="I116" s="771"/>
      <c r="J116" s="771">
        <v>754577.78675742843</v>
      </c>
      <c r="K116" s="758"/>
      <c r="L116" s="768">
        <f t="shared" si="6"/>
        <v>0</v>
      </c>
    </row>
    <row r="117" spans="1:12">
      <c r="A117" s="657">
        <f t="shared" si="2"/>
        <v>108</v>
      </c>
      <c r="D117" s="658" t="s">
        <v>242</v>
      </c>
      <c r="F117" s="629" t="s">
        <v>223</v>
      </c>
      <c r="H117" s="717">
        <f>+'Schedule 9 O&amp;M'!D97</f>
        <v>1426315</v>
      </c>
      <c r="I117" s="771"/>
      <c r="J117" s="771">
        <v>1426315</v>
      </c>
      <c r="K117" s="758"/>
      <c r="L117" s="768">
        <f t="shared" si="6"/>
        <v>0</v>
      </c>
    </row>
    <row r="118" spans="1:12">
      <c r="A118" s="657">
        <f t="shared" si="2"/>
        <v>109</v>
      </c>
      <c r="D118" s="658" t="s">
        <v>243</v>
      </c>
      <c r="F118" s="621" t="s">
        <v>223</v>
      </c>
      <c r="H118" s="719">
        <f>+'Schedule 9 O&amp;M'!D50</f>
        <v>-11399616</v>
      </c>
      <c r="I118" s="774"/>
      <c r="J118" s="774">
        <v>-11399616</v>
      </c>
      <c r="K118" s="758"/>
      <c r="L118" s="769">
        <f t="shared" si="6"/>
        <v>0</v>
      </c>
    </row>
    <row r="119" spans="1:12">
      <c r="A119" s="657">
        <f t="shared" si="2"/>
        <v>110</v>
      </c>
      <c r="D119" s="622" t="s">
        <v>217</v>
      </c>
      <c r="H119" s="717">
        <f>H111-H112-H113-H114-H116+H117+H118-H115</f>
        <v>90508724.223242566</v>
      </c>
      <c r="I119" s="771"/>
      <c r="J119" s="771">
        <f>J111-J112-J113-J114-J116+J117+J118-J115</f>
        <v>90508724.223242566</v>
      </c>
      <c r="K119" s="758"/>
      <c r="L119" s="771">
        <f>L111-L112-L113-L114-L116+L117+L118-L115</f>
        <v>0</v>
      </c>
    </row>
    <row r="120" spans="1:12">
      <c r="A120" s="657">
        <f t="shared" si="2"/>
        <v>111</v>
      </c>
      <c r="D120" s="621" t="s">
        <v>147</v>
      </c>
      <c r="F120" s="621" t="s">
        <v>644</v>
      </c>
      <c r="H120" s="723">
        <f>+H17</f>
        <v>5.6599999999999998E-2</v>
      </c>
      <c r="I120" s="779"/>
      <c r="J120" s="779">
        <v>5.6599999999999998E-2</v>
      </c>
      <c r="K120" s="758"/>
      <c r="L120" s="773">
        <f t="shared" si="6"/>
        <v>0</v>
      </c>
    </row>
    <row r="121" spans="1:12">
      <c r="A121" s="657">
        <f t="shared" si="2"/>
        <v>112</v>
      </c>
      <c r="D121" s="622" t="s">
        <v>708</v>
      </c>
      <c r="F121" s="621" t="s">
        <v>1295</v>
      </c>
      <c r="H121" s="717">
        <f>+H119*H120</f>
        <v>5122793.7910355292</v>
      </c>
      <c r="I121" s="771"/>
      <c r="J121" s="771">
        <f>+J119*J120</f>
        <v>5122793.7910355292</v>
      </c>
      <c r="K121" s="758"/>
      <c r="L121" s="768">
        <f t="shared" si="6"/>
        <v>0</v>
      </c>
    </row>
    <row r="122" spans="1:12">
      <c r="A122" s="657">
        <f t="shared" si="2"/>
        <v>113</v>
      </c>
      <c r="H122" s="717"/>
      <c r="I122" s="771"/>
      <c r="J122" s="758"/>
      <c r="K122" s="758"/>
      <c r="L122" s="758"/>
    </row>
    <row r="123" spans="1:12">
      <c r="A123" s="657">
        <f t="shared" si="2"/>
        <v>114</v>
      </c>
      <c r="D123" s="621" t="s">
        <v>244</v>
      </c>
      <c r="F123" s="621" t="s">
        <v>1296</v>
      </c>
      <c r="H123" s="717">
        <f>+H112</f>
        <v>2741216</v>
      </c>
      <c r="I123" s="771"/>
      <c r="J123" s="771">
        <v>2741216</v>
      </c>
      <c r="K123" s="758"/>
      <c r="L123" s="768">
        <f>H123-J123</f>
        <v>0</v>
      </c>
    </row>
    <row r="124" spans="1:12">
      <c r="A124" s="657">
        <f t="shared" si="2"/>
        <v>115</v>
      </c>
      <c r="D124" s="621" t="s">
        <v>245</v>
      </c>
      <c r="F124" s="621" t="s">
        <v>654</v>
      </c>
      <c r="H124" s="723">
        <f>+H28</f>
        <v>0.1459</v>
      </c>
      <c r="I124" s="779"/>
      <c r="J124" s="779">
        <v>0.1449</v>
      </c>
      <c r="K124" s="758"/>
      <c r="L124" s="778">
        <f t="shared" si="6"/>
        <v>1.0000000000000009E-3</v>
      </c>
    </row>
    <row r="125" spans="1:12">
      <c r="A125" s="657">
        <f t="shared" si="2"/>
        <v>116</v>
      </c>
      <c r="D125" s="622" t="s">
        <v>246</v>
      </c>
      <c r="F125" s="621" t="s">
        <v>1297</v>
      </c>
      <c r="H125" s="717">
        <f>+H123*H124</f>
        <v>399943.41440000001</v>
      </c>
      <c r="I125" s="771"/>
      <c r="J125" s="771">
        <f>+J123*J124</f>
        <v>397202.19839999999</v>
      </c>
      <c r="K125" s="758"/>
      <c r="L125" s="731">
        <f t="shared" si="6"/>
        <v>2741.2160000000149</v>
      </c>
    </row>
    <row r="126" spans="1:12">
      <c r="A126" s="657">
        <f t="shared" si="2"/>
        <v>117</v>
      </c>
      <c r="C126" s="622"/>
      <c r="F126" s="691"/>
      <c r="H126" s="717"/>
      <c r="I126" s="771"/>
      <c r="J126" s="758"/>
      <c r="K126" s="758"/>
      <c r="L126" s="758"/>
    </row>
    <row r="127" spans="1:12" ht="15" thickBot="1">
      <c r="A127" s="657">
        <f t="shared" si="2"/>
        <v>118</v>
      </c>
      <c r="C127" s="622" t="s">
        <v>247</v>
      </c>
      <c r="F127" s="621" t="s">
        <v>1298</v>
      </c>
      <c r="H127" s="720">
        <f>+H125+H121+H108</f>
        <v>25250653.029271632</v>
      </c>
      <c r="I127" s="775"/>
      <c r="J127" s="775">
        <f>+J125+J121+J108</f>
        <v>25247911.813271634</v>
      </c>
      <c r="K127" s="758"/>
      <c r="L127" s="776">
        <f>H127-J127</f>
        <v>2741.2159999981523</v>
      </c>
    </row>
    <row r="128" spans="1:12" ht="15.6" thickTop="1" thickBot="1">
      <c r="A128" s="657">
        <f t="shared" si="2"/>
        <v>119</v>
      </c>
      <c r="H128" s="717"/>
      <c r="I128" s="771"/>
      <c r="J128" s="758"/>
      <c r="K128" s="758"/>
      <c r="L128" s="758"/>
    </row>
    <row r="129" spans="1:12" ht="15" thickBot="1">
      <c r="A129" s="657">
        <f t="shared" si="2"/>
        <v>120</v>
      </c>
      <c r="C129" s="766" t="s">
        <v>249</v>
      </c>
      <c r="D129" s="759"/>
      <c r="E129" s="759"/>
      <c r="F129" s="759"/>
      <c r="G129" s="759"/>
      <c r="H129" s="759"/>
      <c r="I129" s="759"/>
      <c r="J129" s="791"/>
      <c r="K129" s="759"/>
      <c r="L129" s="772"/>
    </row>
    <row r="130" spans="1:12">
      <c r="A130" s="657">
        <f t="shared" si="2"/>
        <v>121</v>
      </c>
      <c r="C130" s="622"/>
      <c r="H130" s="717"/>
      <c r="I130" s="771"/>
      <c r="J130" s="758"/>
      <c r="K130" s="758"/>
      <c r="L130" s="758"/>
    </row>
    <row r="131" spans="1:12">
      <c r="A131" s="657">
        <f t="shared" si="2"/>
        <v>122</v>
      </c>
      <c r="C131" s="622" t="s">
        <v>249</v>
      </c>
      <c r="H131" s="717"/>
      <c r="I131" s="771"/>
      <c r="J131" s="758"/>
      <c r="K131" s="758"/>
      <c r="L131" s="758"/>
    </row>
    <row r="132" spans="1:12">
      <c r="A132" s="657">
        <f t="shared" si="2"/>
        <v>123</v>
      </c>
      <c r="D132" s="621" t="s">
        <v>250</v>
      </c>
      <c r="E132" s="621" t="s">
        <v>1354</v>
      </c>
      <c r="F132" s="621" t="s">
        <v>251</v>
      </c>
      <c r="H132" s="714">
        <f>+'FERC Form 1 Inputs'!J51</f>
        <v>17058649</v>
      </c>
      <c r="I132" s="768"/>
      <c r="J132" s="768">
        <v>14575510</v>
      </c>
      <c r="K132" s="758"/>
      <c r="L132" s="768">
        <f>H132-J132</f>
        <v>2483139</v>
      </c>
    </row>
    <row r="133" spans="1:12">
      <c r="A133" s="657">
        <f t="shared" si="2"/>
        <v>124</v>
      </c>
      <c r="D133" s="621" t="s">
        <v>1299</v>
      </c>
      <c r="E133" s="621" t="s">
        <v>1354</v>
      </c>
      <c r="F133" s="621" t="s">
        <v>580</v>
      </c>
      <c r="H133" s="714">
        <f>+'Schedule 1B - Projected Plant'!L81</f>
        <v>0</v>
      </c>
      <c r="I133" s="768"/>
      <c r="J133" s="768">
        <v>1393405.9420399796</v>
      </c>
      <c r="K133" s="758"/>
      <c r="L133" s="768">
        <f>H133-J133</f>
        <v>-1393405.9420399796</v>
      </c>
    </row>
    <row r="134" spans="1:12">
      <c r="A134" s="657">
        <f t="shared" si="2"/>
        <v>125</v>
      </c>
      <c r="H134" s="714"/>
      <c r="I134" s="768"/>
      <c r="J134" s="768"/>
      <c r="K134" s="758"/>
      <c r="L134" s="768"/>
    </row>
    <row r="135" spans="1:12">
      <c r="A135" s="657">
        <f t="shared" si="2"/>
        <v>126</v>
      </c>
      <c r="D135" s="628" t="s">
        <v>1045</v>
      </c>
      <c r="E135" s="621" t="s">
        <v>1354</v>
      </c>
      <c r="F135" s="629" t="s">
        <v>1046</v>
      </c>
      <c r="H135" s="714">
        <f>+'Schedule 1C - Settlement Adjust'!C241</f>
        <v>49257.289125412513</v>
      </c>
      <c r="I135" s="768"/>
      <c r="J135" s="768">
        <v>49257.289125412513</v>
      </c>
      <c r="K135" s="758"/>
      <c r="L135" s="768">
        <f>H135-J135</f>
        <v>0</v>
      </c>
    </row>
    <row r="136" spans="1:12">
      <c r="A136" s="657">
        <f t="shared" si="2"/>
        <v>127</v>
      </c>
      <c r="D136" s="621" t="s">
        <v>616</v>
      </c>
      <c r="E136" s="621" t="s">
        <v>1354</v>
      </c>
      <c r="F136" s="621" t="s">
        <v>617</v>
      </c>
      <c r="H136" s="715">
        <f>+'Schedule 13 Direct Assignment'!M71</f>
        <v>2075786.6282936702</v>
      </c>
      <c r="I136" s="769"/>
      <c r="J136" s="769">
        <v>2000547.3068576106</v>
      </c>
      <c r="K136" s="758"/>
      <c r="L136" s="769">
        <f>H136-J136</f>
        <v>75239.321436059661</v>
      </c>
    </row>
    <row r="137" spans="1:12">
      <c r="A137" s="657">
        <f t="shared" si="2"/>
        <v>128</v>
      </c>
      <c r="D137" s="622" t="s">
        <v>252</v>
      </c>
      <c r="F137" s="621" t="s">
        <v>1300</v>
      </c>
      <c r="H137" s="714">
        <f>+H132+H133-H135-H136</f>
        <v>14933605.082580917</v>
      </c>
      <c r="I137" s="768"/>
      <c r="J137" s="768">
        <f>+J132+J133-J135-J136</f>
        <v>13919111.346056957</v>
      </c>
      <c r="K137" s="758"/>
      <c r="L137" s="768">
        <f>+L132+L133-L135-L136</f>
        <v>1014493.7365239607</v>
      </c>
    </row>
    <row r="138" spans="1:12">
      <c r="A138" s="657">
        <f t="shared" si="2"/>
        <v>129</v>
      </c>
      <c r="H138" s="714"/>
      <c r="I138" s="768"/>
      <c r="J138" s="768"/>
      <c r="K138" s="758"/>
      <c r="L138" s="768"/>
    </row>
    <row r="139" spans="1:12">
      <c r="A139" s="657">
        <f t="shared" si="2"/>
        <v>130</v>
      </c>
      <c r="D139" s="621" t="s">
        <v>253</v>
      </c>
      <c r="E139" s="621" t="s">
        <v>1354</v>
      </c>
      <c r="F139" s="621" t="s">
        <v>255</v>
      </c>
      <c r="H139" s="714">
        <f>+'FERC Form 1 Inputs'!J52</f>
        <v>6556650</v>
      </c>
      <c r="I139" s="768"/>
      <c r="J139" s="768">
        <v>6556650</v>
      </c>
      <c r="K139" s="758"/>
      <c r="L139" s="768">
        <f t="shared" ref="L139:L145" si="7">H139-J139</f>
        <v>0</v>
      </c>
    </row>
    <row r="140" spans="1:12">
      <c r="A140" s="657">
        <f t="shared" ref="A140:A204" si="8">+A139+1</f>
        <v>131</v>
      </c>
      <c r="D140" s="621" t="s">
        <v>254</v>
      </c>
      <c r="E140" s="621" t="s">
        <v>1354</v>
      </c>
      <c r="F140" s="621" t="s">
        <v>256</v>
      </c>
      <c r="H140" s="714">
        <f>+'FERC Form 1 Inputs'!J50</f>
        <v>2036448</v>
      </c>
      <c r="I140" s="768"/>
      <c r="J140" s="768">
        <v>2036448</v>
      </c>
      <c r="K140" s="758"/>
      <c r="L140" s="768">
        <f t="shared" si="7"/>
        <v>0</v>
      </c>
    </row>
    <row r="141" spans="1:12">
      <c r="A141" s="657">
        <f t="shared" si="8"/>
        <v>132</v>
      </c>
      <c r="D141" s="621" t="s">
        <v>299</v>
      </c>
      <c r="E141" s="621" t="s">
        <v>1354</v>
      </c>
      <c r="F141" s="621" t="s">
        <v>223</v>
      </c>
      <c r="H141" s="717">
        <f>+'Schedule 9 O&amp;M'!D53</f>
        <v>3439331</v>
      </c>
      <c r="I141" s="771"/>
      <c r="J141" s="771">
        <v>3439331</v>
      </c>
      <c r="K141" s="758"/>
      <c r="L141" s="768">
        <f t="shared" si="7"/>
        <v>0</v>
      </c>
    </row>
    <row r="142" spans="1:12">
      <c r="A142" s="657">
        <f t="shared" si="8"/>
        <v>133</v>
      </c>
      <c r="D142" s="621" t="s">
        <v>300</v>
      </c>
      <c r="E142" s="621" t="s">
        <v>1354</v>
      </c>
      <c r="F142" s="621" t="s">
        <v>223</v>
      </c>
      <c r="H142" s="719">
        <f>+'Schedule 9 O&amp;M'!D54</f>
        <v>7448666</v>
      </c>
      <c r="I142" s="774"/>
      <c r="J142" s="774">
        <v>7448666</v>
      </c>
      <c r="K142" s="758"/>
      <c r="L142" s="769">
        <f t="shared" si="7"/>
        <v>0</v>
      </c>
    </row>
    <row r="143" spans="1:12">
      <c r="A143" s="657">
        <f t="shared" si="8"/>
        <v>134</v>
      </c>
      <c r="D143" s="621" t="s">
        <v>257</v>
      </c>
      <c r="F143" s="621" t="s">
        <v>1301</v>
      </c>
      <c r="H143" s="717">
        <f>SUM(H139:H142)</f>
        <v>19481095</v>
      </c>
      <c r="I143" s="771"/>
      <c r="J143" s="771">
        <f>SUM(J139:J142)</f>
        <v>19481095</v>
      </c>
      <c r="K143" s="758"/>
      <c r="L143" s="731">
        <f t="shared" si="7"/>
        <v>0</v>
      </c>
    </row>
    <row r="144" spans="1:12">
      <c r="A144" s="657">
        <f t="shared" si="8"/>
        <v>135</v>
      </c>
      <c r="D144" s="621" t="s">
        <v>59</v>
      </c>
      <c r="F144" s="621" t="s">
        <v>644</v>
      </c>
      <c r="H144" s="723">
        <f>+H17</f>
        <v>5.6599999999999998E-2</v>
      </c>
      <c r="I144" s="779"/>
      <c r="J144" s="779">
        <v>5.6599999999999998E-2</v>
      </c>
      <c r="K144" s="758"/>
      <c r="L144" s="773">
        <f t="shared" si="7"/>
        <v>0</v>
      </c>
    </row>
    <row r="145" spans="1:12">
      <c r="A145" s="657">
        <f t="shared" si="8"/>
        <v>136</v>
      </c>
      <c r="D145" s="621" t="s">
        <v>258</v>
      </c>
      <c r="F145" s="621" t="s">
        <v>1302</v>
      </c>
      <c r="H145" s="717">
        <f>+H143*H144</f>
        <v>1102629.977</v>
      </c>
      <c r="I145" s="771"/>
      <c r="J145" s="771">
        <f>+J143*J144</f>
        <v>1102629.977</v>
      </c>
      <c r="K145" s="758"/>
      <c r="L145" s="731">
        <f t="shared" si="7"/>
        <v>0</v>
      </c>
    </row>
    <row r="146" spans="1:12">
      <c r="A146" s="657">
        <f t="shared" si="8"/>
        <v>137</v>
      </c>
      <c r="C146" s="622"/>
      <c r="H146" s="717"/>
      <c r="I146" s="771"/>
      <c r="J146" s="758"/>
      <c r="K146" s="758"/>
      <c r="L146" s="758"/>
    </row>
    <row r="147" spans="1:12" ht="15" thickBot="1">
      <c r="A147" s="657">
        <f t="shared" si="8"/>
        <v>138</v>
      </c>
      <c r="C147" s="622" t="s">
        <v>259</v>
      </c>
      <c r="F147" s="621" t="s">
        <v>1303</v>
      </c>
      <c r="H147" s="720">
        <f>+H145+H137</f>
        <v>16036235.059580917</v>
      </c>
      <c r="I147" s="775"/>
      <c r="J147" s="775">
        <f>+J145+J137</f>
        <v>15021741.323056957</v>
      </c>
      <c r="K147" s="758"/>
      <c r="L147" s="776">
        <f>H147-J147</f>
        <v>1014493.7365239598</v>
      </c>
    </row>
    <row r="148" spans="1:12" ht="15.6" thickTop="1" thickBot="1">
      <c r="A148" s="657">
        <f t="shared" si="8"/>
        <v>139</v>
      </c>
      <c r="H148" s="717"/>
      <c r="I148" s="771"/>
      <c r="J148" s="758"/>
      <c r="K148" s="758"/>
      <c r="L148" s="758"/>
    </row>
    <row r="149" spans="1:12" ht="15" thickBot="1">
      <c r="A149" s="657">
        <f t="shared" si="8"/>
        <v>140</v>
      </c>
      <c r="C149" s="766" t="s">
        <v>260</v>
      </c>
      <c r="D149" s="759"/>
      <c r="E149" s="759"/>
      <c r="F149" s="759"/>
      <c r="G149" s="759"/>
      <c r="H149" s="759"/>
      <c r="I149" s="759"/>
      <c r="J149" s="791"/>
      <c r="K149" s="759"/>
      <c r="L149" s="772"/>
    </row>
    <row r="150" spans="1:12">
      <c r="A150" s="657">
        <f t="shared" si="8"/>
        <v>141</v>
      </c>
      <c r="C150" s="645"/>
      <c r="D150" s="646"/>
      <c r="E150" s="646"/>
      <c r="F150" s="646"/>
      <c r="G150" s="646"/>
      <c r="H150" s="646"/>
      <c r="I150" s="761"/>
      <c r="J150" s="758"/>
      <c r="K150" s="758"/>
      <c r="L150" s="758"/>
    </row>
    <row r="151" spans="1:12">
      <c r="A151" s="657">
        <f t="shared" si="8"/>
        <v>142</v>
      </c>
      <c r="C151" s="622" t="s">
        <v>294</v>
      </c>
      <c r="H151" s="717"/>
      <c r="I151" s="771"/>
      <c r="J151" s="758"/>
      <c r="K151" s="758"/>
      <c r="L151" s="758"/>
    </row>
    <row r="152" spans="1:12">
      <c r="A152" s="657">
        <f t="shared" si="8"/>
        <v>143</v>
      </c>
      <c r="D152" s="621" t="s">
        <v>297</v>
      </c>
      <c r="F152" s="621" t="s">
        <v>295</v>
      </c>
      <c r="H152" s="717">
        <f>+'Schedule 10 TOTI'!D21</f>
        <v>401223.30660000001</v>
      </c>
      <c r="I152" s="771"/>
      <c r="J152" s="771">
        <v>401223.30660000001</v>
      </c>
      <c r="K152" s="758"/>
      <c r="L152" s="768">
        <f>H152-J152</f>
        <v>0</v>
      </c>
    </row>
    <row r="153" spans="1:12">
      <c r="A153" s="657">
        <f t="shared" si="8"/>
        <v>144</v>
      </c>
      <c r="D153" s="621" t="s">
        <v>296</v>
      </c>
      <c r="F153" s="621" t="s">
        <v>295</v>
      </c>
      <c r="H153" s="717">
        <f>+'Schedule 10 TOTI'!D33</f>
        <v>3825608.2350553866</v>
      </c>
      <c r="I153" s="771"/>
      <c r="J153" s="771">
        <v>3934632.2369019384</v>
      </c>
      <c r="K153" s="758"/>
      <c r="L153" s="768">
        <f>H153-J153</f>
        <v>-109024.0018465519</v>
      </c>
    </row>
    <row r="154" spans="1:12" ht="15" thickBot="1">
      <c r="A154" s="657">
        <f t="shared" si="8"/>
        <v>145</v>
      </c>
      <c r="D154" s="621" t="s">
        <v>1304</v>
      </c>
      <c r="F154" s="621" t="s">
        <v>295</v>
      </c>
      <c r="H154" s="719">
        <f>+'Schedule 10 TOTI'!E44</f>
        <v>867700.16377857048</v>
      </c>
      <c r="I154" s="774"/>
      <c r="J154" s="774">
        <v>867700.16377857048</v>
      </c>
      <c r="K154" s="758"/>
      <c r="L154" s="776">
        <f>H154-J154</f>
        <v>0</v>
      </c>
    </row>
    <row r="155" spans="1:12" ht="15" thickTop="1">
      <c r="A155" s="657">
        <f t="shared" si="8"/>
        <v>146</v>
      </c>
      <c r="C155" s="622"/>
      <c r="H155" s="717"/>
      <c r="I155" s="771"/>
      <c r="J155" s="758"/>
      <c r="K155" s="758"/>
      <c r="L155" s="758"/>
    </row>
    <row r="156" spans="1:12" ht="15" thickBot="1">
      <c r="A156" s="657">
        <f t="shared" si="8"/>
        <v>147</v>
      </c>
      <c r="C156" s="645" t="s">
        <v>292</v>
      </c>
      <c r="D156" s="646"/>
      <c r="E156" s="646"/>
      <c r="F156" s="646" t="s">
        <v>1305</v>
      </c>
      <c r="G156" s="646"/>
      <c r="H156" s="720">
        <f>SUM(H152:H154)</f>
        <v>5094531.7054339573</v>
      </c>
      <c r="I156" s="775"/>
      <c r="J156" s="775">
        <f>SUM(J152:J154)</f>
        <v>5203555.7072805092</v>
      </c>
      <c r="K156" s="758"/>
      <c r="L156" s="776">
        <f>H156-J156</f>
        <v>-109024.0018465519</v>
      </c>
    </row>
    <row r="157" spans="1:12" ht="15" thickTop="1">
      <c r="A157" s="657">
        <f t="shared" si="8"/>
        <v>148</v>
      </c>
      <c r="H157" s="717"/>
      <c r="I157" s="771"/>
      <c r="J157" s="758"/>
      <c r="K157" s="758"/>
      <c r="L157" s="758"/>
    </row>
    <row r="158" spans="1:12">
      <c r="A158" s="657">
        <f t="shared" si="8"/>
        <v>149</v>
      </c>
      <c r="H158" s="717"/>
      <c r="I158" s="771"/>
      <c r="J158" s="758"/>
      <c r="K158" s="758"/>
      <c r="L158" s="758"/>
    </row>
    <row r="159" spans="1:12">
      <c r="A159" s="657">
        <f t="shared" si="8"/>
        <v>150</v>
      </c>
      <c r="C159" s="646"/>
      <c r="D159" s="646"/>
      <c r="E159" s="646"/>
      <c r="F159" s="646"/>
      <c r="G159" s="646"/>
      <c r="H159" s="717"/>
      <c r="I159" s="771"/>
      <c r="J159" s="758"/>
      <c r="K159" s="758"/>
      <c r="L159" s="758"/>
    </row>
    <row r="160" spans="1:12" ht="15" thickBot="1">
      <c r="A160" s="657">
        <f t="shared" si="8"/>
        <v>151</v>
      </c>
      <c r="C160" s="645"/>
      <c r="D160" s="646"/>
      <c r="E160" s="646"/>
      <c r="F160" s="646"/>
      <c r="G160" s="646"/>
      <c r="H160" s="717"/>
      <c r="I160" s="771"/>
      <c r="J160" s="758"/>
      <c r="K160" s="758"/>
      <c r="L160" s="758"/>
    </row>
    <row r="161" spans="1:12" ht="15" thickBot="1">
      <c r="A161" s="657">
        <f t="shared" si="8"/>
        <v>152</v>
      </c>
      <c r="C161" s="766" t="s">
        <v>328</v>
      </c>
      <c r="D161" s="759"/>
      <c r="E161" s="759"/>
      <c r="F161" s="759"/>
      <c r="G161" s="759"/>
      <c r="H161" s="759"/>
      <c r="I161" s="759"/>
      <c r="J161" s="791"/>
      <c r="K161" s="759"/>
      <c r="L161" s="772"/>
    </row>
    <row r="162" spans="1:12">
      <c r="A162" s="657">
        <f t="shared" si="8"/>
        <v>153</v>
      </c>
      <c r="C162" s="622"/>
      <c r="H162" s="717"/>
      <c r="I162" s="771"/>
      <c r="J162" s="758"/>
      <c r="K162" s="758"/>
      <c r="L162" s="758"/>
    </row>
    <row r="163" spans="1:12">
      <c r="A163" s="657">
        <f t="shared" si="8"/>
        <v>154</v>
      </c>
      <c r="C163" s="622" t="s">
        <v>376</v>
      </c>
      <c r="H163" s="717"/>
      <c r="I163" s="771"/>
      <c r="J163" s="758"/>
      <c r="K163" s="758"/>
      <c r="L163" s="758"/>
    </row>
    <row r="164" spans="1:12">
      <c r="A164" s="657">
        <f t="shared" si="8"/>
        <v>155</v>
      </c>
      <c r="C164" s="622"/>
      <c r="H164" s="717"/>
      <c r="I164" s="771"/>
      <c r="J164" s="758"/>
      <c r="K164" s="758"/>
      <c r="L164" s="758"/>
    </row>
    <row r="165" spans="1:12">
      <c r="A165" s="657">
        <f t="shared" si="8"/>
        <v>156</v>
      </c>
      <c r="C165" s="622"/>
      <c r="H165" s="717"/>
      <c r="I165" s="771"/>
      <c r="J165" s="758"/>
      <c r="K165" s="758"/>
      <c r="L165" s="758"/>
    </row>
    <row r="166" spans="1:12">
      <c r="A166" s="657">
        <f t="shared" si="8"/>
        <v>157</v>
      </c>
      <c r="B166" s="668"/>
      <c r="D166" s="622" t="s">
        <v>331</v>
      </c>
      <c r="H166" s="717"/>
      <c r="I166" s="771"/>
      <c r="J166" s="758"/>
      <c r="K166" s="758"/>
      <c r="L166" s="758"/>
    </row>
    <row r="167" spans="1:12" s="668" customFormat="1">
      <c r="A167" s="657">
        <f t="shared" si="8"/>
        <v>158</v>
      </c>
      <c r="D167" s="668" t="s">
        <v>212</v>
      </c>
      <c r="F167" s="668" t="s">
        <v>658</v>
      </c>
      <c r="H167" s="717">
        <f>+H99</f>
        <v>420757128.47529781</v>
      </c>
      <c r="I167" s="771"/>
      <c r="J167" s="771">
        <v>428234181.99987131</v>
      </c>
      <c r="K167" s="758"/>
      <c r="L167" s="768">
        <f>H167-J167</f>
        <v>-7477053.5245735049</v>
      </c>
    </row>
    <row r="168" spans="1:12" s="668" customFormat="1">
      <c r="A168" s="657">
        <f t="shared" si="8"/>
        <v>159</v>
      </c>
      <c r="D168" s="668" t="s">
        <v>330</v>
      </c>
      <c r="F168" s="668" t="s">
        <v>1306</v>
      </c>
      <c r="H168" s="724">
        <f>+H258</f>
        <v>7.46E-2</v>
      </c>
      <c r="I168" s="780"/>
      <c r="J168" s="780">
        <v>7.46E-2</v>
      </c>
      <c r="K168" s="762"/>
      <c r="L168" s="769">
        <f>H168-J168</f>
        <v>0</v>
      </c>
    </row>
    <row r="169" spans="1:12" s="668" customFormat="1">
      <c r="A169" s="657">
        <f t="shared" si="8"/>
        <v>160</v>
      </c>
      <c r="D169" s="668" t="s">
        <v>329</v>
      </c>
      <c r="F169" s="668" t="s">
        <v>1799</v>
      </c>
      <c r="H169" s="714">
        <f>+H167*H168</f>
        <v>31388481.784257215</v>
      </c>
      <c r="I169" s="768"/>
      <c r="J169" s="768">
        <f>+J167*J168</f>
        <v>31946269.977190401</v>
      </c>
      <c r="K169" s="762"/>
      <c r="L169" s="768">
        <f>H169-J169</f>
        <v>-557788.19293318689</v>
      </c>
    </row>
    <row r="170" spans="1:12" s="668" customFormat="1">
      <c r="A170" s="657">
        <f t="shared" si="8"/>
        <v>161</v>
      </c>
      <c r="D170" s="669"/>
      <c r="H170" s="714"/>
      <c r="I170" s="768"/>
      <c r="J170" s="768"/>
      <c r="K170" s="762"/>
      <c r="L170" s="768"/>
    </row>
    <row r="171" spans="1:12" s="668" customFormat="1">
      <c r="A171" s="657">
        <f t="shared" si="8"/>
        <v>162</v>
      </c>
      <c r="B171" s="621"/>
      <c r="D171" s="669" t="s">
        <v>382</v>
      </c>
      <c r="H171" s="714"/>
      <c r="I171" s="768"/>
      <c r="J171" s="768"/>
      <c r="K171" s="762"/>
      <c r="L171" s="768"/>
    </row>
    <row r="172" spans="1:12" s="668" customFormat="1">
      <c r="A172" s="657">
        <f t="shared" si="8"/>
        <v>163</v>
      </c>
      <c r="B172" s="621"/>
      <c r="D172" s="668" t="s">
        <v>212</v>
      </c>
      <c r="F172" s="668" t="s">
        <v>658</v>
      </c>
      <c r="H172" s="714">
        <f>+H167</f>
        <v>420757128.47529781</v>
      </c>
      <c r="I172" s="768"/>
      <c r="J172" s="768">
        <v>428234181.99987131</v>
      </c>
      <c r="K172" s="762"/>
      <c r="L172" s="768">
        <f>H172-J172</f>
        <v>-7477053.5245735049</v>
      </c>
    </row>
    <row r="173" spans="1:12">
      <c r="A173" s="657">
        <f t="shared" si="8"/>
        <v>164</v>
      </c>
      <c r="D173" s="621" t="s">
        <v>332</v>
      </c>
      <c r="F173" s="668" t="s">
        <v>1307</v>
      </c>
      <c r="H173" s="724">
        <f>+H255</f>
        <v>2.9499999999999998E-2</v>
      </c>
      <c r="I173" s="780"/>
      <c r="J173" s="780">
        <v>2.9499999999999998E-2</v>
      </c>
      <c r="K173" s="762"/>
      <c r="L173" s="773">
        <f>H173-J173</f>
        <v>0</v>
      </c>
    </row>
    <row r="174" spans="1:12">
      <c r="A174" s="657">
        <f t="shared" si="8"/>
        <v>165</v>
      </c>
      <c r="D174" s="621" t="s">
        <v>380</v>
      </c>
      <c r="F174" s="621" t="s">
        <v>1308</v>
      </c>
      <c r="H174" s="717">
        <f>+H172*-H173</f>
        <v>-12412335.290021285</v>
      </c>
      <c r="I174" s="771"/>
      <c r="J174" s="771">
        <f>+J172*-J173</f>
        <v>-12632908.368996203</v>
      </c>
      <c r="K174" s="758"/>
      <c r="L174" s="768">
        <f>H174-J174</f>
        <v>220573.07897491753</v>
      </c>
    </row>
    <row r="175" spans="1:12">
      <c r="A175" s="657">
        <f t="shared" si="8"/>
        <v>166</v>
      </c>
      <c r="D175" s="628" t="s">
        <v>372</v>
      </c>
      <c r="F175" s="621" t="s">
        <v>349</v>
      </c>
      <c r="H175" s="719">
        <f>+'Schedule 11 Income Tax'!F30</f>
        <v>-2744048</v>
      </c>
      <c r="I175" s="774"/>
      <c r="J175" s="774">
        <v>-2744048</v>
      </c>
      <c r="K175" s="758"/>
      <c r="L175" s="769">
        <f>H175-J175</f>
        <v>0</v>
      </c>
    </row>
    <row r="176" spans="1:12">
      <c r="A176" s="657">
        <f t="shared" si="8"/>
        <v>167</v>
      </c>
      <c r="D176" s="621" t="s">
        <v>341</v>
      </c>
      <c r="F176" s="621" t="s">
        <v>1309</v>
      </c>
      <c r="H176" s="717">
        <f>+H175+H174</f>
        <v>-15156383.290021285</v>
      </c>
      <c r="I176" s="771"/>
      <c r="J176" s="771">
        <f>+J175+J174</f>
        <v>-15376956.368996203</v>
      </c>
      <c r="K176" s="758"/>
      <c r="L176" s="768">
        <f>H176-J176</f>
        <v>220573.07897491753</v>
      </c>
    </row>
    <row r="177" spans="1:12">
      <c r="A177" s="657">
        <f t="shared" si="8"/>
        <v>168</v>
      </c>
      <c r="D177" s="622"/>
      <c r="H177" s="719"/>
      <c r="I177" s="774"/>
      <c r="J177" s="774"/>
      <c r="K177" s="758"/>
      <c r="L177" s="774"/>
    </row>
    <row r="178" spans="1:12">
      <c r="A178" s="657">
        <f t="shared" si="8"/>
        <v>169</v>
      </c>
      <c r="D178" s="622" t="s">
        <v>381</v>
      </c>
      <c r="F178" s="621" t="s">
        <v>1310</v>
      </c>
      <c r="H178" s="717">
        <f>+H169+H176</f>
        <v>16232098.494235929</v>
      </c>
      <c r="I178" s="771"/>
      <c r="J178" s="771">
        <f>+J169+J176</f>
        <v>16569313.608194198</v>
      </c>
      <c r="K178" s="758"/>
      <c r="L178" s="768">
        <f>H178-J178</f>
        <v>-337215.11395826936</v>
      </c>
    </row>
    <row r="179" spans="1:12">
      <c r="A179" s="657">
        <f t="shared" si="8"/>
        <v>170</v>
      </c>
      <c r="D179" s="622"/>
      <c r="H179" s="717"/>
      <c r="I179" s="771"/>
      <c r="J179" s="758"/>
      <c r="K179" s="758"/>
      <c r="L179" s="758"/>
    </row>
    <row r="180" spans="1:12">
      <c r="A180" s="657">
        <f t="shared" si="8"/>
        <v>171</v>
      </c>
      <c r="C180" s="646"/>
      <c r="D180" s="645" t="s">
        <v>383</v>
      </c>
      <c r="E180" s="646"/>
      <c r="F180" s="646"/>
      <c r="G180" s="646"/>
      <c r="H180" s="717"/>
      <c r="I180" s="771"/>
      <c r="J180" s="758"/>
      <c r="K180" s="758"/>
      <c r="L180" s="758"/>
    </row>
    <row r="181" spans="1:12">
      <c r="A181" s="657">
        <f t="shared" si="8"/>
        <v>172</v>
      </c>
      <c r="C181" s="646"/>
      <c r="D181" s="646" t="s">
        <v>374</v>
      </c>
      <c r="E181" s="646"/>
      <c r="F181" s="646" t="s">
        <v>349</v>
      </c>
      <c r="G181" s="646"/>
      <c r="H181" s="717">
        <f>+'Schedule 11 Income Tax'!F40</f>
        <v>402296.32260000001</v>
      </c>
      <c r="I181" s="771"/>
      <c r="J181" s="771">
        <v>399127.10859999998</v>
      </c>
      <c r="K181" s="758"/>
      <c r="L181" s="768">
        <f>H181-J181</f>
        <v>3169.2140000000363</v>
      </c>
    </row>
    <row r="182" spans="1:12">
      <c r="A182" s="657">
        <f t="shared" si="8"/>
        <v>173</v>
      </c>
      <c r="D182" s="628" t="s">
        <v>375</v>
      </c>
      <c r="E182" s="646"/>
      <c r="F182" s="646" t="s">
        <v>349</v>
      </c>
      <c r="G182" s="646"/>
      <c r="H182" s="719">
        <f>+'Schedule 11 Income Tax'!F27+'Schedule 11 Income Tax'!F50</f>
        <v>-99150</v>
      </c>
      <c r="I182" s="774"/>
      <c r="J182" s="774">
        <v>-99150</v>
      </c>
      <c r="K182" s="758"/>
      <c r="L182" s="769">
        <f>H182-J182</f>
        <v>0</v>
      </c>
    </row>
    <row r="183" spans="1:12">
      <c r="A183" s="657">
        <f t="shared" si="8"/>
        <v>174</v>
      </c>
      <c r="D183" s="621" t="s">
        <v>348</v>
      </c>
      <c r="F183" s="621" t="s">
        <v>1311</v>
      </c>
      <c r="H183" s="717">
        <f>+H182+H181</f>
        <v>303146.32260000001</v>
      </c>
      <c r="I183" s="771"/>
      <c r="J183" s="771">
        <f>+J182+J181</f>
        <v>299977.10859999998</v>
      </c>
      <c r="K183" s="758"/>
      <c r="L183" s="768">
        <f>H183-J183</f>
        <v>3169.2140000000363</v>
      </c>
    </row>
    <row r="184" spans="1:12">
      <c r="A184" s="657">
        <f t="shared" si="8"/>
        <v>175</v>
      </c>
      <c r="D184" s="645"/>
      <c r="E184" s="646"/>
      <c r="F184" s="646"/>
      <c r="G184" s="646"/>
      <c r="H184" s="717"/>
      <c r="I184" s="771"/>
      <c r="J184" s="758"/>
      <c r="K184" s="758"/>
      <c r="L184" s="758"/>
    </row>
    <row r="185" spans="1:12">
      <c r="A185" s="657">
        <f t="shared" si="8"/>
        <v>176</v>
      </c>
      <c r="C185" s="646"/>
      <c r="D185" s="645" t="s">
        <v>384</v>
      </c>
      <c r="E185" s="646"/>
      <c r="F185" s="646"/>
      <c r="G185" s="646"/>
      <c r="H185" s="717"/>
      <c r="I185" s="771"/>
      <c r="J185" s="758"/>
      <c r="K185" s="758"/>
      <c r="L185" s="758"/>
    </row>
    <row r="186" spans="1:12">
      <c r="A186" s="657">
        <f t="shared" si="8"/>
        <v>177</v>
      </c>
      <c r="C186" s="646"/>
      <c r="D186" s="646" t="s">
        <v>390</v>
      </c>
      <c r="E186" s="646"/>
      <c r="F186" s="646" t="s">
        <v>1312</v>
      </c>
      <c r="G186" s="646"/>
      <c r="H186" s="717">
        <f>+H178+H183</f>
        <v>16535244.816835929</v>
      </c>
      <c r="I186" s="771"/>
      <c r="J186" s="771">
        <v>16869290.7167942</v>
      </c>
      <c r="K186" s="758"/>
      <c r="L186" s="768">
        <f>H186-J186</f>
        <v>-334045.89995827153</v>
      </c>
    </row>
    <row r="187" spans="1:12">
      <c r="A187" s="657">
        <f t="shared" si="8"/>
        <v>178</v>
      </c>
      <c r="C187" s="646"/>
      <c r="D187" s="646" t="s">
        <v>920</v>
      </c>
      <c r="E187" s="646" t="s">
        <v>1355</v>
      </c>
      <c r="F187" s="646" t="s">
        <v>660</v>
      </c>
      <c r="G187" s="646"/>
      <c r="H187" s="725">
        <f>0.35/(1-0.35)</f>
        <v>0.53846153846153844</v>
      </c>
      <c r="I187" s="781"/>
      <c r="J187" s="781">
        <v>0.53846153846153844</v>
      </c>
      <c r="K187" s="758"/>
      <c r="L187" s="753">
        <f>H187-J187</f>
        <v>0</v>
      </c>
    </row>
    <row r="188" spans="1:12">
      <c r="A188" s="657">
        <f t="shared" si="8"/>
        <v>179</v>
      </c>
      <c r="C188" s="646"/>
      <c r="D188" s="646" t="s">
        <v>377</v>
      </c>
      <c r="E188" s="646"/>
      <c r="F188" s="646" t="s">
        <v>1313</v>
      </c>
      <c r="G188" s="646"/>
      <c r="H188" s="717">
        <f>+H186*H187</f>
        <v>8903593.3629116528</v>
      </c>
      <c r="I188" s="771"/>
      <c r="J188" s="771">
        <f>+J186*J187</f>
        <v>9083464.2321199533</v>
      </c>
      <c r="K188" s="758"/>
      <c r="L188" s="768">
        <f>H188-J188</f>
        <v>-179870.86920830049</v>
      </c>
    </row>
    <row r="189" spans="1:12">
      <c r="A189" s="657">
        <f t="shared" si="8"/>
        <v>180</v>
      </c>
      <c r="D189" s="667"/>
      <c r="E189" s="646"/>
      <c r="F189" s="646"/>
      <c r="G189" s="646"/>
      <c r="H189" s="717"/>
      <c r="I189" s="771"/>
      <c r="J189" s="758"/>
      <c r="K189" s="758"/>
      <c r="L189" s="758"/>
    </row>
    <row r="190" spans="1:12">
      <c r="A190" s="657">
        <f t="shared" si="8"/>
        <v>181</v>
      </c>
      <c r="C190" s="646"/>
      <c r="D190" s="645" t="s">
        <v>385</v>
      </c>
      <c r="E190" s="646"/>
      <c r="F190" s="646"/>
      <c r="G190" s="646"/>
      <c r="H190" s="717"/>
      <c r="I190" s="771"/>
      <c r="J190" s="758"/>
      <c r="K190" s="758"/>
      <c r="L190" s="758"/>
    </row>
    <row r="191" spans="1:12">
      <c r="A191" s="657">
        <f t="shared" si="8"/>
        <v>182</v>
      </c>
      <c r="C191" s="645"/>
      <c r="D191" s="660" t="s">
        <v>374</v>
      </c>
      <c r="E191" s="646"/>
      <c r="F191" s="646" t="s">
        <v>661</v>
      </c>
      <c r="G191" s="646"/>
      <c r="H191" s="717">
        <f>+H181</f>
        <v>402296.32260000001</v>
      </c>
      <c r="I191" s="771"/>
      <c r="J191" s="771">
        <v>399127.10859999998</v>
      </c>
      <c r="K191" s="758"/>
      <c r="L191" s="768">
        <f>H191-J191</f>
        <v>3169.2140000000363</v>
      </c>
    </row>
    <row r="192" spans="1:12">
      <c r="A192" s="657">
        <f t="shared" si="8"/>
        <v>183</v>
      </c>
      <c r="C192" s="646"/>
      <c r="D192" s="660" t="s">
        <v>378</v>
      </c>
      <c r="E192" s="646"/>
      <c r="F192" s="646" t="s">
        <v>349</v>
      </c>
      <c r="G192" s="646"/>
      <c r="H192" s="717">
        <f>+'Schedule 11 Income Tax'!F26</f>
        <v>27764</v>
      </c>
      <c r="I192" s="771"/>
      <c r="J192" s="771">
        <v>27764</v>
      </c>
      <c r="K192" s="758"/>
      <c r="L192" s="768">
        <f>H192-J192</f>
        <v>0</v>
      </c>
    </row>
    <row r="193" spans="1:12">
      <c r="A193" s="657">
        <f t="shared" si="8"/>
        <v>184</v>
      </c>
      <c r="C193" s="646"/>
      <c r="D193" s="660" t="s">
        <v>375</v>
      </c>
      <c r="E193" s="646"/>
      <c r="F193" s="660" t="s">
        <v>1314</v>
      </c>
      <c r="G193" s="646"/>
      <c r="H193" s="719">
        <f>+H182</f>
        <v>-99150</v>
      </c>
      <c r="I193" s="774"/>
      <c r="J193" s="774">
        <v>-99150</v>
      </c>
      <c r="K193" s="758"/>
      <c r="L193" s="769">
        <f>H193-J193</f>
        <v>0</v>
      </c>
    </row>
    <row r="194" spans="1:12">
      <c r="A194" s="657">
        <f t="shared" si="8"/>
        <v>185</v>
      </c>
      <c r="D194" s="621" t="s">
        <v>379</v>
      </c>
      <c r="F194" s="621" t="s">
        <v>1315</v>
      </c>
      <c r="H194" s="717">
        <f>SUM(H191:H193)</f>
        <v>330910.32260000001</v>
      </c>
      <c r="I194" s="771"/>
      <c r="J194" s="771">
        <f>SUM(J191:J193)</f>
        <v>327741.10859999998</v>
      </c>
      <c r="K194" s="758"/>
      <c r="L194" s="768">
        <f>H194-J194</f>
        <v>3169.2140000000363</v>
      </c>
    </row>
    <row r="195" spans="1:12">
      <c r="A195" s="657">
        <f t="shared" si="8"/>
        <v>186</v>
      </c>
      <c r="C195" s="622"/>
      <c r="H195" s="719"/>
      <c r="I195" s="774"/>
      <c r="J195" s="774"/>
      <c r="K195" s="758"/>
      <c r="L195" s="774">
        <v>0</v>
      </c>
    </row>
    <row r="196" spans="1:12">
      <c r="A196" s="657">
        <f t="shared" si="8"/>
        <v>187</v>
      </c>
      <c r="C196" s="645" t="s">
        <v>386</v>
      </c>
      <c r="D196" s="646"/>
      <c r="E196" s="646"/>
      <c r="F196" s="662" t="s">
        <v>1316</v>
      </c>
      <c r="G196" s="646"/>
      <c r="H196" s="726">
        <f>+H188+H194</f>
        <v>9234503.6855116524</v>
      </c>
      <c r="I196" s="782"/>
      <c r="J196" s="782">
        <f>+J188+J194</f>
        <v>9411205.3407199532</v>
      </c>
      <c r="K196" s="758"/>
      <c r="L196" s="755">
        <f>H196-J196</f>
        <v>-176701.6552083008</v>
      </c>
    </row>
    <row r="197" spans="1:12">
      <c r="A197" s="657">
        <f t="shared" si="8"/>
        <v>188</v>
      </c>
      <c r="C197" s="645"/>
      <c r="D197" s="646"/>
      <c r="E197" s="646"/>
      <c r="F197" s="662"/>
      <c r="G197" s="646"/>
      <c r="H197" s="717"/>
      <c r="I197" s="771"/>
      <c r="J197" s="758"/>
      <c r="K197" s="758"/>
      <c r="L197" s="758"/>
    </row>
    <row r="198" spans="1:12">
      <c r="A198" s="657">
        <f t="shared" si="8"/>
        <v>189</v>
      </c>
      <c r="C198" s="645" t="s">
        <v>387</v>
      </c>
      <c r="D198" s="646"/>
      <c r="E198" s="646"/>
      <c r="F198" s="662"/>
      <c r="G198" s="646"/>
      <c r="H198" s="717"/>
      <c r="I198" s="771"/>
      <c r="J198" s="758"/>
      <c r="K198" s="758"/>
      <c r="L198" s="758"/>
    </row>
    <row r="199" spans="1:12">
      <c r="A199" s="657">
        <f t="shared" si="8"/>
        <v>190</v>
      </c>
      <c r="D199" s="622"/>
      <c r="E199" s="646"/>
      <c r="F199" s="662"/>
      <c r="G199" s="646"/>
      <c r="H199" s="717"/>
      <c r="I199" s="771"/>
      <c r="J199" s="758"/>
      <c r="K199" s="758"/>
      <c r="L199" s="758"/>
    </row>
    <row r="200" spans="1:12">
      <c r="A200" s="657">
        <f t="shared" si="8"/>
        <v>191</v>
      </c>
      <c r="C200" s="646"/>
      <c r="D200" s="645" t="s">
        <v>331</v>
      </c>
      <c r="E200" s="646"/>
      <c r="F200" s="662" t="s">
        <v>1317</v>
      </c>
      <c r="G200" s="646"/>
      <c r="H200" s="717">
        <f>+H169</f>
        <v>31388481.784257215</v>
      </c>
      <c r="I200" s="771"/>
      <c r="J200" s="771">
        <v>31946269.977190401</v>
      </c>
      <c r="K200" s="758"/>
      <c r="L200" s="768">
        <f>H200-J200</f>
        <v>-557788.19293318689</v>
      </c>
    </row>
    <row r="201" spans="1:12">
      <c r="A201" s="657">
        <f t="shared" si="8"/>
        <v>192</v>
      </c>
      <c r="D201" s="669"/>
      <c r="E201" s="646"/>
      <c r="F201" s="662"/>
      <c r="G201" s="646"/>
      <c r="H201" s="717"/>
      <c r="I201" s="771"/>
      <c r="J201" s="758"/>
      <c r="K201" s="758"/>
      <c r="L201" s="758"/>
    </row>
    <row r="202" spans="1:12">
      <c r="A202" s="657">
        <f t="shared" si="8"/>
        <v>193</v>
      </c>
      <c r="C202" s="646"/>
      <c r="D202" s="622" t="s">
        <v>388</v>
      </c>
      <c r="E202" s="646"/>
      <c r="F202" s="662"/>
      <c r="G202" s="646"/>
      <c r="H202" s="717"/>
      <c r="I202" s="771"/>
      <c r="J202" s="758"/>
      <c r="K202" s="758"/>
      <c r="L202" s="758"/>
    </row>
    <row r="203" spans="1:12">
      <c r="A203" s="657">
        <f t="shared" si="8"/>
        <v>194</v>
      </c>
      <c r="C203" s="646"/>
      <c r="D203" s="646" t="s">
        <v>380</v>
      </c>
      <c r="E203" s="646"/>
      <c r="F203" s="662" t="s">
        <v>662</v>
      </c>
      <c r="G203" s="646"/>
      <c r="H203" s="717">
        <f>+H174</f>
        <v>-12412335.290021285</v>
      </c>
      <c r="I203" s="771"/>
      <c r="J203" s="771">
        <v>-12632908.368996203</v>
      </c>
      <c r="K203" s="758"/>
      <c r="L203" s="768">
        <f>H203-J203</f>
        <v>220573.07897491753</v>
      </c>
    </row>
    <row r="204" spans="1:12">
      <c r="A204" s="657">
        <f t="shared" si="8"/>
        <v>195</v>
      </c>
      <c r="C204" s="646"/>
      <c r="D204" s="660" t="s">
        <v>372</v>
      </c>
      <c r="E204" s="646"/>
      <c r="F204" s="692" t="s">
        <v>1318</v>
      </c>
      <c r="G204" s="646"/>
      <c r="H204" s="717">
        <f>+H175</f>
        <v>-2744048</v>
      </c>
      <c r="I204" s="771"/>
      <c r="J204" s="771">
        <v>-2744048</v>
      </c>
      <c r="K204" s="758"/>
      <c r="L204" s="768">
        <f>H204-J204</f>
        <v>0</v>
      </c>
    </row>
    <row r="205" spans="1:12">
      <c r="A205" s="657">
        <f t="shared" ref="A205:A268" si="9">+A204+1</f>
        <v>196</v>
      </c>
      <c r="D205" s="660" t="s">
        <v>1319</v>
      </c>
      <c r="F205" s="692" t="s">
        <v>1320</v>
      </c>
      <c r="H205" s="717">
        <f>-H192-'Schedule 11 Income Tax'!F27</f>
        <v>-27764</v>
      </c>
      <c r="I205" s="771"/>
      <c r="J205" s="771">
        <v>-27764</v>
      </c>
      <c r="K205" s="758"/>
      <c r="L205" s="768">
        <f>H205-J205</f>
        <v>0</v>
      </c>
    </row>
    <row r="206" spans="1:12">
      <c r="A206" s="657">
        <f t="shared" si="9"/>
        <v>197</v>
      </c>
      <c r="D206" s="660" t="s">
        <v>386</v>
      </c>
      <c r="F206" s="692" t="s">
        <v>1321</v>
      </c>
      <c r="H206" s="719">
        <f>+H196</f>
        <v>9234503.6855116524</v>
      </c>
      <c r="I206" s="774"/>
      <c r="J206" s="774">
        <v>9411205.3407199532</v>
      </c>
      <c r="K206" s="758"/>
      <c r="L206" s="769">
        <f>H206-J206</f>
        <v>-176701.6552083008</v>
      </c>
    </row>
    <row r="207" spans="1:12">
      <c r="A207" s="657">
        <f t="shared" si="9"/>
        <v>198</v>
      </c>
      <c r="D207" s="621" t="s">
        <v>389</v>
      </c>
      <c r="F207" s="621" t="s">
        <v>1322</v>
      </c>
      <c r="H207" s="717">
        <f>SUM(H203:H206)</f>
        <v>-5949643.604509633</v>
      </c>
      <c r="I207" s="771"/>
      <c r="J207" s="771">
        <f>SUM(J203:J206)</f>
        <v>-5993515.0282762498</v>
      </c>
      <c r="K207" s="758"/>
      <c r="L207" s="768">
        <f>H207-J207</f>
        <v>43871.423766616732</v>
      </c>
    </row>
    <row r="208" spans="1:12">
      <c r="A208" s="657">
        <f t="shared" si="9"/>
        <v>199</v>
      </c>
      <c r="D208" s="622"/>
      <c r="F208" s="692"/>
      <c r="H208" s="719"/>
      <c r="I208" s="774"/>
      <c r="J208" s="774"/>
      <c r="K208" s="758"/>
      <c r="L208" s="774"/>
    </row>
    <row r="209" spans="1:12">
      <c r="A209" s="657">
        <f t="shared" si="9"/>
        <v>200</v>
      </c>
      <c r="D209" s="622" t="s">
        <v>391</v>
      </c>
      <c r="F209" s="621" t="s">
        <v>1323</v>
      </c>
      <c r="H209" s="717">
        <f>+H200+H207</f>
        <v>25438838.179747581</v>
      </c>
      <c r="I209" s="771"/>
      <c r="J209" s="771">
        <f>+J200+J207</f>
        <v>25952754.948914152</v>
      </c>
      <c r="K209" s="758"/>
      <c r="L209" s="768">
        <f>H209-J209</f>
        <v>-513916.76916657016</v>
      </c>
    </row>
    <row r="210" spans="1:12">
      <c r="A210" s="657">
        <f t="shared" si="9"/>
        <v>201</v>
      </c>
      <c r="D210" s="645"/>
      <c r="H210" s="717"/>
      <c r="I210" s="771"/>
      <c r="J210" s="758"/>
      <c r="K210" s="758"/>
      <c r="L210" s="758"/>
    </row>
    <row r="211" spans="1:12">
      <c r="A211" s="657">
        <f t="shared" si="9"/>
        <v>202</v>
      </c>
      <c r="C211" s="646"/>
      <c r="D211" s="645" t="s">
        <v>392</v>
      </c>
      <c r="H211" s="717"/>
      <c r="I211" s="771"/>
      <c r="J211" s="758"/>
      <c r="K211" s="758"/>
      <c r="L211" s="758"/>
    </row>
    <row r="212" spans="1:12">
      <c r="A212" s="657">
        <f t="shared" si="9"/>
        <v>203</v>
      </c>
      <c r="C212" s="646"/>
      <c r="D212" s="646" t="s">
        <v>391</v>
      </c>
      <c r="F212" s="621" t="s">
        <v>1324</v>
      </c>
      <c r="H212" s="717">
        <f>+H209</f>
        <v>25438838.179747581</v>
      </c>
      <c r="I212" s="771"/>
      <c r="J212" s="771">
        <v>25952754.948914152</v>
      </c>
      <c r="K212" s="758"/>
      <c r="L212" s="768">
        <f>H212-J212</f>
        <v>-513916.76916657016</v>
      </c>
    </row>
    <row r="213" spans="1:12">
      <c r="A213" s="657">
        <f t="shared" si="9"/>
        <v>204</v>
      </c>
      <c r="C213" s="646"/>
      <c r="D213" s="646" t="s">
        <v>393</v>
      </c>
      <c r="E213" s="621" t="s">
        <v>1355</v>
      </c>
      <c r="H213" s="732">
        <v>6.9000000000000006E-2</v>
      </c>
      <c r="I213" s="732"/>
      <c r="J213" s="789">
        <v>6.9000000000000006E-2</v>
      </c>
      <c r="K213" s="758"/>
      <c r="L213" s="754">
        <f>H213-J213</f>
        <v>0</v>
      </c>
    </row>
    <row r="214" spans="1:12">
      <c r="A214" s="657">
        <f t="shared" si="9"/>
        <v>205</v>
      </c>
      <c r="C214" s="622"/>
      <c r="H214" s="715"/>
      <c r="I214" s="769"/>
      <c r="J214" s="769"/>
      <c r="K214" s="758"/>
      <c r="L214" s="769">
        <v>0</v>
      </c>
    </row>
    <row r="215" spans="1:12">
      <c r="A215" s="657">
        <f t="shared" si="9"/>
        <v>206</v>
      </c>
      <c r="C215" s="622" t="s">
        <v>394</v>
      </c>
      <c r="F215" s="665" t="s">
        <v>1325</v>
      </c>
      <c r="H215" s="726">
        <f>+H212*H213</f>
        <v>1755279.8344025833</v>
      </c>
      <c r="I215" s="782"/>
      <c r="J215" s="782">
        <f>+J212*J213</f>
        <v>1790740.0914750765</v>
      </c>
      <c r="K215" s="758"/>
      <c r="L215" s="755">
        <f>H215-J215</f>
        <v>-35460.257072493201</v>
      </c>
    </row>
    <row r="216" spans="1:12">
      <c r="A216" s="657">
        <f t="shared" si="9"/>
        <v>207</v>
      </c>
      <c r="C216" s="622"/>
      <c r="F216" s="665"/>
      <c r="H216" s="717"/>
      <c r="I216" s="771"/>
      <c r="J216" s="758"/>
      <c r="K216" s="758"/>
      <c r="L216" s="758"/>
    </row>
    <row r="217" spans="1:12" ht="15" thickBot="1">
      <c r="A217" s="657">
        <f t="shared" si="9"/>
        <v>208</v>
      </c>
      <c r="C217" s="622" t="s">
        <v>395</v>
      </c>
      <c r="F217" s="665" t="s">
        <v>1326</v>
      </c>
      <c r="H217" s="720">
        <f>+H215+H196</f>
        <v>10989783.519914236</v>
      </c>
      <c r="I217" s="775"/>
      <c r="J217" s="775">
        <f>+J215+J196</f>
        <v>11201945.43219503</v>
      </c>
      <c r="K217" s="758"/>
      <c r="L217" s="776">
        <f>H217-J217</f>
        <v>-212161.91228079423</v>
      </c>
    </row>
    <row r="218" spans="1:12" ht="15.6" thickTop="1" thickBot="1">
      <c r="A218" s="657">
        <f t="shared" si="9"/>
        <v>209</v>
      </c>
      <c r="C218" s="645"/>
      <c r="D218" s="646"/>
      <c r="E218" s="646"/>
      <c r="F218" s="201"/>
      <c r="G218" s="646"/>
      <c r="H218" s="714"/>
      <c r="I218" s="768"/>
      <c r="J218" s="768"/>
      <c r="K218" s="758"/>
      <c r="L218" s="768">
        <v>0</v>
      </c>
    </row>
    <row r="219" spans="1:12" ht="15" thickBot="1">
      <c r="A219" s="657">
        <f t="shared" si="9"/>
        <v>210</v>
      </c>
      <c r="B219" s="646"/>
      <c r="C219" s="766" t="s">
        <v>298</v>
      </c>
      <c r="D219" s="759"/>
      <c r="E219" s="759"/>
      <c r="F219" s="759" t="s">
        <v>1327</v>
      </c>
      <c r="G219" s="759"/>
      <c r="H219" s="756">
        <f>+H156+H147+H127+H217</f>
        <v>57371203.314200744</v>
      </c>
      <c r="I219" s="756"/>
      <c r="J219" s="756">
        <f>+J156+J147+J127+J217</f>
        <v>56675154.275804132</v>
      </c>
      <c r="K219" s="759"/>
      <c r="L219" s="777">
        <f>H219-J219</f>
        <v>696049.03839661181</v>
      </c>
    </row>
    <row r="220" spans="1:12" ht="15" thickBot="1">
      <c r="A220" s="657">
        <f t="shared" si="9"/>
        <v>211</v>
      </c>
      <c r="B220" s="645"/>
      <c r="C220" s="645"/>
      <c r="D220" s="646"/>
      <c r="E220" s="646"/>
      <c r="F220" s="646"/>
      <c r="G220" s="646"/>
      <c r="H220" s="714"/>
      <c r="I220" s="768"/>
      <c r="J220" s="768"/>
      <c r="K220" s="758"/>
      <c r="L220" s="768"/>
    </row>
    <row r="221" spans="1:12" ht="15" thickBot="1">
      <c r="A221" s="657">
        <f t="shared" si="9"/>
        <v>212</v>
      </c>
      <c r="B221" s="766" t="s">
        <v>396</v>
      </c>
      <c r="C221" s="759"/>
      <c r="D221" s="759"/>
      <c r="E221" s="759"/>
      <c r="F221" s="759"/>
      <c r="G221" s="759"/>
      <c r="H221" s="767"/>
      <c r="I221" s="767"/>
      <c r="J221" s="790"/>
      <c r="K221" s="759"/>
      <c r="L221" s="777"/>
    </row>
    <row r="222" spans="1:12">
      <c r="A222" s="657">
        <f t="shared" si="9"/>
        <v>213</v>
      </c>
      <c r="C222" s="622"/>
      <c r="H222" s="714"/>
      <c r="I222" s="768"/>
      <c r="J222" s="768"/>
      <c r="K222" s="758"/>
      <c r="L222" s="768"/>
    </row>
    <row r="223" spans="1:12">
      <c r="A223" s="657">
        <f t="shared" si="9"/>
        <v>214</v>
      </c>
      <c r="C223" s="622" t="s">
        <v>397</v>
      </c>
      <c r="H223" s="717"/>
      <c r="I223" s="771"/>
      <c r="J223" s="758"/>
      <c r="K223" s="758"/>
      <c r="L223" s="758"/>
    </row>
    <row r="224" spans="1:12">
      <c r="A224" s="657">
        <f t="shared" si="9"/>
        <v>215</v>
      </c>
      <c r="D224" s="628" t="s">
        <v>397</v>
      </c>
      <c r="F224" s="621" t="s">
        <v>887</v>
      </c>
      <c r="H224" s="715">
        <f>+'Schedule 15 Interest Expense'!D25</f>
        <v>85642973</v>
      </c>
      <c r="I224" s="769"/>
      <c r="J224" s="769">
        <v>85642973</v>
      </c>
      <c r="K224" s="758"/>
      <c r="L224" s="769">
        <v>0</v>
      </c>
    </row>
    <row r="225" spans="1:12">
      <c r="A225" s="657">
        <f t="shared" si="9"/>
        <v>216</v>
      </c>
      <c r="D225" s="622" t="s">
        <v>398</v>
      </c>
      <c r="F225" s="621" t="s">
        <v>1328</v>
      </c>
      <c r="H225" s="717">
        <f>+H224</f>
        <v>85642973</v>
      </c>
      <c r="I225" s="771"/>
      <c r="J225" s="771">
        <f>+J224</f>
        <v>85642973</v>
      </c>
      <c r="K225" s="758"/>
      <c r="L225" s="768">
        <f>H225-J225</f>
        <v>0</v>
      </c>
    </row>
    <row r="226" spans="1:12">
      <c r="A226" s="657">
        <f t="shared" si="9"/>
        <v>217</v>
      </c>
      <c r="C226" s="622"/>
      <c r="H226" s="717"/>
      <c r="I226" s="771"/>
      <c r="J226" s="758"/>
      <c r="K226" s="758"/>
      <c r="L226" s="758"/>
    </row>
    <row r="227" spans="1:12">
      <c r="A227" s="657">
        <f t="shared" si="9"/>
        <v>218</v>
      </c>
      <c r="C227" s="622" t="s">
        <v>958</v>
      </c>
      <c r="F227" s="621" t="s">
        <v>399</v>
      </c>
      <c r="H227" s="714">
        <f>-'FERC Form 1 Inputs'!L17</f>
        <v>528040</v>
      </c>
      <c r="I227" s="768"/>
      <c r="J227" s="768">
        <v>528040</v>
      </c>
      <c r="K227" s="758"/>
      <c r="L227" s="768">
        <f>H227-J227</f>
        <v>0</v>
      </c>
    </row>
    <row r="228" spans="1:12">
      <c r="A228" s="657">
        <f t="shared" si="9"/>
        <v>219</v>
      </c>
      <c r="C228" s="622"/>
      <c r="H228" s="717"/>
      <c r="I228" s="771"/>
      <c r="J228" s="758"/>
      <c r="K228" s="758"/>
      <c r="L228" s="758"/>
    </row>
    <row r="229" spans="1:12">
      <c r="A229" s="657">
        <f t="shared" si="9"/>
        <v>220</v>
      </c>
      <c r="C229" s="622" t="s">
        <v>400</v>
      </c>
      <c r="H229" s="717"/>
      <c r="I229" s="771"/>
      <c r="J229" s="758"/>
      <c r="K229" s="758"/>
      <c r="L229" s="758"/>
    </row>
    <row r="230" spans="1:12">
      <c r="A230" s="657">
        <f t="shared" si="9"/>
        <v>221</v>
      </c>
      <c r="D230" s="658" t="s">
        <v>401</v>
      </c>
      <c r="F230" s="621" t="s">
        <v>402</v>
      </c>
      <c r="H230" s="714">
        <f>+'FERC Form 1 Inputs'!L10</f>
        <v>1329461996</v>
      </c>
      <c r="I230" s="768"/>
      <c r="J230" s="768">
        <v>1329461996</v>
      </c>
      <c r="K230" s="758"/>
      <c r="L230" s="768">
        <f t="shared" ref="L230:L235" si="10">H230-J230</f>
        <v>0</v>
      </c>
    </row>
    <row r="231" spans="1:12">
      <c r="A231" s="657">
        <f t="shared" si="9"/>
        <v>222</v>
      </c>
      <c r="D231" s="658" t="s">
        <v>403</v>
      </c>
      <c r="F231" s="621" t="s">
        <v>404</v>
      </c>
      <c r="H231" s="714">
        <f>+'FERC Form 1 Inputs'!L7</f>
        <v>11529299</v>
      </c>
      <c r="I231" s="768"/>
      <c r="J231" s="768">
        <v>11529299</v>
      </c>
      <c r="K231" s="758"/>
      <c r="L231" s="768">
        <f t="shared" si="10"/>
        <v>0</v>
      </c>
    </row>
    <row r="232" spans="1:12">
      <c r="A232" s="657">
        <f t="shared" si="9"/>
        <v>223</v>
      </c>
      <c r="D232" s="628" t="s">
        <v>1042</v>
      </c>
      <c r="F232" s="621" t="s">
        <v>1044</v>
      </c>
      <c r="H232" s="714">
        <f>+'FERC Form 1 Inputs'!L8</f>
        <v>33812402</v>
      </c>
      <c r="I232" s="768"/>
      <c r="J232" s="768">
        <v>33812402</v>
      </c>
      <c r="K232" s="758"/>
      <c r="L232" s="768">
        <f t="shared" si="10"/>
        <v>0</v>
      </c>
    </row>
    <row r="233" spans="1:12">
      <c r="A233" s="657">
        <f t="shared" si="9"/>
        <v>224</v>
      </c>
      <c r="D233" s="621" t="s">
        <v>709</v>
      </c>
      <c r="F233" s="621" t="s">
        <v>405</v>
      </c>
      <c r="H233" s="714">
        <f>+'FERC Form 1 Inputs'!L9</f>
        <v>-71475821</v>
      </c>
      <c r="I233" s="768"/>
      <c r="J233" s="768">
        <v>-71475821</v>
      </c>
      <c r="K233" s="758"/>
      <c r="L233" s="768">
        <f t="shared" si="10"/>
        <v>0</v>
      </c>
    </row>
    <row r="234" spans="1:12">
      <c r="A234" s="657">
        <f t="shared" si="9"/>
        <v>225</v>
      </c>
      <c r="D234" s="621" t="s">
        <v>1043</v>
      </c>
      <c r="F234" s="621" t="s">
        <v>1793</v>
      </c>
      <c r="H234" s="715">
        <f>+'FERC Form 1 Inputs'!L31</f>
        <v>51632295</v>
      </c>
      <c r="I234" s="769"/>
      <c r="J234" s="769">
        <v>51632295</v>
      </c>
      <c r="K234" s="758"/>
      <c r="L234" s="769">
        <f t="shared" si="10"/>
        <v>0</v>
      </c>
    </row>
    <row r="235" spans="1:12">
      <c r="A235" s="657">
        <f t="shared" si="9"/>
        <v>226</v>
      </c>
      <c r="D235" s="622" t="s">
        <v>400</v>
      </c>
      <c r="F235" s="621" t="s">
        <v>1329</v>
      </c>
      <c r="H235" s="717">
        <f>+H230-H231-H232-H233-H234</f>
        <v>1303963821</v>
      </c>
      <c r="I235" s="771"/>
      <c r="J235" s="771">
        <f>+J230-J231-J232-J233-J234</f>
        <v>1303963821</v>
      </c>
      <c r="K235" s="758"/>
      <c r="L235" s="768">
        <f t="shared" si="10"/>
        <v>0</v>
      </c>
    </row>
    <row r="236" spans="1:12">
      <c r="A236" s="657">
        <f t="shared" si="9"/>
        <v>227</v>
      </c>
      <c r="C236" s="622"/>
      <c r="H236" s="714"/>
      <c r="I236" s="768"/>
      <c r="J236" s="768"/>
      <c r="K236" s="758"/>
      <c r="L236" s="768"/>
    </row>
    <row r="237" spans="1:12">
      <c r="A237" s="657">
        <f t="shared" si="9"/>
        <v>228</v>
      </c>
      <c r="C237" s="622" t="s">
        <v>406</v>
      </c>
      <c r="H237" s="714"/>
      <c r="I237" s="768"/>
      <c r="J237" s="768"/>
      <c r="K237" s="758"/>
      <c r="L237" s="768"/>
    </row>
    <row r="238" spans="1:12">
      <c r="A238" s="657">
        <f t="shared" si="9"/>
        <v>229</v>
      </c>
      <c r="D238" s="628" t="s">
        <v>406</v>
      </c>
      <c r="F238" s="621" t="s">
        <v>407</v>
      </c>
      <c r="H238" s="715">
        <f>+'FERC Form 1 Inputs'!L11</f>
        <v>1590029255</v>
      </c>
      <c r="I238" s="769"/>
      <c r="J238" s="769">
        <v>1590029255</v>
      </c>
      <c r="K238" s="758"/>
      <c r="L238" s="769">
        <f>H238-J238</f>
        <v>0</v>
      </c>
    </row>
    <row r="239" spans="1:12">
      <c r="A239" s="657">
        <f t="shared" si="9"/>
        <v>230</v>
      </c>
      <c r="D239" s="621" t="s">
        <v>408</v>
      </c>
      <c r="F239" s="621" t="s">
        <v>663</v>
      </c>
      <c r="H239" s="717">
        <f>SUM(H238)</f>
        <v>1590029255</v>
      </c>
      <c r="I239" s="771"/>
      <c r="J239" s="771">
        <f>SUM(J238)</f>
        <v>1590029255</v>
      </c>
      <c r="K239" s="758"/>
      <c r="L239" s="768">
        <f>H239-J239</f>
        <v>0</v>
      </c>
    </row>
    <row r="240" spans="1:12">
      <c r="A240" s="657">
        <f t="shared" si="9"/>
        <v>231</v>
      </c>
      <c r="C240" s="622"/>
      <c r="H240" s="717"/>
      <c r="I240" s="771"/>
      <c r="J240" s="758"/>
      <c r="K240" s="758"/>
      <c r="L240" s="758"/>
    </row>
    <row r="241" spans="1:12">
      <c r="A241" s="657">
        <f t="shared" si="9"/>
        <v>232</v>
      </c>
      <c r="C241" s="622" t="s">
        <v>409</v>
      </c>
      <c r="H241" s="717"/>
      <c r="I241" s="771"/>
      <c r="J241" s="758"/>
      <c r="K241" s="758"/>
      <c r="L241" s="758"/>
    </row>
    <row r="242" spans="1:12">
      <c r="A242" s="657">
        <f t="shared" si="9"/>
        <v>233</v>
      </c>
      <c r="D242" s="621" t="s">
        <v>406</v>
      </c>
      <c r="F242" s="621" t="s">
        <v>1330</v>
      </c>
      <c r="H242" s="717">
        <f>+H239</f>
        <v>1590029255</v>
      </c>
      <c r="I242" s="771"/>
      <c r="J242" s="771">
        <v>1590029255</v>
      </c>
      <c r="K242" s="758"/>
      <c r="L242" s="768">
        <f>H242-J242</f>
        <v>0</v>
      </c>
    </row>
    <row r="243" spans="1:12">
      <c r="A243" s="657">
        <f t="shared" si="9"/>
        <v>234</v>
      </c>
      <c r="D243" s="621" t="s">
        <v>410</v>
      </c>
      <c r="F243" s="621" t="s">
        <v>1331</v>
      </c>
      <c r="H243" s="717">
        <f>+H231</f>
        <v>11529299</v>
      </c>
      <c r="I243" s="771"/>
      <c r="J243" s="771">
        <v>11529299</v>
      </c>
      <c r="K243" s="758"/>
      <c r="L243" s="768">
        <f>H243-J243</f>
        <v>0</v>
      </c>
    </row>
    <row r="244" spans="1:12">
      <c r="A244" s="657">
        <f t="shared" si="9"/>
        <v>235</v>
      </c>
      <c r="D244" s="628" t="s">
        <v>400</v>
      </c>
      <c r="F244" s="621" t="s">
        <v>1332</v>
      </c>
      <c r="H244" s="719">
        <f>+H235</f>
        <v>1303963821</v>
      </c>
      <c r="I244" s="774"/>
      <c r="J244" s="774">
        <v>1303963821</v>
      </c>
      <c r="K244" s="758"/>
      <c r="L244" s="769">
        <f>H244-J244</f>
        <v>0</v>
      </c>
    </row>
    <row r="245" spans="1:12">
      <c r="A245" s="657">
        <f t="shared" si="9"/>
        <v>236</v>
      </c>
      <c r="D245" s="622" t="s">
        <v>411</v>
      </c>
      <c r="F245" s="621" t="s">
        <v>1333</v>
      </c>
      <c r="H245" s="717">
        <f>SUM(H242:H244)</f>
        <v>2905522375</v>
      </c>
      <c r="I245" s="771"/>
      <c r="J245" s="771">
        <f>SUM(J242:J244)</f>
        <v>2905522375</v>
      </c>
      <c r="K245" s="758"/>
      <c r="L245" s="768">
        <f>H245-J245</f>
        <v>0</v>
      </c>
    </row>
    <row r="246" spans="1:12">
      <c r="A246" s="657">
        <f t="shared" si="9"/>
        <v>237</v>
      </c>
      <c r="H246" s="717"/>
      <c r="I246" s="771"/>
      <c r="J246" s="758"/>
      <c r="K246" s="758"/>
      <c r="L246" s="758"/>
    </row>
    <row r="247" spans="1:12">
      <c r="A247" s="657">
        <f t="shared" si="9"/>
        <v>238</v>
      </c>
      <c r="D247" s="621" t="s">
        <v>412</v>
      </c>
      <c r="F247" s="621" t="s">
        <v>1334</v>
      </c>
      <c r="H247" s="727">
        <f>ROUND(+H242/H245,4)</f>
        <v>0.54720000000000002</v>
      </c>
      <c r="I247" s="783"/>
      <c r="J247" s="783">
        <v>0.54720000000000002</v>
      </c>
      <c r="K247" s="758"/>
      <c r="L247" s="778">
        <f>H247-J247</f>
        <v>0</v>
      </c>
    </row>
    <row r="248" spans="1:12">
      <c r="A248" s="657">
        <f t="shared" si="9"/>
        <v>239</v>
      </c>
      <c r="D248" s="621" t="s">
        <v>413</v>
      </c>
      <c r="F248" s="621" t="s">
        <v>1335</v>
      </c>
      <c r="H248" s="727">
        <f>ROUND(+H243/H245,4)</f>
        <v>4.0000000000000001E-3</v>
      </c>
      <c r="I248" s="783"/>
      <c r="J248" s="783">
        <v>4.0000000000000001E-3</v>
      </c>
      <c r="K248" s="758"/>
      <c r="L248" s="778">
        <f>H248-J248</f>
        <v>0</v>
      </c>
    </row>
    <row r="249" spans="1:12">
      <c r="A249" s="657">
        <f t="shared" si="9"/>
        <v>240</v>
      </c>
      <c r="D249" s="621" t="s">
        <v>414</v>
      </c>
      <c r="F249" s="621" t="s">
        <v>1336</v>
      </c>
      <c r="H249" s="727">
        <f>ROUND(+H244/H245,4)</f>
        <v>0.44879999999999998</v>
      </c>
      <c r="I249" s="783"/>
      <c r="J249" s="783">
        <v>0.44879999999999998</v>
      </c>
      <c r="K249" s="758"/>
      <c r="L249" s="778">
        <f>H249-J249</f>
        <v>0</v>
      </c>
    </row>
    <row r="250" spans="1:12">
      <c r="A250" s="657">
        <f t="shared" si="9"/>
        <v>241</v>
      </c>
      <c r="H250" s="717"/>
      <c r="I250" s="771"/>
      <c r="J250" s="758"/>
      <c r="K250" s="758"/>
      <c r="L250" s="758"/>
    </row>
    <row r="251" spans="1:12">
      <c r="A251" s="657">
        <f t="shared" si="9"/>
        <v>242</v>
      </c>
      <c r="D251" s="621" t="s">
        <v>415</v>
      </c>
      <c r="F251" s="621" t="s">
        <v>1337</v>
      </c>
      <c r="H251" s="727">
        <f>ROUND(+H224/H242,4)</f>
        <v>5.3900000000000003E-2</v>
      </c>
      <c r="I251" s="783"/>
      <c r="J251" s="783">
        <v>5.3900000000000003E-2</v>
      </c>
      <c r="K251" s="758"/>
      <c r="L251" s="778">
        <f>H251-J251</f>
        <v>0</v>
      </c>
    </row>
    <row r="252" spans="1:12">
      <c r="A252" s="657">
        <f t="shared" si="9"/>
        <v>243</v>
      </c>
      <c r="D252" s="621" t="s">
        <v>416</v>
      </c>
      <c r="F252" s="621" t="s">
        <v>1338</v>
      </c>
      <c r="H252" s="727">
        <f>ROUND(+H227/H243,4)</f>
        <v>4.58E-2</v>
      </c>
      <c r="I252" s="783"/>
      <c r="J252" s="783">
        <v>4.58E-2</v>
      </c>
      <c r="K252" s="758"/>
      <c r="L252" s="778">
        <f>H252-J252</f>
        <v>0</v>
      </c>
    </row>
    <row r="253" spans="1:12">
      <c r="A253" s="657">
        <f t="shared" si="9"/>
        <v>244</v>
      </c>
      <c r="D253" s="621" t="s">
        <v>417</v>
      </c>
      <c r="E253" s="621" t="s">
        <v>1356</v>
      </c>
      <c r="F253" s="621" t="s">
        <v>106</v>
      </c>
      <c r="H253" s="728">
        <v>0.1</v>
      </c>
      <c r="I253" s="784"/>
      <c r="J253" s="784">
        <v>0.1</v>
      </c>
      <c r="K253" s="758"/>
      <c r="L253" s="778">
        <f>H253-J253</f>
        <v>0</v>
      </c>
    </row>
    <row r="254" spans="1:12">
      <c r="A254" s="657">
        <f t="shared" si="9"/>
        <v>245</v>
      </c>
      <c r="H254" s="717"/>
      <c r="I254" s="771"/>
      <c r="J254" s="758"/>
      <c r="K254" s="758"/>
      <c r="L254" s="758"/>
    </row>
    <row r="255" spans="1:12">
      <c r="A255" s="657">
        <f t="shared" si="9"/>
        <v>246</v>
      </c>
      <c r="D255" s="621" t="s">
        <v>418</v>
      </c>
      <c r="F255" s="621" t="s">
        <v>664</v>
      </c>
      <c r="H255" s="727">
        <f>ROUND(+H247*H251,4)</f>
        <v>2.9499999999999998E-2</v>
      </c>
      <c r="I255" s="783"/>
      <c r="J255" s="783">
        <v>2.9499999999999998E-2</v>
      </c>
      <c r="K255" s="758"/>
      <c r="L255" s="778">
        <f>H255-J255</f>
        <v>0</v>
      </c>
    </row>
    <row r="256" spans="1:12">
      <c r="A256" s="657">
        <f t="shared" si="9"/>
        <v>247</v>
      </c>
      <c r="D256" s="621" t="s">
        <v>419</v>
      </c>
      <c r="F256" s="621" t="s">
        <v>665</v>
      </c>
      <c r="H256" s="727">
        <f>ROUND(+H248*H252,4)</f>
        <v>2.0000000000000001E-4</v>
      </c>
      <c r="I256" s="783"/>
      <c r="J256" s="783">
        <v>2.0000000000000001E-4</v>
      </c>
      <c r="K256" s="758"/>
      <c r="L256" s="778">
        <f>H256-J256</f>
        <v>0</v>
      </c>
    </row>
    <row r="257" spans="1:12">
      <c r="A257" s="657">
        <f t="shared" si="9"/>
        <v>248</v>
      </c>
      <c r="D257" s="628" t="s">
        <v>420</v>
      </c>
      <c r="F257" s="621" t="s">
        <v>1339</v>
      </c>
      <c r="H257" s="723">
        <f>ROUND(+H249*H253,4)</f>
        <v>4.4900000000000002E-2</v>
      </c>
      <c r="I257" s="779"/>
      <c r="J257" s="779">
        <v>4.4900000000000002E-2</v>
      </c>
      <c r="K257" s="758"/>
      <c r="L257" s="773">
        <f>H257-J257</f>
        <v>0</v>
      </c>
    </row>
    <row r="258" spans="1:12">
      <c r="A258" s="657">
        <f t="shared" si="9"/>
        <v>249</v>
      </c>
      <c r="D258" s="622" t="s">
        <v>421</v>
      </c>
      <c r="F258" s="621" t="s">
        <v>1340</v>
      </c>
      <c r="H258" s="727">
        <f>SUM(H255:H257)</f>
        <v>7.46E-2</v>
      </c>
      <c r="I258" s="783"/>
      <c r="J258" s="783">
        <f>SUM(J255:J257)</f>
        <v>7.46E-2</v>
      </c>
      <c r="K258" s="758"/>
      <c r="L258" s="778">
        <f>H258-J258</f>
        <v>0</v>
      </c>
    </row>
    <row r="259" spans="1:12">
      <c r="A259" s="657">
        <f t="shared" si="9"/>
        <v>250</v>
      </c>
      <c r="B259" s="622"/>
      <c r="H259" s="717"/>
      <c r="I259" s="771"/>
      <c r="J259" s="758"/>
      <c r="K259" s="758"/>
      <c r="L259" s="758"/>
    </row>
    <row r="260" spans="1:12" ht="15" thickBot="1">
      <c r="A260" s="657">
        <f t="shared" si="9"/>
        <v>251</v>
      </c>
      <c r="B260" s="622" t="s">
        <v>329</v>
      </c>
      <c r="F260" s="621" t="s">
        <v>1341</v>
      </c>
      <c r="H260" s="775">
        <f>+H258*H99</f>
        <v>31388481.784257215</v>
      </c>
      <c r="I260" s="771"/>
      <c r="J260" s="775">
        <f>+J258*J99</f>
        <v>31946269.977190401</v>
      </c>
      <c r="K260" s="758"/>
      <c r="L260" s="776">
        <f>H260-J260</f>
        <v>-557788.19293318689</v>
      </c>
    </row>
    <row r="261" spans="1:12" ht="15.6" thickTop="1" thickBot="1">
      <c r="A261" s="657">
        <f t="shared" si="9"/>
        <v>252</v>
      </c>
      <c r="B261" s="645"/>
      <c r="C261" s="646"/>
      <c r="D261" s="646"/>
      <c r="E261" s="646"/>
      <c r="F261" s="646"/>
      <c r="G261" s="646"/>
      <c r="H261" s="717"/>
      <c r="I261" s="771"/>
      <c r="J261" s="758"/>
      <c r="K261" s="758"/>
      <c r="L261" s="758"/>
    </row>
    <row r="262" spans="1:12" ht="15" thickBot="1">
      <c r="A262" s="657">
        <f t="shared" si="9"/>
        <v>253</v>
      </c>
      <c r="B262" s="766" t="s">
        <v>423</v>
      </c>
      <c r="C262" s="759"/>
      <c r="D262" s="759"/>
      <c r="E262" s="759"/>
      <c r="F262" s="759"/>
      <c r="G262" s="759"/>
      <c r="H262" s="791"/>
      <c r="I262" s="791"/>
      <c r="J262" s="790"/>
      <c r="K262" s="759"/>
      <c r="L262" s="777"/>
    </row>
    <row r="263" spans="1:12">
      <c r="A263" s="657">
        <f t="shared" si="9"/>
        <v>254</v>
      </c>
      <c r="H263" s="717"/>
      <c r="I263" s="771"/>
      <c r="J263" s="758"/>
      <c r="K263" s="758"/>
      <c r="L263" s="758"/>
    </row>
    <row r="264" spans="1:12">
      <c r="A264" s="657">
        <f t="shared" si="9"/>
        <v>255</v>
      </c>
      <c r="D264" s="621" t="s">
        <v>424</v>
      </c>
      <c r="F264" s="621" t="s">
        <v>658</v>
      </c>
      <c r="H264" s="717">
        <f>+H99</f>
        <v>420757128.47529781</v>
      </c>
      <c r="I264" s="771"/>
      <c r="J264" s="771">
        <v>428234181.99987131</v>
      </c>
      <c r="K264" s="758"/>
      <c r="L264" s="768">
        <f>H264-J264</f>
        <v>-7477053.5245735049</v>
      </c>
    </row>
    <row r="265" spans="1:12">
      <c r="A265" s="657">
        <f t="shared" si="9"/>
        <v>256</v>
      </c>
      <c r="H265" s="717"/>
      <c r="I265" s="771"/>
      <c r="J265" s="758"/>
      <c r="K265" s="758"/>
      <c r="L265" s="758"/>
    </row>
    <row r="266" spans="1:12">
      <c r="A266" s="657">
        <f t="shared" si="9"/>
        <v>257</v>
      </c>
      <c r="D266" s="621" t="s">
        <v>425</v>
      </c>
      <c r="F266" s="621" t="s">
        <v>1342</v>
      </c>
      <c r="H266" s="717">
        <f>+H127</f>
        <v>25250653.029271632</v>
      </c>
      <c r="I266" s="771"/>
      <c r="J266" s="771">
        <v>25247911.813271634</v>
      </c>
      <c r="K266" s="758"/>
      <c r="L266" s="768">
        <f>H266-J266</f>
        <v>2741.2159999981523</v>
      </c>
    </row>
    <row r="267" spans="1:12">
      <c r="A267" s="657">
        <f t="shared" si="9"/>
        <v>258</v>
      </c>
      <c r="D267" s="621" t="s">
        <v>426</v>
      </c>
      <c r="F267" s="621" t="s">
        <v>1343</v>
      </c>
      <c r="H267" s="717">
        <f>+H147</f>
        <v>16036235.059580917</v>
      </c>
      <c r="I267" s="771"/>
      <c r="J267" s="771">
        <v>15021741.323056957</v>
      </c>
      <c r="K267" s="758"/>
      <c r="L267" s="768">
        <f>H267-J267</f>
        <v>1014493.7365239598</v>
      </c>
    </row>
    <row r="268" spans="1:12">
      <c r="A268" s="657">
        <f t="shared" si="9"/>
        <v>259</v>
      </c>
      <c r="D268" s="621" t="s">
        <v>294</v>
      </c>
      <c r="F268" s="621" t="s">
        <v>1344</v>
      </c>
      <c r="H268" s="717">
        <f>+H156</f>
        <v>5094531.7054339573</v>
      </c>
      <c r="I268" s="771"/>
      <c r="J268" s="771">
        <v>5203555.7072805092</v>
      </c>
      <c r="K268" s="758"/>
      <c r="L268" s="768">
        <f>H268-J268</f>
        <v>-109024.0018465519</v>
      </c>
    </row>
    <row r="269" spans="1:12">
      <c r="A269" s="657">
        <f t="shared" ref="A269:A291" si="11">+A268+1</f>
        <v>260</v>
      </c>
      <c r="H269" s="717">
        <f>+H159</f>
        <v>0</v>
      </c>
      <c r="I269" s="771"/>
      <c r="J269" s="771"/>
      <c r="K269" s="758"/>
      <c r="L269" s="771"/>
    </row>
    <row r="270" spans="1:12">
      <c r="A270" s="657">
        <f t="shared" si="11"/>
        <v>261</v>
      </c>
      <c r="D270" s="621" t="s">
        <v>328</v>
      </c>
      <c r="F270" s="621" t="s">
        <v>1345</v>
      </c>
      <c r="H270" s="717">
        <f>+H217</f>
        <v>10989783.519914236</v>
      </c>
      <c r="I270" s="771"/>
      <c r="J270" s="771">
        <v>11201945.43219503</v>
      </c>
      <c r="K270" s="758"/>
      <c r="L270" s="768">
        <f>H270-J270</f>
        <v>-212161.91228079423</v>
      </c>
    </row>
    <row r="271" spans="1:12">
      <c r="A271" s="657">
        <f t="shared" si="11"/>
        <v>262</v>
      </c>
      <c r="D271" s="621" t="s">
        <v>329</v>
      </c>
      <c r="F271" s="621" t="s">
        <v>1346</v>
      </c>
      <c r="H271" s="719">
        <f>+H260</f>
        <v>31388481.784257215</v>
      </c>
      <c r="I271" s="774"/>
      <c r="J271" s="774">
        <v>31946269.977190401</v>
      </c>
      <c r="K271" s="758"/>
      <c r="L271" s="769">
        <f>H271-J271</f>
        <v>-557788.19293318689</v>
      </c>
    </row>
    <row r="272" spans="1:12">
      <c r="A272" s="657">
        <f t="shared" si="11"/>
        <v>263</v>
      </c>
      <c r="C272" s="622"/>
      <c r="H272" s="714"/>
      <c r="I272" s="768"/>
      <c r="J272" s="768"/>
      <c r="K272" s="758"/>
      <c r="L272" s="768"/>
    </row>
    <row r="273" spans="1:12">
      <c r="A273" s="657">
        <f t="shared" si="11"/>
        <v>264</v>
      </c>
      <c r="C273" s="622" t="s">
        <v>427</v>
      </c>
      <c r="F273" s="621" t="s">
        <v>1347</v>
      </c>
      <c r="H273" s="714">
        <f>SUM(H266:H271)</f>
        <v>88759685.098457962</v>
      </c>
      <c r="I273" s="768"/>
      <c r="J273" s="768">
        <f>SUM(J266:J271)</f>
        <v>88621424.252994537</v>
      </c>
      <c r="K273" s="758"/>
      <c r="L273" s="768">
        <f>H273-J273</f>
        <v>138260.84546342492</v>
      </c>
    </row>
    <row r="274" spans="1:12">
      <c r="A274" s="657">
        <f t="shared" si="11"/>
        <v>265</v>
      </c>
      <c r="C274" s="622"/>
      <c r="H274" s="715"/>
      <c r="I274" s="769"/>
      <c r="J274" s="769"/>
      <c r="K274" s="758"/>
      <c r="L274" s="769"/>
    </row>
    <row r="275" spans="1:12" ht="15" thickBot="1">
      <c r="A275" s="657">
        <f t="shared" si="11"/>
        <v>266</v>
      </c>
      <c r="C275" s="622" t="s">
        <v>427</v>
      </c>
      <c r="F275" s="621" t="s">
        <v>1348</v>
      </c>
      <c r="H275" s="785">
        <f>+H273</f>
        <v>88759685.098457962</v>
      </c>
      <c r="I275" s="731"/>
      <c r="J275" s="785">
        <f>+J273</f>
        <v>88621424.252994537</v>
      </c>
      <c r="K275" s="758"/>
      <c r="L275" s="785">
        <f>H275-J275</f>
        <v>138260.84546342492</v>
      </c>
    </row>
    <row r="276" spans="1:12" ht="15" thickTop="1">
      <c r="A276" s="657">
        <f t="shared" si="11"/>
        <v>267</v>
      </c>
      <c r="B276" s="646"/>
      <c r="C276" s="646"/>
      <c r="D276" s="646"/>
      <c r="E276" s="646"/>
      <c r="F276" s="646"/>
      <c r="G276" s="646"/>
      <c r="H276" s="714"/>
      <c r="I276" s="768"/>
      <c r="J276" s="768"/>
      <c r="K276" s="758"/>
      <c r="L276" s="768"/>
    </row>
    <row r="277" spans="1:12" ht="15" thickBot="1">
      <c r="A277" s="657">
        <f t="shared" si="11"/>
        <v>268</v>
      </c>
      <c r="B277" s="645"/>
      <c r="C277" s="646"/>
      <c r="D277" s="646"/>
      <c r="E277" s="646"/>
      <c r="F277" s="646"/>
      <c r="G277" s="646"/>
      <c r="H277" s="714"/>
      <c r="I277" s="768"/>
      <c r="J277" s="768"/>
      <c r="K277" s="758"/>
      <c r="L277" s="768"/>
    </row>
    <row r="278" spans="1:12" ht="15" thickBot="1">
      <c r="A278" s="657">
        <f t="shared" si="11"/>
        <v>269</v>
      </c>
      <c r="B278" s="623" t="s">
        <v>428</v>
      </c>
      <c r="C278" s="752"/>
      <c r="D278" s="759"/>
      <c r="E278" s="759"/>
      <c r="F278" s="759"/>
      <c r="G278" s="759"/>
      <c r="H278" s="791"/>
      <c r="I278" s="791"/>
      <c r="J278" s="790"/>
      <c r="K278" s="759"/>
      <c r="L278" s="777"/>
    </row>
    <row r="279" spans="1:12">
      <c r="A279" s="657">
        <f t="shared" si="11"/>
        <v>270</v>
      </c>
      <c r="B279" s="646"/>
      <c r="C279" s="646"/>
      <c r="D279" s="646"/>
      <c r="E279" s="646"/>
      <c r="F279" s="646"/>
      <c r="G279" s="646"/>
      <c r="H279" s="714"/>
      <c r="I279" s="768"/>
      <c r="J279" s="768"/>
      <c r="K279" s="758"/>
      <c r="L279" s="768"/>
    </row>
    <row r="280" spans="1:12">
      <c r="A280" s="657">
        <f t="shared" si="11"/>
        <v>271</v>
      </c>
      <c r="C280" s="621" t="s">
        <v>441</v>
      </c>
      <c r="E280" s="621" t="s">
        <v>1357</v>
      </c>
      <c r="F280" s="621" t="s">
        <v>817</v>
      </c>
      <c r="H280" s="714"/>
      <c r="I280" s="768"/>
      <c r="J280" s="768"/>
      <c r="K280" s="758"/>
      <c r="L280" s="768"/>
    </row>
    <row r="281" spans="1:12">
      <c r="A281" s="657">
        <f t="shared" si="11"/>
        <v>272</v>
      </c>
      <c r="D281" s="621" t="s">
        <v>442</v>
      </c>
      <c r="F281" s="621" t="s">
        <v>666</v>
      </c>
      <c r="H281" s="714">
        <f>'Schedule 12 Revenue Credits'!$D$10</f>
        <v>1204558</v>
      </c>
      <c r="I281" s="768"/>
      <c r="J281" s="768">
        <v>1204558</v>
      </c>
      <c r="K281" s="758"/>
      <c r="L281" s="768">
        <f>H281-J281</f>
        <v>0</v>
      </c>
    </row>
    <row r="282" spans="1:12">
      <c r="A282" s="657">
        <f t="shared" si="11"/>
        <v>273</v>
      </c>
      <c r="D282" s="621" t="s">
        <v>443</v>
      </c>
      <c r="F282" s="621" t="s">
        <v>666</v>
      </c>
      <c r="H282" s="714">
        <f>'Schedule 12 Revenue Credits'!$D$11</f>
        <v>0</v>
      </c>
      <c r="I282" s="768"/>
      <c r="J282" s="768">
        <v>0</v>
      </c>
      <c r="K282" s="758"/>
      <c r="L282" s="768">
        <f>H282-J282</f>
        <v>0</v>
      </c>
    </row>
    <row r="283" spans="1:12">
      <c r="A283" s="657">
        <f t="shared" si="11"/>
        <v>274</v>
      </c>
      <c r="D283" s="621" t="s">
        <v>556</v>
      </c>
      <c r="F283" s="621" t="s">
        <v>666</v>
      </c>
      <c r="H283" s="714">
        <f>+'Schedule 12 Revenue Credits'!D14</f>
        <v>658838</v>
      </c>
      <c r="I283" s="768"/>
      <c r="J283" s="768">
        <v>658838</v>
      </c>
      <c r="K283" s="758"/>
      <c r="L283" s="768">
        <f>H283-J283</f>
        <v>0</v>
      </c>
    </row>
    <row r="284" spans="1:12">
      <c r="A284" s="657">
        <f t="shared" si="11"/>
        <v>275</v>
      </c>
      <c r="C284" s="622"/>
      <c r="D284" s="621" t="s">
        <v>444</v>
      </c>
      <c r="F284" s="629" t="s">
        <v>666</v>
      </c>
      <c r="H284" s="769">
        <f>+'Schedule 12 Revenue Credits'!D21</f>
        <v>405268.4800000001</v>
      </c>
      <c r="I284" s="768"/>
      <c r="J284" s="769">
        <v>405268.4800000001</v>
      </c>
      <c r="K284" s="758"/>
      <c r="L284" s="769">
        <f>H284-J284</f>
        <v>0</v>
      </c>
    </row>
    <row r="285" spans="1:12">
      <c r="A285" s="657">
        <f t="shared" si="11"/>
        <v>276</v>
      </c>
      <c r="B285" s="646"/>
      <c r="C285" s="645" t="s">
        <v>445</v>
      </c>
      <c r="D285" s="646"/>
      <c r="E285" s="646"/>
      <c r="F285" s="646" t="s">
        <v>1349</v>
      </c>
      <c r="G285" s="646"/>
      <c r="H285" s="714">
        <f>SUM(H281:H284)</f>
        <v>2268664.48</v>
      </c>
      <c r="I285" s="768"/>
      <c r="J285" s="768">
        <f>SUM(J281:J284)</f>
        <v>2268664.48</v>
      </c>
      <c r="K285" s="758"/>
      <c r="L285" s="768">
        <f>H285-J285</f>
        <v>0</v>
      </c>
    </row>
    <row r="286" spans="1:12" ht="15" thickBot="1">
      <c r="A286" s="657">
        <f t="shared" si="11"/>
        <v>277</v>
      </c>
      <c r="B286" s="645"/>
      <c r="C286" s="646"/>
      <c r="D286" s="646"/>
      <c r="E286" s="646"/>
      <c r="F286" s="646"/>
      <c r="G286" s="646"/>
      <c r="H286" s="714"/>
      <c r="I286" s="768"/>
      <c r="J286" s="768"/>
      <c r="K286" s="758"/>
      <c r="L286" s="768"/>
    </row>
    <row r="287" spans="1:12" ht="15" thickBot="1">
      <c r="A287" s="657">
        <f t="shared" si="11"/>
        <v>278</v>
      </c>
      <c r="B287" s="766" t="s">
        <v>704</v>
      </c>
      <c r="C287" s="759"/>
      <c r="D287" s="759"/>
      <c r="E287" s="759"/>
      <c r="F287" s="759"/>
      <c r="G287" s="759"/>
      <c r="H287" s="791"/>
      <c r="I287" s="791"/>
      <c r="J287" s="790"/>
      <c r="K287" s="759"/>
      <c r="L287" s="777"/>
    </row>
    <row r="288" spans="1:12">
      <c r="A288" s="657">
        <f t="shared" si="11"/>
        <v>279</v>
      </c>
      <c r="C288" s="622"/>
      <c r="H288" s="714"/>
      <c r="I288" s="768"/>
      <c r="J288" s="768"/>
      <c r="K288" s="758"/>
      <c r="L288" s="768"/>
    </row>
    <row r="289" spans="1:12">
      <c r="A289" s="657">
        <f t="shared" si="11"/>
        <v>280</v>
      </c>
      <c r="C289" s="622" t="s">
        <v>704</v>
      </c>
      <c r="F289" s="621" t="s">
        <v>1350</v>
      </c>
      <c r="H289" s="714">
        <f>+H275-H285</f>
        <v>86491020.618457958</v>
      </c>
      <c r="I289" s="768"/>
      <c r="J289" s="768">
        <f>+J275-J285</f>
        <v>86352759.772994533</v>
      </c>
      <c r="K289" s="758"/>
      <c r="L289" s="768">
        <f>H289-J289</f>
        <v>138260.84546342492</v>
      </c>
    </row>
    <row r="290" spans="1:12">
      <c r="A290" s="657">
        <f t="shared" si="11"/>
        <v>281</v>
      </c>
      <c r="C290" s="622"/>
      <c r="H290" s="715"/>
      <c r="I290" s="769"/>
      <c r="J290" s="769"/>
      <c r="K290" s="758"/>
      <c r="L290" s="769"/>
    </row>
    <row r="291" spans="1:12" ht="15" thickBot="1">
      <c r="A291" s="657">
        <f t="shared" si="11"/>
        <v>282</v>
      </c>
      <c r="C291" s="622" t="s">
        <v>704</v>
      </c>
      <c r="E291" s="621" t="s">
        <v>1358</v>
      </c>
      <c r="F291" s="621" t="s">
        <v>1351</v>
      </c>
      <c r="H291" s="729">
        <f>+H289</f>
        <v>86491020.618457958</v>
      </c>
      <c r="I291" s="785"/>
      <c r="J291" s="785">
        <f>+J289</f>
        <v>86352759.772994533</v>
      </c>
      <c r="K291" s="758"/>
      <c r="L291" s="785">
        <f>H291-J291</f>
        <v>138260.84546342492</v>
      </c>
    </row>
    <row r="292" spans="1:12" ht="15" thickTop="1">
      <c r="A292" s="657"/>
      <c r="B292" s="691"/>
      <c r="H292" s="714"/>
      <c r="I292" s="768"/>
      <c r="J292" s="758"/>
      <c r="K292" s="758"/>
      <c r="L292" s="758"/>
    </row>
    <row r="293" spans="1:12">
      <c r="A293" s="657"/>
      <c r="B293" s="691"/>
      <c r="H293" s="714"/>
      <c r="I293" s="768"/>
      <c r="J293" s="758"/>
      <c r="K293" s="758"/>
      <c r="L293" s="758"/>
    </row>
    <row r="294" spans="1:12">
      <c r="A294" s="657"/>
      <c r="B294" s="691"/>
      <c r="H294" s="714"/>
      <c r="I294" s="768"/>
      <c r="J294" s="758"/>
      <c r="K294" s="758"/>
      <c r="L294" s="758"/>
    </row>
    <row r="295" spans="1:12">
      <c r="A295" s="657"/>
      <c r="H295" s="717"/>
      <c r="I295" s="771"/>
      <c r="J295" s="758"/>
      <c r="K295" s="758"/>
      <c r="L295" s="758"/>
    </row>
    <row r="296" spans="1:12">
      <c r="A296" s="657"/>
      <c r="H296" s="717"/>
      <c r="I296" s="771"/>
      <c r="J296" s="758"/>
      <c r="K296" s="758"/>
      <c r="L296" s="758"/>
    </row>
    <row r="297" spans="1:12">
      <c r="A297" s="657"/>
      <c r="B297" s="621" t="s">
        <v>106</v>
      </c>
      <c r="D297" s="621" t="s">
        <v>1360</v>
      </c>
      <c r="H297" s="717"/>
      <c r="I297" s="771"/>
      <c r="J297" s="758"/>
      <c r="K297" s="758"/>
      <c r="L297" s="758"/>
    </row>
    <row r="298" spans="1:12">
      <c r="A298" s="657"/>
      <c r="B298" s="621" t="s">
        <v>817</v>
      </c>
      <c r="D298" s="621" t="s">
        <v>1361</v>
      </c>
      <c r="H298" s="717"/>
      <c r="I298" s="771"/>
      <c r="J298" s="758"/>
      <c r="K298" s="758"/>
      <c r="L298" s="758"/>
    </row>
    <row r="299" spans="1:12">
      <c r="A299" s="657"/>
      <c r="B299" s="621" t="s">
        <v>924</v>
      </c>
      <c r="D299" s="621" t="s">
        <v>1362</v>
      </c>
      <c r="H299" s="717"/>
      <c r="I299" s="771"/>
      <c r="J299" s="758"/>
      <c r="K299" s="758"/>
      <c r="L299" s="758"/>
    </row>
    <row r="300" spans="1:12">
      <c r="A300" s="657"/>
      <c r="D300" s="621" t="s">
        <v>1363</v>
      </c>
      <c r="H300" s="717"/>
      <c r="I300" s="771"/>
      <c r="J300" s="758"/>
      <c r="K300" s="758"/>
      <c r="L300" s="758"/>
    </row>
    <row r="301" spans="1:12">
      <c r="A301" s="657"/>
      <c r="B301" s="621" t="s">
        <v>757</v>
      </c>
      <c r="D301" s="621" t="s">
        <v>1364</v>
      </c>
      <c r="H301" s="717"/>
      <c r="I301" s="771"/>
      <c r="J301" s="758"/>
      <c r="K301" s="758"/>
      <c r="L301" s="758"/>
    </row>
    <row r="302" spans="1:12">
      <c r="A302" s="657"/>
      <c r="D302" s="621" t="s">
        <v>1365</v>
      </c>
      <c r="H302" s="717"/>
      <c r="I302" s="771"/>
      <c r="J302" s="758"/>
      <c r="K302" s="758"/>
      <c r="L302" s="758"/>
    </row>
    <row r="303" spans="1:12">
      <c r="A303" s="657"/>
      <c r="B303" s="621" t="s">
        <v>992</v>
      </c>
      <c r="D303" s="621" t="s">
        <v>1366</v>
      </c>
      <c r="H303" s="717"/>
      <c r="I303" s="771"/>
      <c r="J303" s="758"/>
      <c r="K303" s="758"/>
      <c r="L303" s="758"/>
    </row>
    <row r="304" spans="1:12">
      <c r="A304" s="657"/>
      <c r="B304" s="621" t="s">
        <v>993</v>
      </c>
      <c r="D304" s="621" t="s">
        <v>1367</v>
      </c>
      <c r="H304" s="717"/>
      <c r="I304" s="771"/>
      <c r="J304" s="758"/>
      <c r="K304" s="758"/>
      <c r="L304" s="758"/>
    </row>
    <row r="305" spans="1:9">
      <c r="A305" s="657"/>
      <c r="B305" s="621" t="s">
        <v>1354</v>
      </c>
      <c r="D305" s="621" t="s">
        <v>1368</v>
      </c>
      <c r="H305" s="717"/>
      <c r="I305" s="771"/>
    </row>
    <row r="306" spans="1:9">
      <c r="A306" s="657"/>
      <c r="B306" s="621" t="s">
        <v>1355</v>
      </c>
      <c r="D306" s="621" t="s">
        <v>1369</v>
      </c>
      <c r="H306" s="717"/>
      <c r="I306" s="771"/>
    </row>
    <row r="307" spans="1:9">
      <c r="A307" s="657"/>
      <c r="D307" s="621" t="s">
        <v>1370</v>
      </c>
      <c r="H307" s="717"/>
      <c r="I307" s="771"/>
    </row>
    <row r="308" spans="1:9">
      <c r="A308" s="657"/>
      <c r="B308" s="621" t="s">
        <v>1356</v>
      </c>
      <c r="D308" s="621" t="s">
        <v>1371</v>
      </c>
      <c r="H308" s="717"/>
      <c r="I308" s="771"/>
    </row>
    <row r="309" spans="1:9">
      <c r="A309" s="657"/>
      <c r="B309" s="621" t="s">
        <v>1357</v>
      </c>
      <c r="D309" s="621" t="s">
        <v>1372</v>
      </c>
      <c r="H309" s="717"/>
      <c r="I309" s="771"/>
    </row>
    <row r="310" spans="1:9">
      <c r="A310" s="657"/>
      <c r="B310" s="621" t="s">
        <v>1358</v>
      </c>
      <c r="D310" s="621" t="s">
        <v>925</v>
      </c>
      <c r="H310" s="717"/>
      <c r="I310" s="771"/>
    </row>
    <row r="311" spans="1:9">
      <c r="A311" s="657"/>
      <c r="H311" s="717"/>
      <c r="I311" s="771"/>
    </row>
    <row r="312" spans="1:9">
      <c r="A312" s="657"/>
      <c r="H312" s="730"/>
      <c r="I312" s="786"/>
    </row>
    <row r="313" spans="1:9">
      <c r="A313" s="657"/>
      <c r="H313" s="717"/>
      <c r="I313" s="771"/>
    </row>
    <row r="314" spans="1:9">
      <c r="A314" s="657"/>
      <c r="H314" s="730"/>
      <c r="I314" s="786"/>
    </row>
    <row r="315" spans="1:9">
      <c r="A315" s="657"/>
      <c r="H315" s="717"/>
      <c r="I315" s="771"/>
    </row>
    <row r="316" spans="1:9">
      <c r="A316" s="657"/>
      <c r="H316" s="717"/>
      <c r="I316" s="771"/>
    </row>
    <row r="317" spans="1:9">
      <c r="A317" s="657"/>
      <c r="H317" s="717"/>
      <c r="I317" s="771"/>
    </row>
    <row r="318" spans="1:9">
      <c r="A318" s="657"/>
      <c r="H318" s="717"/>
      <c r="I318" s="771"/>
    </row>
    <row r="319" spans="1:9">
      <c r="A319" s="657"/>
      <c r="H319" s="717"/>
      <c r="I319" s="771"/>
    </row>
    <row r="320" spans="1:9">
      <c r="A320" s="657"/>
      <c r="H320" s="717"/>
      <c r="I320" s="771"/>
    </row>
    <row r="321" spans="1:9">
      <c r="A321" s="657"/>
      <c r="H321" s="717"/>
      <c r="I321" s="771"/>
    </row>
    <row r="322" spans="1:9">
      <c r="A322" s="657"/>
      <c r="H322" s="621"/>
      <c r="I322" s="758"/>
    </row>
    <row r="323" spans="1:9">
      <c r="A323" s="657"/>
      <c r="H323" s="621"/>
      <c r="I323" s="758"/>
    </row>
    <row r="324" spans="1:9">
      <c r="A324" s="657"/>
      <c r="H324" s="621"/>
      <c r="I324" s="758"/>
    </row>
    <row r="325" spans="1:9">
      <c r="A325" s="657"/>
      <c r="H325" s="621"/>
      <c r="I325" s="758"/>
    </row>
    <row r="326" spans="1:9">
      <c r="A326" s="657"/>
      <c r="H326" s="621"/>
      <c r="I326" s="758"/>
    </row>
    <row r="327" spans="1:9">
      <c r="A327" s="657"/>
      <c r="H327" s="621"/>
      <c r="I327" s="758"/>
    </row>
    <row r="328" spans="1:9">
      <c r="A328" s="657"/>
      <c r="H328" s="621"/>
      <c r="I328" s="758"/>
    </row>
    <row r="329" spans="1:9">
      <c r="A329" s="657"/>
      <c r="H329" s="621"/>
      <c r="I329" s="758"/>
    </row>
    <row r="330" spans="1:9">
      <c r="A330" s="657"/>
      <c r="H330" s="621"/>
      <c r="I330" s="758"/>
    </row>
    <row r="331" spans="1:9">
      <c r="A331" s="657"/>
      <c r="H331" s="621"/>
      <c r="I331" s="758"/>
    </row>
    <row r="332" spans="1:9">
      <c r="A332" s="657"/>
      <c r="H332" s="621"/>
      <c r="I332" s="758"/>
    </row>
    <row r="333" spans="1:9">
      <c r="A333" s="657"/>
      <c r="H333" s="621"/>
      <c r="I333" s="758"/>
    </row>
    <row r="334" spans="1:9">
      <c r="A334" s="657"/>
      <c r="H334" s="621"/>
      <c r="I334" s="758"/>
    </row>
    <row r="335" spans="1:9">
      <c r="A335" s="657"/>
      <c r="H335" s="621"/>
      <c r="I335" s="758"/>
    </row>
    <row r="336" spans="1:9">
      <c r="A336" s="657"/>
      <c r="H336" s="621"/>
      <c r="I336" s="758"/>
    </row>
    <row r="337" spans="1:9">
      <c r="A337" s="657"/>
      <c r="H337" s="621"/>
      <c r="I337" s="758"/>
    </row>
    <row r="338" spans="1:9">
      <c r="A338" s="657"/>
      <c r="H338" s="621"/>
      <c r="I338" s="758"/>
    </row>
    <row r="339" spans="1:9">
      <c r="A339" s="657"/>
      <c r="H339" s="621"/>
      <c r="I339" s="758"/>
    </row>
    <row r="340" spans="1:9">
      <c r="A340" s="657"/>
      <c r="H340" s="621"/>
      <c r="I340" s="758"/>
    </row>
    <row r="341" spans="1:9">
      <c r="A341" s="657"/>
      <c r="H341" s="621"/>
      <c r="I341" s="758"/>
    </row>
    <row r="342" spans="1:9">
      <c r="A342" s="657"/>
      <c r="H342" s="621"/>
      <c r="I342" s="758"/>
    </row>
    <row r="343" spans="1:9">
      <c r="A343" s="657"/>
      <c r="H343" s="621"/>
      <c r="I343" s="758"/>
    </row>
    <row r="344" spans="1:9">
      <c r="A344" s="657"/>
      <c r="H344" s="621"/>
      <c r="I344" s="758"/>
    </row>
    <row r="345" spans="1:9">
      <c r="A345" s="657"/>
      <c r="H345" s="621"/>
      <c r="I345" s="758"/>
    </row>
    <row r="346" spans="1:9">
      <c r="A346" s="657"/>
      <c r="H346" s="621"/>
      <c r="I346" s="758"/>
    </row>
    <row r="347" spans="1:9">
      <c r="A347" s="657"/>
      <c r="H347" s="621"/>
      <c r="I347" s="758"/>
    </row>
    <row r="348" spans="1:9">
      <c r="A348" s="657"/>
      <c r="H348" s="621"/>
      <c r="I348" s="758"/>
    </row>
    <row r="349" spans="1:9">
      <c r="A349" s="657"/>
      <c r="H349" s="621"/>
      <c r="I349" s="758"/>
    </row>
    <row r="350" spans="1:9">
      <c r="A350" s="657"/>
      <c r="H350" s="621"/>
      <c r="I350" s="758"/>
    </row>
    <row r="351" spans="1:9">
      <c r="A351" s="657"/>
      <c r="H351" s="621"/>
      <c r="I351" s="758"/>
    </row>
    <row r="352" spans="1:9">
      <c r="A352" s="657"/>
      <c r="H352" s="621"/>
      <c r="I352" s="758"/>
    </row>
    <row r="353" spans="1:9">
      <c r="A353" s="657"/>
      <c r="H353" s="621"/>
      <c r="I353" s="758"/>
    </row>
    <row r="354" spans="1:9">
      <c r="A354" s="657"/>
      <c r="H354" s="621"/>
      <c r="I354" s="758"/>
    </row>
    <row r="355" spans="1:9">
      <c r="A355" s="657"/>
      <c r="H355" s="621"/>
      <c r="I355" s="758"/>
    </row>
  </sheetData>
  <mergeCells count="1">
    <mergeCell ref="J2:L2"/>
  </mergeCells>
  <pageMargins left="0.7" right="0.7" top="0.75" bottom="0.75" header="0.3" footer="0.3"/>
  <pageSetup scale="59" fitToHeight="0" orientation="landscape" r:id="rId1"/>
  <rowBreaks count="2" manualBreakCount="2">
    <brk id="88" max="7" man="1"/>
    <brk id="2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0"/>
  <sheetViews>
    <sheetView view="pageBreakPreview" topLeftCell="A148" zoomScale="60" zoomScaleNormal="90" workbookViewId="0">
      <selection activeCell="F170" sqref="F170"/>
    </sheetView>
  </sheetViews>
  <sheetFormatPr defaultColWidth="8.88671875" defaultRowHeight="14.4"/>
  <cols>
    <col min="1" max="1" width="2.33203125" style="621" customWidth="1"/>
    <col min="2" max="2" width="3.88671875" style="621" customWidth="1"/>
    <col min="3" max="3" width="34.5546875" style="621" customWidth="1"/>
    <col min="4" max="4" width="45.88671875" style="621" bestFit="1" customWidth="1"/>
    <col min="5" max="5" width="8.88671875" style="621"/>
    <col min="6" max="6" width="17" style="624" customWidth="1"/>
    <col min="7" max="7" width="4.109375" style="635" customWidth="1"/>
    <col min="8" max="8" width="23.6640625" style="635" bestFit="1" customWidth="1"/>
    <col min="9" max="9" width="4.109375" style="635" customWidth="1"/>
    <col min="10" max="10" width="19.33203125" style="635" bestFit="1" customWidth="1"/>
    <col min="11" max="11" width="4.88671875" style="635" customWidth="1"/>
    <col min="12" max="12" width="17" style="621" bestFit="1" customWidth="1"/>
    <col min="13" max="13" width="22.109375" style="621" bestFit="1" customWidth="1"/>
    <col min="14" max="14" width="8.88671875" style="621"/>
    <col min="15" max="15" width="14" style="621" bestFit="1" customWidth="1"/>
    <col min="16" max="16" width="9.6640625" style="621" bestFit="1" customWidth="1"/>
    <col min="17" max="18" width="11.33203125" style="621" bestFit="1" customWidth="1"/>
    <col min="19" max="16384" width="8.88671875" style="621"/>
  </cols>
  <sheetData>
    <row r="1" spans="1:18">
      <c r="A1" s="622" t="s">
        <v>0</v>
      </c>
    </row>
    <row r="2" spans="1:18">
      <c r="A2" s="622" t="s">
        <v>8</v>
      </c>
    </row>
    <row r="3" spans="1:18" ht="15" thickBot="1"/>
    <row r="4" spans="1:18">
      <c r="B4" s="640" t="s">
        <v>49</v>
      </c>
      <c r="C4" s="641"/>
      <c r="D4" s="641"/>
      <c r="E4" s="641"/>
      <c r="F4" s="642"/>
      <c r="G4" s="684"/>
      <c r="H4" s="684"/>
      <c r="I4" s="684"/>
      <c r="J4" s="684"/>
      <c r="K4" s="684"/>
      <c r="L4" s="641"/>
      <c r="M4" s="643"/>
    </row>
    <row r="5" spans="1:18">
      <c r="B5" s="644"/>
      <c r="C5" s="645" t="s">
        <v>2</v>
      </c>
      <c r="D5" s="646"/>
      <c r="E5" s="646"/>
      <c r="F5" s="647"/>
      <c r="G5" s="670"/>
      <c r="H5" s="688"/>
      <c r="I5" s="670"/>
      <c r="J5" s="688"/>
      <c r="K5" s="670"/>
      <c r="L5" s="646"/>
      <c r="M5" s="648"/>
    </row>
    <row r="6" spans="1:18">
      <c r="B6" s="644"/>
      <c r="C6" s="649" t="s">
        <v>10</v>
      </c>
      <c r="D6" s="649" t="s">
        <v>11</v>
      </c>
      <c r="E6" s="649"/>
      <c r="F6" s="650" t="s">
        <v>12</v>
      </c>
      <c r="G6" s="685"/>
      <c r="H6" s="685" t="s">
        <v>1090</v>
      </c>
      <c r="I6" s="685"/>
      <c r="J6" s="685" t="s">
        <v>614</v>
      </c>
      <c r="K6" s="685"/>
      <c r="L6" s="645" t="s">
        <v>588</v>
      </c>
      <c r="M6" s="648"/>
      <c r="O6" s="624"/>
      <c r="P6" s="624"/>
      <c r="Q6" s="624"/>
      <c r="R6" s="624"/>
    </row>
    <row r="7" spans="1:18">
      <c r="B7" s="644"/>
      <c r="C7" s="646" t="s">
        <v>13</v>
      </c>
      <c r="D7" s="646" t="s">
        <v>26</v>
      </c>
      <c r="E7" s="660">
        <v>2014</v>
      </c>
      <c r="F7" s="809">
        <v>765694999</v>
      </c>
      <c r="G7" s="670"/>
      <c r="H7" s="800">
        <v>-2356808.0921250009</v>
      </c>
      <c r="I7" s="670"/>
      <c r="J7" s="651">
        <f>+'Schedule 13 Direct Assignment'!M11</f>
        <v>53051849.123802595</v>
      </c>
      <c r="K7" s="670"/>
      <c r="L7" s="662">
        <f>+F7+H7-J7</f>
        <v>710286341.7840724</v>
      </c>
      <c r="M7" s="648"/>
      <c r="O7" s="624"/>
      <c r="P7" s="624"/>
      <c r="Q7" s="624"/>
      <c r="R7" s="624"/>
    </row>
    <row r="8" spans="1:18">
      <c r="B8" s="644"/>
      <c r="C8" s="646" t="s">
        <v>14</v>
      </c>
      <c r="D8" s="646" t="s">
        <v>27</v>
      </c>
      <c r="E8" s="660">
        <v>2015</v>
      </c>
      <c r="F8" s="800">
        <v>766720679.43000102</v>
      </c>
      <c r="G8" s="670"/>
      <c r="H8" s="800">
        <v>-2356808.0921250009</v>
      </c>
      <c r="I8" s="670"/>
      <c r="J8" s="651">
        <f>+'Schedule 13 Direct Assignment'!M12</f>
        <v>53051849.123802595</v>
      </c>
      <c r="K8" s="670"/>
      <c r="L8" s="662">
        <f t="shared" ref="L8:L19" si="0">+F8+H8-J8</f>
        <v>711312022.21407342</v>
      </c>
      <c r="M8" s="648"/>
      <c r="O8" s="624"/>
      <c r="P8" s="624"/>
      <c r="Q8" s="624"/>
      <c r="R8" s="624"/>
    </row>
    <row r="9" spans="1:18">
      <c r="B9" s="644"/>
      <c r="C9" s="646" t="s">
        <v>15</v>
      </c>
      <c r="D9" s="646" t="s">
        <v>27</v>
      </c>
      <c r="E9" s="660">
        <v>2015</v>
      </c>
      <c r="F9" s="800">
        <v>768214618.53000128</v>
      </c>
      <c r="G9" s="670"/>
      <c r="H9" s="800">
        <v>-2356808.0921250009</v>
      </c>
      <c r="I9" s="670"/>
      <c r="J9" s="651">
        <f>+'Schedule 13 Direct Assignment'!M13</f>
        <v>54229447.123802595</v>
      </c>
      <c r="K9" s="670"/>
      <c r="L9" s="662">
        <f t="shared" si="0"/>
        <v>711628363.31407368</v>
      </c>
      <c r="M9" s="648"/>
      <c r="O9" s="624"/>
      <c r="P9" s="624"/>
      <c r="Q9" s="624"/>
      <c r="R9" s="624"/>
    </row>
    <row r="10" spans="1:18">
      <c r="B10" s="644"/>
      <c r="C10" s="646" t="s">
        <v>16</v>
      </c>
      <c r="D10" s="646" t="s">
        <v>27</v>
      </c>
      <c r="E10" s="660">
        <v>2015</v>
      </c>
      <c r="F10" s="800">
        <v>767916510.45000148</v>
      </c>
      <c r="G10" s="670"/>
      <c r="H10" s="800">
        <v>-2356808.0921250009</v>
      </c>
      <c r="I10" s="670"/>
      <c r="J10" s="651">
        <f>+'Schedule 13 Direct Assignment'!M14</f>
        <v>54229447.123802595</v>
      </c>
      <c r="K10" s="670"/>
      <c r="L10" s="662">
        <f t="shared" si="0"/>
        <v>711330255.23407388</v>
      </c>
      <c r="M10" s="648"/>
      <c r="O10" s="624"/>
      <c r="P10" s="624"/>
      <c r="Q10" s="624"/>
      <c r="R10" s="624"/>
    </row>
    <row r="11" spans="1:18">
      <c r="B11" s="644"/>
      <c r="C11" s="646" t="s">
        <v>17</v>
      </c>
      <c r="D11" s="646" t="s">
        <v>27</v>
      </c>
      <c r="E11" s="660">
        <v>2015</v>
      </c>
      <c r="F11" s="800">
        <v>776240008.21000278</v>
      </c>
      <c r="G11" s="670"/>
      <c r="H11" s="800">
        <v>-2356808.0921250009</v>
      </c>
      <c r="I11" s="670"/>
      <c r="J11" s="651">
        <f>+'Schedule 13 Direct Assignment'!M15</f>
        <v>54229447.123802595</v>
      </c>
      <c r="K11" s="670"/>
      <c r="L11" s="662">
        <f t="shared" si="0"/>
        <v>719653752.99407518</v>
      </c>
      <c r="M11" s="648"/>
      <c r="O11" s="624"/>
      <c r="P11" s="624"/>
      <c r="Q11" s="624"/>
      <c r="R11" s="624"/>
    </row>
    <row r="12" spans="1:18">
      <c r="B12" s="644"/>
      <c r="C12" s="646" t="s">
        <v>18</v>
      </c>
      <c r="D12" s="646" t="s">
        <v>27</v>
      </c>
      <c r="E12" s="660">
        <v>2015</v>
      </c>
      <c r="F12" s="800">
        <v>776396690.36000228</v>
      </c>
      <c r="G12" s="670"/>
      <c r="H12" s="800">
        <v>-2356808.0921250009</v>
      </c>
      <c r="I12" s="670"/>
      <c r="J12" s="651">
        <f>+'Schedule 13 Direct Assignment'!M16</f>
        <v>54229447.123802595</v>
      </c>
      <c r="K12" s="670"/>
      <c r="L12" s="662">
        <f t="shared" si="0"/>
        <v>719810435.14407468</v>
      </c>
      <c r="M12" s="648"/>
      <c r="O12" s="624"/>
      <c r="P12" s="624"/>
      <c r="Q12" s="624"/>
      <c r="R12" s="624"/>
    </row>
    <row r="13" spans="1:18">
      <c r="B13" s="644"/>
      <c r="C13" s="646" t="s">
        <v>19</v>
      </c>
      <c r="D13" s="646" t="s">
        <v>27</v>
      </c>
      <c r="E13" s="660">
        <v>2015</v>
      </c>
      <c r="F13" s="800">
        <v>810235544</v>
      </c>
      <c r="G13" s="670"/>
      <c r="H13" s="800">
        <v>-2356808.0921250009</v>
      </c>
      <c r="I13" s="670"/>
      <c r="J13" s="651">
        <f>+'Schedule 13 Direct Assignment'!M17</f>
        <v>54229447.123802595</v>
      </c>
      <c r="K13" s="670"/>
      <c r="L13" s="662">
        <f t="shared" si="0"/>
        <v>753649288.7840724</v>
      </c>
      <c r="M13" s="648"/>
      <c r="O13" s="624"/>
      <c r="P13" s="624"/>
      <c r="Q13" s="624"/>
      <c r="R13" s="624"/>
    </row>
    <row r="14" spans="1:18">
      <c r="B14" s="644"/>
      <c r="C14" s="646" t="s">
        <v>20</v>
      </c>
      <c r="D14" s="646" t="s">
        <v>27</v>
      </c>
      <c r="E14" s="660">
        <v>2015</v>
      </c>
      <c r="F14" s="800">
        <v>813073504.64999998</v>
      </c>
      <c r="G14" s="670"/>
      <c r="H14" s="800">
        <v>-2356808.0921250009</v>
      </c>
      <c r="I14" s="670"/>
      <c r="J14" s="651">
        <f>+'Schedule 13 Direct Assignment'!M18</f>
        <v>54229447.123802595</v>
      </c>
      <c r="K14" s="670"/>
      <c r="L14" s="662">
        <f t="shared" si="0"/>
        <v>756487249.43407238</v>
      </c>
      <c r="M14" s="648"/>
      <c r="O14" s="624"/>
      <c r="P14" s="624"/>
      <c r="Q14" s="624"/>
      <c r="R14" s="624"/>
    </row>
    <row r="15" spans="1:18">
      <c r="B15" s="644"/>
      <c r="C15" s="646" t="s">
        <v>21</v>
      </c>
      <c r="D15" s="646" t="s">
        <v>27</v>
      </c>
      <c r="E15" s="660">
        <v>2015</v>
      </c>
      <c r="F15" s="800">
        <v>817089748.81000078</v>
      </c>
      <c r="G15" s="670"/>
      <c r="H15" s="800">
        <v>-2356808.0921250009</v>
      </c>
      <c r="I15" s="670"/>
      <c r="J15" s="651">
        <f>+'Schedule 13 Direct Assignment'!M19</f>
        <v>54229447.123802595</v>
      </c>
      <c r="K15" s="670"/>
      <c r="L15" s="662">
        <f t="shared" si="0"/>
        <v>760503493.59407318</v>
      </c>
      <c r="M15" s="648"/>
      <c r="O15" s="624"/>
      <c r="P15" s="624"/>
      <c r="Q15" s="624"/>
      <c r="R15" s="624"/>
    </row>
    <row r="16" spans="1:18">
      <c r="B16" s="644"/>
      <c r="C16" s="646" t="s">
        <v>22</v>
      </c>
      <c r="D16" s="646" t="s">
        <v>27</v>
      </c>
      <c r="E16" s="660">
        <v>2015</v>
      </c>
      <c r="F16" s="800">
        <v>819399398</v>
      </c>
      <c r="G16" s="670"/>
      <c r="H16" s="800">
        <v>-2356808.0921250009</v>
      </c>
      <c r="I16" s="670"/>
      <c r="J16" s="651">
        <f>+'Schedule 13 Direct Assignment'!M20</f>
        <v>54229447.123802595</v>
      </c>
      <c r="K16" s="670"/>
      <c r="L16" s="662">
        <f t="shared" si="0"/>
        <v>762813142.7840724</v>
      </c>
      <c r="M16" s="648"/>
      <c r="O16" s="624"/>
      <c r="P16" s="624"/>
      <c r="Q16" s="624"/>
      <c r="R16" s="624"/>
    </row>
    <row r="17" spans="2:18">
      <c r="B17" s="644"/>
      <c r="C17" s="646" t="s">
        <v>23</v>
      </c>
      <c r="D17" s="646" t="s">
        <v>27</v>
      </c>
      <c r="E17" s="660">
        <v>2015</v>
      </c>
      <c r="F17" s="800">
        <v>820009990.87999916</v>
      </c>
      <c r="G17" s="670"/>
      <c r="H17" s="800">
        <v>-2356808.0921250009</v>
      </c>
      <c r="I17" s="670"/>
      <c r="J17" s="651">
        <f>+'Schedule 13 Direct Assignment'!M21</f>
        <v>53529540.813802592</v>
      </c>
      <c r="K17" s="670"/>
      <c r="L17" s="662">
        <f t="shared" si="0"/>
        <v>764123641.9740715</v>
      </c>
      <c r="M17" s="648"/>
      <c r="O17" s="624"/>
      <c r="P17" s="624"/>
      <c r="Q17" s="624"/>
      <c r="R17" s="624"/>
    </row>
    <row r="18" spans="2:18">
      <c r="B18" s="644"/>
      <c r="C18" s="646" t="s">
        <v>24</v>
      </c>
      <c r="D18" s="646" t="s">
        <v>27</v>
      </c>
      <c r="E18" s="660">
        <v>2015</v>
      </c>
      <c r="F18" s="800">
        <v>820567316.19999802</v>
      </c>
      <c r="G18" s="670"/>
      <c r="H18" s="800">
        <v>-2356808.0921250009</v>
      </c>
      <c r="I18" s="670"/>
      <c r="J18" s="651">
        <f>+'Schedule 13 Direct Assignment'!M22</f>
        <v>53529540.813802592</v>
      </c>
      <c r="K18" s="670"/>
      <c r="L18" s="662">
        <f t="shared" si="0"/>
        <v>764680967.29407036</v>
      </c>
      <c r="M18" s="648"/>
      <c r="O18" s="624"/>
      <c r="P18" s="624"/>
      <c r="Q18" s="624"/>
      <c r="R18" s="624"/>
    </row>
    <row r="19" spans="2:18">
      <c r="B19" s="644"/>
      <c r="C19" s="646" t="s">
        <v>13</v>
      </c>
      <c r="D19" s="646" t="s">
        <v>25</v>
      </c>
      <c r="E19" s="660">
        <v>2015</v>
      </c>
      <c r="F19" s="814">
        <v>836742637</v>
      </c>
      <c r="G19" s="661"/>
      <c r="H19" s="813">
        <v>-2356808.0921250009</v>
      </c>
      <c r="I19" s="661"/>
      <c r="J19" s="625">
        <f>+'Schedule 13 Direct Assignment'!M23</f>
        <v>53529540.813802592</v>
      </c>
      <c r="K19" s="661"/>
      <c r="L19" s="686">
        <f t="shared" si="0"/>
        <v>780856288.09407234</v>
      </c>
      <c r="M19" s="648"/>
      <c r="O19" s="624"/>
      <c r="P19" s="624"/>
      <c r="Q19" s="624"/>
    </row>
    <row r="20" spans="2:18">
      <c r="B20" s="644"/>
      <c r="C20" s="645" t="s">
        <v>28</v>
      </c>
      <c r="D20" s="646"/>
      <c r="E20" s="660"/>
      <c r="F20" s="647">
        <f>AVERAGE(F7:F19)</f>
        <v>796792434.27076972</v>
      </c>
      <c r="G20" s="670"/>
      <c r="H20" s="647">
        <f>AVERAGE(H7:H19)</f>
        <v>-2356808.0921250014</v>
      </c>
      <c r="I20" s="670"/>
      <c r="J20" s="647">
        <f>AVERAGE(J7:J19)</f>
        <v>53886761.359956436</v>
      </c>
      <c r="K20" s="670"/>
      <c r="L20" s="662">
        <f>AVERAGE(L7:L19)</f>
        <v>740548864.81868827</v>
      </c>
      <c r="M20" s="648" t="s">
        <v>625</v>
      </c>
      <c r="O20" s="665"/>
      <c r="P20" s="665"/>
      <c r="Q20" s="665"/>
      <c r="R20" s="665"/>
    </row>
    <row r="21" spans="2:18">
      <c r="B21" s="644"/>
      <c r="C21" s="646"/>
      <c r="D21" s="646"/>
      <c r="E21" s="660"/>
      <c r="F21" s="647"/>
      <c r="G21" s="670"/>
      <c r="H21" s="670"/>
      <c r="I21" s="670"/>
      <c r="J21" s="670"/>
      <c r="K21" s="670"/>
      <c r="L21" s="662"/>
      <c r="M21" s="648"/>
    </row>
    <row r="22" spans="2:18">
      <c r="B22" s="644"/>
      <c r="C22" s="645" t="s">
        <v>30</v>
      </c>
      <c r="D22" s="646"/>
      <c r="E22" s="660"/>
      <c r="F22" s="647"/>
      <c r="G22" s="670"/>
      <c r="H22" s="670"/>
      <c r="I22" s="670"/>
      <c r="J22" s="670"/>
      <c r="K22" s="670"/>
      <c r="L22" s="646"/>
      <c r="M22" s="648"/>
    </row>
    <row r="23" spans="2:18">
      <c r="B23" s="644"/>
      <c r="C23" s="649" t="s">
        <v>10</v>
      </c>
      <c r="D23" s="649" t="s">
        <v>11</v>
      </c>
      <c r="E23" s="687"/>
      <c r="F23" s="650" t="s">
        <v>12</v>
      </c>
      <c r="G23" s="685"/>
      <c r="H23" s="685" t="str">
        <f>+H6</f>
        <v>Settlement Adjustment</v>
      </c>
      <c r="I23" s="685"/>
      <c r="J23" s="685" t="str">
        <f>+J6</f>
        <v>Direct Assignment</v>
      </c>
      <c r="K23" s="685"/>
      <c r="L23" s="645" t="s">
        <v>588</v>
      </c>
      <c r="M23" s="648"/>
    </row>
    <row r="24" spans="2:18">
      <c r="B24" s="644"/>
      <c r="C24" s="646" t="s">
        <v>13</v>
      </c>
      <c r="D24" s="646" t="s">
        <v>31</v>
      </c>
      <c r="E24" s="660">
        <v>2014</v>
      </c>
      <c r="F24" s="670">
        <v>1347649529</v>
      </c>
      <c r="G24" s="670"/>
      <c r="H24" s="651"/>
      <c r="I24" s="670"/>
      <c r="J24" s="651"/>
      <c r="K24" s="670"/>
      <c r="L24" s="662">
        <f t="shared" ref="L24:L36" si="1">+F24+H24-J24</f>
        <v>1347649529</v>
      </c>
      <c r="M24" s="648"/>
    </row>
    <row r="25" spans="2:18">
      <c r="B25" s="644"/>
      <c r="C25" s="646" t="s">
        <v>14</v>
      </c>
      <c r="D25" s="646" t="s">
        <v>27</v>
      </c>
      <c r="E25" s="660">
        <v>2015</v>
      </c>
      <c r="F25" s="651">
        <v>1348462614.7699997</v>
      </c>
      <c r="G25" s="670"/>
      <c r="H25" s="651"/>
      <c r="I25" s="670"/>
      <c r="J25" s="651"/>
      <c r="K25" s="670"/>
      <c r="L25" s="662">
        <f t="shared" si="1"/>
        <v>1348462614.7699997</v>
      </c>
      <c r="M25" s="648"/>
    </row>
    <row r="26" spans="2:18">
      <c r="B26" s="644"/>
      <c r="C26" s="646" t="s">
        <v>15</v>
      </c>
      <c r="D26" s="646" t="s">
        <v>27</v>
      </c>
      <c r="E26" s="660">
        <v>2015</v>
      </c>
      <c r="F26" s="651">
        <v>1351439807.0799997</v>
      </c>
      <c r="G26" s="670"/>
      <c r="H26" s="651"/>
      <c r="I26" s="670"/>
      <c r="J26" s="651"/>
      <c r="K26" s="670"/>
      <c r="L26" s="662">
        <f t="shared" si="1"/>
        <v>1351439807.0799997</v>
      </c>
      <c r="M26" s="648"/>
    </row>
    <row r="27" spans="2:18">
      <c r="B27" s="644"/>
      <c r="C27" s="646" t="s">
        <v>16</v>
      </c>
      <c r="D27" s="646" t="s">
        <v>27</v>
      </c>
      <c r="E27" s="660">
        <v>2015</v>
      </c>
      <c r="F27" s="651">
        <v>1353402204</v>
      </c>
      <c r="G27" s="670"/>
      <c r="H27" s="651"/>
      <c r="I27" s="670"/>
      <c r="J27" s="651"/>
      <c r="K27" s="670"/>
      <c r="L27" s="662">
        <f t="shared" si="1"/>
        <v>1353402204</v>
      </c>
      <c r="M27" s="648"/>
    </row>
    <row r="28" spans="2:18">
      <c r="B28" s="644"/>
      <c r="C28" s="646" t="s">
        <v>17</v>
      </c>
      <c r="D28" s="646" t="s">
        <v>27</v>
      </c>
      <c r="E28" s="660">
        <v>2015</v>
      </c>
      <c r="F28" s="651">
        <v>1357516354.7300103</v>
      </c>
      <c r="G28" s="670"/>
      <c r="H28" s="651"/>
      <c r="I28" s="670"/>
      <c r="J28" s="651"/>
      <c r="K28" s="670"/>
      <c r="L28" s="662">
        <f t="shared" si="1"/>
        <v>1357516354.7300103</v>
      </c>
      <c r="M28" s="648"/>
    </row>
    <row r="29" spans="2:18">
      <c r="B29" s="644"/>
      <c r="C29" s="646" t="s">
        <v>18</v>
      </c>
      <c r="D29" s="646" t="s">
        <v>27</v>
      </c>
      <c r="E29" s="660">
        <v>2015</v>
      </c>
      <c r="F29" s="651">
        <v>1362290220.6600106</v>
      </c>
      <c r="G29" s="670"/>
      <c r="H29" s="651"/>
      <c r="I29" s="670"/>
      <c r="J29" s="651"/>
      <c r="K29" s="670"/>
      <c r="L29" s="662">
        <f t="shared" si="1"/>
        <v>1362290220.6600106</v>
      </c>
      <c r="M29" s="648"/>
    </row>
    <row r="30" spans="2:18">
      <c r="B30" s="644"/>
      <c r="C30" s="646" t="s">
        <v>19</v>
      </c>
      <c r="D30" s="646" t="s">
        <v>27</v>
      </c>
      <c r="E30" s="660">
        <v>2015</v>
      </c>
      <c r="F30" s="651">
        <v>1365435812</v>
      </c>
      <c r="G30" s="670"/>
      <c r="H30" s="651"/>
      <c r="I30" s="670"/>
      <c r="J30" s="651"/>
      <c r="K30" s="670"/>
      <c r="L30" s="662">
        <f t="shared" si="1"/>
        <v>1365435812</v>
      </c>
      <c r="M30" s="648"/>
    </row>
    <row r="31" spans="2:18">
      <c r="B31" s="644"/>
      <c r="C31" s="646" t="s">
        <v>20</v>
      </c>
      <c r="D31" s="646" t="s">
        <v>27</v>
      </c>
      <c r="E31" s="660">
        <v>2015</v>
      </c>
      <c r="F31" s="651">
        <v>1373370978.78002</v>
      </c>
      <c r="G31" s="670"/>
      <c r="H31" s="651"/>
      <c r="I31" s="670"/>
      <c r="J31" s="651"/>
      <c r="K31" s="670"/>
      <c r="L31" s="662">
        <f t="shared" si="1"/>
        <v>1373370978.78002</v>
      </c>
      <c r="M31" s="648"/>
    </row>
    <row r="32" spans="2:18">
      <c r="B32" s="644"/>
      <c r="C32" s="646" t="s">
        <v>21</v>
      </c>
      <c r="D32" s="646" t="s">
        <v>27</v>
      </c>
      <c r="E32" s="660">
        <v>2015</v>
      </c>
      <c r="F32" s="651">
        <v>1375382387.7600253</v>
      </c>
      <c r="G32" s="670"/>
      <c r="H32" s="651"/>
      <c r="I32" s="670"/>
      <c r="J32" s="651"/>
      <c r="K32" s="670"/>
      <c r="L32" s="662">
        <f t="shared" si="1"/>
        <v>1375382387.7600253</v>
      </c>
      <c r="M32" s="648"/>
    </row>
    <row r="33" spans="2:13">
      <c r="B33" s="644"/>
      <c r="C33" s="646" t="s">
        <v>22</v>
      </c>
      <c r="D33" s="646" t="s">
        <v>27</v>
      </c>
      <c r="E33" s="660">
        <v>2015</v>
      </c>
      <c r="F33" s="651">
        <v>1386170351</v>
      </c>
      <c r="G33" s="670"/>
      <c r="H33" s="651"/>
      <c r="I33" s="670"/>
      <c r="J33" s="651"/>
      <c r="K33" s="670"/>
      <c r="L33" s="662">
        <f t="shared" si="1"/>
        <v>1386170351</v>
      </c>
      <c r="M33" s="648"/>
    </row>
    <row r="34" spans="2:13">
      <c r="B34" s="644"/>
      <c r="C34" s="646" t="s">
        <v>23</v>
      </c>
      <c r="D34" s="646" t="s">
        <v>27</v>
      </c>
      <c r="E34" s="660">
        <v>2015</v>
      </c>
      <c r="F34" s="651">
        <v>1389172315.3600044</v>
      </c>
      <c r="G34" s="670"/>
      <c r="H34" s="651"/>
      <c r="I34" s="670"/>
      <c r="J34" s="651"/>
      <c r="K34" s="670"/>
      <c r="L34" s="662">
        <f t="shared" si="1"/>
        <v>1389172315.3600044</v>
      </c>
      <c r="M34" s="648"/>
    </row>
    <row r="35" spans="2:13">
      <c r="B35" s="644"/>
      <c r="C35" s="646" t="s">
        <v>24</v>
      </c>
      <c r="D35" s="646" t="s">
        <v>27</v>
      </c>
      <c r="E35" s="660">
        <v>2015</v>
      </c>
      <c r="F35" s="651">
        <v>1392613462.1700041</v>
      </c>
      <c r="G35" s="670"/>
      <c r="H35" s="651"/>
      <c r="I35" s="670"/>
      <c r="J35" s="651"/>
      <c r="K35" s="670"/>
      <c r="L35" s="662">
        <f t="shared" si="1"/>
        <v>1392613462.1700041</v>
      </c>
      <c r="M35" s="648"/>
    </row>
    <row r="36" spans="2:13">
      <c r="B36" s="644"/>
      <c r="C36" s="646" t="s">
        <v>13</v>
      </c>
      <c r="D36" s="646" t="s">
        <v>32</v>
      </c>
      <c r="E36" s="660">
        <v>2015</v>
      </c>
      <c r="F36" s="814">
        <v>1403936319</v>
      </c>
      <c r="G36" s="661"/>
      <c r="H36" s="625"/>
      <c r="I36" s="661"/>
      <c r="J36" s="625"/>
      <c r="K36" s="661"/>
      <c r="L36" s="686">
        <f t="shared" si="1"/>
        <v>1403936319</v>
      </c>
      <c r="M36" s="648"/>
    </row>
    <row r="37" spans="2:13">
      <c r="B37" s="644"/>
      <c r="C37" s="645" t="s">
        <v>34</v>
      </c>
      <c r="D37" s="646"/>
      <c r="E37" s="660"/>
      <c r="F37" s="647">
        <f>AVERAGE(F24:F36)</f>
        <v>1369757104.3315442</v>
      </c>
      <c r="G37" s="670"/>
      <c r="H37" s="647"/>
      <c r="I37" s="670"/>
      <c r="J37" s="647"/>
      <c r="K37" s="670"/>
      <c r="L37" s="647">
        <f>AVERAGE(L24:L36)</f>
        <v>1369757104.3315442</v>
      </c>
      <c r="M37" s="648"/>
    </row>
    <row r="38" spans="2:13">
      <c r="B38" s="644"/>
      <c r="C38" s="646"/>
      <c r="D38" s="646"/>
      <c r="E38" s="660"/>
      <c r="F38" s="647"/>
      <c r="G38" s="670"/>
      <c r="H38" s="670"/>
      <c r="I38" s="670"/>
      <c r="J38" s="670"/>
      <c r="K38" s="670"/>
      <c r="L38" s="646"/>
      <c r="M38" s="648"/>
    </row>
    <row r="39" spans="2:13">
      <c r="B39" s="644"/>
      <c r="C39" s="645" t="s">
        <v>33</v>
      </c>
      <c r="D39" s="646"/>
      <c r="E39" s="660"/>
      <c r="F39" s="647"/>
      <c r="G39" s="670"/>
      <c r="H39" s="670"/>
      <c r="I39" s="670"/>
      <c r="J39" s="670"/>
      <c r="K39" s="670"/>
      <c r="L39" s="646"/>
      <c r="M39" s="648"/>
    </row>
    <row r="40" spans="2:13">
      <c r="B40" s="644"/>
      <c r="C40" s="649" t="s">
        <v>10</v>
      </c>
      <c r="D40" s="649" t="s">
        <v>11</v>
      </c>
      <c r="E40" s="687"/>
      <c r="F40" s="650" t="s">
        <v>12</v>
      </c>
      <c r="G40" s="685"/>
      <c r="H40" s="685" t="str">
        <f>+H23</f>
        <v>Settlement Adjustment</v>
      </c>
      <c r="I40" s="685"/>
      <c r="J40" s="685" t="str">
        <f>+J23</f>
        <v>Direct Assignment</v>
      </c>
      <c r="K40" s="685"/>
      <c r="L40" s="645" t="s">
        <v>588</v>
      </c>
      <c r="M40" s="648"/>
    </row>
    <row r="41" spans="2:13">
      <c r="B41" s="644"/>
      <c r="C41" s="646" t="s">
        <v>13</v>
      </c>
      <c r="D41" s="646" t="s">
        <v>36</v>
      </c>
      <c r="E41" s="660">
        <v>2014</v>
      </c>
      <c r="F41" s="670">
        <v>43332196</v>
      </c>
      <c r="G41" s="670"/>
      <c r="H41" s="651"/>
      <c r="I41" s="670"/>
      <c r="J41" s="651"/>
      <c r="K41" s="670"/>
      <c r="L41" s="662">
        <f t="shared" ref="L41:L53" si="2">+F41+H41-J41</f>
        <v>43332196</v>
      </c>
      <c r="M41" s="648"/>
    </row>
    <row r="42" spans="2:13">
      <c r="B42" s="644"/>
      <c r="C42" s="646" t="s">
        <v>14</v>
      </c>
      <c r="D42" s="646" t="s">
        <v>27</v>
      </c>
      <c r="E42" s="660">
        <v>2015</v>
      </c>
      <c r="F42" s="651">
        <v>43331986.279999994</v>
      </c>
      <c r="G42" s="670"/>
      <c r="H42" s="651"/>
      <c r="I42" s="670"/>
      <c r="J42" s="651"/>
      <c r="K42" s="670"/>
      <c r="L42" s="662">
        <f t="shared" si="2"/>
        <v>43331986.279999994</v>
      </c>
      <c r="M42" s="648"/>
    </row>
    <row r="43" spans="2:13">
      <c r="B43" s="644"/>
      <c r="C43" s="646" t="s">
        <v>15</v>
      </c>
      <c r="D43" s="646" t="s">
        <v>27</v>
      </c>
      <c r="E43" s="660">
        <v>2015</v>
      </c>
      <c r="F43" s="651">
        <v>43701408.589999996</v>
      </c>
      <c r="G43" s="670"/>
      <c r="H43" s="651"/>
      <c r="I43" s="670"/>
      <c r="J43" s="651"/>
      <c r="K43" s="670"/>
      <c r="L43" s="662">
        <f t="shared" si="2"/>
        <v>43701408.589999996</v>
      </c>
      <c r="M43" s="648"/>
    </row>
    <row r="44" spans="2:13">
      <c r="B44" s="644"/>
      <c r="C44" s="646" t="s">
        <v>16</v>
      </c>
      <c r="D44" s="646" t="s">
        <v>27</v>
      </c>
      <c r="E44" s="660">
        <v>2015</v>
      </c>
      <c r="F44" s="651">
        <v>43847008.319999985</v>
      </c>
      <c r="G44" s="670"/>
      <c r="H44" s="651"/>
      <c r="I44" s="670"/>
      <c r="J44" s="651"/>
      <c r="K44" s="670"/>
      <c r="L44" s="662">
        <f t="shared" si="2"/>
        <v>43847008.319999985</v>
      </c>
      <c r="M44" s="648"/>
    </row>
    <row r="45" spans="2:13">
      <c r="B45" s="644"/>
      <c r="C45" s="646" t="s">
        <v>17</v>
      </c>
      <c r="D45" s="646" t="s">
        <v>27</v>
      </c>
      <c r="E45" s="660">
        <v>2015</v>
      </c>
      <c r="F45" s="651">
        <v>43842797.459999979</v>
      </c>
      <c r="G45" s="670"/>
      <c r="H45" s="651"/>
      <c r="I45" s="670"/>
      <c r="J45" s="651"/>
      <c r="K45" s="670"/>
      <c r="L45" s="662">
        <f t="shared" si="2"/>
        <v>43842797.459999979</v>
      </c>
      <c r="M45" s="648"/>
    </row>
    <row r="46" spans="2:13">
      <c r="B46" s="644"/>
      <c r="C46" s="646" t="s">
        <v>18</v>
      </c>
      <c r="D46" s="646" t="s">
        <v>27</v>
      </c>
      <c r="E46" s="660">
        <v>2015</v>
      </c>
      <c r="F46" s="651">
        <v>44016905.480000004</v>
      </c>
      <c r="G46" s="670"/>
      <c r="H46" s="651"/>
      <c r="I46" s="670"/>
      <c r="J46" s="651"/>
      <c r="K46" s="670"/>
      <c r="L46" s="662">
        <f t="shared" si="2"/>
        <v>44016905.480000004</v>
      </c>
      <c r="M46" s="648"/>
    </row>
    <row r="47" spans="2:13">
      <c r="B47" s="644"/>
      <c r="C47" s="646" t="s">
        <v>19</v>
      </c>
      <c r="D47" s="646" t="s">
        <v>27</v>
      </c>
      <c r="E47" s="660">
        <v>2015</v>
      </c>
      <c r="F47" s="651">
        <v>44640925.169999994</v>
      </c>
      <c r="G47" s="670"/>
      <c r="H47" s="651"/>
      <c r="I47" s="670"/>
      <c r="J47" s="651"/>
      <c r="K47" s="670"/>
      <c r="L47" s="662">
        <f t="shared" si="2"/>
        <v>44640925.169999994</v>
      </c>
      <c r="M47" s="648"/>
    </row>
    <row r="48" spans="2:13">
      <c r="B48" s="644"/>
      <c r="C48" s="646" t="s">
        <v>20</v>
      </c>
      <c r="D48" s="646" t="s">
        <v>27</v>
      </c>
      <c r="E48" s="660">
        <v>2015</v>
      </c>
      <c r="F48" s="651">
        <v>44507395.350000016</v>
      </c>
      <c r="G48" s="670"/>
      <c r="H48" s="651"/>
      <c r="I48" s="670"/>
      <c r="J48" s="651"/>
      <c r="K48" s="670"/>
      <c r="L48" s="662">
        <f t="shared" si="2"/>
        <v>44507395.350000016</v>
      </c>
      <c r="M48" s="648"/>
    </row>
    <row r="49" spans="2:13">
      <c r="B49" s="644"/>
      <c r="C49" s="646" t="s">
        <v>21</v>
      </c>
      <c r="D49" s="646" t="s">
        <v>27</v>
      </c>
      <c r="E49" s="660">
        <v>2015</v>
      </c>
      <c r="F49" s="651">
        <v>45411286.99000001</v>
      </c>
      <c r="G49" s="670"/>
      <c r="H49" s="651"/>
      <c r="I49" s="670"/>
      <c r="J49" s="651"/>
      <c r="K49" s="670"/>
      <c r="L49" s="662">
        <f t="shared" si="2"/>
        <v>45411286.99000001</v>
      </c>
      <c r="M49" s="648"/>
    </row>
    <row r="50" spans="2:13">
      <c r="B50" s="644"/>
      <c r="C50" s="646" t="s">
        <v>22</v>
      </c>
      <c r="D50" s="646" t="s">
        <v>27</v>
      </c>
      <c r="E50" s="660">
        <v>2015</v>
      </c>
      <c r="F50" s="651">
        <v>45763923.930000022</v>
      </c>
      <c r="G50" s="670"/>
      <c r="H50" s="651"/>
      <c r="I50" s="670"/>
      <c r="J50" s="651"/>
      <c r="K50" s="670"/>
      <c r="L50" s="662">
        <f t="shared" si="2"/>
        <v>45763923.930000022</v>
      </c>
      <c r="M50" s="648"/>
    </row>
    <row r="51" spans="2:13">
      <c r="B51" s="644"/>
      <c r="C51" s="646" t="s">
        <v>23</v>
      </c>
      <c r="D51" s="646" t="s">
        <v>27</v>
      </c>
      <c r="E51" s="660">
        <v>2015</v>
      </c>
      <c r="F51" s="651">
        <v>45776292.440000005</v>
      </c>
      <c r="G51" s="670"/>
      <c r="H51" s="651"/>
      <c r="I51" s="670"/>
      <c r="J51" s="651"/>
      <c r="K51" s="670"/>
      <c r="L51" s="662">
        <f t="shared" si="2"/>
        <v>45776292.440000005</v>
      </c>
      <c r="M51" s="648"/>
    </row>
    <row r="52" spans="2:13">
      <c r="B52" s="644"/>
      <c r="C52" s="646" t="s">
        <v>24</v>
      </c>
      <c r="D52" s="646" t="s">
        <v>27</v>
      </c>
      <c r="E52" s="660">
        <v>2015</v>
      </c>
      <c r="F52" s="800">
        <v>45858728.990000039</v>
      </c>
      <c r="G52" s="670"/>
      <c r="H52" s="651"/>
      <c r="I52" s="670"/>
      <c r="J52" s="651"/>
      <c r="K52" s="670"/>
      <c r="L52" s="662">
        <f t="shared" si="2"/>
        <v>45858728.990000039</v>
      </c>
      <c r="M52" s="648"/>
    </row>
    <row r="53" spans="2:13">
      <c r="B53" s="644"/>
      <c r="C53" s="646" t="s">
        <v>13</v>
      </c>
      <c r="D53" s="646" t="s">
        <v>37</v>
      </c>
      <c r="E53" s="660">
        <v>2015</v>
      </c>
      <c r="F53" s="814">
        <v>46722316</v>
      </c>
      <c r="G53" s="661"/>
      <c r="H53" s="625"/>
      <c r="I53" s="661"/>
      <c r="J53" s="625"/>
      <c r="K53" s="661"/>
      <c r="L53" s="686">
        <f t="shared" si="2"/>
        <v>46722316</v>
      </c>
      <c r="M53" s="648"/>
    </row>
    <row r="54" spans="2:13">
      <c r="B54" s="644"/>
      <c r="C54" s="645" t="s">
        <v>35</v>
      </c>
      <c r="D54" s="646"/>
      <c r="E54" s="660"/>
      <c r="F54" s="647">
        <f>AVERAGE(F41:F53)</f>
        <v>44673320.846153855</v>
      </c>
      <c r="G54" s="670"/>
      <c r="H54" s="647"/>
      <c r="I54" s="670"/>
      <c r="J54" s="647"/>
      <c r="K54" s="670"/>
      <c r="L54" s="647">
        <f>AVERAGE(L41:L53)</f>
        <v>44673320.846153855</v>
      </c>
      <c r="M54" s="648"/>
    </row>
    <row r="55" spans="2:13">
      <c r="B55" s="644"/>
      <c r="C55" s="646"/>
      <c r="D55" s="646"/>
      <c r="E55" s="660"/>
      <c r="F55" s="647"/>
      <c r="G55" s="670"/>
      <c r="H55" s="670"/>
      <c r="I55" s="670"/>
      <c r="J55" s="670"/>
      <c r="K55" s="670"/>
      <c r="L55" s="646"/>
      <c r="M55" s="648"/>
    </row>
    <row r="56" spans="2:13">
      <c r="B56" s="644"/>
      <c r="C56" s="645" t="s">
        <v>38</v>
      </c>
      <c r="D56" s="646"/>
      <c r="E56" s="660"/>
      <c r="F56" s="647"/>
      <c r="G56" s="670"/>
      <c r="H56" s="670"/>
      <c r="I56" s="670"/>
      <c r="J56" s="670"/>
      <c r="K56" s="670"/>
      <c r="L56" s="646"/>
      <c r="M56" s="648"/>
    </row>
    <row r="57" spans="2:13">
      <c r="B57" s="644"/>
      <c r="C57" s="649" t="s">
        <v>10</v>
      </c>
      <c r="D57" s="649" t="s">
        <v>11</v>
      </c>
      <c r="E57" s="687"/>
      <c r="F57" s="650" t="s">
        <v>12</v>
      </c>
      <c r="G57" s="685"/>
      <c r="H57" s="685" t="str">
        <f>+H40</f>
        <v>Settlement Adjustment</v>
      </c>
      <c r="I57" s="685"/>
      <c r="J57" s="685" t="str">
        <f>+J40</f>
        <v>Direct Assignment</v>
      </c>
      <c r="K57" s="685"/>
      <c r="L57" s="645" t="s">
        <v>588</v>
      </c>
      <c r="M57" s="648"/>
    </row>
    <row r="58" spans="2:13">
      <c r="B58" s="644"/>
      <c r="C58" s="646" t="s">
        <v>13</v>
      </c>
      <c r="D58" s="646" t="s">
        <v>44</v>
      </c>
      <c r="E58" s="660">
        <v>2014</v>
      </c>
      <c r="F58" s="670">
        <v>135973908</v>
      </c>
      <c r="G58" s="670"/>
      <c r="H58" s="651"/>
      <c r="I58" s="670"/>
      <c r="J58" s="651"/>
      <c r="K58" s="670"/>
      <c r="L58" s="662">
        <f t="shared" ref="L58:L70" si="3">+F58+H58-J58</f>
        <v>135973908</v>
      </c>
      <c r="M58" s="648"/>
    </row>
    <row r="59" spans="2:13">
      <c r="B59" s="644"/>
      <c r="C59" s="646" t="s">
        <v>14</v>
      </c>
      <c r="D59" s="646" t="s">
        <v>27</v>
      </c>
      <c r="E59" s="660">
        <v>2015</v>
      </c>
      <c r="F59" s="651">
        <v>136140004.29999989</v>
      </c>
      <c r="G59" s="670"/>
      <c r="H59" s="651"/>
      <c r="I59" s="670"/>
      <c r="J59" s="651"/>
      <c r="K59" s="670"/>
      <c r="L59" s="662">
        <f t="shared" si="3"/>
        <v>136140004.29999989</v>
      </c>
      <c r="M59" s="648"/>
    </row>
    <row r="60" spans="2:13">
      <c r="B60" s="644"/>
      <c r="C60" s="646" t="s">
        <v>15</v>
      </c>
      <c r="D60" s="646" t="s">
        <v>27</v>
      </c>
      <c r="E60" s="660">
        <v>2015</v>
      </c>
      <c r="F60" s="651">
        <v>135953650.00999993</v>
      </c>
      <c r="G60" s="670"/>
      <c r="H60" s="651"/>
      <c r="I60" s="670"/>
      <c r="J60" s="651"/>
      <c r="K60" s="670"/>
      <c r="L60" s="662">
        <f t="shared" si="3"/>
        <v>135953650.00999993</v>
      </c>
      <c r="M60" s="648"/>
    </row>
    <row r="61" spans="2:13">
      <c r="B61" s="644"/>
      <c r="C61" s="646" t="s">
        <v>16</v>
      </c>
      <c r="D61" s="646" t="s">
        <v>27</v>
      </c>
      <c r="E61" s="660">
        <v>2015</v>
      </c>
      <c r="F61" s="651">
        <v>136525307</v>
      </c>
      <c r="G61" s="670"/>
      <c r="H61" s="651"/>
      <c r="I61" s="670"/>
      <c r="J61" s="651"/>
      <c r="K61" s="670"/>
      <c r="L61" s="662">
        <f t="shared" si="3"/>
        <v>136525307</v>
      </c>
      <c r="M61" s="648"/>
    </row>
    <row r="62" spans="2:13">
      <c r="B62" s="644"/>
      <c r="C62" s="646" t="s">
        <v>17</v>
      </c>
      <c r="D62" s="646" t="s">
        <v>27</v>
      </c>
      <c r="E62" s="660">
        <v>2015</v>
      </c>
      <c r="F62" s="651">
        <v>137212536.98000014</v>
      </c>
      <c r="G62" s="670"/>
      <c r="H62" s="651"/>
      <c r="I62" s="670"/>
      <c r="J62" s="651"/>
      <c r="K62" s="670"/>
      <c r="L62" s="662">
        <f t="shared" si="3"/>
        <v>137212536.98000014</v>
      </c>
      <c r="M62" s="648"/>
    </row>
    <row r="63" spans="2:13">
      <c r="B63" s="644"/>
      <c r="C63" s="646" t="s">
        <v>18</v>
      </c>
      <c r="D63" s="646" t="s">
        <v>27</v>
      </c>
      <c r="E63" s="660">
        <v>2015</v>
      </c>
      <c r="F63" s="651">
        <v>137055191.38000086</v>
      </c>
      <c r="G63" s="670"/>
      <c r="H63" s="651"/>
      <c r="I63" s="670"/>
      <c r="J63" s="651"/>
      <c r="K63" s="670"/>
      <c r="L63" s="662">
        <f t="shared" si="3"/>
        <v>137055191.38000086</v>
      </c>
      <c r="M63" s="648"/>
    </row>
    <row r="64" spans="2:13">
      <c r="B64" s="644"/>
      <c r="C64" s="646" t="s">
        <v>19</v>
      </c>
      <c r="D64" s="646" t="s">
        <v>27</v>
      </c>
      <c r="E64" s="660">
        <v>2015</v>
      </c>
      <c r="F64" s="651">
        <v>143247253</v>
      </c>
      <c r="G64" s="670"/>
      <c r="H64" s="651"/>
      <c r="I64" s="670"/>
      <c r="J64" s="651"/>
      <c r="K64" s="670"/>
      <c r="L64" s="662">
        <f t="shared" si="3"/>
        <v>143247253</v>
      </c>
      <c r="M64" s="648"/>
    </row>
    <row r="65" spans="2:13">
      <c r="B65" s="644"/>
      <c r="C65" s="646" t="s">
        <v>20</v>
      </c>
      <c r="D65" s="646" t="s">
        <v>27</v>
      </c>
      <c r="E65" s="660">
        <v>2015</v>
      </c>
      <c r="F65" s="651">
        <v>145041116.05000004</v>
      </c>
      <c r="G65" s="670"/>
      <c r="H65" s="651"/>
      <c r="I65" s="670"/>
      <c r="J65" s="651"/>
      <c r="K65" s="670"/>
      <c r="L65" s="662">
        <f t="shared" si="3"/>
        <v>145041116.05000004</v>
      </c>
      <c r="M65" s="648"/>
    </row>
    <row r="66" spans="2:13">
      <c r="B66" s="644"/>
      <c r="C66" s="646" t="s">
        <v>21</v>
      </c>
      <c r="D66" s="646" t="s">
        <v>27</v>
      </c>
      <c r="E66" s="660">
        <v>2015</v>
      </c>
      <c r="F66" s="651">
        <v>145781574.87000006</v>
      </c>
      <c r="G66" s="670"/>
      <c r="H66" s="651"/>
      <c r="I66" s="670"/>
      <c r="J66" s="651"/>
      <c r="K66" s="670"/>
      <c r="L66" s="662">
        <f t="shared" si="3"/>
        <v>145781574.87000006</v>
      </c>
      <c r="M66" s="648"/>
    </row>
    <row r="67" spans="2:13">
      <c r="B67" s="644"/>
      <c r="C67" s="646" t="s">
        <v>22</v>
      </c>
      <c r="D67" s="646" t="s">
        <v>27</v>
      </c>
      <c r="E67" s="660">
        <v>2015</v>
      </c>
      <c r="F67" s="651">
        <v>146614004</v>
      </c>
      <c r="G67" s="670"/>
      <c r="H67" s="651"/>
      <c r="I67" s="670"/>
      <c r="J67" s="651"/>
      <c r="K67" s="670"/>
      <c r="L67" s="662">
        <f t="shared" si="3"/>
        <v>146614004</v>
      </c>
      <c r="M67" s="648"/>
    </row>
    <row r="68" spans="2:13">
      <c r="B68" s="644"/>
      <c r="C68" s="646" t="s">
        <v>23</v>
      </c>
      <c r="D68" s="646" t="s">
        <v>27</v>
      </c>
      <c r="E68" s="660">
        <v>2015</v>
      </c>
      <c r="F68" s="651">
        <v>146905830.72000009</v>
      </c>
      <c r="G68" s="670"/>
      <c r="H68" s="651"/>
      <c r="I68" s="670"/>
      <c r="J68" s="651"/>
      <c r="K68" s="670"/>
      <c r="L68" s="662">
        <f t="shared" si="3"/>
        <v>146905830.72000009</v>
      </c>
      <c r="M68" s="648"/>
    </row>
    <row r="69" spans="2:13">
      <c r="B69" s="644"/>
      <c r="C69" s="646" t="s">
        <v>24</v>
      </c>
      <c r="D69" s="646" t="s">
        <v>27</v>
      </c>
      <c r="E69" s="660">
        <v>2015</v>
      </c>
      <c r="F69" s="800">
        <v>146442640.62000009</v>
      </c>
      <c r="G69" s="670"/>
      <c r="H69" s="651"/>
      <c r="I69" s="670"/>
      <c r="J69" s="651"/>
      <c r="K69" s="670"/>
      <c r="L69" s="662">
        <f t="shared" si="3"/>
        <v>146442640.62000009</v>
      </c>
      <c r="M69" s="648"/>
    </row>
    <row r="70" spans="2:13">
      <c r="B70" s="644"/>
      <c r="C70" s="646" t="s">
        <v>13</v>
      </c>
      <c r="D70" s="646" t="s">
        <v>45</v>
      </c>
      <c r="E70" s="660">
        <v>2015</v>
      </c>
      <c r="F70" s="814">
        <v>148976314</v>
      </c>
      <c r="G70" s="661"/>
      <c r="H70" s="625"/>
      <c r="I70" s="661"/>
      <c r="J70" s="625"/>
      <c r="K70" s="661"/>
      <c r="L70" s="686">
        <f t="shared" si="3"/>
        <v>148976314</v>
      </c>
      <c r="M70" s="648"/>
    </row>
    <row r="71" spans="2:13">
      <c r="B71" s="644"/>
      <c r="C71" s="645" t="s">
        <v>39</v>
      </c>
      <c r="D71" s="646"/>
      <c r="E71" s="660"/>
      <c r="F71" s="647">
        <f>AVERAGE(F58:F70)</f>
        <v>141682256.22538468</v>
      </c>
      <c r="G71" s="670"/>
      <c r="H71" s="647"/>
      <c r="I71" s="670"/>
      <c r="J71" s="647"/>
      <c r="K71" s="670"/>
      <c r="L71" s="647">
        <f>AVERAGE(L58:L70)</f>
        <v>141682256.22538468</v>
      </c>
      <c r="M71" s="648"/>
    </row>
    <row r="72" spans="2:13">
      <c r="B72" s="644"/>
      <c r="C72" s="646"/>
      <c r="D72" s="646"/>
      <c r="E72" s="660"/>
      <c r="F72" s="647"/>
      <c r="G72" s="670"/>
      <c r="H72" s="670"/>
      <c r="I72" s="670"/>
      <c r="J72" s="670"/>
      <c r="K72" s="670"/>
      <c r="L72" s="646"/>
      <c r="M72" s="648"/>
    </row>
    <row r="73" spans="2:13">
      <c r="B73" s="644"/>
      <c r="C73" s="645" t="s">
        <v>40</v>
      </c>
      <c r="D73" s="646"/>
      <c r="E73" s="660"/>
      <c r="F73" s="647"/>
      <c r="G73" s="670"/>
      <c r="H73" s="670"/>
      <c r="I73" s="670"/>
      <c r="J73" s="670"/>
      <c r="K73" s="670"/>
      <c r="L73" s="646"/>
      <c r="M73" s="648"/>
    </row>
    <row r="74" spans="2:13">
      <c r="B74" s="644"/>
      <c r="C74" s="649" t="s">
        <v>10</v>
      </c>
      <c r="D74" s="649" t="s">
        <v>11</v>
      </c>
      <c r="E74" s="687"/>
      <c r="F74" s="650" t="s">
        <v>12</v>
      </c>
      <c r="G74" s="685"/>
      <c r="H74" s="685" t="str">
        <f>+H57</f>
        <v>Settlement Adjustment</v>
      </c>
      <c r="I74" s="685"/>
      <c r="J74" s="685" t="str">
        <f>+J57</f>
        <v>Direct Assignment</v>
      </c>
      <c r="K74" s="685"/>
      <c r="L74" s="645" t="s">
        <v>588</v>
      </c>
      <c r="M74" s="648"/>
    </row>
    <row r="75" spans="2:13">
      <c r="B75" s="644"/>
      <c r="C75" s="646" t="s">
        <v>13</v>
      </c>
      <c r="D75" s="646" t="s">
        <v>42</v>
      </c>
      <c r="E75" s="660">
        <v>2014</v>
      </c>
      <c r="F75" s="670">
        <v>2483502011</v>
      </c>
      <c r="G75" s="670"/>
      <c r="H75" s="651"/>
      <c r="I75" s="670"/>
      <c r="J75" s="651">
        <f>-'Schedule 13 Direct Assignment'!F11-'Schedule 13 Direct Assignment'!G11</f>
        <v>-17165835.989999998</v>
      </c>
      <c r="K75" s="670"/>
      <c r="L75" s="662">
        <f t="shared" ref="L75:L87" si="4">+F75+H75-J75</f>
        <v>2500667846.9899998</v>
      </c>
      <c r="M75" s="648"/>
    </row>
    <row r="76" spans="2:13">
      <c r="B76" s="644"/>
      <c r="C76" s="646" t="s">
        <v>14</v>
      </c>
      <c r="D76" s="646" t="s">
        <v>27</v>
      </c>
      <c r="E76" s="660">
        <v>2015</v>
      </c>
      <c r="F76" s="651">
        <v>2492698104.7799993</v>
      </c>
      <c r="G76" s="670"/>
      <c r="H76" s="651"/>
      <c r="I76" s="670"/>
      <c r="J76" s="651">
        <f>-'Schedule 13 Direct Assignment'!F12-'Schedule 13 Direct Assignment'!G12</f>
        <v>-17165835.989999998</v>
      </c>
      <c r="K76" s="670"/>
      <c r="L76" s="662">
        <f t="shared" si="4"/>
        <v>2509863940.769999</v>
      </c>
      <c r="M76" s="648"/>
    </row>
    <row r="77" spans="2:13">
      <c r="B77" s="644"/>
      <c r="C77" s="646" t="s">
        <v>15</v>
      </c>
      <c r="D77" s="646" t="s">
        <v>27</v>
      </c>
      <c r="E77" s="660">
        <v>2015</v>
      </c>
      <c r="F77" s="651">
        <v>2715160900.6899991</v>
      </c>
      <c r="G77" s="670"/>
      <c r="H77" s="651"/>
      <c r="I77" s="670"/>
      <c r="J77" s="651">
        <f>-'Schedule 13 Direct Assignment'!F13-'Schedule 13 Direct Assignment'!G13</f>
        <v>-18343433.989999998</v>
      </c>
      <c r="K77" s="670"/>
      <c r="L77" s="662">
        <f t="shared" si="4"/>
        <v>2733504334.6799989</v>
      </c>
      <c r="M77" s="648"/>
    </row>
    <row r="78" spans="2:13">
      <c r="B78" s="644"/>
      <c r="C78" s="646" t="s">
        <v>16</v>
      </c>
      <c r="D78" s="646" t="s">
        <v>27</v>
      </c>
      <c r="E78" s="660">
        <v>2015</v>
      </c>
      <c r="F78" s="651">
        <v>2803286540</v>
      </c>
      <c r="G78" s="670"/>
      <c r="H78" s="651"/>
      <c r="I78" s="670"/>
      <c r="J78" s="651">
        <f>-'Schedule 13 Direct Assignment'!F14-'Schedule 13 Direct Assignment'!G14</f>
        <v>-18343433.989999998</v>
      </c>
      <c r="K78" s="670"/>
      <c r="L78" s="662">
        <f t="shared" si="4"/>
        <v>2821629973.9899998</v>
      </c>
      <c r="M78" s="648"/>
    </row>
    <row r="79" spans="2:13">
      <c r="B79" s="644"/>
      <c r="C79" s="646" t="s">
        <v>17</v>
      </c>
      <c r="D79" s="646" t="s">
        <v>27</v>
      </c>
      <c r="E79" s="660">
        <v>2015</v>
      </c>
      <c r="F79" s="651">
        <v>2822866015.4500093</v>
      </c>
      <c r="G79" s="670"/>
      <c r="H79" s="651"/>
      <c r="I79" s="670"/>
      <c r="J79" s="651">
        <f>-'Schedule 13 Direct Assignment'!F15-'Schedule 13 Direct Assignment'!G15</f>
        <v>-18343433.989999998</v>
      </c>
      <c r="K79" s="670"/>
      <c r="L79" s="662">
        <f t="shared" si="4"/>
        <v>2841209449.4400091</v>
      </c>
      <c r="M79" s="648"/>
    </row>
    <row r="80" spans="2:13">
      <c r="B80" s="644"/>
      <c r="C80" s="646" t="s">
        <v>18</v>
      </c>
      <c r="D80" s="646" t="s">
        <v>27</v>
      </c>
      <c r="E80" s="660">
        <v>2015</v>
      </c>
      <c r="F80" s="651">
        <v>2809377083.5400062</v>
      </c>
      <c r="G80" s="670"/>
      <c r="H80" s="651"/>
      <c r="I80" s="670"/>
      <c r="J80" s="651">
        <f>-'Schedule 13 Direct Assignment'!F16-'Schedule 13 Direct Assignment'!G16</f>
        <v>-18343433.989999998</v>
      </c>
      <c r="K80" s="670"/>
      <c r="L80" s="662">
        <f t="shared" si="4"/>
        <v>2827720517.5300059</v>
      </c>
      <c r="M80" s="648"/>
    </row>
    <row r="81" spans="2:13">
      <c r="B81" s="644"/>
      <c r="C81" s="646" t="s">
        <v>19</v>
      </c>
      <c r="D81" s="646" t="s">
        <v>27</v>
      </c>
      <c r="E81" s="660">
        <v>2015</v>
      </c>
      <c r="F81" s="651">
        <v>2814436823</v>
      </c>
      <c r="G81" s="670"/>
      <c r="H81" s="651"/>
      <c r="I81" s="670"/>
      <c r="J81" s="651">
        <f>-'Schedule 13 Direct Assignment'!F17-'Schedule 13 Direct Assignment'!G17</f>
        <v>-18343433.989999998</v>
      </c>
      <c r="K81" s="670"/>
      <c r="L81" s="662">
        <f t="shared" si="4"/>
        <v>2832780256.9899998</v>
      </c>
      <c r="M81" s="648"/>
    </row>
    <row r="82" spans="2:13">
      <c r="B82" s="644"/>
      <c r="C82" s="646" t="s">
        <v>20</v>
      </c>
      <c r="D82" s="646" t="s">
        <v>27</v>
      </c>
      <c r="E82" s="660">
        <v>2015</v>
      </c>
      <c r="F82" s="651">
        <v>2808269099.3200045</v>
      </c>
      <c r="G82" s="670"/>
      <c r="H82" s="651"/>
      <c r="I82" s="670"/>
      <c r="J82" s="651">
        <f>-'Schedule 13 Direct Assignment'!F18-'Schedule 13 Direct Assignment'!G18</f>
        <v>-18343433.989999998</v>
      </c>
      <c r="K82" s="670"/>
      <c r="L82" s="662">
        <f t="shared" si="4"/>
        <v>2826612533.3100042</v>
      </c>
      <c r="M82" s="648"/>
    </row>
    <row r="83" spans="2:13">
      <c r="B83" s="644"/>
      <c r="C83" s="646" t="s">
        <v>21</v>
      </c>
      <c r="D83" s="646" t="s">
        <v>27</v>
      </c>
      <c r="E83" s="660">
        <v>2015</v>
      </c>
      <c r="F83" s="651">
        <v>2810593255.3899999</v>
      </c>
      <c r="G83" s="670"/>
      <c r="H83" s="651"/>
      <c r="I83" s="670"/>
      <c r="J83" s="651">
        <f>-'Schedule 13 Direct Assignment'!F19-'Schedule 13 Direct Assignment'!G19</f>
        <v>-18343433.989999998</v>
      </c>
      <c r="K83" s="670"/>
      <c r="L83" s="662">
        <f t="shared" si="4"/>
        <v>2828936689.3799996</v>
      </c>
      <c r="M83" s="648"/>
    </row>
    <row r="84" spans="2:13">
      <c r="B84" s="644"/>
      <c r="C84" s="646" t="s">
        <v>22</v>
      </c>
      <c r="D84" s="646" t="s">
        <v>27</v>
      </c>
      <c r="E84" s="660">
        <v>2015</v>
      </c>
      <c r="F84" s="651">
        <v>2816900514</v>
      </c>
      <c r="G84" s="670"/>
      <c r="H84" s="651"/>
      <c r="I84" s="670"/>
      <c r="J84" s="651">
        <f>-'Schedule 13 Direct Assignment'!F20-'Schedule 13 Direct Assignment'!G20</f>
        <v>-18343433.989999998</v>
      </c>
      <c r="K84" s="670"/>
      <c r="L84" s="662">
        <f t="shared" si="4"/>
        <v>2835243947.9899998</v>
      </c>
      <c r="M84" s="648"/>
    </row>
    <row r="85" spans="2:13">
      <c r="B85" s="644"/>
      <c r="C85" s="646" t="s">
        <v>23</v>
      </c>
      <c r="D85" s="646" t="s">
        <v>27</v>
      </c>
      <c r="E85" s="660">
        <v>2015</v>
      </c>
      <c r="F85" s="651">
        <v>2814926528.8999949</v>
      </c>
      <c r="G85" s="670"/>
      <c r="H85" s="651"/>
      <c r="I85" s="670"/>
      <c r="J85" s="651">
        <f>-'Schedule 13 Direct Assignment'!F21-'Schedule 13 Direct Assignment'!G21</f>
        <v>-18343433.989999998</v>
      </c>
      <c r="K85" s="670"/>
      <c r="L85" s="662">
        <f t="shared" si="4"/>
        <v>2833269962.8899946</v>
      </c>
      <c r="M85" s="648"/>
    </row>
    <row r="86" spans="2:13">
      <c r="B86" s="644"/>
      <c r="C86" s="646" t="s">
        <v>24</v>
      </c>
      <c r="D86" s="646" t="s">
        <v>27</v>
      </c>
      <c r="E86" s="660">
        <v>2015</v>
      </c>
      <c r="F86" s="651">
        <v>2821039642.4999967</v>
      </c>
      <c r="G86" s="670"/>
      <c r="H86" s="651"/>
      <c r="I86" s="670"/>
      <c r="J86" s="651">
        <f>-'Schedule 13 Direct Assignment'!F22-'Schedule 13 Direct Assignment'!G22</f>
        <v>-18343433.989999998</v>
      </c>
      <c r="K86" s="670"/>
      <c r="L86" s="662">
        <f t="shared" si="4"/>
        <v>2839383076.4899964</v>
      </c>
      <c r="M86" s="648"/>
    </row>
    <row r="87" spans="2:13">
      <c r="B87" s="644"/>
      <c r="C87" s="646" t="s">
        <v>13</v>
      </c>
      <c r="D87" s="646" t="s">
        <v>43</v>
      </c>
      <c r="E87" s="660">
        <v>2015</v>
      </c>
      <c r="F87" s="814">
        <v>2833441249</v>
      </c>
      <c r="G87" s="661"/>
      <c r="H87" s="625"/>
      <c r="I87" s="661"/>
      <c r="J87" s="625">
        <f>-'Schedule 13 Direct Assignment'!F23-'Schedule 13 Direct Assignment'!G23</f>
        <v>-18343433.989999998</v>
      </c>
      <c r="K87" s="661"/>
      <c r="L87" s="686">
        <f t="shared" si="4"/>
        <v>2851784682.9899998</v>
      </c>
      <c r="M87" s="648"/>
    </row>
    <row r="88" spans="2:13">
      <c r="B88" s="644"/>
      <c r="C88" s="645" t="s">
        <v>41</v>
      </c>
      <c r="D88" s="646"/>
      <c r="E88" s="660"/>
      <c r="F88" s="647">
        <f>AVERAGE(F75:F87)</f>
        <v>2757422905.1976929</v>
      </c>
      <c r="G88" s="670"/>
      <c r="H88" s="647"/>
      <c r="I88" s="670"/>
      <c r="J88" s="647">
        <f>AVERAGE(J75:J87)</f>
        <v>-18162265.066923078</v>
      </c>
      <c r="K88" s="670"/>
      <c r="L88" s="647">
        <f>AVERAGE(L75:L87)</f>
        <v>2775585170.264617</v>
      </c>
      <c r="M88" s="648"/>
    </row>
    <row r="89" spans="2:13">
      <c r="B89" s="644"/>
      <c r="C89" s="646"/>
      <c r="D89" s="646"/>
      <c r="E89" s="660"/>
      <c r="F89" s="647"/>
      <c r="G89" s="670"/>
      <c r="H89" s="670"/>
      <c r="I89" s="670"/>
      <c r="J89" s="670"/>
      <c r="K89" s="670"/>
      <c r="L89" s="646"/>
      <c r="M89" s="648"/>
    </row>
    <row r="90" spans="2:13">
      <c r="B90" s="644"/>
      <c r="C90" s="652" t="s">
        <v>46</v>
      </c>
      <c r="D90" s="646"/>
      <c r="E90" s="660"/>
      <c r="F90" s="647"/>
      <c r="G90" s="670"/>
      <c r="H90" s="670"/>
      <c r="I90" s="670"/>
      <c r="J90" s="670"/>
      <c r="K90" s="670"/>
      <c r="L90" s="646"/>
      <c r="M90" s="648"/>
    </row>
    <row r="91" spans="2:13">
      <c r="B91" s="644"/>
      <c r="C91" s="652" t="s">
        <v>47</v>
      </c>
      <c r="D91" s="646" t="s">
        <v>48</v>
      </c>
      <c r="E91" s="660"/>
      <c r="F91" s="647">
        <f>+F88+F71+F54+F37+F20</f>
        <v>5110328020.8715458</v>
      </c>
      <c r="G91" s="670"/>
      <c r="H91" s="670"/>
      <c r="I91" s="670"/>
      <c r="J91" s="670"/>
      <c r="K91" s="670"/>
      <c r="L91" s="647">
        <f>+L88+L71+L54+L37+L20</f>
        <v>5072246716.4863882</v>
      </c>
      <c r="M91" s="648" t="s">
        <v>619</v>
      </c>
    </row>
    <row r="92" spans="2:13">
      <c r="B92" s="644"/>
      <c r="C92" s="646"/>
      <c r="D92" s="646"/>
      <c r="E92" s="660"/>
      <c r="F92" s="647"/>
      <c r="G92" s="670"/>
      <c r="H92" s="670"/>
      <c r="I92" s="670"/>
      <c r="J92" s="670"/>
      <c r="K92" s="670"/>
      <c r="L92" s="646"/>
      <c r="M92" s="648"/>
    </row>
    <row r="93" spans="2:13">
      <c r="B93" s="644"/>
      <c r="C93" s="645" t="s">
        <v>50</v>
      </c>
      <c r="D93" s="646"/>
      <c r="E93" s="660"/>
      <c r="F93" s="647">
        <f>+F54+F71</f>
        <v>186355577.07153854</v>
      </c>
      <c r="G93" s="670"/>
      <c r="H93" s="670"/>
      <c r="I93" s="670"/>
      <c r="J93" s="670"/>
      <c r="K93" s="670"/>
      <c r="L93" s="647">
        <f>+L54+L71</f>
        <v>186355577.07153854</v>
      </c>
      <c r="M93" s="648" t="s">
        <v>626</v>
      </c>
    </row>
    <row r="94" spans="2:13" ht="15" thickBot="1">
      <c r="B94" s="653"/>
      <c r="C94" s="654"/>
      <c r="D94" s="654"/>
      <c r="E94" s="115"/>
      <c r="F94" s="655"/>
      <c r="G94" s="675"/>
      <c r="H94" s="675"/>
      <c r="I94" s="675"/>
      <c r="J94" s="675"/>
      <c r="K94" s="675"/>
      <c r="L94" s="654"/>
      <c r="M94" s="656"/>
    </row>
    <row r="95" spans="2:13" ht="15" thickBot="1">
      <c r="E95" s="668"/>
    </row>
    <row r="96" spans="2:13">
      <c r="B96" s="640" t="s">
        <v>71</v>
      </c>
      <c r="C96" s="641"/>
      <c r="D96" s="641"/>
      <c r="E96" s="113"/>
      <c r="F96" s="642"/>
      <c r="G96" s="684"/>
      <c r="H96" s="684"/>
      <c r="I96" s="684"/>
      <c r="J96" s="684"/>
      <c r="K96" s="684"/>
      <c r="L96" s="641"/>
      <c r="M96" s="643"/>
    </row>
    <row r="97" spans="2:20">
      <c r="B97" s="644"/>
      <c r="C97" s="645" t="s">
        <v>76</v>
      </c>
      <c r="D97" s="646"/>
      <c r="E97" s="660"/>
      <c r="F97" s="647"/>
      <c r="G97" s="670"/>
      <c r="H97" s="670"/>
      <c r="I97" s="670"/>
      <c r="J97" s="670"/>
      <c r="K97" s="670"/>
      <c r="L97" s="646"/>
      <c r="M97" s="648"/>
    </row>
    <row r="98" spans="2:20">
      <c r="B98" s="644"/>
      <c r="C98" s="649" t="s">
        <v>10</v>
      </c>
      <c r="D98" s="649" t="s">
        <v>11</v>
      </c>
      <c r="E98" s="687"/>
      <c r="F98" s="650" t="s">
        <v>12</v>
      </c>
      <c r="G98" s="685"/>
      <c r="H98" s="689" t="str">
        <f>+H6</f>
        <v>Settlement Adjustment</v>
      </c>
      <c r="I98" s="685"/>
      <c r="J98" s="689" t="str">
        <f>+J6</f>
        <v>Direct Assignment</v>
      </c>
      <c r="K98" s="687"/>
      <c r="L98" s="687" t="s">
        <v>588</v>
      </c>
      <c r="M98" s="648"/>
    </row>
    <row r="99" spans="2:20">
      <c r="B99" s="644"/>
      <c r="C99" s="646" t="s">
        <v>13</v>
      </c>
      <c r="D99" s="646" t="s">
        <v>72</v>
      </c>
      <c r="E99" s="660">
        <v>2014</v>
      </c>
      <c r="F99" s="651">
        <v>315335785</v>
      </c>
      <c r="G99" s="670"/>
      <c r="H99" s="800">
        <v>2109887.436523864</v>
      </c>
      <c r="I99" s="670"/>
      <c r="J99" s="651">
        <f>+-'Schedule 13 Direct Assignment'!M31</f>
        <v>22758599.369655136</v>
      </c>
      <c r="K99" s="646"/>
      <c r="L99" s="662">
        <f t="shared" ref="L99:L111" si="5">+F99+H99-J99</f>
        <v>294687073.06686872</v>
      </c>
      <c r="M99" s="406"/>
      <c r="O99" s="624"/>
      <c r="P99" s="624"/>
      <c r="Q99" s="624"/>
      <c r="R99" s="624"/>
      <c r="S99" s="624"/>
      <c r="T99" s="624"/>
    </row>
    <row r="100" spans="2:20">
      <c r="B100" s="644"/>
      <c r="C100" s="646" t="s">
        <v>14</v>
      </c>
      <c r="D100" s="646" t="s">
        <v>27</v>
      </c>
      <c r="E100" s="660">
        <v>2015</v>
      </c>
      <c r="F100" s="651">
        <v>317233897.91999906</v>
      </c>
      <c r="G100" s="670"/>
      <c r="H100" s="800">
        <v>2105782.6624300801</v>
      </c>
      <c r="I100" s="670"/>
      <c r="J100" s="651">
        <f>+-'Schedule 13 Direct Assignment'!M32</f>
        <v>22923058.335494075</v>
      </c>
      <c r="K100" s="646"/>
      <c r="L100" s="662">
        <f t="shared" si="5"/>
        <v>296416622.24693507</v>
      </c>
      <c r="M100" s="406"/>
      <c r="O100" s="624"/>
      <c r="P100" s="624"/>
      <c r="Q100" s="624"/>
      <c r="R100" s="624"/>
      <c r="S100" s="624"/>
      <c r="T100" s="624"/>
    </row>
    <row r="101" spans="2:20">
      <c r="B101" s="644"/>
      <c r="C101" s="646" t="s">
        <v>15</v>
      </c>
      <c r="D101" s="646" t="s">
        <v>27</v>
      </c>
      <c r="E101" s="660">
        <v>2015</v>
      </c>
      <c r="F101" s="651">
        <v>318492978.53000081</v>
      </c>
      <c r="G101" s="670"/>
      <c r="H101" s="800">
        <v>2101677.8883362957</v>
      </c>
      <c r="I101" s="670"/>
      <c r="J101" s="651">
        <f>+-'Schedule 13 Direct Assignment'!M33</f>
        <v>23087352.921333011</v>
      </c>
      <c r="K101" s="646"/>
      <c r="L101" s="662">
        <f t="shared" si="5"/>
        <v>297507303.49700409</v>
      </c>
      <c r="M101" s="406"/>
      <c r="O101" s="624"/>
      <c r="P101" s="624"/>
      <c r="Q101" s="624"/>
      <c r="R101" s="624"/>
      <c r="S101" s="624"/>
      <c r="T101" s="624"/>
    </row>
    <row r="102" spans="2:20">
      <c r="B102" s="644"/>
      <c r="C102" s="646" t="s">
        <v>16</v>
      </c>
      <c r="D102" s="646" t="s">
        <v>27</v>
      </c>
      <c r="E102" s="660">
        <v>2015</v>
      </c>
      <c r="F102" s="651">
        <v>318405199</v>
      </c>
      <c r="G102" s="670"/>
      <c r="H102" s="800">
        <v>2097573.1142425109</v>
      </c>
      <c r="I102" s="670"/>
      <c r="J102" s="651">
        <f>+-'Schedule 13 Direct Assignment'!M34</f>
        <v>23249263.237171952</v>
      </c>
      <c r="K102" s="646"/>
      <c r="L102" s="662">
        <f t="shared" si="5"/>
        <v>297253508.87707055</v>
      </c>
      <c r="M102" s="406"/>
      <c r="O102" s="624"/>
      <c r="P102" s="624"/>
      <c r="Q102" s="624"/>
      <c r="R102" s="624"/>
      <c r="S102" s="624"/>
      <c r="T102" s="624"/>
    </row>
    <row r="103" spans="2:20">
      <c r="B103" s="644"/>
      <c r="C103" s="646" t="s">
        <v>17</v>
      </c>
      <c r="D103" s="646" t="s">
        <v>27</v>
      </c>
      <c r="E103" s="660">
        <v>2015</v>
      </c>
      <c r="F103" s="651">
        <v>320710459.8700009</v>
      </c>
      <c r="G103" s="670"/>
      <c r="H103" s="800">
        <v>2093468.3401487267</v>
      </c>
      <c r="I103" s="670"/>
      <c r="J103" s="651">
        <f>+-'Schedule 13 Direct Assignment'!M35</f>
        <v>23413369.353010885</v>
      </c>
      <c r="K103" s="646"/>
      <c r="L103" s="662">
        <f t="shared" si="5"/>
        <v>299390558.85713875</v>
      </c>
      <c r="M103" s="406"/>
      <c r="O103" s="624"/>
      <c r="P103" s="624"/>
      <c r="Q103" s="624"/>
      <c r="R103" s="624"/>
      <c r="S103" s="624"/>
      <c r="T103" s="624"/>
    </row>
    <row r="104" spans="2:20">
      <c r="B104" s="644"/>
      <c r="C104" s="646" t="s">
        <v>18</v>
      </c>
      <c r="D104" s="646" t="s">
        <v>27</v>
      </c>
      <c r="E104" s="660">
        <v>2015</v>
      </c>
      <c r="F104" s="651">
        <v>321494538.17000049</v>
      </c>
      <c r="G104" s="670"/>
      <c r="H104" s="800">
        <v>2089363.5660549423</v>
      </c>
      <c r="I104" s="670"/>
      <c r="J104" s="651">
        <f>+-'Schedule 13 Direct Assignment'!M36</f>
        <v>23577770.868849825</v>
      </c>
      <c r="K104" s="646"/>
      <c r="L104" s="662">
        <f t="shared" si="5"/>
        <v>300006130.86720562</v>
      </c>
      <c r="M104" s="406"/>
      <c r="O104" s="624"/>
      <c r="P104" s="624"/>
      <c r="Q104" s="624"/>
      <c r="R104" s="624"/>
      <c r="S104" s="624"/>
      <c r="T104" s="624"/>
    </row>
    <row r="105" spans="2:20">
      <c r="B105" s="644"/>
      <c r="C105" s="646" t="s">
        <v>19</v>
      </c>
      <c r="D105" s="646" t="s">
        <v>27</v>
      </c>
      <c r="E105" s="660">
        <v>2015</v>
      </c>
      <c r="F105" s="651">
        <v>321283614</v>
      </c>
      <c r="G105" s="670"/>
      <c r="H105" s="800">
        <v>2085258.7919611579</v>
      </c>
      <c r="I105" s="670"/>
      <c r="J105" s="651">
        <f>+-'Schedule 13 Direct Assignment'!M37</f>
        <v>23739686.174688764</v>
      </c>
      <c r="K105" s="646"/>
      <c r="L105" s="662">
        <f t="shared" si="5"/>
        <v>299629186.61727238</v>
      </c>
      <c r="M105" s="406"/>
      <c r="O105" s="624"/>
      <c r="P105" s="624"/>
      <c r="Q105" s="624"/>
      <c r="R105" s="624"/>
      <c r="S105" s="624"/>
      <c r="T105" s="624"/>
    </row>
    <row r="106" spans="2:20">
      <c r="B106" s="644"/>
      <c r="C106" s="646" t="s">
        <v>20</v>
      </c>
      <c r="D106" s="646" t="s">
        <v>27</v>
      </c>
      <c r="E106" s="660">
        <v>2015</v>
      </c>
      <c r="F106" s="651">
        <v>321599329.87999982</v>
      </c>
      <c r="G106" s="670"/>
      <c r="H106" s="800">
        <v>2081154.0178673738</v>
      </c>
      <c r="I106" s="670"/>
      <c r="J106" s="651">
        <f>+-'Schedule 13 Direct Assignment'!M38</f>
        <v>23902334.560527705</v>
      </c>
      <c r="K106" s="646"/>
      <c r="L106" s="662">
        <f t="shared" si="5"/>
        <v>299778149.33733952</v>
      </c>
      <c r="M106" s="406"/>
      <c r="O106" s="624"/>
      <c r="P106" s="624"/>
      <c r="Q106" s="624"/>
      <c r="R106" s="624"/>
      <c r="S106" s="624"/>
      <c r="T106" s="624"/>
    </row>
    <row r="107" spans="2:20">
      <c r="B107" s="644"/>
      <c r="C107" s="646" t="s">
        <v>21</v>
      </c>
      <c r="D107" s="646" t="s">
        <v>27</v>
      </c>
      <c r="E107" s="660">
        <v>2015</v>
      </c>
      <c r="F107" s="651">
        <v>322844650.53999931</v>
      </c>
      <c r="G107" s="670"/>
      <c r="H107" s="800">
        <v>2077049.2437735894</v>
      </c>
      <c r="I107" s="670"/>
      <c r="J107" s="651">
        <f>+-'Schedule 13 Direct Assignment'!M39</f>
        <v>24063417.226366647</v>
      </c>
      <c r="K107" s="646"/>
      <c r="L107" s="662">
        <f t="shared" si="5"/>
        <v>300858282.55740625</v>
      </c>
      <c r="M107" s="406"/>
      <c r="O107" s="624"/>
      <c r="P107" s="624"/>
      <c r="Q107" s="624"/>
      <c r="R107" s="624"/>
      <c r="S107" s="624"/>
      <c r="T107" s="624"/>
    </row>
    <row r="108" spans="2:20">
      <c r="B108" s="644"/>
      <c r="C108" s="646" t="s">
        <v>22</v>
      </c>
      <c r="D108" s="646" t="s">
        <v>27</v>
      </c>
      <c r="E108" s="660">
        <v>2015</v>
      </c>
      <c r="F108" s="651">
        <v>322374880</v>
      </c>
      <c r="G108" s="670"/>
      <c r="H108" s="800">
        <v>2072944.469679805</v>
      </c>
      <c r="I108" s="670"/>
      <c r="J108" s="651">
        <f>+-'Schedule 13 Direct Assignment'!M40</f>
        <v>24227938.782205585</v>
      </c>
      <c r="K108" s="646"/>
      <c r="L108" s="662">
        <f t="shared" si="5"/>
        <v>300219885.68747425</v>
      </c>
      <c r="M108" s="406"/>
      <c r="O108" s="624"/>
      <c r="P108" s="624"/>
      <c r="Q108" s="624"/>
      <c r="R108" s="624"/>
      <c r="S108" s="624"/>
      <c r="T108" s="624"/>
    </row>
    <row r="109" spans="2:20">
      <c r="B109" s="644"/>
      <c r="C109" s="646" t="s">
        <v>23</v>
      </c>
      <c r="D109" s="646" t="s">
        <v>27</v>
      </c>
      <c r="E109" s="660">
        <v>2015</v>
      </c>
      <c r="F109" s="651">
        <v>325041709.65999979</v>
      </c>
      <c r="G109" s="670"/>
      <c r="H109" s="800">
        <v>2068839.6955860204</v>
      </c>
      <c r="I109" s="670"/>
      <c r="J109" s="651">
        <f>+-'Schedule 13 Direct Assignment'!M41</f>
        <v>23782856.605911199</v>
      </c>
      <c r="K109" s="646"/>
      <c r="L109" s="662">
        <f t="shared" si="5"/>
        <v>303327692.74967462</v>
      </c>
      <c r="M109" s="406"/>
      <c r="O109" s="624"/>
      <c r="P109" s="624"/>
      <c r="Q109" s="624"/>
      <c r="R109" s="624"/>
      <c r="S109" s="624"/>
      <c r="T109" s="624"/>
    </row>
    <row r="110" spans="2:20">
      <c r="B110" s="644"/>
      <c r="C110" s="646" t="s">
        <v>24</v>
      </c>
      <c r="D110" s="646" t="s">
        <v>27</v>
      </c>
      <c r="E110" s="660">
        <v>2015</v>
      </c>
      <c r="F110" s="800">
        <v>326170278.67999983</v>
      </c>
      <c r="G110" s="670"/>
      <c r="H110" s="800">
        <v>2064734.921492236</v>
      </c>
      <c r="I110" s="670"/>
      <c r="J110" s="651">
        <f>+-'Schedule 13 Direct Assignment'!M42</f>
        <v>23963690.649616815</v>
      </c>
      <c r="K110" s="646"/>
      <c r="L110" s="662">
        <f t="shared" si="5"/>
        <v>304271322.95187521</v>
      </c>
      <c r="M110" s="406"/>
      <c r="O110" s="624"/>
      <c r="P110" s="624"/>
      <c r="Q110" s="624"/>
      <c r="R110" s="624"/>
      <c r="S110" s="624"/>
      <c r="T110" s="624"/>
    </row>
    <row r="111" spans="2:20">
      <c r="B111" s="644"/>
      <c r="C111" s="646" t="s">
        <v>13</v>
      </c>
      <c r="D111" s="646" t="s">
        <v>73</v>
      </c>
      <c r="E111" s="660">
        <v>2015</v>
      </c>
      <c r="F111" s="814">
        <v>326533647</v>
      </c>
      <c r="G111" s="661"/>
      <c r="H111" s="813">
        <v>2060630.147398452</v>
      </c>
      <c r="I111" s="661"/>
      <c r="J111" s="625">
        <f>+-'Schedule 13 Direct Assignment'!M43</f>
        <v>24142135.693322428</v>
      </c>
      <c r="K111" s="646"/>
      <c r="L111" s="686">
        <f t="shared" si="5"/>
        <v>304452141.45407605</v>
      </c>
      <c r="M111" s="406"/>
      <c r="O111" s="624"/>
      <c r="P111" s="624"/>
      <c r="Q111" s="624"/>
      <c r="R111" s="624"/>
      <c r="S111" s="624"/>
      <c r="T111" s="624"/>
    </row>
    <row r="112" spans="2:20">
      <c r="B112" s="644"/>
      <c r="C112" s="645" t="s">
        <v>77</v>
      </c>
      <c r="D112" s="646"/>
      <c r="E112" s="660"/>
      <c r="F112" s="647">
        <f>AVERAGE(F99:F111)</f>
        <v>321347766.78846157</v>
      </c>
      <c r="G112" s="670"/>
      <c r="H112" s="647">
        <f>AVERAGE(H99:H111)</f>
        <v>2085258.7919611584</v>
      </c>
      <c r="I112" s="670"/>
      <c r="J112" s="647">
        <f>AVERAGE(J99:J111)</f>
        <v>23602421.059858002</v>
      </c>
      <c r="K112" s="646"/>
      <c r="L112" s="647">
        <f>AVERAGE(L99:L111)</f>
        <v>299830604.52056473</v>
      </c>
      <c r="M112" s="648" t="s">
        <v>630</v>
      </c>
      <c r="O112" s="624"/>
      <c r="P112" s="624"/>
      <c r="Q112" s="624"/>
      <c r="R112" s="624"/>
      <c r="S112" s="624"/>
      <c r="T112" s="624"/>
    </row>
    <row r="113" spans="2:16">
      <c r="B113" s="644"/>
      <c r="C113" s="646"/>
      <c r="D113" s="646"/>
      <c r="E113" s="660"/>
      <c r="F113" s="647"/>
      <c r="G113" s="670"/>
      <c r="H113" s="670"/>
      <c r="I113" s="670"/>
      <c r="J113" s="670"/>
      <c r="K113" s="670"/>
      <c r="L113" s="646"/>
      <c r="M113" s="648"/>
      <c r="P113" s="624"/>
    </row>
    <row r="114" spans="2:16">
      <c r="B114" s="644"/>
      <c r="C114" s="645" t="s">
        <v>78</v>
      </c>
      <c r="D114" s="646"/>
      <c r="E114" s="660"/>
      <c r="F114" s="647"/>
      <c r="G114" s="670"/>
      <c r="H114" s="670"/>
      <c r="I114" s="670"/>
      <c r="J114" s="670"/>
      <c r="K114" s="670"/>
      <c r="L114" s="646"/>
      <c r="M114" s="648"/>
    </row>
    <row r="115" spans="2:16">
      <c r="B115" s="644"/>
      <c r="C115" s="649" t="s">
        <v>10</v>
      </c>
      <c r="D115" s="649" t="s">
        <v>11</v>
      </c>
      <c r="E115" s="687"/>
      <c r="F115" s="650" t="s">
        <v>12</v>
      </c>
      <c r="G115" s="685"/>
      <c r="H115" s="689" t="str">
        <f>+H98</f>
        <v>Settlement Adjustment</v>
      </c>
      <c r="I115" s="685"/>
      <c r="J115" s="689" t="str">
        <f>+J98</f>
        <v>Direct Assignment</v>
      </c>
      <c r="K115" s="687"/>
      <c r="L115" s="687" t="s">
        <v>588</v>
      </c>
      <c r="M115" s="648"/>
    </row>
    <row r="116" spans="2:16">
      <c r="B116" s="644"/>
      <c r="C116" s="646" t="s">
        <v>13</v>
      </c>
      <c r="D116" s="646" t="s">
        <v>74</v>
      </c>
      <c r="E116" s="660">
        <v>2014</v>
      </c>
      <c r="F116" s="651">
        <v>569108370</v>
      </c>
      <c r="G116" s="670"/>
      <c r="H116" s="651"/>
      <c r="I116" s="670"/>
      <c r="J116" s="651"/>
      <c r="K116" s="646"/>
      <c r="L116" s="662">
        <f t="shared" ref="L116:L128" si="6">+F116+H116-J116</f>
        <v>569108370</v>
      </c>
      <c r="M116" s="648"/>
    </row>
    <row r="117" spans="2:16">
      <c r="B117" s="644"/>
      <c r="C117" s="646" t="s">
        <v>14</v>
      </c>
      <c r="D117" s="646" t="s">
        <v>27</v>
      </c>
      <c r="E117" s="660">
        <v>2015</v>
      </c>
      <c r="F117" s="800">
        <v>573260606.2100004</v>
      </c>
      <c r="G117" s="670"/>
      <c r="H117" s="651"/>
      <c r="I117" s="670"/>
      <c r="J117" s="651"/>
      <c r="K117" s="646"/>
      <c r="L117" s="662">
        <f t="shared" si="6"/>
        <v>573260606.2100004</v>
      </c>
      <c r="M117" s="648"/>
    </row>
    <row r="118" spans="2:16">
      <c r="B118" s="644"/>
      <c r="C118" s="646" t="s">
        <v>15</v>
      </c>
      <c r="D118" s="646" t="s">
        <v>27</v>
      </c>
      <c r="E118" s="660">
        <v>2015</v>
      </c>
      <c r="F118" s="800">
        <v>575786267.45999944</v>
      </c>
      <c r="G118" s="670"/>
      <c r="H118" s="651"/>
      <c r="I118" s="670"/>
      <c r="J118" s="651"/>
      <c r="K118" s="646"/>
      <c r="L118" s="662">
        <f t="shared" si="6"/>
        <v>575786267.45999944</v>
      </c>
      <c r="M118" s="648"/>
    </row>
    <row r="119" spans="2:16">
      <c r="B119" s="644"/>
      <c r="C119" s="646" t="s">
        <v>16</v>
      </c>
      <c r="D119" s="646" t="s">
        <v>27</v>
      </c>
      <c r="E119" s="660">
        <v>2015</v>
      </c>
      <c r="F119" s="800">
        <v>576313916</v>
      </c>
      <c r="G119" s="670"/>
      <c r="H119" s="651"/>
      <c r="I119" s="670"/>
      <c r="J119" s="651"/>
      <c r="K119" s="646"/>
      <c r="L119" s="662">
        <f t="shared" si="6"/>
        <v>576313916</v>
      </c>
      <c r="M119" s="648"/>
    </row>
    <row r="120" spans="2:16">
      <c r="B120" s="644"/>
      <c r="C120" s="646" t="s">
        <v>17</v>
      </c>
      <c r="D120" s="646" t="s">
        <v>27</v>
      </c>
      <c r="E120" s="660">
        <v>2015</v>
      </c>
      <c r="F120" s="800">
        <v>580501542.17999482</v>
      </c>
      <c r="G120" s="670"/>
      <c r="H120" s="651"/>
      <c r="I120" s="670"/>
      <c r="J120" s="651"/>
      <c r="K120" s="646"/>
      <c r="L120" s="662">
        <f t="shared" si="6"/>
        <v>580501542.17999482</v>
      </c>
      <c r="M120" s="648"/>
    </row>
    <row r="121" spans="2:16">
      <c r="B121" s="644"/>
      <c r="C121" s="646" t="s">
        <v>18</v>
      </c>
      <c r="D121" s="646" t="s">
        <v>27</v>
      </c>
      <c r="E121" s="660">
        <v>2015</v>
      </c>
      <c r="F121" s="800">
        <v>582997890.2900008</v>
      </c>
      <c r="G121" s="670"/>
      <c r="H121" s="651"/>
      <c r="I121" s="670"/>
      <c r="J121" s="651"/>
      <c r="K121" s="646"/>
      <c r="L121" s="662">
        <f t="shared" si="6"/>
        <v>582997890.2900008</v>
      </c>
      <c r="M121" s="648"/>
    </row>
    <row r="122" spans="2:16">
      <c r="B122" s="644"/>
      <c r="C122" s="646" t="s">
        <v>19</v>
      </c>
      <c r="D122" s="646" t="s">
        <v>27</v>
      </c>
      <c r="E122" s="660">
        <v>2015</v>
      </c>
      <c r="F122" s="800">
        <v>582540899</v>
      </c>
      <c r="G122" s="670"/>
      <c r="H122" s="651"/>
      <c r="I122" s="670"/>
      <c r="J122" s="651"/>
      <c r="K122" s="646"/>
      <c r="L122" s="662">
        <f t="shared" si="6"/>
        <v>582540899</v>
      </c>
      <c r="M122" s="648"/>
    </row>
    <row r="123" spans="2:16">
      <c r="B123" s="644"/>
      <c r="C123" s="646" t="s">
        <v>20</v>
      </c>
      <c r="D123" s="646" t="s">
        <v>27</v>
      </c>
      <c r="E123" s="660">
        <v>2015</v>
      </c>
      <c r="F123" s="800">
        <v>586779183.91000259</v>
      </c>
      <c r="G123" s="670"/>
      <c r="H123" s="651"/>
      <c r="I123" s="670"/>
      <c r="J123" s="651"/>
      <c r="K123" s="646"/>
      <c r="L123" s="662">
        <f t="shared" si="6"/>
        <v>586779183.91000259</v>
      </c>
      <c r="M123" s="648"/>
    </row>
    <row r="124" spans="2:16">
      <c r="B124" s="644"/>
      <c r="C124" s="646" t="s">
        <v>21</v>
      </c>
      <c r="D124" s="646" t="s">
        <v>27</v>
      </c>
      <c r="E124" s="660">
        <v>2015</v>
      </c>
      <c r="F124" s="800">
        <v>589415669.47999859</v>
      </c>
      <c r="G124" s="670"/>
      <c r="H124" s="651"/>
      <c r="I124" s="670"/>
      <c r="J124" s="651"/>
      <c r="K124" s="646"/>
      <c r="L124" s="662">
        <f t="shared" si="6"/>
        <v>589415669.47999859</v>
      </c>
      <c r="M124" s="648"/>
    </row>
    <row r="125" spans="2:16">
      <c r="B125" s="644"/>
      <c r="C125" s="646" t="s">
        <v>22</v>
      </c>
      <c r="D125" s="646" t="s">
        <v>27</v>
      </c>
      <c r="E125" s="660">
        <v>2015</v>
      </c>
      <c r="F125" s="800">
        <v>589219874</v>
      </c>
      <c r="G125" s="670"/>
      <c r="H125" s="651"/>
      <c r="I125" s="670"/>
      <c r="J125" s="651"/>
      <c r="K125" s="646"/>
      <c r="L125" s="662">
        <f t="shared" si="6"/>
        <v>589219874</v>
      </c>
      <c r="M125" s="648"/>
    </row>
    <row r="126" spans="2:16">
      <c r="B126" s="644"/>
      <c r="C126" s="646" t="s">
        <v>23</v>
      </c>
      <c r="D126" s="646" t="s">
        <v>27</v>
      </c>
      <c r="E126" s="660">
        <v>2015</v>
      </c>
      <c r="F126" s="800">
        <v>594441606.17999887</v>
      </c>
      <c r="G126" s="670"/>
      <c r="H126" s="651"/>
      <c r="I126" s="670"/>
      <c r="J126" s="651"/>
      <c r="K126" s="646"/>
      <c r="L126" s="662">
        <f t="shared" si="6"/>
        <v>594441606.17999887</v>
      </c>
      <c r="M126" s="648"/>
    </row>
    <row r="127" spans="2:16">
      <c r="B127" s="644"/>
      <c r="C127" s="646" t="s">
        <v>24</v>
      </c>
      <c r="D127" s="646" t="s">
        <v>27</v>
      </c>
      <c r="E127" s="660">
        <v>2015</v>
      </c>
      <c r="F127" s="800">
        <v>597055235.93000257</v>
      </c>
      <c r="G127" s="670"/>
      <c r="H127" s="651"/>
      <c r="I127" s="670"/>
      <c r="J127" s="651"/>
      <c r="K127" s="646"/>
      <c r="L127" s="662">
        <f t="shared" si="6"/>
        <v>597055235.93000257</v>
      </c>
      <c r="M127" s="648"/>
    </row>
    <row r="128" spans="2:16">
      <c r="B128" s="644"/>
      <c r="C128" s="646" t="s">
        <v>13</v>
      </c>
      <c r="D128" s="646" t="s">
        <v>75</v>
      </c>
      <c r="E128" s="660">
        <v>2015</v>
      </c>
      <c r="F128" s="814">
        <v>596363838</v>
      </c>
      <c r="G128" s="661"/>
      <c r="H128" s="625"/>
      <c r="I128" s="661"/>
      <c r="J128" s="625"/>
      <c r="K128" s="646"/>
      <c r="L128" s="686">
        <f t="shared" si="6"/>
        <v>596363838</v>
      </c>
      <c r="M128" s="648"/>
    </row>
    <row r="129" spans="2:13">
      <c r="B129" s="644"/>
      <c r="C129" s="645" t="s">
        <v>79</v>
      </c>
      <c r="D129" s="646"/>
      <c r="E129" s="660"/>
      <c r="F129" s="647">
        <f>AVERAGE(F116:F128)</f>
        <v>584137299.89538443</v>
      </c>
      <c r="G129" s="670"/>
      <c r="H129" s="647"/>
      <c r="I129" s="670"/>
      <c r="J129" s="647"/>
      <c r="K129" s="646"/>
      <c r="L129" s="647">
        <f>AVERAGE(L116:L128)</f>
        <v>584137299.89538443</v>
      </c>
      <c r="M129" s="648"/>
    </row>
    <row r="130" spans="2:13">
      <c r="B130" s="644"/>
      <c r="C130" s="646"/>
      <c r="D130" s="646"/>
      <c r="E130" s="660"/>
      <c r="F130" s="647"/>
      <c r="G130" s="670"/>
      <c r="H130" s="670"/>
      <c r="I130" s="670"/>
      <c r="J130" s="670"/>
      <c r="K130" s="670"/>
      <c r="L130" s="646"/>
      <c r="M130" s="648"/>
    </row>
    <row r="131" spans="2:13">
      <c r="B131" s="644"/>
      <c r="C131" s="645" t="s">
        <v>80</v>
      </c>
      <c r="D131" s="646"/>
      <c r="E131" s="660"/>
      <c r="F131" s="647"/>
      <c r="G131" s="670"/>
      <c r="H131" s="670"/>
      <c r="I131" s="670"/>
      <c r="J131" s="670"/>
      <c r="K131" s="670"/>
      <c r="L131" s="646"/>
      <c r="M131" s="648"/>
    </row>
    <row r="132" spans="2:13">
      <c r="B132" s="644"/>
      <c r="C132" s="649" t="s">
        <v>10</v>
      </c>
      <c r="D132" s="649" t="s">
        <v>11</v>
      </c>
      <c r="E132" s="687"/>
      <c r="F132" s="650" t="s">
        <v>12</v>
      </c>
      <c r="G132" s="685"/>
      <c r="H132" s="689" t="str">
        <f>+H115</f>
        <v>Settlement Adjustment</v>
      </c>
      <c r="I132" s="685"/>
      <c r="J132" s="689" t="str">
        <f>+J115</f>
        <v>Direct Assignment</v>
      </c>
      <c r="K132" s="687"/>
      <c r="L132" s="687" t="s">
        <v>588</v>
      </c>
      <c r="M132" s="648"/>
    </row>
    <row r="133" spans="2:13">
      <c r="B133" s="644"/>
      <c r="C133" s="646" t="s">
        <v>13</v>
      </c>
      <c r="D133" s="646" t="s">
        <v>88</v>
      </c>
      <c r="E133" s="660">
        <v>2014</v>
      </c>
      <c r="F133" s="651">
        <v>40328168</v>
      </c>
      <c r="G133" s="670"/>
      <c r="H133" s="651"/>
      <c r="I133" s="670"/>
      <c r="J133" s="651"/>
      <c r="K133" s="646"/>
      <c r="L133" s="662">
        <f t="shared" ref="L133:L145" si="7">+F133+H133-J133</f>
        <v>40328168</v>
      </c>
      <c r="M133" s="648"/>
    </row>
    <row r="134" spans="2:13">
      <c r="B134" s="644"/>
      <c r="C134" s="646" t="s">
        <v>14</v>
      </c>
      <c r="D134" s="646" t="s">
        <v>27</v>
      </c>
      <c r="E134" s="660">
        <v>2015</v>
      </c>
      <c r="F134" s="800">
        <v>40441541.13000001</v>
      </c>
      <c r="G134" s="670"/>
      <c r="H134" s="651"/>
      <c r="I134" s="670"/>
      <c r="J134" s="651"/>
      <c r="K134" s="646"/>
      <c r="L134" s="662">
        <f t="shared" si="7"/>
        <v>40441541.13000001</v>
      </c>
      <c r="M134" s="648"/>
    </row>
    <row r="135" spans="2:13">
      <c r="B135" s="644"/>
      <c r="C135" s="646" t="s">
        <v>15</v>
      </c>
      <c r="D135" s="646" t="s">
        <v>27</v>
      </c>
      <c r="E135" s="660">
        <v>2015</v>
      </c>
      <c r="F135" s="800">
        <v>40594665.859999999</v>
      </c>
      <c r="G135" s="670"/>
      <c r="H135" s="651"/>
      <c r="I135" s="670"/>
      <c r="J135" s="651"/>
      <c r="K135" s="646"/>
      <c r="L135" s="662">
        <f t="shared" si="7"/>
        <v>40594665.859999999</v>
      </c>
      <c r="M135" s="648"/>
    </row>
    <row r="136" spans="2:13">
      <c r="B136" s="644"/>
      <c r="C136" s="646" t="s">
        <v>16</v>
      </c>
      <c r="D136" s="646" t="s">
        <v>27</v>
      </c>
      <c r="E136" s="660">
        <v>2015</v>
      </c>
      <c r="F136" s="800">
        <v>40716621.680000007</v>
      </c>
      <c r="G136" s="670"/>
      <c r="H136" s="651"/>
      <c r="I136" s="670"/>
      <c r="J136" s="651"/>
      <c r="K136" s="646"/>
      <c r="L136" s="662">
        <f t="shared" si="7"/>
        <v>40716621.680000007</v>
      </c>
      <c r="M136" s="648"/>
    </row>
    <row r="137" spans="2:13">
      <c r="B137" s="644"/>
      <c r="C137" s="646" t="s">
        <v>17</v>
      </c>
      <c r="D137" s="646" t="s">
        <v>27</v>
      </c>
      <c r="E137" s="660">
        <v>2015</v>
      </c>
      <c r="F137" s="800">
        <v>40837791.319999993</v>
      </c>
      <c r="G137" s="670"/>
      <c r="H137" s="651"/>
      <c r="I137" s="670"/>
      <c r="J137" s="651"/>
      <c r="K137" s="646"/>
      <c r="L137" s="662">
        <f t="shared" si="7"/>
        <v>40837791.319999993</v>
      </c>
      <c r="M137" s="648"/>
    </row>
    <row r="138" spans="2:13">
      <c r="B138" s="644"/>
      <c r="C138" s="646" t="s">
        <v>18</v>
      </c>
      <c r="D138" s="646" t="s">
        <v>27</v>
      </c>
      <c r="E138" s="660">
        <v>2015</v>
      </c>
      <c r="F138" s="800">
        <v>40929857.519999996</v>
      </c>
      <c r="G138" s="670"/>
      <c r="H138" s="651"/>
      <c r="I138" s="670"/>
      <c r="J138" s="651"/>
      <c r="K138" s="646"/>
      <c r="L138" s="662">
        <f t="shared" si="7"/>
        <v>40929857.519999996</v>
      </c>
      <c r="M138" s="648"/>
    </row>
    <row r="139" spans="2:13">
      <c r="B139" s="644"/>
      <c r="C139" s="646" t="s">
        <v>19</v>
      </c>
      <c r="D139" s="646" t="s">
        <v>27</v>
      </c>
      <c r="E139" s="660">
        <v>2015</v>
      </c>
      <c r="F139" s="800">
        <v>41012138</v>
      </c>
      <c r="G139" s="670"/>
      <c r="H139" s="651"/>
      <c r="I139" s="670"/>
      <c r="J139" s="651"/>
      <c r="K139" s="646"/>
      <c r="L139" s="662">
        <f t="shared" si="7"/>
        <v>41012138</v>
      </c>
      <c r="M139" s="648"/>
    </row>
    <row r="140" spans="2:13">
      <c r="B140" s="644"/>
      <c r="C140" s="646" t="s">
        <v>20</v>
      </c>
      <c r="D140" s="646" t="s">
        <v>27</v>
      </c>
      <c r="E140" s="660">
        <v>2015</v>
      </c>
      <c r="F140" s="800">
        <v>40629469.870000005</v>
      </c>
      <c r="G140" s="670"/>
      <c r="H140" s="651"/>
      <c r="I140" s="670"/>
      <c r="J140" s="651"/>
      <c r="K140" s="646"/>
      <c r="L140" s="662">
        <f t="shared" si="7"/>
        <v>40629469.870000005</v>
      </c>
      <c r="M140" s="648"/>
    </row>
    <row r="141" spans="2:13">
      <c r="B141" s="644"/>
      <c r="C141" s="646" t="s">
        <v>21</v>
      </c>
      <c r="D141" s="646" t="s">
        <v>27</v>
      </c>
      <c r="E141" s="660">
        <v>2015</v>
      </c>
      <c r="F141" s="800">
        <v>41239973.029999994</v>
      </c>
      <c r="G141" s="670"/>
      <c r="H141" s="651"/>
      <c r="I141" s="670"/>
      <c r="J141" s="651"/>
      <c r="K141" s="646"/>
      <c r="L141" s="662">
        <f t="shared" si="7"/>
        <v>41239973.029999994</v>
      </c>
      <c r="M141" s="648"/>
    </row>
    <row r="142" spans="2:13">
      <c r="B142" s="644"/>
      <c r="C142" s="646" t="s">
        <v>22</v>
      </c>
      <c r="D142" s="646" t="s">
        <v>27</v>
      </c>
      <c r="E142" s="660">
        <v>2015</v>
      </c>
      <c r="F142" s="800">
        <v>41348978.770000018</v>
      </c>
      <c r="G142" s="670"/>
      <c r="H142" s="651"/>
      <c r="I142" s="670"/>
      <c r="J142" s="651"/>
      <c r="K142" s="646"/>
      <c r="L142" s="662">
        <f t="shared" si="7"/>
        <v>41348978.770000018</v>
      </c>
      <c r="M142" s="648"/>
    </row>
    <row r="143" spans="2:13">
      <c r="B143" s="644"/>
      <c r="C143" s="646" t="s">
        <v>23</v>
      </c>
      <c r="D143" s="646" t="s">
        <v>27</v>
      </c>
      <c r="E143" s="660">
        <v>2015</v>
      </c>
      <c r="F143" s="800">
        <v>41451421.670000017</v>
      </c>
      <c r="G143" s="670"/>
      <c r="H143" s="651"/>
      <c r="I143" s="670"/>
      <c r="J143" s="651"/>
      <c r="K143" s="646"/>
      <c r="L143" s="662">
        <f t="shared" si="7"/>
        <v>41451421.670000017</v>
      </c>
      <c r="M143" s="648"/>
    </row>
    <row r="144" spans="2:13">
      <c r="B144" s="644"/>
      <c r="C144" s="646" t="s">
        <v>24</v>
      </c>
      <c r="D144" s="646" t="s">
        <v>27</v>
      </c>
      <c r="E144" s="660">
        <v>2015</v>
      </c>
      <c r="F144" s="800">
        <v>41553323.790000014</v>
      </c>
      <c r="G144" s="670"/>
      <c r="H144" s="651"/>
      <c r="I144" s="670"/>
      <c r="J144" s="651"/>
      <c r="K144" s="646"/>
      <c r="L144" s="662">
        <f t="shared" si="7"/>
        <v>41553323.790000014</v>
      </c>
      <c r="M144" s="648"/>
    </row>
    <row r="145" spans="2:13">
      <c r="B145" s="644"/>
      <c r="C145" s="646" t="s">
        <v>13</v>
      </c>
      <c r="D145" s="646" t="s">
        <v>89</v>
      </c>
      <c r="E145" s="660">
        <v>2015</v>
      </c>
      <c r="F145" s="814">
        <v>41583457</v>
      </c>
      <c r="G145" s="661"/>
      <c r="H145" s="625"/>
      <c r="I145" s="661"/>
      <c r="J145" s="625"/>
      <c r="K145" s="646"/>
      <c r="L145" s="686">
        <f t="shared" si="7"/>
        <v>41583457</v>
      </c>
      <c r="M145" s="648"/>
    </row>
    <row r="146" spans="2:13">
      <c r="B146" s="644"/>
      <c r="C146" s="645" t="s">
        <v>81</v>
      </c>
      <c r="D146" s="646"/>
      <c r="E146" s="646"/>
      <c r="F146" s="647">
        <f>AVERAGE(F133:F145)</f>
        <v>40974415.972307697</v>
      </c>
      <c r="G146" s="670"/>
      <c r="H146" s="647"/>
      <c r="I146" s="670"/>
      <c r="J146" s="647"/>
      <c r="K146" s="646"/>
      <c r="L146" s="647">
        <f>AVERAGE(L133:L145)</f>
        <v>40974415.972307697</v>
      </c>
      <c r="M146" s="648"/>
    </row>
    <row r="147" spans="2:13">
      <c r="B147" s="644"/>
      <c r="C147" s="646"/>
      <c r="D147" s="646"/>
      <c r="E147" s="646"/>
      <c r="F147" s="647"/>
      <c r="G147" s="670"/>
      <c r="H147" s="670"/>
      <c r="I147" s="670"/>
      <c r="J147" s="670"/>
      <c r="K147" s="670"/>
      <c r="L147" s="646"/>
      <c r="M147" s="648"/>
    </row>
    <row r="148" spans="2:13">
      <c r="B148" s="644"/>
      <c r="C148" s="645" t="s">
        <v>82</v>
      </c>
      <c r="D148" s="646"/>
      <c r="E148" s="646"/>
      <c r="F148" s="647"/>
      <c r="G148" s="670"/>
      <c r="H148" s="670"/>
      <c r="I148" s="670"/>
      <c r="J148" s="670"/>
      <c r="K148" s="670"/>
      <c r="L148" s="646"/>
      <c r="M148" s="648"/>
    </row>
    <row r="149" spans="2:13">
      <c r="B149" s="644"/>
      <c r="C149" s="649" t="s">
        <v>10</v>
      </c>
      <c r="D149" s="649" t="s">
        <v>11</v>
      </c>
      <c r="E149" s="649"/>
      <c r="F149" s="650" t="s">
        <v>12</v>
      </c>
      <c r="G149" s="685"/>
      <c r="H149" s="689" t="str">
        <f>+H132</f>
        <v>Settlement Adjustment</v>
      </c>
      <c r="I149" s="685"/>
      <c r="J149" s="689" t="str">
        <f>+J132</f>
        <v>Direct Assignment</v>
      </c>
      <c r="K149" s="687"/>
      <c r="L149" s="687" t="s">
        <v>588</v>
      </c>
      <c r="M149" s="648"/>
    </row>
    <row r="150" spans="2:13">
      <c r="B150" s="644"/>
      <c r="C150" s="646" t="s">
        <v>13</v>
      </c>
      <c r="D150" s="646" t="s">
        <v>92</v>
      </c>
      <c r="E150" s="660">
        <v>2014</v>
      </c>
      <c r="F150" s="651">
        <v>69259336</v>
      </c>
      <c r="G150" s="670"/>
      <c r="H150" s="651"/>
      <c r="I150" s="670"/>
      <c r="J150" s="651"/>
      <c r="K150" s="646"/>
      <c r="L150" s="662">
        <f t="shared" ref="L150:L162" si="8">+F150+H150-J150</f>
        <v>69259336</v>
      </c>
      <c r="M150" s="648"/>
    </row>
    <row r="151" spans="2:13">
      <c r="B151" s="644"/>
      <c r="C151" s="646" t="s">
        <v>14</v>
      </c>
      <c r="D151" s="646" t="s">
        <v>27</v>
      </c>
      <c r="E151" s="660">
        <v>2015</v>
      </c>
      <c r="F151" s="800">
        <v>69892630.560000002</v>
      </c>
      <c r="G151" s="670"/>
      <c r="H151" s="651"/>
      <c r="I151" s="670"/>
      <c r="J151" s="651"/>
      <c r="K151" s="646"/>
      <c r="L151" s="662">
        <f t="shared" si="8"/>
        <v>69892630.560000002</v>
      </c>
      <c r="M151" s="648"/>
    </row>
    <row r="152" spans="2:13">
      <c r="B152" s="644"/>
      <c r="C152" s="646" t="s">
        <v>15</v>
      </c>
      <c r="D152" s="646" t="s">
        <v>27</v>
      </c>
      <c r="E152" s="660">
        <v>2015</v>
      </c>
      <c r="F152" s="800">
        <v>70004233.910000041</v>
      </c>
      <c r="G152" s="670"/>
      <c r="H152" s="651"/>
      <c r="I152" s="670"/>
      <c r="J152" s="651"/>
      <c r="K152" s="646"/>
      <c r="L152" s="662">
        <f t="shared" si="8"/>
        <v>70004233.910000041</v>
      </c>
      <c r="M152" s="648"/>
    </row>
    <row r="153" spans="2:13">
      <c r="B153" s="644"/>
      <c r="C153" s="646" t="s">
        <v>16</v>
      </c>
      <c r="D153" s="646" t="s">
        <v>27</v>
      </c>
      <c r="E153" s="660">
        <v>2015</v>
      </c>
      <c r="F153" s="800">
        <v>70650152</v>
      </c>
      <c r="G153" s="670"/>
      <c r="H153" s="651"/>
      <c r="I153" s="670"/>
      <c r="J153" s="651"/>
      <c r="K153" s="646"/>
      <c r="L153" s="662">
        <f t="shared" si="8"/>
        <v>70650152</v>
      </c>
      <c r="M153" s="648"/>
    </row>
    <row r="154" spans="2:13">
      <c r="B154" s="644"/>
      <c r="C154" s="646" t="s">
        <v>17</v>
      </c>
      <c r="D154" s="646" t="s">
        <v>27</v>
      </c>
      <c r="E154" s="660">
        <v>2015</v>
      </c>
      <c r="F154" s="800">
        <v>71272834.570000008</v>
      </c>
      <c r="G154" s="670"/>
      <c r="H154" s="651"/>
      <c r="I154" s="670"/>
      <c r="J154" s="651"/>
      <c r="K154" s="646"/>
      <c r="L154" s="662">
        <f t="shared" si="8"/>
        <v>71272834.570000008</v>
      </c>
      <c r="M154" s="648"/>
    </row>
    <row r="155" spans="2:13">
      <c r="B155" s="644"/>
      <c r="C155" s="646" t="s">
        <v>18</v>
      </c>
      <c r="D155" s="646" t="s">
        <v>27</v>
      </c>
      <c r="E155" s="660">
        <v>2015</v>
      </c>
      <c r="F155" s="800">
        <v>71894981.419999674</v>
      </c>
      <c r="G155" s="670"/>
      <c r="H155" s="651"/>
      <c r="I155" s="670"/>
      <c r="J155" s="651"/>
      <c r="K155" s="646"/>
      <c r="L155" s="662">
        <f t="shared" si="8"/>
        <v>71894981.419999674</v>
      </c>
      <c r="M155" s="648"/>
    </row>
    <row r="156" spans="2:13">
      <c r="B156" s="644"/>
      <c r="C156" s="646" t="s">
        <v>19</v>
      </c>
      <c r="D156" s="646" t="s">
        <v>27</v>
      </c>
      <c r="E156" s="660">
        <v>2015</v>
      </c>
      <c r="F156" s="800">
        <v>70639774</v>
      </c>
      <c r="G156" s="670"/>
      <c r="H156" s="651"/>
      <c r="I156" s="670"/>
      <c r="J156" s="651"/>
      <c r="K156" s="646"/>
      <c r="L156" s="662">
        <f t="shared" si="8"/>
        <v>70639774</v>
      </c>
      <c r="M156" s="648"/>
    </row>
    <row r="157" spans="2:13">
      <c r="B157" s="644"/>
      <c r="C157" s="646" t="s">
        <v>20</v>
      </c>
      <c r="D157" s="646" t="s">
        <v>27</v>
      </c>
      <c r="E157" s="660">
        <v>2015</v>
      </c>
      <c r="F157" s="800">
        <v>71304321.770000085</v>
      </c>
      <c r="G157" s="670"/>
      <c r="H157" s="651"/>
      <c r="I157" s="670"/>
      <c r="J157" s="651"/>
      <c r="K157" s="646"/>
      <c r="L157" s="662">
        <f t="shared" si="8"/>
        <v>71304321.770000085</v>
      </c>
      <c r="M157" s="648"/>
    </row>
    <row r="158" spans="2:13">
      <c r="B158" s="644"/>
      <c r="C158" s="646" t="s">
        <v>21</v>
      </c>
      <c r="D158" s="646" t="s">
        <v>27</v>
      </c>
      <c r="E158" s="660">
        <v>2015</v>
      </c>
      <c r="F158" s="800">
        <v>71978875.189999983</v>
      </c>
      <c r="G158" s="670"/>
      <c r="H158" s="651"/>
      <c r="I158" s="670"/>
      <c r="J158" s="651"/>
      <c r="K158" s="646"/>
      <c r="L158" s="662">
        <f t="shared" si="8"/>
        <v>71978875.189999983</v>
      </c>
      <c r="M158" s="648"/>
    </row>
    <row r="159" spans="2:13">
      <c r="B159" s="644"/>
      <c r="C159" s="646" t="s">
        <v>22</v>
      </c>
      <c r="D159" s="646" t="s">
        <v>27</v>
      </c>
      <c r="E159" s="660">
        <v>2015</v>
      </c>
      <c r="F159" s="800">
        <v>72682315</v>
      </c>
      <c r="G159" s="670"/>
      <c r="H159" s="651"/>
      <c r="I159" s="670"/>
      <c r="J159" s="651"/>
      <c r="K159" s="646"/>
      <c r="L159" s="662">
        <f t="shared" si="8"/>
        <v>72682315</v>
      </c>
      <c r="M159" s="648"/>
    </row>
    <row r="160" spans="2:13">
      <c r="B160" s="644"/>
      <c r="C160" s="646" t="s">
        <v>23</v>
      </c>
      <c r="D160" s="646" t="s">
        <v>27</v>
      </c>
      <c r="E160" s="660">
        <v>2015</v>
      </c>
      <c r="F160" s="800">
        <v>73339149.600000009</v>
      </c>
      <c r="G160" s="670"/>
      <c r="H160" s="651"/>
      <c r="I160" s="670"/>
      <c r="J160" s="651"/>
      <c r="K160" s="646"/>
      <c r="L160" s="662">
        <f t="shared" si="8"/>
        <v>73339149.600000009</v>
      </c>
      <c r="M160" s="648"/>
    </row>
    <row r="161" spans="2:13">
      <c r="B161" s="644"/>
      <c r="C161" s="646" t="s">
        <v>24</v>
      </c>
      <c r="D161" s="646" t="s">
        <v>27</v>
      </c>
      <c r="E161" s="660">
        <v>2015</v>
      </c>
      <c r="F161" s="800">
        <v>73971071.989999965</v>
      </c>
      <c r="G161" s="670"/>
      <c r="H161" s="651"/>
      <c r="I161" s="670"/>
      <c r="J161" s="651"/>
      <c r="K161" s="646"/>
      <c r="L161" s="662">
        <f t="shared" si="8"/>
        <v>73971071.989999965</v>
      </c>
      <c r="M161" s="648"/>
    </row>
    <row r="162" spans="2:13">
      <c r="B162" s="644"/>
      <c r="C162" s="646" t="s">
        <v>13</v>
      </c>
      <c r="D162" s="646" t="s">
        <v>93</v>
      </c>
      <c r="E162" s="660">
        <v>2015</v>
      </c>
      <c r="F162" s="814">
        <v>72970598</v>
      </c>
      <c r="G162" s="661"/>
      <c r="H162" s="625"/>
      <c r="I162" s="661"/>
      <c r="J162" s="625"/>
      <c r="K162" s="646"/>
      <c r="L162" s="686">
        <f t="shared" si="8"/>
        <v>72970598</v>
      </c>
      <c r="M162" s="648"/>
    </row>
    <row r="163" spans="2:13">
      <c r="B163" s="644"/>
      <c r="C163" s="645" t="s">
        <v>83</v>
      </c>
      <c r="D163" s="646"/>
      <c r="E163" s="646"/>
      <c r="F163" s="647">
        <f>AVERAGE(F150:F162)</f>
        <v>71527713.385384589</v>
      </c>
      <c r="G163" s="670"/>
      <c r="H163" s="647"/>
      <c r="I163" s="670"/>
      <c r="J163" s="647"/>
      <c r="K163" s="646"/>
      <c r="L163" s="647">
        <f>AVERAGE(L150:L162)</f>
        <v>71527713.385384589</v>
      </c>
      <c r="M163" s="648"/>
    </row>
    <row r="164" spans="2:13">
      <c r="B164" s="644"/>
      <c r="C164" s="646"/>
      <c r="D164" s="646"/>
      <c r="E164" s="646"/>
      <c r="F164" s="647"/>
      <c r="G164" s="670"/>
      <c r="H164" s="670"/>
      <c r="I164" s="670"/>
      <c r="J164" s="670"/>
      <c r="K164" s="670"/>
      <c r="L164" s="646"/>
      <c r="M164" s="648"/>
    </row>
    <row r="165" spans="2:13">
      <c r="B165" s="644"/>
      <c r="C165" s="645" t="s">
        <v>84</v>
      </c>
      <c r="D165" s="646"/>
      <c r="E165" s="646"/>
      <c r="F165" s="647"/>
      <c r="G165" s="670"/>
      <c r="H165" s="670"/>
      <c r="I165" s="670"/>
      <c r="J165" s="670"/>
      <c r="K165" s="670"/>
      <c r="L165" s="646"/>
      <c r="M165" s="648"/>
    </row>
    <row r="166" spans="2:13">
      <c r="B166" s="644"/>
      <c r="C166" s="649" t="s">
        <v>10</v>
      </c>
      <c r="D166" s="649" t="s">
        <v>11</v>
      </c>
      <c r="E166" s="649"/>
      <c r="F166" s="650" t="s">
        <v>12</v>
      </c>
      <c r="G166" s="685"/>
      <c r="H166" s="689" t="str">
        <f>+H149</f>
        <v>Settlement Adjustment</v>
      </c>
      <c r="I166" s="685"/>
      <c r="J166" s="689" t="str">
        <f>+J149</f>
        <v>Direct Assignment</v>
      </c>
      <c r="K166" s="687"/>
      <c r="L166" s="687" t="s">
        <v>588</v>
      </c>
      <c r="M166" s="648"/>
    </row>
    <row r="167" spans="2:13">
      <c r="B167" s="644"/>
      <c r="C167" s="646" t="s">
        <v>13</v>
      </c>
      <c r="D167" s="646" t="s">
        <v>90</v>
      </c>
      <c r="E167" s="660">
        <v>2014</v>
      </c>
      <c r="F167" s="651">
        <v>818612508</v>
      </c>
      <c r="G167" s="670"/>
      <c r="H167" s="651"/>
      <c r="I167" s="670"/>
      <c r="J167" s="651">
        <f>+'Schedule 13 Direct Assignment'!F31+'Schedule 13 Direct Assignment'!G31</f>
        <v>-7989680.2350000003</v>
      </c>
      <c r="K167" s="646"/>
      <c r="L167" s="662">
        <f t="shared" ref="L167:L179" si="9">+F167+H167-J167</f>
        <v>826602188.23500001</v>
      </c>
      <c r="M167" s="648"/>
    </row>
    <row r="168" spans="2:13">
      <c r="B168" s="644"/>
      <c r="C168" s="646" t="s">
        <v>14</v>
      </c>
      <c r="D168" s="646" t="s">
        <v>27</v>
      </c>
      <c r="E168" s="660">
        <v>2015</v>
      </c>
      <c r="F168" s="800">
        <v>823957036.86000085</v>
      </c>
      <c r="G168" s="670"/>
      <c r="H168" s="651"/>
      <c r="I168" s="670"/>
      <c r="J168" s="651">
        <f>+'Schedule 13 Direct Assignment'!F32+'Schedule 13 Direct Assignment'!G32</f>
        <v>-8015751.5</v>
      </c>
      <c r="K168" s="646"/>
      <c r="L168" s="662">
        <f t="shared" si="9"/>
        <v>831972788.36000085</v>
      </c>
      <c r="M168" s="648"/>
    </row>
    <row r="169" spans="2:13">
      <c r="B169" s="644"/>
      <c r="C169" s="646" t="s">
        <v>15</v>
      </c>
      <c r="D169" s="646" t="s">
        <v>27</v>
      </c>
      <c r="E169" s="660">
        <v>2015</v>
      </c>
      <c r="F169" s="800">
        <v>828392262.98000014</v>
      </c>
      <c r="G169" s="670"/>
      <c r="H169" s="651"/>
      <c r="I169" s="670"/>
      <c r="J169" s="651">
        <f>+'Schedule 13 Direct Assignment'!F33+'Schedule 13 Direct Assignment'!G33</f>
        <v>-8041658.3549999986</v>
      </c>
      <c r="K169" s="646"/>
      <c r="L169" s="662">
        <f t="shared" si="9"/>
        <v>836433921.33500016</v>
      </c>
      <c r="M169" s="648"/>
    </row>
    <row r="170" spans="2:13">
      <c r="B170" s="644"/>
      <c r="C170" s="646" t="s">
        <v>16</v>
      </c>
      <c r="D170" s="646" t="s">
        <v>27</v>
      </c>
      <c r="E170" s="660">
        <v>2015</v>
      </c>
      <c r="F170" s="800">
        <v>1003721158</v>
      </c>
      <c r="G170" s="670"/>
      <c r="H170" s="651"/>
      <c r="I170" s="670"/>
      <c r="J170" s="651">
        <f>+'Schedule 13 Direct Assignment'!F34+'Schedule 13 Direct Assignment'!G34</f>
        <v>-8065180.8799999999</v>
      </c>
      <c r="K170" s="646"/>
      <c r="L170" s="662">
        <f t="shared" si="9"/>
        <v>1011786338.88</v>
      </c>
      <c r="M170" s="648"/>
    </row>
    <row r="171" spans="2:13">
      <c r="B171" s="644"/>
      <c r="C171" s="646" t="s">
        <v>17</v>
      </c>
      <c r="D171" s="646" t="s">
        <v>27</v>
      </c>
      <c r="E171" s="660">
        <v>2015</v>
      </c>
      <c r="F171" s="800">
        <v>1001997044.8800008</v>
      </c>
      <c r="G171" s="670"/>
      <c r="H171" s="651"/>
      <c r="I171" s="670"/>
      <c r="J171" s="651">
        <f>+'Schedule 13 Direct Assignment'!F35+'Schedule 13 Direct Assignment'!G35</f>
        <v>-8090899.2149999989</v>
      </c>
      <c r="K171" s="646"/>
      <c r="L171" s="662">
        <f t="shared" si="9"/>
        <v>1010087944.0950009</v>
      </c>
      <c r="M171" s="648"/>
    </row>
    <row r="172" spans="2:13">
      <c r="B172" s="644"/>
      <c r="C172" s="646" t="s">
        <v>18</v>
      </c>
      <c r="D172" s="646" t="s">
        <v>27</v>
      </c>
      <c r="E172" s="660">
        <v>2015</v>
      </c>
      <c r="F172" s="800">
        <v>1014246826.2099968</v>
      </c>
      <c r="G172" s="670"/>
      <c r="H172" s="651"/>
      <c r="I172" s="670"/>
      <c r="J172" s="651">
        <f>+'Schedule 13 Direct Assignment'!F36+'Schedule 13 Direct Assignment'!G36</f>
        <v>-8116912.9100000001</v>
      </c>
      <c r="K172" s="646"/>
      <c r="L172" s="662">
        <f t="shared" si="9"/>
        <v>1022363739.1199968</v>
      </c>
      <c r="M172" s="648"/>
    </row>
    <row r="173" spans="2:13">
      <c r="B173" s="644"/>
      <c r="C173" s="646" t="s">
        <v>19</v>
      </c>
      <c r="D173" s="646" t="s">
        <v>27</v>
      </c>
      <c r="E173" s="660">
        <v>2015</v>
      </c>
      <c r="F173" s="800">
        <v>1017656490</v>
      </c>
      <c r="G173" s="670"/>
      <c r="H173" s="651"/>
      <c r="I173" s="670"/>
      <c r="J173" s="651">
        <f>+'Schedule 13 Direct Assignment'!F37+'Schedule 13 Direct Assignment'!G37</f>
        <v>-8140440.3249999993</v>
      </c>
      <c r="K173" s="646"/>
      <c r="L173" s="662">
        <f t="shared" si="9"/>
        <v>1025796930.325</v>
      </c>
      <c r="M173" s="648"/>
    </row>
    <row r="174" spans="2:13">
      <c r="B174" s="644"/>
      <c r="C174" s="646" t="s">
        <v>20</v>
      </c>
      <c r="D174" s="646" t="s">
        <v>27</v>
      </c>
      <c r="E174" s="660">
        <v>2015</v>
      </c>
      <c r="F174" s="800">
        <v>1025043193.4600009</v>
      </c>
      <c r="G174" s="670"/>
      <c r="H174" s="651"/>
      <c r="I174" s="670"/>
      <c r="J174" s="651">
        <f>+'Schedule 13 Direct Assignment'!F38+'Schedule 13 Direct Assignment'!G38</f>
        <v>-8164700.8399999999</v>
      </c>
      <c r="K174" s="646"/>
      <c r="L174" s="662">
        <f t="shared" si="9"/>
        <v>1033207894.3000009</v>
      </c>
      <c r="M174" s="648"/>
    </row>
    <row r="175" spans="2:13">
      <c r="B175" s="644"/>
      <c r="C175" s="646" t="s">
        <v>21</v>
      </c>
      <c r="D175" s="646" t="s">
        <v>27</v>
      </c>
      <c r="E175" s="660">
        <v>2015</v>
      </c>
      <c r="F175" s="800">
        <v>1029140694.3899981</v>
      </c>
      <c r="G175" s="670"/>
      <c r="H175" s="651"/>
      <c r="I175" s="670"/>
      <c r="J175" s="651">
        <f>+'Schedule 13 Direct Assignment'!F39+'Schedule 13 Direct Assignment'!G39</f>
        <v>-8187395.5950000007</v>
      </c>
      <c r="K175" s="646"/>
      <c r="L175" s="662">
        <f t="shared" si="9"/>
        <v>1037328089.9849981</v>
      </c>
      <c r="M175" s="648"/>
    </row>
    <row r="176" spans="2:13">
      <c r="B176" s="644"/>
      <c r="C176" s="646" t="s">
        <v>22</v>
      </c>
      <c r="D176" s="646" t="s">
        <v>27</v>
      </c>
      <c r="E176" s="660">
        <v>2015</v>
      </c>
      <c r="F176" s="800">
        <v>1030483149</v>
      </c>
      <c r="G176" s="670"/>
      <c r="H176" s="651"/>
      <c r="I176" s="670"/>
      <c r="J176" s="651">
        <f>+'Schedule 13 Direct Assignment'!F40+'Schedule 13 Direct Assignment'!G40</f>
        <v>-8213529.2300000014</v>
      </c>
      <c r="K176" s="646"/>
      <c r="L176" s="662">
        <f t="shared" si="9"/>
        <v>1038696678.23</v>
      </c>
      <c r="M176" s="648"/>
    </row>
    <row r="177" spans="2:13">
      <c r="B177" s="644"/>
      <c r="C177" s="646" t="s">
        <v>23</v>
      </c>
      <c r="D177" s="646" t="s">
        <v>27</v>
      </c>
      <c r="E177" s="660">
        <v>2015</v>
      </c>
      <c r="F177" s="800">
        <v>1038949878.1799998</v>
      </c>
      <c r="G177" s="670"/>
      <c r="H177" s="651"/>
      <c r="I177" s="670"/>
      <c r="J177" s="651">
        <f>+'Schedule 13 Direct Assignment'!F41+'Schedule 13 Direct Assignment'!G41</f>
        <v>-8248212.8300000001</v>
      </c>
      <c r="K177" s="646"/>
      <c r="L177" s="662">
        <f t="shared" si="9"/>
        <v>1047198091.0099999</v>
      </c>
      <c r="M177" s="648"/>
    </row>
    <row r="178" spans="2:13">
      <c r="B178" s="644"/>
      <c r="C178" s="646" t="s">
        <v>24</v>
      </c>
      <c r="D178" s="646" t="s">
        <v>27</v>
      </c>
      <c r="E178" s="660">
        <v>2015</v>
      </c>
      <c r="F178" s="800">
        <v>1044182641.7100008</v>
      </c>
      <c r="G178" s="670"/>
      <c r="H178" s="651"/>
      <c r="I178" s="670"/>
      <c r="J178" s="651">
        <f>+'Schedule 13 Direct Assignment'!F42+'Schedule 13 Direct Assignment'!G42</f>
        <v>-8281429.9600000018</v>
      </c>
      <c r="K178" s="646"/>
      <c r="L178" s="662">
        <f t="shared" si="9"/>
        <v>1052464071.6700008</v>
      </c>
      <c r="M178" s="648"/>
    </row>
    <row r="179" spans="2:13">
      <c r="B179" s="644"/>
      <c r="C179" s="646" t="s">
        <v>13</v>
      </c>
      <c r="D179" s="646" t="s">
        <v>91</v>
      </c>
      <c r="E179" s="660">
        <v>2015</v>
      </c>
      <c r="F179" s="814">
        <v>1045124410</v>
      </c>
      <c r="G179" s="661"/>
      <c r="H179" s="625"/>
      <c r="I179" s="661"/>
      <c r="J179" s="625">
        <f>+'Schedule 13 Direct Assignment'!F43+'Schedule 13 Direct Assignment'!G43</f>
        <v>-8312258.0899999999</v>
      </c>
      <c r="K179" s="646"/>
      <c r="L179" s="686">
        <f t="shared" si="9"/>
        <v>1053436668.09</v>
      </c>
      <c r="M179" s="648"/>
    </row>
    <row r="180" spans="2:13">
      <c r="B180" s="644"/>
      <c r="C180" s="645" t="s">
        <v>85</v>
      </c>
      <c r="D180" s="646"/>
      <c r="E180" s="646"/>
      <c r="F180" s="647">
        <f>AVERAGE(F167:F179)</f>
        <v>978577484.1284616</v>
      </c>
      <c r="G180" s="670"/>
      <c r="H180" s="647"/>
      <c r="I180" s="670"/>
      <c r="J180" s="647">
        <f>AVERAGE(J167:J179)</f>
        <v>-8143696.1511538476</v>
      </c>
      <c r="K180" s="646"/>
      <c r="L180" s="647">
        <f>AVERAGE(L167:L179)</f>
        <v>986721180.27961528</v>
      </c>
      <c r="M180" s="648"/>
    </row>
    <row r="181" spans="2:13">
      <c r="B181" s="644"/>
      <c r="C181" s="646"/>
      <c r="D181" s="646"/>
      <c r="E181" s="646"/>
      <c r="F181" s="647"/>
      <c r="G181" s="670"/>
      <c r="H181" s="670"/>
      <c r="I181" s="670"/>
      <c r="J181" s="670"/>
      <c r="K181" s="670"/>
      <c r="L181" s="646"/>
      <c r="M181" s="648"/>
    </row>
    <row r="182" spans="2:13">
      <c r="B182" s="644"/>
      <c r="C182" s="652" t="s">
        <v>86</v>
      </c>
      <c r="D182" s="646"/>
      <c r="E182" s="646"/>
      <c r="F182" s="647"/>
      <c r="G182" s="670"/>
      <c r="H182" s="670"/>
      <c r="I182" s="670"/>
      <c r="J182" s="670"/>
      <c r="K182" s="670"/>
      <c r="L182" s="646"/>
      <c r="M182" s="648"/>
    </row>
    <row r="183" spans="2:13">
      <c r="B183" s="644"/>
      <c r="C183" s="652" t="s">
        <v>47</v>
      </c>
      <c r="D183" s="646" t="s">
        <v>48</v>
      </c>
      <c r="E183" s="646"/>
      <c r="F183" s="647">
        <f>+F180+F163+F146+F129+F112</f>
        <v>1996564680.1700001</v>
      </c>
      <c r="G183" s="670"/>
      <c r="H183" s="670"/>
      <c r="I183" s="670"/>
      <c r="J183" s="670"/>
      <c r="K183" s="670"/>
      <c r="L183" s="647">
        <f>+L180+L163+L146+L129+L112</f>
        <v>1983191214.0532568</v>
      </c>
      <c r="M183" s="648" t="s">
        <v>618</v>
      </c>
    </row>
    <row r="184" spans="2:13">
      <c r="B184" s="644"/>
      <c r="C184" s="646"/>
      <c r="D184" s="646"/>
      <c r="E184" s="646"/>
      <c r="F184" s="647"/>
      <c r="G184" s="670"/>
      <c r="H184" s="670"/>
      <c r="I184" s="670"/>
      <c r="J184" s="670"/>
      <c r="K184" s="670"/>
      <c r="L184" s="646"/>
      <c r="M184" s="648"/>
    </row>
    <row r="185" spans="2:13">
      <c r="B185" s="644"/>
      <c r="C185" s="645" t="s">
        <v>87</v>
      </c>
      <c r="D185" s="646"/>
      <c r="E185" s="646"/>
      <c r="F185" s="647">
        <f>+F146+F163</f>
        <v>112502129.35769229</v>
      </c>
      <c r="G185" s="670"/>
      <c r="H185" s="670"/>
      <c r="I185" s="670"/>
      <c r="J185" s="670"/>
      <c r="K185" s="670"/>
      <c r="L185" s="647">
        <f>+L146+L163</f>
        <v>112502129.35769229</v>
      </c>
      <c r="M185" s="648" t="s">
        <v>631</v>
      </c>
    </row>
    <row r="186" spans="2:13" ht="15" thickBot="1">
      <c r="B186" s="653"/>
      <c r="C186" s="654"/>
      <c r="D186" s="654"/>
      <c r="E186" s="654"/>
      <c r="F186" s="655"/>
      <c r="G186" s="675"/>
      <c r="H186" s="675"/>
      <c r="I186" s="675"/>
      <c r="J186" s="675"/>
      <c r="K186" s="675"/>
      <c r="L186" s="654"/>
      <c r="M186" s="656"/>
    </row>
    <row r="188" spans="2:13">
      <c r="B188" s="621" t="s">
        <v>5</v>
      </c>
    </row>
    <row r="189" spans="2:13">
      <c r="B189" s="621">
        <v>1</v>
      </c>
      <c r="C189" s="621" t="s">
        <v>818</v>
      </c>
    </row>
    <row r="190" spans="2:13">
      <c r="B190" s="621">
        <v>2</v>
      </c>
      <c r="C190" s="621" t="s">
        <v>938</v>
      </c>
    </row>
    <row r="191" spans="2:13">
      <c r="B191" s="621">
        <v>3</v>
      </c>
      <c r="C191" s="621" t="s">
        <v>673</v>
      </c>
    </row>
    <row r="192" spans="2:13">
      <c r="C192" s="621" t="s">
        <v>674</v>
      </c>
      <c r="H192" s="624"/>
      <c r="J192" s="624"/>
      <c r="L192" s="690"/>
    </row>
    <row r="193" spans="2:12">
      <c r="B193" s="621">
        <v>4</v>
      </c>
      <c r="C193" s="621" t="s">
        <v>939</v>
      </c>
      <c r="H193" s="624"/>
      <c r="J193" s="624"/>
    </row>
    <row r="194" spans="2:12">
      <c r="B194" s="621">
        <v>5</v>
      </c>
      <c r="C194" s="621" t="s">
        <v>940</v>
      </c>
      <c r="H194" s="624"/>
      <c r="J194" s="624"/>
    </row>
    <row r="195" spans="2:12">
      <c r="H195" s="624"/>
      <c r="J195" s="624"/>
    </row>
    <row r="196" spans="2:12">
      <c r="H196" s="624"/>
      <c r="J196" s="624"/>
    </row>
    <row r="197" spans="2:12">
      <c r="H197" s="624"/>
      <c r="J197" s="624"/>
    </row>
    <row r="198" spans="2:12">
      <c r="H198" s="624"/>
      <c r="J198" s="624"/>
    </row>
    <row r="199" spans="2:12">
      <c r="H199" s="624"/>
      <c r="J199" s="624"/>
    </row>
    <row r="200" spans="2:12">
      <c r="H200" s="624"/>
      <c r="J200" s="624"/>
    </row>
    <row r="201" spans="2:12">
      <c r="H201" s="624"/>
      <c r="J201" s="624"/>
    </row>
    <row r="202" spans="2:12">
      <c r="H202" s="624"/>
      <c r="J202" s="624"/>
    </row>
    <row r="203" spans="2:12">
      <c r="H203" s="624"/>
      <c r="J203" s="624"/>
    </row>
    <row r="204" spans="2:12">
      <c r="H204" s="624"/>
      <c r="J204" s="624"/>
      <c r="L204" s="690"/>
    </row>
    <row r="205" spans="2:12">
      <c r="H205" s="624"/>
      <c r="J205" s="624"/>
    </row>
    <row r="206" spans="2:12">
      <c r="H206" s="624"/>
      <c r="J206" s="624"/>
    </row>
    <row r="207" spans="2:12">
      <c r="H207" s="624"/>
      <c r="J207" s="624"/>
    </row>
    <row r="208" spans="2:12">
      <c r="H208" s="624"/>
      <c r="J208" s="624"/>
    </row>
    <row r="209" spans="6:10" s="621" customFormat="1">
      <c r="F209" s="624"/>
      <c r="G209" s="635"/>
      <c r="H209" s="624"/>
      <c r="I209" s="635"/>
      <c r="J209" s="624"/>
    </row>
    <row r="210" spans="6:10" s="621" customFormat="1">
      <c r="F210" s="624"/>
      <c r="G210" s="635"/>
      <c r="H210" s="624"/>
      <c r="I210" s="635"/>
      <c r="J210" s="624"/>
    </row>
  </sheetData>
  <pageMargins left="0.7" right="0.7" top="0.75" bottom="0.75" header="0.3" footer="0.3"/>
  <pageSetup scale="58" fitToHeight="0" orientation="landscape" cellComments="asDisplayed" r:id="rId1"/>
  <rowBreaks count="3" manualBreakCount="3">
    <brk id="55" max="16383" man="1"/>
    <brk id="94" max="16383" man="1"/>
    <brk id="1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topLeftCell="A13" zoomScale="60" zoomScaleNormal="90" workbookViewId="0">
      <selection activeCell="J54" sqref="J54"/>
    </sheetView>
  </sheetViews>
  <sheetFormatPr defaultRowHeight="13.2"/>
  <cols>
    <col min="1" max="1" width="5.33203125" style="671" customWidth="1"/>
    <col min="2" max="2" width="74.44140625" style="671" customWidth="1"/>
    <col min="3" max="3" width="23.44140625" style="671" customWidth="1"/>
    <col min="4" max="10" width="15" style="671" bestFit="1" customWidth="1"/>
    <col min="11" max="11" width="17.33203125" style="671" bestFit="1" customWidth="1"/>
    <col min="12" max="14" width="15" style="671" bestFit="1" customWidth="1"/>
    <col min="15" max="15" width="16.5546875" style="671" bestFit="1" customWidth="1"/>
    <col min="16" max="17" width="22.109375" style="671" bestFit="1" customWidth="1"/>
    <col min="18" max="18" width="2.88671875" style="671" customWidth="1"/>
    <col min="19" max="27" width="22.109375" style="671" bestFit="1" customWidth="1"/>
    <col min="28" max="28" width="20.88671875" style="671" bestFit="1" customWidth="1"/>
    <col min="29" max="29" width="26.88671875" style="671" bestFit="1" customWidth="1"/>
    <col min="30" max="256" width="8.88671875" style="671"/>
    <col min="257" max="257" width="24.88671875" style="671" customWidth="1"/>
    <col min="258" max="266" width="15" style="671" bestFit="1" customWidth="1"/>
    <col min="267" max="267" width="17.33203125" style="671" bestFit="1" customWidth="1"/>
    <col min="268" max="270" width="15" style="671" bestFit="1" customWidth="1"/>
    <col min="271" max="271" width="16.5546875" style="671" bestFit="1" customWidth="1"/>
    <col min="272" max="283" width="22.109375" style="671" bestFit="1" customWidth="1"/>
    <col min="284" max="284" width="20.88671875" style="671" bestFit="1" customWidth="1"/>
    <col min="285" max="285" width="26.88671875" style="671" bestFit="1" customWidth="1"/>
    <col min="286" max="512" width="8.88671875" style="671"/>
    <col min="513" max="513" width="24.88671875" style="671" customWidth="1"/>
    <col min="514" max="522" width="15" style="671" bestFit="1" customWidth="1"/>
    <col min="523" max="523" width="17.33203125" style="671" bestFit="1" customWidth="1"/>
    <col min="524" max="526" width="15" style="671" bestFit="1" customWidth="1"/>
    <col min="527" max="527" width="16.5546875" style="671" bestFit="1" customWidth="1"/>
    <col min="528" max="539" width="22.109375" style="671" bestFit="1" customWidth="1"/>
    <col min="540" max="540" width="20.88671875" style="671" bestFit="1" customWidth="1"/>
    <col min="541" max="541" width="26.88671875" style="671" bestFit="1" customWidth="1"/>
    <col min="542" max="768" width="8.88671875" style="671"/>
    <col min="769" max="769" width="24.88671875" style="671" customWidth="1"/>
    <col min="770" max="778" width="15" style="671" bestFit="1" customWidth="1"/>
    <col min="779" max="779" width="17.33203125" style="671" bestFit="1" customWidth="1"/>
    <col min="780" max="782" width="15" style="671" bestFit="1" customWidth="1"/>
    <col min="783" max="783" width="16.5546875" style="671" bestFit="1" customWidth="1"/>
    <col min="784" max="795" width="22.109375" style="671" bestFit="1" customWidth="1"/>
    <col min="796" max="796" width="20.88671875" style="671" bestFit="1" customWidth="1"/>
    <col min="797" max="797" width="26.88671875" style="671" bestFit="1" customWidth="1"/>
    <col min="798" max="1024" width="8.88671875" style="671"/>
    <col min="1025" max="1025" width="24.88671875" style="671" customWidth="1"/>
    <col min="1026" max="1034" width="15" style="671" bestFit="1" customWidth="1"/>
    <col min="1035" max="1035" width="17.33203125" style="671" bestFit="1" customWidth="1"/>
    <col min="1036" max="1038" width="15" style="671" bestFit="1" customWidth="1"/>
    <col min="1039" max="1039" width="16.5546875" style="671" bestFit="1" customWidth="1"/>
    <col min="1040" max="1051" width="22.109375" style="671" bestFit="1" customWidth="1"/>
    <col min="1052" max="1052" width="20.88671875" style="671" bestFit="1" customWidth="1"/>
    <col min="1053" max="1053" width="26.88671875" style="671" bestFit="1" customWidth="1"/>
    <col min="1054" max="1280" width="8.88671875" style="671"/>
    <col min="1281" max="1281" width="24.88671875" style="671" customWidth="1"/>
    <col min="1282" max="1290" width="15" style="671" bestFit="1" customWidth="1"/>
    <col min="1291" max="1291" width="17.33203125" style="671" bestFit="1" customWidth="1"/>
    <col min="1292" max="1294" width="15" style="671" bestFit="1" customWidth="1"/>
    <col min="1295" max="1295" width="16.5546875" style="671" bestFit="1" customWidth="1"/>
    <col min="1296" max="1307" width="22.109375" style="671" bestFit="1" customWidth="1"/>
    <col min="1308" max="1308" width="20.88671875" style="671" bestFit="1" customWidth="1"/>
    <col min="1309" max="1309" width="26.88671875" style="671" bestFit="1" customWidth="1"/>
    <col min="1310" max="1536" width="8.88671875" style="671"/>
    <col min="1537" max="1537" width="24.88671875" style="671" customWidth="1"/>
    <col min="1538" max="1546" width="15" style="671" bestFit="1" customWidth="1"/>
    <col min="1547" max="1547" width="17.33203125" style="671" bestFit="1" customWidth="1"/>
    <col min="1548" max="1550" width="15" style="671" bestFit="1" customWidth="1"/>
    <col min="1551" max="1551" width="16.5546875" style="671" bestFit="1" customWidth="1"/>
    <col min="1552" max="1563" width="22.109375" style="671" bestFit="1" customWidth="1"/>
    <col min="1564" max="1564" width="20.88671875" style="671" bestFit="1" customWidth="1"/>
    <col min="1565" max="1565" width="26.88671875" style="671" bestFit="1" customWidth="1"/>
    <col min="1566" max="1792" width="8.88671875" style="671"/>
    <col min="1793" max="1793" width="24.88671875" style="671" customWidth="1"/>
    <col min="1794" max="1802" width="15" style="671" bestFit="1" customWidth="1"/>
    <col min="1803" max="1803" width="17.33203125" style="671" bestFit="1" customWidth="1"/>
    <col min="1804" max="1806" width="15" style="671" bestFit="1" customWidth="1"/>
    <col min="1807" max="1807" width="16.5546875" style="671" bestFit="1" customWidth="1"/>
    <col min="1808" max="1819" width="22.109375" style="671" bestFit="1" customWidth="1"/>
    <col min="1820" max="1820" width="20.88671875" style="671" bestFit="1" customWidth="1"/>
    <col min="1821" max="1821" width="26.88671875" style="671" bestFit="1" customWidth="1"/>
    <col min="1822" max="2048" width="8.88671875" style="671"/>
    <col min="2049" max="2049" width="24.88671875" style="671" customWidth="1"/>
    <col min="2050" max="2058" width="15" style="671" bestFit="1" customWidth="1"/>
    <col min="2059" max="2059" width="17.33203125" style="671" bestFit="1" customWidth="1"/>
    <col min="2060" max="2062" width="15" style="671" bestFit="1" customWidth="1"/>
    <col min="2063" max="2063" width="16.5546875" style="671" bestFit="1" customWidth="1"/>
    <col min="2064" max="2075" width="22.109375" style="671" bestFit="1" customWidth="1"/>
    <col min="2076" max="2076" width="20.88671875" style="671" bestFit="1" customWidth="1"/>
    <col min="2077" max="2077" width="26.88671875" style="671" bestFit="1" customWidth="1"/>
    <col min="2078" max="2304" width="8.88671875" style="671"/>
    <col min="2305" max="2305" width="24.88671875" style="671" customWidth="1"/>
    <col min="2306" max="2314" width="15" style="671" bestFit="1" customWidth="1"/>
    <col min="2315" max="2315" width="17.33203125" style="671" bestFit="1" customWidth="1"/>
    <col min="2316" max="2318" width="15" style="671" bestFit="1" customWidth="1"/>
    <col min="2319" max="2319" width="16.5546875" style="671" bestFit="1" customWidth="1"/>
    <col min="2320" max="2331" width="22.109375" style="671" bestFit="1" customWidth="1"/>
    <col min="2332" max="2332" width="20.88671875" style="671" bestFit="1" customWidth="1"/>
    <col min="2333" max="2333" width="26.88671875" style="671" bestFit="1" customWidth="1"/>
    <col min="2334" max="2560" width="8.88671875" style="671"/>
    <col min="2561" max="2561" width="24.88671875" style="671" customWidth="1"/>
    <col min="2562" max="2570" width="15" style="671" bestFit="1" customWidth="1"/>
    <col min="2571" max="2571" width="17.33203125" style="671" bestFit="1" customWidth="1"/>
    <col min="2572" max="2574" width="15" style="671" bestFit="1" customWidth="1"/>
    <col min="2575" max="2575" width="16.5546875" style="671" bestFit="1" customWidth="1"/>
    <col min="2576" max="2587" width="22.109375" style="671" bestFit="1" customWidth="1"/>
    <col min="2588" max="2588" width="20.88671875" style="671" bestFit="1" customWidth="1"/>
    <col min="2589" max="2589" width="26.88671875" style="671" bestFit="1" customWidth="1"/>
    <col min="2590" max="2816" width="8.88671875" style="671"/>
    <col min="2817" max="2817" width="24.88671875" style="671" customWidth="1"/>
    <col min="2818" max="2826" width="15" style="671" bestFit="1" customWidth="1"/>
    <col min="2827" max="2827" width="17.33203125" style="671" bestFit="1" customWidth="1"/>
    <col min="2828" max="2830" width="15" style="671" bestFit="1" customWidth="1"/>
    <col min="2831" max="2831" width="16.5546875" style="671" bestFit="1" customWidth="1"/>
    <col min="2832" max="2843" width="22.109375" style="671" bestFit="1" customWidth="1"/>
    <col min="2844" max="2844" width="20.88671875" style="671" bestFit="1" customWidth="1"/>
    <col min="2845" max="2845" width="26.88671875" style="671" bestFit="1" customWidth="1"/>
    <col min="2846" max="3072" width="8.88671875" style="671"/>
    <col min="3073" max="3073" width="24.88671875" style="671" customWidth="1"/>
    <col min="3074" max="3082" width="15" style="671" bestFit="1" customWidth="1"/>
    <col min="3083" max="3083" width="17.33203125" style="671" bestFit="1" customWidth="1"/>
    <col min="3084" max="3086" width="15" style="671" bestFit="1" customWidth="1"/>
    <col min="3087" max="3087" width="16.5546875" style="671" bestFit="1" customWidth="1"/>
    <col min="3088" max="3099" width="22.109375" style="671" bestFit="1" customWidth="1"/>
    <col min="3100" max="3100" width="20.88671875" style="671" bestFit="1" customWidth="1"/>
    <col min="3101" max="3101" width="26.88671875" style="671" bestFit="1" customWidth="1"/>
    <col min="3102" max="3328" width="8.88671875" style="671"/>
    <col min="3329" max="3329" width="24.88671875" style="671" customWidth="1"/>
    <col min="3330" max="3338" width="15" style="671" bestFit="1" customWidth="1"/>
    <col min="3339" max="3339" width="17.33203125" style="671" bestFit="1" customWidth="1"/>
    <col min="3340" max="3342" width="15" style="671" bestFit="1" customWidth="1"/>
    <col min="3343" max="3343" width="16.5546875" style="671" bestFit="1" customWidth="1"/>
    <col min="3344" max="3355" width="22.109375" style="671" bestFit="1" customWidth="1"/>
    <col min="3356" max="3356" width="20.88671875" style="671" bestFit="1" customWidth="1"/>
    <col min="3357" max="3357" width="26.88671875" style="671" bestFit="1" customWidth="1"/>
    <col min="3358" max="3584" width="8.88671875" style="671"/>
    <col min="3585" max="3585" width="24.88671875" style="671" customWidth="1"/>
    <col min="3586" max="3594" width="15" style="671" bestFit="1" customWidth="1"/>
    <col min="3595" max="3595" width="17.33203125" style="671" bestFit="1" customWidth="1"/>
    <col min="3596" max="3598" width="15" style="671" bestFit="1" customWidth="1"/>
    <col min="3599" max="3599" width="16.5546875" style="671" bestFit="1" customWidth="1"/>
    <col min="3600" max="3611" width="22.109375" style="671" bestFit="1" customWidth="1"/>
    <col min="3612" max="3612" width="20.88671875" style="671" bestFit="1" customWidth="1"/>
    <col min="3613" max="3613" width="26.88671875" style="671" bestFit="1" customWidth="1"/>
    <col min="3614" max="3840" width="8.88671875" style="671"/>
    <col min="3841" max="3841" width="24.88671875" style="671" customWidth="1"/>
    <col min="3842" max="3850" width="15" style="671" bestFit="1" customWidth="1"/>
    <col min="3851" max="3851" width="17.33203125" style="671" bestFit="1" customWidth="1"/>
    <col min="3852" max="3854" width="15" style="671" bestFit="1" customWidth="1"/>
    <col min="3855" max="3855" width="16.5546875" style="671" bestFit="1" customWidth="1"/>
    <col min="3856" max="3867" width="22.109375" style="671" bestFit="1" customWidth="1"/>
    <col min="3868" max="3868" width="20.88671875" style="671" bestFit="1" customWidth="1"/>
    <col min="3869" max="3869" width="26.88671875" style="671" bestFit="1" customWidth="1"/>
    <col min="3870" max="4096" width="8.88671875" style="671"/>
    <col min="4097" max="4097" width="24.88671875" style="671" customWidth="1"/>
    <col min="4098" max="4106" width="15" style="671" bestFit="1" customWidth="1"/>
    <col min="4107" max="4107" width="17.33203125" style="671" bestFit="1" customWidth="1"/>
    <col min="4108" max="4110" width="15" style="671" bestFit="1" customWidth="1"/>
    <col min="4111" max="4111" width="16.5546875" style="671" bestFit="1" customWidth="1"/>
    <col min="4112" max="4123" width="22.109375" style="671" bestFit="1" customWidth="1"/>
    <col min="4124" max="4124" width="20.88671875" style="671" bestFit="1" customWidth="1"/>
    <col min="4125" max="4125" width="26.88671875" style="671" bestFit="1" customWidth="1"/>
    <col min="4126" max="4352" width="8.88671875" style="671"/>
    <col min="4353" max="4353" width="24.88671875" style="671" customWidth="1"/>
    <col min="4354" max="4362" width="15" style="671" bestFit="1" customWidth="1"/>
    <col min="4363" max="4363" width="17.33203125" style="671" bestFit="1" customWidth="1"/>
    <col min="4364" max="4366" width="15" style="671" bestFit="1" customWidth="1"/>
    <col min="4367" max="4367" width="16.5546875" style="671" bestFit="1" customWidth="1"/>
    <col min="4368" max="4379" width="22.109375" style="671" bestFit="1" customWidth="1"/>
    <col min="4380" max="4380" width="20.88671875" style="671" bestFit="1" customWidth="1"/>
    <col min="4381" max="4381" width="26.88671875" style="671" bestFit="1" customWidth="1"/>
    <col min="4382" max="4608" width="8.88671875" style="671"/>
    <col min="4609" max="4609" width="24.88671875" style="671" customWidth="1"/>
    <col min="4610" max="4618" width="15" style="671" bestFit="1" customWidth="1"/>
    <col min="4619" max="4619" width="17.33203125" style="671" bestFit="1" customWidth="1"/>
    <col min="4620" max="4622" width="15" style="671" bestFit="1" customWidth="1"/>
    <col min="4623" max="4623" width="16.5546875" style="671" bestFit="1" customWidth="1"/>
    <col min="4624" max="4635" width="22.109375" style="671" bestFit="1" customWidth="1"/>
    <col min="4636" max="4636" width="20.88671875" style="671" bestFit="1" customWidth="1"/>
    <col min="4637" max="4637" width="26.88671875" style="671" bestFit="1" customWidth="1"/>
    <col min="4638" max="4864" width="8.88671875" style="671"/>
    <col min="4865" max="4865" width="24.88671875" style="671" customWidth="1"/>
    <col min="4866" max="4874" width="15" style="671" bestFit="1" customWidth="1"/>
    <col min="4875" max="4875" width="17.33203125" style="671" bestFit="1" customWidth="1"/>
    <col min="4876" max="4878" width="15" style="671" bestFit="1" customWidth="1"/>
    <col min="4879" max="4879" width="16.5546875" style="671" bestFit="1" customWidth="1"/>
    <col min="4880" max="4891" width="22.109375" style="671" bestFit="1" customWidth="1"/>
    <col min="4892" max="4892" width="20.88671875" style="671" bestFit="1" customWidth="1"/>
    <col min="4893" max="4893" width="26.88671875" style="671" bestFit="1" customWidth="1"/>
    <col min="4894" max="5120" width="8.88671875" style="671"/>
    <col min="5121" max="5121" width="24.88671875" style="671" customWidth="1"/>
    <col min="5122" max="5130" width="15" style="671" bestFit="1" customWidth="1"/>
    <col min="5131" max="5131" width="17.33203125" style="671" bestFit="1" customWidth="1"/>
    <col min="5132" max="5134" width="15" style="671" bestFit="1" customWidth="1"/>
    <col min="5135" max="5135" width="16.5546875" style="671" bestFit="1" customWidth="1"/>
    <col min="5136" max="5147" width="22.109375" style="671" bestFit="1" customWidth="1"/>
    <col min="5148" max="5148" width="20.88671875" style="671" bestFit="1" customWidth="1"/>
    <col min="5149" max="5149" width="26.88671875" style="671" bestFit="1" customWidth="1"/>
    <col min="5150" max="5376" width="8.88671875" style="671"/>
    <col min="5377" max="5377" width="24.88671875" style="671" customWidth="1"/>
    <col min="5378" max="5386" width="15" style="671" bestFit="1" customWidth="1"/>
    <col min="5387" max="5387" width="17.33203125" style="671" bestFit="1" customWidth="1"/>
    <col min="5388" max="5390" width="15" style="671" bestFit="1" customWidth="1"/>
    <col min="5391" max="5391" width="16.5546875" style="671" bestFit="1" customWidth="1"/>
    <col min="5392" max="5403" width="22.109375" style="671" bestFit="1" customWidth="1"/>
    <col min="5404" max="5404" width="20.88671875" style="671" bestFit="1" customWidth="1"/>
    <col min="5405" max="5405" width="26.88671875" style="671" bestFit="1" customWidth="1"/>
    <col min="5406" max="5632" width="8.88671875" style="671"/>
    <col min="5633" max="5633" width="24.88671875" style="671" customWidth="1"/>
    <col min="5634" max="5642" width="15" style="671" bestFit="1" customWidth="1"/>
    <col min="5643" max="5643" width="17.33203125" style="671" bestFit="1" customWidth="1"/>
    <col min="5644" max="5646" width="15" style="671" bestFit="1" customWidth="1"/>
    <col min="5647" max="5647" width="16.5546875" style="671" bestFit="1" customWidth="1"/>
    <col min="5648" max="5659" width="22.109375" style="671" bestFit="1" customWidth="1"/>
    <col min="5660" max="5660" width="20.88671875" style="671" bestFit="1" customWidth="1"/>
    <col min="5661" max="5661" width="26.88671875" style="671" bestFit="1" customWidth="1"/>
    <col min="5662" max="5888" width="8.88671875" style="671"/>
    <col min="5889" max="5889" width="24.88671875" style="671" customWidth="1"/>
    <col min="5890" max="5898" width="15" style="671" bestFit="1" customWidth="1"/>
    <col min="5899" max="5899" width="17.33203125" style="671" bestFit="1" customWidth="1"/>
    <col min="5900" max="5902" width="15" style="671" bestFit="1" customWidth="1"/>
    <col min="5903" max="5903" width="16.5546875" style="671" bestFit="1" customWidth="1"/>
    <col min="5904" max="5915" width="22.109375" style="671" bestFit="1" customWidth="1"/>
    <col min="5916" max="5916" width="20.88671875" style="671" bestFit="1" customWidth="1"/>
    <col min="5917" max="5917" width="26.88671875" style="671" bestFit="1" customWidth="1"/>
    <col min="5918" max="6144" width="8.88671875" style="671"/>
    <col min="6145" max="6145" width="24.88671875" style="671" customWidth="1"/>
    <col min="6146" max="6154" width="15" style="671" bestFit="1" customWidth="1"/>
    <col min="6155" max="6155" width="17.33203125" style="671" bestFit="1" customWidth="1"/>
    <col min="6156" max="6158" width="15" style="671" bestFit="1" customWidth="1"/>
    <col min="6159" max="6159" width="16.5546875" style="671" bestFit="1" customWidth="1"/>
    <col min="6160" max="6171" width="22.109375" style="671" bestFit="1" customWidth="1"/>
    <col min="6172" max="6172" width="20.88671875" style="671" bestFit="1" customWidth="1"/>
    <col min="6173" max="6173" width="26.88671875" style="671" bestFit="1" customWidth="1"/>
    <col min="6174" max="6400" width="8.88671875" style="671"/>
    <col min="6401" max="6401" width="24.88671875" style="671" customWidth="1"/>
    <col min="6402" max="6410" width="15" style="671" bestFit="1" customWidth="1"/>
    <col min="6411" max="6411" width="17.33203125" style="671" bestFit="1" customWidth="1"/>
    <col min="6412" max="6414" width="15" style="671" bestFit="1" customWidth="1"/>
    <col min="6415" max="6415" width="16.5546875" style="671" bestFit="1" customWidth="1"/>
    <col min="6416" max="6427" width="22.109375" style="671" bestFit="1" customWidth="1"/>
    <col min="6428" max="6428" width="20.88671875" style="671" bestFit="1" customWidth="1"/>
    <col min="6429" max="6429" width="26.88671875" style="671" bestFit="1" customWidth="1"/>
    <col min="6430" max="6656" width="8.88671875" style="671"/>
    <col min="6657" max="6657" width="24.88671875" style="671" customWidth="1"/>
    <col min="6658" max="6666" width="15" style="671" bestFit="1" customWidth="1"/>
    <col min="6667" max="6667" width="17.33203125" style="671" bestFit="1" customWidth="1"/>
    <col min="6668" max="6670" width="15" style="671" bestFit="1" customWidth="1"/>
    <col min="6671" max="6671" width="16.5546875" style="671" bestFit="1" customWidth="1"/>
    <col min="6672" max="6683" width="22.109375" style="671" bestFit="1" customWidth="1"/>
    <col min="6684" max="6684" width="20.88671875" style="671" bestFit="1" customWidth="1"/>
    <col min="6685" max="6685" width="26.88671875" style="671" bestFit="1" customWidth="1"/>
    <col min="6686" max="6912" width="8.88671875" style="671"/>
    <col min="6913" max="6913" width="24.88671875" style="671" customWidth="1"/>
    <col min="6914" max="6922" width="15" style="671" bestFit="1" customWidth="1"/>
    <col min="6923" max="6923" width="17.33203125" style="671" bestFit="1" customWidth="1"/>
    <col min="6924" max="6926" width="15" style="671" bestFit="1" customWidth="1"/>
    <col min="6927" max="6927" width="16.5546875" style="671" bestFit="1" customWidth="1"/>
    <col min="6928" max="6939" width="22.109375" style="671" bestFit="1" customWidth="1"/>
    <col min="6940" max="6940" width="20.88671875" style="671" bestFit="1" customWidth="1"/>
    <col min="6941" max="6941" width="26.88671875" style="671" bestFit="1" customWidth="1"/>
    <col min="6942" max="7168" width="8.88671875" style="671"/>
    <col min="7169" max="7169" width="24.88671875" style="671" customWidth="1"/>
    <col min="7170" max="7178" width="15" style="671" bestFit="1" customWidth="1"/>
    <col min="7179" max="7179" width="17.33203125" style="671" bestFit="1" customWidth="1"/>
    <col min="7180" max="7182" width="15" style="671" bestFit="1" customWidth="1"/>
    <col min="7183" max="7183" width="16.5546875" style="671" bestFit="1" customWidth="1"/>
    <col min="7184" max="7195" width="22.109375" style="671" bestFit="1" customWidth="1"/>
    <col min="7196" max="7196" width="20.88671875" style="671" bestFit="1" customWidth="1"/>
    <col min="7197" max="7197" width="26.88671875" style="671" bestFit="1" customWidth="1"/>
    <col min="7198" max="7424" width="8.88671875" style="671"/>
    <col min="7425" max="7425" width="24.88671875" style="671" customWidth="1"/>
    <col min="7426" max="7434" width="15" style="671" bestFit="1" customWidth="1"/>
    <col min="7435" max="7435" width="17.33203125" style="671" bestFit="1" customWidth="1"/>
    <col min="7436" max="7438" width="15" style="671" bestFit="1" customWidth="1"/>
    <col min="7439" max="7439" width="16.5546875" style="671" bestFit="1" customWidth="1"/>
    <col min="7440" max="7451" width="22.109375" style="671" bestFit="1" customWidth="1"/>
    <col min="7452" max="7452" width="20.88671875" style="671" bestFit="1" customWidth="1"/>
    <col min="7453" max="7453" width="26.88671875" style="671" bestFit="1" customWidth="1"/>
    <col min="7454" max="7680" width="8.88671875" style="671"/>
    <col min="7681" max="7681" width="24.88671875" style="671" customWidth="1"/>
    <col min="7682" max="7690" width="15" style="671" bestFit="1" customWidth="1"/>
    <col min="7691" max="7691" width="17.33203125" style="671" bestFit="1" customWidth="1"/>
    <col min="7692" max="7694" width="15" style="671" bestFit="1" customWidth="1"/>
    <col min="7695" max="7695" width="16.5546875" style="671" bestFit="1" customWidth="1"/>
    <col min="7696" max="7707" width="22.109375" style="671" bestFit="1" customWidth="1"/>
    <col min="7708" max="7708" width="20.88671875" style="671" bestFit="1" customWidth="1"/>
    <col min="7709" max="7709" width="26.88671875" style="671" bestFit="1" customWidth="1"/>
    <col min="7710" max="7936" width="8.88671875" style="671"/>
    <col min="7937" max="7937" width="24.88671875" style="671" customWidth="1"/>
    <col min="7938" max="7946" width="15" style="671" bestFit="1" customWidth="1"/>
    <col min="7947" max="7947" width="17.33203125" style="671" bestFit="1" customWidth="1"/>
    <col min="7948" max="7950" width="15" style="671" bestFit="1" customWidth="1"/>
    <col min="7951" max="7951" width="16.5546875" style="671" bestFit="1" customWidth="1"/>
    <col min="7952" max="7963" width="22.109375" style="671" bestFit="1" customWidth="1"/>
    <col min="7964" max="7964" width="20.88671875" style="671" bestFit="1" customWidth="1"/>
    <col min="7965" max="7965" width="26.88671875" style="671" bestFit="1" customWidth="1"/>
    <col min="7966" max="8192" width="8.88671875" style="671"/>
    <col min="8193" max="8193" width="24.88671875" style="671" customWidth="1"/>
    <col min="8194" max="8202" width="15" style="671" bestFit="1" customWidth="1"/>
    <col min="8203" max="8203" width="17.33203125" style="671" bestFit="1" customWidth="1"/>
    <col min="8204" max="8206" width="15" style="671" bestFit="1" customWidth="1"/>
    <col min="8207" max="8207" width="16.5546875" style="671" bestFit="1" customWidth="1"/>
    <col min="8208" max="8219" width="22.109375" style="671" bestFit="1" customWidth="1"/>
    <col min="8220" max="8220" width="20.88671875" style="671" bestFit="1" customWidth="1"/>
    <col min="8221" max="8221" width="26.88671875" style="671" bestFit="1" customWidth="1"/>
    <col min="8222" max="8448" width="8.88671875" style="671"/>
    <col min="8449" max="8449" width="24.88671875" style="671" customWidth="1"/>
    <col min="8450" max="8458" width="15" style="671" bestFit="1" customWidth="1"/>
    <col min="8459" max="8459" width="17.33203125" style="671" bestFit="1" customWidth="1"/>
    <col min="8460" max="8462" width="15" style="671" bestFit="1" customWidth="1"/>
    <col min="8463" max="8463" width="16.5546875" style="671" bestFit="1" customWidth="1"/>
    <col min="8464" max="8475" width="22.109375" style="671" bestFit="1" customWidth="1"/>
    <col min="8476" max="8476" width="20.88671875" style="671" bestFit="1" customWidth="1"/>
    <col min="8477" max="8477" width="26.88671875" style="671" bestFit="1" customWidth="1"/>
    <col min="8478" max="8704" width="8.88671875" style="671"/>
    <col min="8705" max="8705" width="24.88671875" style="671" customWidth="1"/>
    <col min="8706" max="8714" width="15" style="671" bestFit="1" customWidth="1"/>
    <col min="8715" max="8715" width="17.33203125" style="671" bestFit="1" customWidth="1"/>
    <col min="8716" max="8718" width="15" style="671" bestFit="1" customWidth="1"/>
    <col min="8719" max="8719" width="16.5546875" style="671" bestFit="1" customWidth="1"/>
    <col min="8720" max="8731" width="22.109375" style="671" bestFit="1" customWidth="1"/>
    <col min="8732" max="8732" width="20.88671875" style="671" bestFit="1" customWidth="1"/>
    <col min="8733" max="8733" width="26.88671875" style="671" bestFit="1" customWidth="1"/>
    <col min="8734" max="8960" width="8.88671875" style="671"/>
    <col min="8961" max="8961" width="24.88671875" style="671" customWidth="1"/>
    <col min="8962" max="8970" width="15" style="671" bestFit="1" customWidth="1"/>
    <col min="8971" max="8971" width="17.33203125" style="671" bestFit="1" customWidth="1"/>
    <col min="8972" max="8974" width="15" style="671" bestFit="1" customWidth="1"/>
    <col min="8975" max="8975" width="16.5546875" style="671" bestFit="1" customWidth="1"/>
    <col min="8976" max="8987" width="22.109375" style="671" bestFit="1" customWidth="1"/>
    <col min="8988" max="8988" width="20.88671875" style="671" bestFit="1" customWidth="1"/>
    <col min="8989" max="8989" width="26.88671875" style="671" bestFit="1" customWidth="1"/>
    <col min="8990" max="9216" width="8.88671875" style="671"/>
    <col min="9217" max="9217" width="24.88671875" style="671" customWidth="1"/>
    <col min="9218" max="9226" width="15" style="671" bestFit="1" customWidth="1"/>
    <col min="9227" max="9227" width="17.33203125" style="671" bestFit="1" customWidth="1"/>
    <col min="9228" max="9230" width="15" style="671" bestFit="1" customWidth="1"/>
    <col min="9231" max="9231" width="16.5546875" style="671" bestFit="1" customWidth="1"/>
    <col min="9232" max="9243" width="22.109375" style="671" bestFit="1" customWidth="1"/>
    <col min="9244" max="9244" width="20.88671875" style="671" bestFit="1" customWidth="1"/>
    <col min="9245" max="9245" width="26.88671875" style="671" bestFit="1" customWidth="1"/>
    <col min="9246" max="9472" width="8.88671875" style="671"/>
    <col min="9473" max="9473" width="24.88671875" style="671" customWidth="1"/>
    <col min="9474" max="9482" width="15" style="671" bestFit="1" customWidth="1"/>
    <col min="9483" max="9483" width="17.33203125" style="671" bestFit="1" customWidth="1"/>
    <col min="9484" max="9486" width="15" style="671" bestFit="1" customWidth="1"/>
    <col min="9487" max="9487" width="16.5546875" style="671" bestFit="1" customWidth="1"/>
    <col min="9488" max="9499" width="22.109375" style="671" bestFit="1" customWidth="1"/>
    <col min="9500" max="9500" width="20.88671875" style="671" bestFit="1" customWidth="1"/>
    <col min="9501" max="9501" width="26.88671875" style="671" bestFit="1" customWidth="1"/>
    <col min="9502" max="9728" width="8.88671875" style="671"/>
    <col min="9729" max="9729" width="24.88671875" style="671" customWidth="1"/>
    <col min="9730" max="9738" width="15" style="671" bestFit="1" customWidth="1"/>
    <col min="9739" max="9739" width="17.33203125" style="671" bestFit="1" customWidth="1"/>
    <col min="9740" max="9742" width="15" style="671" bestFit="1" customWidth="1"/>
    <col min="9743" max="9743" width="16.5546875" style="671" bestFit="1" customWidth="1"/>
    <col min="9744" max="9755" width="22.109375" style="671" bestFit="1" customWidth="1"/>
    <col min="9756" max="9756" width="20.88671875" style="671" bestFit="1" customWidth="1"/>
    <col min="9757" max="9757" width="26.88671875" style="671" bestFit="1" customWidth="1"/>
    <col min="9758" max="9984" width="8.88671875" style="671"/>
    <col min="9985" max="9985" width="24.88671875" style="671" customWidth="1"/>
    <col min="9986" max="9994" width="15" style="671" bestFit="1" customWidth="1"/>
    <col min="9995" max="9995" width="17.33203125" style="671" bestFit="1" customWidth="1"/>
    <col min="9996" max="9998" width="15" style="671" bestFit="1" customWidth="1"/>
    <col min="9999" max="9999" width="16.5546875" style="671" bestFit="1" customWidth="1"/>
    <col min="10000" max="10011" width="22.109375" style="671" bestFit="1" customWidth="1"/>
    <col min="10012" max="10012" width="20.88671875" style="671" bestFit="1" customWidth="1"/>
    <col min="10013" max="10013" width="26.88671875" style="671" bestFit="1" customWidth="1"/>
    <col min="10014" max="10240" width="8.88671875" style="671"/>
    <col min="10241" max="10241" width="24.88671875" style="671" customWidth="1"/>
    <col min="10242" max="10250" width="15" style="671" bestFit="1" customWidth="1"/>
    <col min="10251" max="10251" width="17.33203125" style="671" bestFit="1" customWidth="1"/>
    <col min="10252" max="10254" width="15" style="671" bestFit="1" customWidth="1"/>
    <col min="10255" max="10255" width="16.5546875" style="671" bestFit="1" customWidth="1"/>
    <col min="10256" max="10267" width="22.109375" style="671" bestFit="1" customWidth="1"/>
    <col min="10268" max="10268" width="20.88671875" style="671" bestFit="1" customWidth="1"/>
    <col min="10269" max="10269" width="26.88671875" style="671" bestFit="1" customWidth="1"/>
    <col min="10270" max="10496" width="8.88671875" style="671"/>
    <col min="10497" max="10497" width="24.88671875" style="671" customWidth="1"/>
    <col min="10498" max="10506" width="15" style="671" bestFit="1" customWidth="1"/>
    <col min="10507" max="10507" width="17.33203125" style="671" bestFit="1" customWidth="1"/>
    <col min="10508" max="10510" width="15" style="671" bestFit="1" customWidth="1"/>
    <col min="10511" max="10511" width="16.5546875" style="671" bestFit="1" customWidth="1"/>
    <col min="10512" max="10523" width="22.109375" style="671" bestFit="1" customWidth="1"/>
    <col min="10524" max="10524" width="20.88671875" style="671" bestFit="1" customWidth="1"/>
    <col min="10525" max="10525" width="26.88671875" style="671" bestFit="1" customWidth="1"/>
    <col min="10526" max="10752" width="8.88671875" style="671"/>
    <col min="10753" max="10753" width="24.88671875" style="671" customWidth="1"/>
    <col min="10754" max="10762" width="15" style="671" bestFit="1" customWidth="1"/>
    <col min="10763" max="10763" width="17.33203125" style="671" bestFit="1" customWidth="1"/>
    <col min="10764" max="10766" width="15" style="671" bestFit="1" customWidth="1"/>
    <col min="10767" max="10767" width="16.5546875" style="671" bestFit="1" customWidth="1"/>
    <col min="10768" max="10779" width="22.109375" style="671" bestFit="1" customWidth="1"/>
    <col min="10780" max="10780" width="20.88671875" style="671" bestFit="1" customWidth="1"/>
    <col min="10781" max="10781" width="26.88671875" style="671" bestFit="1" customWidth="1"/>
    <col min="10782" max="11008" width="8.88671875" style="671"/>
    <col min="11009" max="11009" width="24.88671875" style="671" customWidth="1"/>
    <col min="11010" max="11018" width="15" style="671" bestFit="1" customWidth="1"/>
    <col min="11019" max="11019" width="17.33203125" style="671" bestFit="1" customWidth="1"/>
    <col min="11020" max="11022" width="15" style="671" bestFit="1" customWidth="1"/>
    <col min="11023" max="11023" width="16.5546875" style="671" bestFit="1" customWidth="1"/>
    <col min="11024" max="11035" width="22.109375" style="671" bestFit="1" customWidth="1"/>
    <col min="11036" max="11036" width="20.88671875" style="671" bestFit="1" customWidth="1"/>
    <col min="11037" max="11037" width="26.88671875" style="671" bestFit="1" customWidth="1"/>
    <col min="11038" max="11264" width="8.88671875" style="671"/>
    <col min="11265" max="11265" width="24.88671875" style="671" customWidth="1"/>
    <col min="11266" max="11274" width="15" style="671" bestFit="1" customWidth="1"/>
    <col min="11275" max="11275" width="17.33203125" style="671" bestFit="1" customWidth="1"/>
    <col min="11276" max="11278" width="15" style="671" bestFit="1" customWidth="1"/>
    <col min="11279" max="11279" width="16.5546875" style="671" bestFit="1" customWidth="1"/>
    <col min="11280" max="11291" width="22.109375" style="671" bestFit="1" customWidth="1"/>
    <col min="11292" max="11292" width="20.88671875" style="671" bestFit="1" customWidth="1"/>
    <col min="11293" max="11293" width="26.88671875" style="671" bestFit="1" customWidth="1"/>
    <col min="11294" max="11520" width="8.88671875" style="671"/>
    <col min="11521" max="11521" width="24.88671875" style="671" customWidth="1"/>
    <col min="11522" max="11530" width="15" style="671" bestFit="1" customWidth="1"/>
    <col min="11531" max="11531" width="17.33203125" style="671" bestFit="1" customWidth="1"/>
    <col min="11532" max="11534" width="15" style="671" bestFit="1" customWidth="1"/>
    <col min="11535" max="11535" width="16.5546875" style="671" bestFit="1" customWidth="1"/>
    <col min="11536" max="11547" width="22.109375" style="671" bestFit="1" customWidth="1"/>
    <col min="11548" max="11548" width="20.88671875" style="671" bestFit="1" customWidth="1"/>
    <col min="11549" max="11549" width="26.88671875" style="671" bestFit="1" customWidth="1"/>
    <col min="11550" max="11776" width="8.88671875" style="671"/>
    <col min="11777" max="11777" width="24.88671875" style="671" customWidth="1"/>
    <col min="11778" max="11786" width="15" style="671" bestFit="1" customWidth="1"/>
    <col min="11787" max="11787" width="17.33203125" style="671" bestFit="1" customWidth="1"/>
    <col min="11788" max="11790" width="15" style="671" bestFit="1" customWidth="1"/>
    <col min="11791" max="11791" width="16.5546875" style="671" bestFit="1" customWidth="1"/>
    <col min="11792" max="11803" width="22.109375" style="671" bestFit="1" customWidth="1"/>
    <col min="11804" max="11804" width="20.88671875" style="671" bestFit="1" customWidth="1"/>
    <col min="11805" max="11805" width="26.88671875" style="671" bestFit="1" customWidth="1"/>
    <col min="11806" max="12032" width="8.88671875" style="671"/>
    <col min="12033" max="12033" width="24.88671875" style="671" customWidth="1"/>
    <col min="12034" max="12042" width="15" style="671" bestFit="1" customWidth="1"/>
    <col min="12043" max="12043" width="17.33203125" style="671" bestFit="1" customWidth="1"/>
    <col min="12044" max="12046" width="15" style="671" bestFit="1" customWidth="1"/>
    <col min="12047" max="12047" width="16.5546875" style="671" bestFit="1" customWidth="1"/>
    <col min="12048" max="12059" width="22.109375" style="671" bestFit="1" customWidth="1"/>
    <col min="12060" max="12060" width="20.88671875" style="671" bestFit="1" customWidth="1"/>
    <col min="12061" max="12061" width="26.88671875" style="671" bestFit="1" customWidth="1"/>
    <col min="12062" max="12288" width="8.88671875" style="671"/>
    <col min="12289" max="12289" width="24.88671875" style="671" customWidth="1"/>
    <col min="12290" max="12298" width="15" style="671" bestFit="1" customWidth="1"/>
    <col min="12299" max="12299" width="17.33203125" style="671" bestFit="1" customWidth="1"/>
    <col min="12300" max="12302" width="15" style="671" bestFit="1" customWidth="1"/>
    <col min="12303" max="12303" width="16.5546875" style="671" bestFit="1" customWidth="1"/>
    <col min="12304" max="12315" width="22.109375" style="671" bestFit="1" customWidth="1"/>
    <col min="12316" max="12316" width="20.88671875" style="671" bestFit="1" customWidth="1"/>
    <col min="12317" max="12317" width="26.88671875" style="671" bestFit="1" customWidth="1"/>
    <col min="12318" max="12544" width="8.88671875" style="671"/>
    <col min="12545" max="12545" width="24.88671875" style="671" customWidth="1"/>
    <col min="12546" max="12554" width="15" style="671" bestFit="1" customWidth="1"/>
    <col min="12555" max="12555" width="17.33203125" style="671" bestFit="1" customWidth="1"/>
    <col min="12556" max="12558" width="15" style="671" bestFit="1" customWidth="1"/>
    <col min="12559" max="12559" width="16.5546875" style="671" bestFit="1" customWidth="1"/>
    <col min="12560" max="12571" width="22.109375" style="671" bestFit="1" customWidth="1"/>
    <col min="12572" max="12572" width="20.88671875" style="671" bestFit="1" customWidth="1"/>
    <col min="12573" max="12573" width="26.88671875" style="671" bestFit="1" customWidth="1"/>
    <col min="12574" max="12800" width="8.88671875" style="671"/>
    <col min="12801" max="12801" width="24.88671875" style="671" customWidth="1"/>
    <col min="12802" max="12810" width="15" style="671" bestFit="1" customWidth="1"/>
    <col min="12811" max="12811" width="17.33203125" style="671" bestFit="1" customWidth="1"/>
    <col min="12812" max="12814" width="15" style="671" bestFit="1" customWidth="1"/>
    <col min="12815" max="12815" width="16.5546875" style="671" bestFit="1" customWidth="1"/>
    <col min="12816" max="12827" width="22.109375" style="671" bestFit="1" customWidth="1"/>
    <col min="12828" max="12828" width="20.88671875" style="671" bestFit="1" customWidth="1"/>
    <col min="12829" max="12829" width="26.88671875" style="671" bestFit="1" customWidth="1"/>
    <col min="12830" max="13056" width="8.88671875" style="671"/>
    <col min="13057" max="13057" width="24.88671875" style="671" customWidth="1"/>
    <col min="13058" max="13066" width="15" style="671" bestFit="1" customWidth="1"/>
    <col min="13067" max="13067" width="17.33203125" style="671" bestFit="1" customWidth="1"/>
    <col min="13068" max="13070" width="15" style="671" bestFit="1" customWidth="1"/>
    <col min="13071" max="13071" width="16.5546875" style="671" bestFit="1" customWidth="1"/>
    <col min="13072" max="13083" width="22.109375" style="671" bestFit="1" customWidth="1"/>
    <col min="13084" max="13084" width="20.88671875" style="671" bestFit="1" customWidth="1"/>
    <col min="13085" max="13085" width="26.88671875" style="671" bestFit="1" customWidth="1"/>
    <col min="13086" max="13312" width="8.88671875" style="671"/>
    <col min="13313" max="13313" width="24.88671875" style="671" customWidth="1"/>
    <col min="13314" max="13322" width="15" style="671" bestFit="1" customWidth="1"/>
    <col min="13323" max="13323" width="17.33203125" style="671" bestFit="1" customWidth="1"/>
    <col min="13324" max="13326" width="15" style="671" bestFit="1" customWidth="1"/>
    <col min="13327" max="13327" width="16.5546875" style="671" bestFit="1" customWidth="1"/>
    <col min="13328" max="13339" width="22.109375" style="671" bestFit="1" customWidth="1"/>
    <col min="13340" max="13340" width="20.88671875" style="671" bestFit="1" customWidth="1"/>
    <col min="13341" max="13341" width="26.88671875" style="671" bestFit="1" customWidth="1"/>
    <col min="13342" max="13568" width="8.88671875" style="671"/>
    <col min="13569" max="13569" width="24.88671875" style="671" customWidth="1"/>
    <col min="13570" max="13578" width="15" style="671" bestFit="1" customWidth="1"/>
    <col min="13579" max="13579" width="17.33203125" style="671" bestFit="1" customWidth="1"/>
    <col min="13580" max="13582" width="15" style="671" bestFit="1" customWidth="1"/>
    <col min="13583" max="13583" width="16.5546875" style="671" bestFit="1" customWidth="1"/>
    <col min="13584" max="13595" width="22.109375" style="671" bestFit="1" customWidth="1"/>
    <col min="13596" max="13596" width="20.88671875" style="671" bestFit="1" customWidth="1"/>
    <col min="13597" max="13597" width="26.88671875" style="671" bestFit="1" customWidth="1"/>
    <col min="13598" max="13824" width="8.88671875" style="671"/>
    <col min="13825" max="13825" width="24.88671875" style="671" customWidth="1"/>
    <col min="13826" max="13834" width="15" style="671" bestFit="1" customWidth="1"/>
    <col min="13835" max="13835" width="17.33203125" style="671" bestFit="1" customWidth="1"/>
    <col min="13836" max="13838" width="15" style="671" bestFit="1" customWidth="1"/>
    <col min="13839" max="13839" width="16.5546875" style="671" bestFit="1" customWidth="1"/>
    <col min="13840" max="13851" width="22.109375" style="671" bestFit="1" customWidth="1"/>
    <col min="13852" max="13852" width="20.88671875" style="671" bestFit="1" customWidth="1"/>
    <col min="13853" max="13853" width="26.88671875" style="671" bestFit="1" customWidth="1"/>
    <col min="13854" max="14080" width="8.88671875" style="671"/>
    <col min="14081" max="14081" width="24.88671875" style="671" customWidth="1"/>
    <col min="14082" max="14090" width="15" style="671" bestFit="1" customWidth="1"/>
    <col min="14091" max="14091" width="17.33203125" style="671" bestFit="1" customWidth="1"/>
    <col min="14092" max="14094" width="15" style="671" bestFit="1" customWidth="1"/>
    <col min="14095" max="14095" width="16.5546875" style="671" bestFit="1" customWidth="1"/>
    <col min="14096" max="14107" width="22.109375" style="671" bestFit="1" customWidth="1"/>
    <col min="14108" max="14108" width="20.88671875" style="671" bestFit="1" customWidth="1"/>
    <col min="14109" max="14109" width="26.88671875" style="671" bestFit="1" customWidth="1"/>
    <col min="14110" max="14336" width="8.88671875" style="671"/>
    <col min="14337" max="14337" width="24.88671875" style="671" customWidth="1"/>
    <col min="14338" max="14346" width="15" style="671" bestFit="1" customWidth="1"/>
    <col min="14347" max="14347" width="17.33203125" style="671" bestFit="1" customWidth="1"/>
    <col min="14348" max="14350" width="15" style="671" bestFit="1" customWidth="1"/>
    <col min="14351" max="14351" width="16.5546875" style="671" bestFit="1" customWidth="1"/>
    <col min="14352" max="14363" width="22.109375" style="671" bestFit="1" customWidth="1"/>
    <col min="14364" max="14364" width="20.88671875" style="671" bestFit="1" customWidth="1"/>
    <col min="14365" max="14365" width="26.88671875" style="671" bestFit="1" customWidth="1"/>
    <col min="14366" max="14592" width="8.88671875" style="671"/>
    <col min="14593" max="14593" width="24.88671875" style="671" customWidth="1"/>
    <col min="14594" max="14602" width="15" style="671" bestFit="1" customWidth="1"/>
    <col min="14603" max="14603" width="17.33203125" style="671" bestFit="1" customWidth="1"/>
    <col min="14604" max="14606" width="15" style="671" bestFit="1" customWidth="1"/>
    <col min="14607" max="14607" width="16.5546875" style="671" bestFit="1" customWidth="1"/>
    <col min="14608" max="14619" width="22.109375" style="671" bestFit="1" customWidth="1"/>
    <col min="14620" max="14620" width="20.88671875" style="671" bestFit="1" customWidth="1"/>
    <col min="14621" max="14621" width="26.88671875" style="671" bestFit="1" customWidth="1"/>
    <col min="14622" max="14848" width="8.88671875" style="671"/>
    <col min="14849" max="14849" width="24.88671875" style="671" customWidth="1"/>
    <col min="14850" max="14858" width="15" style="671" bestFit="1" customWidth="1"/>
    <col min="14859" max="14859" width="17.33203125" style="671" bestFit="1" customWidth="1"/>
    <col min="14860" max="14862" width="15" style="671" bestFit="1" customWidth="1"/>
    <col min="14863" max="14863" width="16.5546875" style="671" bestFit="1" customWidth="1"/>
    <col min="14864" max="14875" width="22.109375" style="671" bestFit="1" customWidth="1"/>
    <col min="14876" max="14876" width="20.88671875" style="671" bestFit="1" customWidth="1"/>
    <col min="14877" max="14877" width="26.88671875" style="671" bestFit="1" customWidth="1"/>
    <col min="14878" max="15104" width="8.88671875" style="671"/>
    <col min="15105" max="15105" width="24.88671875" style="671" customWidth="1"/>
    <col min="15106" max="15114" width="15" style="671" bestFit="1" customWidth="1"/>
    <col min="15115" max="15115" width="17.33203125" style="671" bestFit="1" customWidth="1"/>
    <col min="15116" max="15118" width="15" style="671" bestFit="1" customWidth="1"/>
    <col min="15119" max="15119" width="16.5546875" style="671" bestFit="1" customWidth="1"/>
    <col min="15120" max="15131" width="22.109375" style="671" bestFit="1" customWidth="1"/>
    <col min="15132" max="15132" width="20.88671875" style="671" bestFit="1" customWidth="1"/>
    <col min="15133" max="15133" width="26.88671875" style="671" bestFit="1" customWidth="1"/>
    <col min="15134" max="15360" width="8.88671875" style="671"/>
    <col min="15361" max="15361" width="24.88671875" style="671" customWidth="1"/>
    <col min="15362" max="15370" width="15" style="671" bestFit="1" customWidth="1"/>
    <col min="15371" max="15371" width="17.33203125" style="671" bestFit="1" customWidth="1"/>
    <col min="15372" max="15374" width="15" style="671" bestFit="1" customWidth="1"/>
    <col min="15375" max="15375" width="16.5546875" style="671" bestFit="1" customWidth="1"/>
    <col min="15376" max="15387" width="22.109375" style="671" bestFit="1" customWidth="1"/>
    <col min="15388" max="15388" width="20.88671875" style="671" bestFit="1" customWidth="1"/>
    <col min="15389" max="15389" width="26.88671875" style="671" bestFit="1" customWidth="1"/>
    <col min="15390" max="15616" width="8.88671875" style="671"/>
    <col min="15617" max="15617" width="24.88671875" style="671" customWidth="1"/>
    <col min="15618" max="15626" width="15" style="671" bestFit="1" customWidth="1"/>
    <col min="15627" max="15627" width="17.33203125" style="671" bestFit="1" customWidth="1"/>
    <col min="15628" max="15630" width="15" style="671" bestFit="1" customWidth="1"/>
    <col min="15631" max="15631" width="16.5546875" style="671" bestFit="1" customWidth="1"/>
    <col min="15632" max="15643" width="22.109375" style="671" bestFit="1" customWidth="1"/>
    <col min="15644" max="15644" width="20.88671875" style="671" bestFit="1" customWidth="1"/>
    <col min="15645" max="15645" width="26.88671875" style="671" bestFit="1" customWidth="1"/>
    <col min="15646" max="15872" width="8.88671875" style="671"/>
    <col min="15873" max="15873" width="24.88671875" style="671" customWidth="1"/>
    <col min="15874" max="15882" width="15" style="671" bestFit="1" customWidth="1"/>
    <col min="15883" max="15883" width="17.33203125" style="671" bestFit="1" customWidth="1"/>
    <col min="15884" max="15886" width="15" style="671" bestFit="1" customWidth="1"/>
    <col min="15887" max="15887" width="16.5546875" style="671" bestFit="1" customWidth="1"/>
    <col min="15888" max="15899" width="22.109375" style="671" bestFit="1" customWidth="1"/>
    <col min="15900" max="15900" width="20.88671875" style="671" bestFit="1" customWidth="1"/>
    <col min="15901" max="15901" width="26.88671875" style="671" bestFit="1" customWidth="1"/>
    <col min="15902" max="16128" width="8.88671875" style="671"/>
    <col min="16129" max="16129" width="24.88671875" style="671" customWidth="1"/>
    <col min="16130" max="16138" width="15" style="671" bestFit="1" customWidth="1"/>
    <col min="16139" max="16139" width="17.33203125" style="671" bestFit="1" customWidth="1"/>
    <col min="16140" max="16142" width="15" style="671" bestFit="1" customWidth="1"/>
    <col min="16143" max="16143" width="16.5546875" style="671" bestFit="1" customWidth="1"/>
    <col min="16144" max="16155" width="22.109375" style="671" bestFit="1" customWidth="1"/>
    <col min="16156" max="16156" width="20.88671875" style="671" bestFit="1" customWidth="1"/>
    <col min="16157" max="16157" width="26.88671875" style="671" bestFit="1" customWidth="1"/>
    <col min="16158" max="16384" width="8.88671875" style="671"/>
  </cols>
  <sheetData>
    <row r="1" spans="1:18" ht="14.4">
      <c r="A1" s="622" t="s">
        <v>0</v>
      </c>
    </row>
    <row r="2" spans="1:18" ht="14.4">
      <c r="A2" s="622" t="s">
        <v>515</v>
      </c>
    </row>
    <row r="3" spans="1:18" ht="14.4">
      <c r="A3" s="622"/>
    </row>
    <row r="4" spans="1:18" ht="14.4">
      <c r="A4" s="622"/>
    </row>
    <row r="5" spans="1:18" ht="14.4">
      <c r="A5" s="622"/>
      <c r="B5" s="671" t="s">
        <v>941</v>
      </c>
    </row>
    <row r="6" spans="1:18" ht="14.4">
      <c r="A6" s="622"/>
      <c r="B6" s="671" t="s">
        <v>942</v>
      </c>
    </row>
    <row r="7" spans="1:18" ht="14.4">
      <c r="A7" s="622"/>
      <c r="B7" s="671" t="s">
        <v>812</v>
      </c>
    </row>
    <row r="8" spans="1:18" ht="14.4">
      <c r="A8" s="622"/>
    </row>
    <row r="9" spans="1:18" ht="14.4">
      <c r="A9" s="622"/>
      <c r="B9" s="671" t="s">
        <v>943</v>
      </c>
    </row>
    <row r="10" spans="1:18" ht="15" thickBot="1">
      <c r="A10" s="622"/>
    </row>
    <row r="11" spans="1:18" ht="14.4">
      <c r="A11" s="622"/>
      <c r="B11" s="697"/>
      <c r="C11" s="676"/>
      <c r="D11" s="676"/>
      <c r="E11" s="676"/>
      <c r="F11" s="676"/>
      <c r="G11" s="676"/>
      <c r="H11" s="676"/>
      <c r="I11" s="676"/>
      <c r="J11" s="676"/>
      <c r="K11" s="676"/>
      <c r="L11" s="676"/>
      <c r="M11" s="676"/>
      <c r="N11" s="676"/>
      <c r="O11" s="676"/>
      <c r="P11" s="676"/>
      <c r="Q11" s="676"/>
      <c r="R11" s="677"/>
    </row>
    <row r="12" spans="1:18" ht="14.4">
      <c r="A12" s="622"/>
      <c r="B12" s="693" t="s">
        <v>791</v>
      </c>
      <c r="C12" s="708"/>
      <c r="D12" s="679"/>
      <c r="E12" s="679"/>
      <c r="F12" s="679"/>
      <c r="G12" s="679"/>
      <c r="H12" s="679"/>
      <c r="I12" s="679"/>
      <c r="J12" s="679"/>
      <c r="K12" s="679"/>
      <c r="L12" s="679"/>
      <c r="M12" s="679"/>
      <c r="N12" s="679"/>
      <c r="O12" s="679"/>
      <c r="P12" s="679"/>
      <c r="Q12" s="679"/>
      <c r="R12" s="678"/>
    </row>
    <row r="13" spans="1:18" ht="14.4">
      <c r="A13" s="622"/>
      <c r="B13" s="680"/>
      <c r="C13" s="698">
        <v>41974</v>
      </c>
      <c r="D13" s="698">
        <v>42005</v>
      </c>
      <c r="E13" s="698">
        <v>42036</v>
      </c>
      <c r="F13" s="698">
        <v>42064</v>
      </c>
      <c r="G13" s="698">
        <v>42095</v>
      </c>
      <c r="H13" s="698">
        <v>42125</v>
      </c>
      <c r="I13" s="698">
        <v>42156</v>
      </c>
      <c r="J13" s="698">
        <v>42186</v>
      </c>
      <c r="K13" s="698">
        <v>42217</v>
      </c>
      <c r="L13" s="698">
        <v>42248</v>
      </c>
      <c r="M13" s="698">
        <v>42278</v>
      </c>
      <c r="N13" s="698">
        <v>42309</v>
      </c>
      <c r="O13" s="698">
        <v>42339</v>
      </c>
      <c r="P13" s="698" t="s">
        <v>787</v>
      </c>
      <c r="Q13" s="679"/>
      <c r="R13" s="678"/>
    </row>
    <row r="14" spans="1:18">
      <c r="B14" s="680" t="s">
        <v>788</v>
      </c>
      <c r="C14" s="694">
        <v>37169420.879999995</v>
      </c>
      <c r="D14" s="694">
        <v>37169869.300000004</v>
      </c>
      <c r="E14" s="694">
        <v>37169921.770000003</v>
      </c>
      <c r="F14" s="694">
        <v>37320210.450000003</v>
      </c>
      <c r="G14" s="694">
        <v>37340614.720000006</v>
      </c>
      <c r="H14" s="694">
        <v>37340614.720000006</v>
      </c>
      <c r="I14" s="694">
        <v>37340614.720000006</v>
      </c>
      <c r="J14" s="694">
        <v>37340614.720000006</v>
      </c>
      <c r="K14" s="694">
        <v>37340614.720000006</v>
      </c>
      <c r="L14" s="694">
        <v>37340614.720000006</v>
      </c>
      <c r="M14" s="694">
        <v>37340614.720000006</v>
      </c>
      <c r="N14" s="694">
        <v>37340614.720000006</v>
      </c>
      <c r="O14" s="694">
        <v>37751609.45000001</v>
      </c>
      <c r="P14" s="695"/>
      <c r="Q14" s="679"/>
      <c r="R14" s="678"/>
    </row>
    <row r="15" spans="1:18" ht="15">
      <c r="B15" s="680" t="s">
        <v>811</v>
      </c>
      <c r="C15" s="700">
        <v>141233646.19999999</v>
      </c>
      <c r="D15" s="700">
        <v>140815294.69999996</v>
      </c>
      <c r="E15" s="700">
        <v>141513738.68999997</v>
      </c>
      <c r="F15" s="700">
        <v>141882071.55999997</v>
      </c>
      <c r="G15" s="700">
        <v>142060139.33999997</v>
      </c>
      <c r="H15" s="700">
        <v>142257385.19</v>
      </c>
      <c r="I15" s="700">
        <v>142206959.44999999</v>
      </c>
      <c r="J15" s="700">
        <v>143996968.79999998</v>
      </c>
      <c r="K15" s="700">
        <v>144947392.80999997</v>
      </c>
      <c r="L15" s="700">
        <v>146238898.57999998</v>
      </c>
      <c r="M15" s="700">
        <v>148059053.38</v>
      </c>
      <c r="N15" s="700">
        <v>148947476.63999999</v>
      </c>
      <c r="O15" s="700">
        <v>145675035.28000003</v>
      </c>
      <c r="P15" s="695"/>
      <c r="Q15" s="679"/>
      <c r="R15" s="678"/>
    </row>
    <row r="16" spans="1:18">
      <c r="B16" s="680" t="s">
        <v>786</v>
      </c>
      <c r="C16" s="695">
        <f>+C14+C15</f>
        <v>178403067.07999998</v>
      </c>
      <c r="D16" s="695">
        <f t="shared" ref="D16:O16" si="0">+D14+D15</f>
        <v>177985163.99999997</v>
      </c>
      <c r="E16" s="695">
        <f t="shared" si="0"/>
        <v>178683660.45999998</v>
      </c>
      <c r="F16" s="695">
        <f t="shared" si="0"/>
        <v>179202282.00999999</v>
      </c>
      <c r="G16" s="695">
        <f t="shared" si="0"/>
        <v>179400754.05999997</v>
      </c>
      <c r="H16" s="695">
        <f t="shared" si="0"/>
        <v>179597999.91</v>
      </c>
      <c r="I16" s="695">
        <f t="shared" si="0"/>
        <v>179547574.16999999</v>
      </c>
      <c r="J16" s="695">
        <f t="shared" si="0"/>
        <v>181337583.51999998</v>
      </c>
      <c r="K16" s="695">
        <f t="shared" si="0"/>
        <v>182288007.52999997</v>
      </c>
      <c r="L16" s="695">
        <f t="shared" si="0"/>
        <v>183579513.29999998</v>
      </c>
      <c r="M16" s="695">
        <f t="shared" si="0"/>
        <v>185399668.09999999</v>
      </c>
      <c r="N16" s="695">
        <f t="shared" si="0"/>
        <v>186288091.35999998</v>
      </c>
      <c r="O16" s="695">
        <f t="shared" si="0"/>
        <v>183426644.73000005</v>
      </c>
      <c r="P16" s="695">
        <f>AVERAGE(C16:O16)</f>
        <v>181164616.17153841</v>
      </c>
      <c r="Q16" s="679"/>
      <c r="R16" s="678"/>
    </row>
    <row r="17" spans="1:18" ht="14.4">
      <c r="A17" s="622"/>
      <c r="B17" s="680"/>
      <c r="C17" s="679"/>
      <c r="D17" s="679"/>
      <c r="E17" s="679"/>
      <c r="F17" s="679"/>
      <c r="G17" s="679"/>
      <c r="H17" s="679"/>
      <c r="I17" s="679"/>
      <c r="J17" s="679"/>
      <c r="K17" s="679"/>
      <c r="L17" s="679"/>
      <c r="M17" s="679"/>
      <c r="N17" s="679"/>
      <c r="O17" s="679"/>
      <c r="P17" s="679"/>
      <c r="Q17" s="679"/>
      <c r="R17" s="678"/>
    </row>
    <row r="18" spans="1:18" ht="14.4">
      <c r="A18" s="622"/>
      <c r="B18" s="693" t="s">
        <v>792</v>
      </c>
      <c r="C18" s="679"/>
      <c r="D18" s="679"/>
      <c r="E18" s="679"/>
      <c r="F18" s="679"/>
      <c r="G18" s="679"/>
      <c r="H18" s="679"/>
      <c r="I18" s="679"/>
      <c r="J18" s="679"/>
      <c r="K18" s="679"/>
      <c r="L18" s="679"/>
      <c r="M18" s="679"/>
      <c r="N18" s="679"/>
      <c r="O18" s="679"/>
      <c r="P18" s="679"/>
      <c r="Q18" s="679"/>
      <c r="R18" s="678"/>
    </row>
    <row r="19" spans="1:18" ht="14.4">
      <c r="A19" s="622"/>
      <c r="B19" s="680"/>
      <c r="C19" s="698">
        <v>41974</v>
      </c>
      <c r="D19" s="698">
        <v>42005</v>
      </c>
      <c r="E19" s="698">
        <v>42036</v>
      </c>
      <c r="F19" s="698">
        <v>42064</v>
      </c>
      <c r="G19" s="698">
        <v>42095</v>
      </c>
      <c r="H19" s="698">
        <v>42125</v>
      </c>
      <c r="I19" s="698">
        <v>42156</v>
      </c>
      <c r="J19" s="698">
        <v>42186</v>
      </c>
      <c r="K19" s="698">
        <v>42217</v>
      </c>
      <c r="L19" s="698">
        <v>42248</v>
      </c>
      <c r="M19" s="698">
        <v>42278</v>
      </c>
      <c r="N19" s="698">
        <v>42309</v>
      </c>
      <c r="O19" s="698">
        <v>42339</v>
      </c>
      <c r="P19" s="698" t="s">
        <v>787</v>
      </c>
      <c r="Q19" s="679"/>
      <c r="R19" s="678"/>
    </row>
    <row r="20" spans="1:18" ht="14.4">
      <c r="A20" s="622"/>
      <c r="B20" s="680" t="s">
        <v>788</v>
      </c>
      <c r="C20" s="694">
        <v>10251342.57</v>
      </c>
      <c r="D20" s="694">
        <v>10335734.449999999</v>
      </c>
      <c r="E20" s="694">
        <v>10420126.33</v>
      </c>
      <c r="F20" s="694">
        <v>10504518.259999998</v>
      </c>
      <c r="G20" s="694">
        <v>10589041.679999998</v>
      </c>
      <c r="H20" s="694">
        <v>10674958.409999998</v>
      </c>
      <c r="I20" s="694">
        <v>10760875.18</v>
      </c>
      <c r="J20" s="694">
        <v>10846791.839999998</v>
      </c>
      <c r="K20" s="694">
        <v>10932708.620000001</v>
      </c>
      <c r="L20" s="694">
        <v>11018625.4</v>
      </c>
      <c r="M20" s="694">
        <v>11104542.030000001</v>
      </c>
      <c r="N20" s="694">
        <v>11190458.769999998</v>
      </c>
      <c r="O20" s="694">
        <v>11276375.489999998</v>
      </c>
      <c r="P20" s="695"/>
      <c r="Q20" s="679"/>
      <c r="R20" s="678"/>
    </row>
    <row r="21" spans="1:18" ht="15.6">
      <c r="A21" s="622"/>
      <c r="B21" s="680" t="s">
        <v>806</v>
      </c>
      <c r="C21" s="700">
        <v>67695955.730000004</v>
      </c>
      <c r="D21" s="700">
        <v>72091576.5</v>
      </c>
      <c r="E21" s="700">
        <v>69994562.569999993</v>
      </c>
      <c r="F21" s="700">
        <v>71039980.900000006</v>
      </c>
      <c r="G21" s="700">
        <v>72091576.5</v>
      </c>
      <c r="H21" s="700">
        <v>73126837.069999993</v>
      </c>
      <c r="I21" s="700">
        <v>73749830.629999995</v>
      </c>
      <c r="J21" s="700">
        <v>74776550.060000002</v>
      </c>
      <c r="K21" s="700">
        <v>75866718.109999999</v>
      </c>
      <c r="L21" s="700">
        <v>76937380.190000013</v>
      </c>
      <c r="M21" s="700">
        <v>78003383.400000021</v>
      </c>
      <c r="N21" s="700">
        <v>79044925.170000017</v>
      </c>
      <c r="O21" s="700">
        <v>71519651.810000017</v>
      </c>
      <c r="P21" s="695"/>
      <c r="Q21" s="679"/>
      <c r="R21" s="678"/>
    </row>
    <row r="22" spans="1:18" ht="14.4">
      <c r="A22" s="622"/>
      <c r="B22" s="680" t="s">
        <v>789</v>
      </c>
      <c r="C22" s="695">
        <f t="shared" ref="C22:O22" si="1">+C20+C21</f>
        <v>77947298.300000012</v>
      </c>
      <c r="D22" s="695">
        <f t="shared" si="1"/>
        <v>82427310.950000003</v>
      </c>
      <c r="E22" s="695">
        <f t="shared" si="1"/>
        <v>80414688.899999991</v>
      </c>
      <c r="F22" s="695">
        <f t="shared" si="1"/>
        <v>81544499.159999996</v>
      </c>
      <c r="G22" s="695">
        <f t="shared" si="1"/>
        <v>82680618.179999992</v>
      </c>
      <c r="H22" s="695">
        <f t="shared" si="1"/>
        <v>83801795.479999989</v>
      </c>
      <c r="I22" s="695">
        <f t="shared" si="1"/>
        <v>84510705.810000002</v>
      </c>
      <c r="J22" s="695">
        <f t="shared" si="1"/>
        <v>85623341.900000006</v>
      </c>
      <c r="K22" s="695">
        <f t="shared" si="1"/>
        <v>86799426.730000004</v>
      </c>
      <c r="L22" s="695">
        <f t="shared" si="1"/>
        <v>87956005.590000018</v>
      </c>
      <c r="M22" s="695">
        <f t="shared" si="1"/>
        <v>89107925.430000022</v>
      </c>
      <c r="N22" s="695">
        <f t="shared" si="1"/>
        <v>90235383.940000013</v>
      </c>
      <c r="O22" s="695">
        <f t="shared" si="1"/>
        <v>82796027.300000012</v>
      </c>
      <c r="P22" s="695">
        <f>AVERAGE(C22:O22)</f>
        <v>84295771.359230772</v>
      </c>
      <c r="Q22" s="679"/>
      <c r="R22" s="678"/>
    </row>
    <row r="23" spans="1:18" ht="14.4">
      <c r="A23" s="622"/>
      <c r="B23" s="680"/>
      <c r="C23" s="695"/>
      <c r="D23" s="695"/>
      <c r="E23" s="695"/>
      <c r="F23" s="695"/>
      <c r="G23" s="695"/>
      <c r="H23" s="695"/>
      <c r="I23" s="695"/>
      <c r="J23" s="695"/>
      <c r="K23" s="695"/>
      <c r="L23" s="695"/>
      <c r="M23" s="695"/>
      <c r="N23" s="695"/>
      <c r="O23" s="695"/>
      <c r="P23" s="695"/>
      <c r="Q23" s="679"/>
      <c r="R23" s="678"/>
    </row>
    <row r="24" spans="1:18" ht="14.4">
      <c r="A24" s="622"/>
      <c r="B24" s="680"/>
      <c r="C24" s="695"/>
      <c r="D24" s="695"/>
      <c r="E24" s="695"/>
      <c r="F24" s="695"/>
      <c r="G24" s="695"/>
      <c r="H24" s="695"/>
      <c r="I24" s="695"/>
      <c r="J24" s="695"/>
      <c r="K24" s="695"/>
      <c r="L24" s="695"/>
      <c r="M24" s="695"/>
      <c r="N24" s="695"/>
      <c r="O24" s="695"/>
      <c r="P24" s="695"/>
      <c r="Q24" s="679"/>
      <c r="R24" s="678"/>
    </row>
    <row r="25" spans="1:18" ht="14.4">
      <c r="A25" s="622"/>
      <c r="B25" s="693" t="s">
        <v>790</v>
      </c>
      <c r="C25" s="695"/>
      <c r="D25" s="695"/>
      <c r="E25" s="695"/>
      <c r="F25" s="695"/>
      <c r="G25" s="695"/>
      <c r="H25" s="695"/>
      <c r="I25" s="695"/>
      <c r="J25" s="695"/>
      <c r="K25" s="695"/>
      <c r="L25" s="695"/>
      <c r="M25" s="695"/>
      <c r="N25" s="695"/>
      <c r="O25" s="695"/>
      <c r="P25" s="695"/>
      <c r="Q25" s="679"/>
      <c r="R25" s="678"/>
    </row>
    <row r="26" spans="1:18" ht="14.4">
      <c r="A26" s="622"/>
      <c r="B26" s="680"/>
      <c r="C26" s="695"/>
      <c r="D26" s="695"/>
      <c r="E26" s="695"/>
      <c r="F26" s="695"/>
      <c r="G26" s="695"/>
      <c r="H26" s="695"/>
      <c r="I26" s="695"/>
      <c r="J26" s="695"/>
      <c r="K26" s="695"/>
      <c r="L26" s="695"/>
      <c r="M26" s="695"/>
      <c r="N26" s="695"/>
      <c r="O26" s="695"/>
      <c r="P26" s="695"/>
      <c r="Q26" s="679"/>
      <c r="R26" s="678"/>
    </row>
    <row r="27" spans="1:18" ht="14.4">
      <c r="A27" s="622"/>
      <c r="B27" s="680"/>
      <c r="C27" s="698">
        <v>41974</v>
      </c>
      <c r="D27" s="698">
        <v>42005</v>
      </c>
      <c r="E27" s="698">
        <v>42036</v>
      </c>
      <c r="F27" s="698">
        <v>42064</v>
      </c>
      <c r="G27" s="698">
        <v>42095</v>
      </c>
      <c r="H27" s="698">
        <v>42125</v>
      </c>
      <c r="I27" s="698">
        <v>42156</v>
      </c>
      <c r="J27" s="698">
        <v>42186</v>
      </c>
      <c r="K27" s="698">
        <v>42217</v>
      </c>
      <c r="L27" s="698">
        <v>42248</v>
      </c>
      <c r="M27" s="698">
        <v>42278</v>
      </c>
      <c r="N27" s="698">
        <v>42309</v>
      </c>
      <c r="O27" s="698">
        <v>42339</v>
      </c>
      <c r="P27" s="698" t="s">
        <v>787</v>
      </c>
      <c r="Q27" s="679"/>
      <c r="R27" s="678"/>
    </row>
    <row r="28" spans="1:18" ht="14.4">
      <c r="A28" s="622"/>
      <c r="B28" s="680" t="s">
        <v>794</v>
      </c>
      <c r="C28" s="694">
        <v>9895002.8566309996</v>
      </c>
      <c r="D28" s="694">
        <v>11060420.758518001</v>
      </c>
      <c r="E28" s="694">
        <v>11088286.008835999</v>
      </c>
      <c r="F28" s="694">
        <v>11116948.340591</v>
      </c>
      <c r="G28" s="694">
        <v>11131452.057053003</v>
      </c>
      <c r="H28" s="694">
        <v>11145370.997483002</v>
      </c>
      <c r="I28" s="694">
        <v>11156780.196654003</v>
      </c>
      <c r="J28" s="694">
        <v>11295165.981118003</v>
      </c>
      <c r="K28" s="694">
        <v>11366498.451669002</v>
      </c>
      <c r="L28" s="694">
        <v>11434939.662907002</v>
      </c>
      <c r="M28" s="694">
        <v>11531752.634984002</v>
      </c>
      <c r="N28" s="694">
        <v>11547310.308522003</v>
      </c>
      <c r="O28" s="694">
        <v>11417632.897598004</v>
      </c>
      <c r="P28" s="695">
        <f>AVERAGE(C28:O28)</f>
        <v>11168273.934812618</v>
      </c>
      <c r="Q28" s="679" t="s">
        <v>628</v>
      </c>
      <c r="R28" s="678"/>
    </row>
    <row r="29" spans="1:18" ht="14.4">
      <c r="A29" s="622"/>
      <c r="B29" s="680"/>
      <c r="C29" s="679"/>
      <c r="D29" s="679"/>
      <c r="E29" s="679"/>
      <c r="F29" s="679"/>
      <c r="G29" s="679"/>
      <c r="H29" s="679"/>
      <c r="I29" s="679"/>
      <c r="J29" s="679"/>
      <c r="K29" s="679"/>
      <c r="L29" s="679"/>
      <c r="M29" s="679"/>
      <c r="N29" s="679"/>
      <c r="O29" s="679"/>
      <c r="P29" s="679"/>
      <c r="Q29" s="679"/>
      <c r="R29" s="678"/>
    </row>
    <row r="30" spans="1:18" ht="14.4">
      <c r="A30" s="622"/>
      <c r="B30" s="693" t="s">
        <v>793</v>
      </c>
      <c r="C30" s="679"/>
      <c r="D30" s="679"/>
      <c r="E30" s="679"/>
      <c r="F30" s="679"/>
      <c r="G30" s="679"/>
      <c r="H30" s="679"/>
      <c r="I30" s="679"/>
      <c r="J30" s="679"/>
      <c r="K30" s="679"/>
      <c r="L30" s="679"/>
      <c r="M30" s="679"/>
      <c r="N30" s="679"/>
      <c r="O30" s="679"/>
      <c r="P30" s="679"/>
      <c r="Q30" s="679"/>
      <c r="R30" s="678"/>
    </row>
    <row r="31" spans="1:18" ht="14.4">
      <c r="A31" s="622"/>
      <c r="B31" s="680"/>
      <c r="C31" s="698">
        <v>41974</v>
      </c>
      <c r="D31" s="698">
        <v>42005</v>
      </c>
      <c r="E31" s="698">
        <v>42036</v>
      </c>
      <c r="F31" s="698">
        <v>42064</v>
      </c>
      <c r="G31" s="698">
        <v>42095</v>
      </c>
      <c r="H31" s="698">
        <v>42125</v>
      </c>
      <c r="I31" s="698">
        <v>42156</v>
      </c>
      <c r="J31" s="698">
        <v>42186</v>
      </c>
      <c r="K31" s="698">
        <v>42217</v>
      </c>
      <c r="L31" s="698">
        <v>42248</v>
      </c>
      <c r="M31" s="698">
        <v>42278</v>
      </c>
      <c r="N31" s="698">
        <v>42309</v>
      </c>
      <c r="O31" s="698">
        <v>42339</v>
      </c>
      <c r="P31" s="698" t="s">
        <v>787</v>
      </c>
      <c r="Q31" s="679"/>
      <c r="R31" s="678"/>
    </row>
    <row r="32" spans="1:18" ht="14.4">
      <c r="A32" s="622"/>
      <c r="B32" s="680" t="s">
        <v>795</v>
      </c>
      <c r="C32" s="694">
        <v>4551785.6697679991</v>
      </c>
      <c r="D32" s="694">
        <v>5109475.3356030006</v>
      </c>
      <c r="E32" s="694">
        <v>5179304.930612999</v>
      </c>
      <c r="F32" s="694">
        <v>5248649.3781429995</v>
      </c>
      <c r="G32" s="694">
        <v>5318257.6897140006</v>
      </c>
      <c r="H32" s="694">
        <v>5387235.0537689989</v>
      </c>
      <c r="I32" s="694">
        <v>5432239.5284699984</v>
      </c>
      <c r="J32" s="694">
        <v>5502231.0405980004</v>
      </c>
      <c r="K32" s="694">
        <v>5576150.718547998</v>
      </c>
      <c r="L32" s="694">
        <v>5649385.4676130004</v>
      </c>
      <c r="M32" s="694">
        <v>5722117.2297050003</v>
      </c>
      <c r="N32" s="694">
        <v>5792691.7788539995</v>
      </c>
      <c r="O32" s="694">
        <v>5385083.8457630007</v>
      </c>
      <c r="P32" s="695">
        <f>AVERAGE(C32:O32)</f>
        <v>5373431.3590123849</v>
      </c>
      <c r="Q32" s="679" t="s">
        <v>633</v>
      </c>
      <c r="R32" s="678"/>
    </row>
    <row r="33" spans="1:18" ht="14.4">
      <c r="A33" s="622"/>
      <c r="B33" s="680"/>
      <c r="C33" s="695"/>
      <c r="D33" s="695"/>
      <c r="E33" s="695"/>
      <c r="F33" s="695"/>
      <c r="G33" s="695"/>
      <c r="H33" s="695"/>
      <c r="I33" s="695"/>
      <c r="J33" s="695"/>
      <c r="K33" s="695"/>
      <c r="L33" s="695"/>
      <c r="M33" s="695"/>
      <c r="N33" s="695"/>
      <c r="O33" s="695"/>
      <c r="P33" s="695"/>
      <c r="Q33" s="679"/>
      <c r="R33" s="678"/>
    </row>
    <row r="34" spans="1:18" ht="14.4">
      <c r="A34" s="622"/>
      <c r="B34" s="680"/>
      <c r="C34" s="695"/>
      <c r="D34" s="695"/>
      <c r="E34" s="695"/>
      <c r="F34" s="695"/>
      <c r="G34" s="695"/>
      <c r="H34" s="695"/>
      <c r="I34" s="695"/>
      <c r="J34" s="695"/>
      <c r="K34" s="695"/>
      <c r="L34" s="695"/>
      <c r="M34" s="695"/>
      <c r="N34" s="695"/>
      <c r="O34" s="695"/>
      <c r="P34" s="695"/>
      <c r="Q34" s="679"/>
      <c r="R34" s="678"/>
    </row>
    <row r="35" spans="1:18" ht="15" thickBot="1">
      <c r="A35" s="622"/>
      <c r="B35" s="681"/>
      <c r="C35" s="699"/>
      <c r="D35" s="699"/>
      <c r="E35" s="699"/>
      <c r="F35" s="699"/>
      <c r="G35" s="699"/>
      <c r="H35" s="699"/>
      <c r="I35" s="699"/>
      <c r="J35" s="699"/>
      <c r="K35" s="699"/>
      <c r="L35" s="699"/>
      <c r="M35" s="699"/>
      <c r="N35" s="699"/>
      <c r="O35" s="699"/>
      <c r="P35" s="699"/>
      <c r="Q35" s="682"/>
      <c r="R35" s="683"/>
    </row>
    <row r="36" spans="1:18">
      <c r="A36" s="672"/>
      <c r="B36" s="672"/>
      <c r="C36" s="672"/>
      <c r="D36" s="672"/>
      <c r="E36" s="672"/>
      <c r="F36" s="672"/>
      <c r="G36" s="672"/>
      <c r="H36" s="672"/>
      <c r="I36" s="672"/>
      <c r="J36" s="672"/>
      <c r="K36" s="672"/>
    </row>
    <row r="37" spans="1:18">
      <c r="A37" s="672"/>
      <c r="B37" s="673" t="s">
        <v>807</v>
      </c>
      <c r="C37" s="703" t="s">
        <v>803</v>
      </c>
      <c r="D37" s="672"/>
      <c r="E37" s="672"/>
      <c r="F37" s="672"/>
      <c r="G37" s="672"/>
      <c r="H37" s="672"/>
      <c r="I37" s="672"/>
      <c r="J37" s="672"/>
      <c r="K37" s="672"/>
    </row>
    <row r="38" spans="1:18">
      <c r="A38" s="672"/>
      <c r="B38" s="672"/>
      <c r="C38" s="702">
        <v>41974</v>
      </c>
      <c r="D38" s="672"/>
      <c r="E38" s="672"/>
      <c r="F38" s="672"/>
      <c r="G38" s="672"/>
      <c r="H38" s="672"/>
      <c r="I38" s="672"/>
      <c r="J38" s="672"/>
      <c r="K38" s="672"/>
    </row>
    <row r="39" spans="1:18">
      <c r="A39" s="672"/>
      <c r="B39" s="671" t="s">
        <v>796</v>
      </c>
      <c r="C39" s="711">
        <v>128469585</v>
      </c>
      <c r="D39" s="672"/>
      <c r="E39" s="672"/>
      <c r="F39" s="672"/>
      <c r="G39" s="672"/>
      <c r="H39" s="672"/>
      <c r="I39" s="672"/>
      <c r="J39" s="672"/>
      <c r="K39" s="672"/>
    </row>
    <row r="40" spans="1:18">
      <c r="A40" s="672"/>
      <c r="B40" s="671" t="s">
        <v>797</v>
      </c>
      <c r="C40" s="712">
        <v>12764062</v>
      </c>
      <c r="D40" s="672"/>
      <c r="E40" s="672"/>
      <c r="F40" s="672"/>
      <c r="G40" s="672"/>
      <c r="H40" s="672"/>
      <c r="I40" s="672"/>
      <c r="J40" s="672"/>
      <c r="K40" s="672"/>
    </row>
    <row r="41" spans="1:18">
      <c r="A41" s="672"/>
      <c r="B41" s="671" t="s">
        <v>798</v>
      </c>
      <c r="C41" s="701">
        <f>+C39+C40</f>
        <v>141233647</v>
      </c>
      <c r="D41" s="710"/>
      <c r="E41" s="672"/>
      <c r="F41" s="672"/>
      <c r="G41" s="672"/>
      <c r="H41" s="672"/>
      <c r="I41" s="672"/>
      <c r="J41" s="672"/>
      <c r="K41" s="672"/>
    </row>
    <row r="42" spans="1:18">
      <c r="A42" s="672"/>
      <c r="B42" s="671" t="s">
        <v>799</v>
      </c>
      <c r="C42" s="712">
        <v>0</v>
      </c>
      <c r="D42" s="672"/>
      <c r="E42" s="672"/>
      <c r="F42" s="672"/>
      <c r="G42" s="672"/>
      <c r="H42" s="672"/>
      <c r="I42" s="672"/>
      <c r="J42" s="672"/>
      <c r="K42" s="672"/>
    </row>
    <row r="43" spans="1:18" ht="13.8" thickBot="1">
      <c r="A43" s="672"/>
      <c r="B43" s="672" t="s">
        <v>1788</v>
      </c>
      <c r="C43" s="704">
        <f>+C41-C42</f>
        <v>141233647</v>
      </c>
      <c r="D43" s="710"/>
      <c r="E43" s="672"/>
      <c r="F43" s="672"/>
      <c r="G43" s="672"/>
      <c r="H43" s="672"/>
      <c r="I43" s="672"/>
      <c r="J43" s="672"/>
      <c r="K43" s="672"/>
    </row>
    <row r="44" spans="1:18" ht="13.8" thickTop="1">
      <c r="C44" s="672"/>
    </row>
    <row r="45" spans="1:18">
      <c r="B45" s="673"/>
      <c r="C45" s="672"/>
    </row>
    <row r="46" spans="1:18">
      <c r="B46" s="672"/>
      <c r="C46" s="702">
        <v>42339</v>
      </c>
    </row>
    <row r="47" spans="1:18">
      <c r="B47" s="671" t="s">
        <v>801</v>
      </c>
      <c r="C47" s="711">
        <v>136078677</v>
      </c>
      <c r="D47" s="672"/>
    </row>
    <row r="48" spans="1:18">
      <c r="B48" s="671" t="s">
        <v>802</v>
      </c>
      <c r="C48" s="712">
        <v>9596358</v>
      </c>
      <c r="D48" s="672"/>
    </row>
    <row r="49" spans="2:4">
      <c r="B49" s="671" t="s">
        <v>798</v>
      </c>
      <c r="C49" s="701">
        <f>+C47+C48</f>
        <v>145675035</v>
      </c>
      <c r="D49" s="672"/>
    </row>
    <row r="50" spans="2:4">
      <c r="B50" s="671" t="s">
        <v>799</v>
      </c>
      <c r="C50" s="712">
        <v>0</v>
      </c>
      <c r="D50" s="672"/>
    </row>
    <row r="51" spans="2:4" ht="13.8" thickBot="1">
      <c r="B51" s="672" t="s">
        <v>1789</v>
      </c>
      <c r="C51" s="704">
        <f>+C49-C50</f>
        <v>145675035</v>
      </c>
      <c r="D51" s="672"/>
    </row>
    <row r="52" spans="2:4" ht="13.8" thickTop="1">
      <c r="C52" s="672"/>
      <c r="D52" s="672"/>
    </row>
    <row r="53" spans="2:4">
      <c r="D53" s="672"/>
    </row>
    <row r="54" spans="2:4">
      <c r="B54" s="673" t="s">
        <v>808</v>
      </c>
      <c r="C54" s="703" t="s">
        <v>94</v>
      </c>
      <c r="D54" s="672"/>
    </row>
    <row r="55" spans="2:4">
      <c r="B55" s="672"/>
      <c r="C55" s="702">
        <v>41974</v>
      </c>
      <c r="D55" s="672"/>
    </row>
    <row r="56" spans="2:4">
      <c r="B56" s="671" t="s">
        <v>804</v>
      </c>
      <c r="C56" s="711">
        <v>17106281</v>
      </c>
      <c r="D56" s="672"/>
    </row>
    <row r="57" spans="2:4">
      <c r="B57" s="671" t="s">
        <v>805</v>
      </c>
      <c r="C57" s="712">
        <v>50589675</v>
      </c>
      <c r="D57" s="672"/>
    </row>
    <row r="58" spans="2:4" ht="13.8" thickBot="1">
      <c r="B58" s="672" t="s">
        <v>1543</v>
      </c>
      <c r="C58" s="705">
        <f>+C56+C57</f>
        <v>67695956</v>
      </c>
      <c r="D58" s="710"/>
    </row>
    <row r="59" spans="2:4" ht="13.8" thickTop="1">
      <c r="D59" s="672"/>
    </row>
    <row r="60" spans="2:4">
      <c r="B60" s="673" t="s">
        <v>800</v>
      </c>
      <c r="C60" s="672"/>
      <c r="D60" s="672"/>
    </row>
    <row r="61" spans="2:4">
      <c r="B61" s="672"/>
      <c r="C61" s="702">
        <v>42339</v>
      </c>
      <c r="D61" s="672"/>
    </row>
    <row r="62" spans="2:4">
      <c r="B62" s="671" t="s">
        <v>809</v>
      </c>
      <c r="C62" s="711">
        <v>14514611</v>
      </c>
      <c r="D62" s="672"/>
    </row>
    <row r="63" spans="2:4">
      <c r="B63" s="671" t="s">
        <v>810</v>
      </c>
      <c r="C63" s="712">
        <v>57005041</v>
      </c>
    </row>
    <row r="64" spans="2:4" ht="13.8" thickBot="1">
      <c r="B64" s="672" t="s">
        <v>1790</v>
      </c>
      <c r="C64" s="705">
        <f>+C62+C63</f>
        <v>71519652</v>
      </c>
    </row>
    <row r="65" ht="13.8" thickTop="1"/>
  </sheetData>
  <pageMargins left="0.34" right="0.28999999999999998" top="0.75" bottom="0.75" header="0.3" footer="0.3"/>
  <pageSetup scale="39" fitToHeight="0" orientation="landscape"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6"/>
  <sheetViews>
    <sheetView zoomScale="70" zoomScaleNormal="70" workbookViewId="0">
      <selection activeCell="N63" sqref="N63"/>
    </sheetView>
  </sheetViews>
  <sheetFormatPr defaultColWidth="8.88671875" defaultRowHeight="14.4"/>
  <cols>
    <col min="1" max="1" width="4.88671875" style="486" customWidth="1"/>
    <col min="2" max="2" width="3.88671875" style="486" customWidth="1"/>
    <col min="3" max="3" width="20.88671875" style="486" customWidth="1"/>
    <col min="4" max="4" width="32.88671875" style="486" customWidth="1"/>
    <col min="5" max="5" width="9.109375" style="486"/>
    <col min="6" max="6" width="19" style="382" customWidth="1"/>
    <col min="7" max="7" width="5.33203125" style="383" customWidth="1"/>
    <col min="8" max="8" width="19" style="382" customWidth="1"/>
    <col min="9" max="9" width="5.33203125" style="383" customWidth="1"/>
    <col min="10" max="10" width="19" style="382" customWidth="1"/>
    <col min="11" max="11" width="5.33203125" style="383" customWidth="1"/>
    <col min="12" max="12" width="19" style="382" customWidth="1"/>
    <col min="13" max="13" width="5.33203125" style="383" customWidth="1"/>
    <col min="14" max="14" width="19" style="382" customWidth="1"/>
    <col min="15" max="15" width="5.33203125" style="383" customWidth="1"/>
    <col min="16" max="16" width="19" style="382" customWidth="1"/>
    <col min="17" max="17" width="17.6640625" style="486" customWidth="1"/>
    <col min="18" max="18" width="22.109375" style="486" bestFit="1" customWidth="1"/>
    <col min="19" max="19" width="9.6640625" style="486" bestFit="1" customWidth="1"/>
    <col min="20" max="20" width="27.6640625" style="486" customWidth="1"/>
    <col min="21" max="32" width="16.5546875" style="486" bestFit="1" customWidth="1"/>
    <col min="33" max="16384" width="8.88671875" style="486"/>
  </cols>
  <sheetData>
    <row r="1" spans="1:32">
      <c r="A1" s="411" t="s">
        <v>0</v>
      </c>
    </row>
    <row r="2" spans="1:32">
      <c r="A2" s="411" t="s">
        <v>562</v>
      </c>
    </row>
    <row r="5" spans="1:32">
      <c r="B5" s="191" t="s">
        <v>710</v>
      </c>
      <c r="C5" s="486" t="s">
        <v>722</v>
      </c>
    </row>
    <row r="7" spans="1:32" ht="15" thickBot="1"/>
    <row r="8" spans="1:32">
      <c r="B8" s="336" t="s">
        <v>570</v>
      </c>
      <c r="C8" s="360"/>
      <c r="D8" s="360"/>
      <c r="E8" s="360"/>
      <c r="F8" s="385"/>
      <c r="G8" s="407"/>
      <c r="H8" s="385"/>
      <c r="I8" s="407"/>
      <c r="J8" s="385"/>
      <c r="K8" s="407"/>
      <c r="L8" s="385"/>
      <c r="M8" s="407"/>
      <c r="N8" s="385"/>
      <c r="O8" s="407"/>
      <c r="P8" s="385"/>
      <c r="Q8" s="360"/>
      <c r="R8" s="361"/>
    </row>
    <row r="9" spans="1:32">
      <c r="B9" s="488"/>
      <c r="C9" s="341" t="s">
        <v>2</v>
      </c>
      <c r="D9" s="489"/>
      <c r="E9" s="489"/>
      <c r="F9" s="388"/>
      <c r="G9" s="495"/>
      <c r="H9" s="388"/>
      <c r="I9" s="495"/>
      <c r="J9" s="388"/>
      <c r="K9" s="495"/>
      <c r="L9" s="388"/>
      <c r="M9" s="495"/>
      <c r="N9" s="388"/>
      <c r="O9" s="495"/>
      <c r="P9" s="388"/>
      <c r="Q9" s="489"/>
      <c r="R9" s="490"/>
    </row>
    <row r="10" spans="1:32">
      <c r="B10" s="488"/>
      <c r="C10" s="296" t="s">
        <v>10</v>
      </c>
      <c r="D10" s="296" t="s">
        <v>11</v>
      </c>
      <c r="E10" s="296"/>
      <c r="F10" s="499" t="s">
        <v>12</v>
      </c>
      <c r="G10" s="500"/>
      <c r="H10" s="499" t="s">
        <v>1090</v>
      </c>
      <c r="I10" s="500"/>
      <c r="J10" s="499" t="s">
        <v>1255</v>
      </c>
      <c r="K10" s="500"/>
      <c r="L10" s="499" t="s">
        <v>588</v>
      </c>
      <c r="M10" s="500"/>
      <c r="N10" s="499" t="s">
        <v>1286</v>
      </c>
      <c r="O10" s="500"/>
      <c r="P10" s="499" t="s">
        <v>1287</v>
      </c>
      <c r="Q10" s="489"/>
      <c r="R10" s="490"/>
      <c r="T10" s="624"/>
      <c r="AE10" s="624"/>
      <c r="AF10" s="624"/>
    </row>
    <row r="11" spans="1:32">
      <c r="B11" s="488"/>
      <c r="C11" s="489" t="s">
        <v>13</v>
      </c>
      <c r="D11" s="489" t="s">
        <v>25</v>
      </c>
      <c r="E11" s="489">
        <v>2015</v>
      </c>
      <c r="F11" s="491">
        <v>0</v>
      </c>
      <c r="G11" s="495"/>
      <c r="H11" s="800">
        <v>0</v>
      </c>
      <c r="I11" s="495"/>
      <c r="J11" s="800">
        <v>0</v>
      </c>
      <c r="K11" s="495"/>
      <c r="L11" s="495">
        <f>+F11+H11-J11</f>
        <v>0</v>
      </c>
      <c r="M11" s="495"/>
      <c r="N11" s="495">
        <v>0</v>
      </c>
      <c r="O11" s="495"/>
      <c r="P11" s="495">
        <f>+L11-N11</f>
        <v>0</v>
      </c>
      <c r="Q11" s="489"/>
      <c r="R11" s="490"/>
    </row>
    <row r="12" spans="1:32">
      <c r="B12" s="488"/>
      <c r="C12" s="489" t="s">
        <v>14</v>
      </c>
      <c r="D12" s="489" t="s">
        <v>724</v>
      </c>
      <c r="E12" s="489">
        <v>2016</v>
      </c>
      <c r="F12" s="491">
        <v>0</v>
      </c>
      <c r="G12" s="495"/>
      <c r="H12" s="800">
        <v>0</v>
      </c>
      <c r="I12" s="495"/>
      <c r="J12" s="800">
        <v>0</v>
      </c>
      <c r="K12" s="495"/>
      <c r="L12" s="495">
        <f t="shared" ref="L12:L23" si="0">+F12+H12-J12</f>
        <v>0</v>
      </c>
      <c r="M12" s="495"/>
      <c r="N12" s="495">
        <v>0</v>
      </c>
      <c r="O12" s="495"/>
      <c r="P12" s="495">
        <f t="shared" ref="P12:P23" si="1">+L12-N12</f>
        <v>0</v>
      </c>
      <c r="Q12" s="489"/>
      <c r="R12" s="490"/>
    </row>
    <row r="13" spans="1:32">
      <c r="B13" s="488"/>
      <c r="C13" s="489" t="s">
        <v>15</v>
      </c>
      <c r="D13" s="489" t="s">
        <v>724</v>
      </c>
      <c r="E13" s="646">
        <v>2016</v>
      </c>
      <c r="F13" s="651">
        <v>0</v>
      </c>
      <c r="G13" s="495"/>
      <c r="H13" s="800">
        <v>0</v>
      </c>
      <c r="I13" s="495"/>
      <c r="J13" s="800">
        <v>0</v>
      </c>
      <c r="K13" s="495"/>
      <c r="L13" s="670">
        <f t="shared" si="0"/>
        <v>0</v>
      </c>
      <c r="M13" s="495"/>
      <c r="N13" s="495">
        <v>0</v>
      </c>
      <c r="O13" s="495"/>
      <c r="P13" s="670">
        <f t="shared" si="1"/>
        <v>0</v>
      </c>
      <c r="Q13" s="489"/>
      <c r="R13" s="490"/>
      <c r="X13" s="624"/>
    </row>
    <row r="14" spans="1:32">
      <c r="B14" s="488"/>
      <c r="C14" s="489" t="s">
        <v>16</v>
      </c>
      <c r="D14" s="489" t="s">
        <v>724</v>
      </c>
      <c r="E14" s="646">
        <v>2016</v>
      </c>
      <c r="F14" s="651">
        <v>0</v>
      </c>
      <c r="G14" s="495"/>
      <c r="H14" s="800">
        <v>0</v>
      </c>
      <c r="I14" s="495"/>
      <c r="J14" s="800">
        <v>0</v>
      </c>
      <c r="K14" s="495"/>
      <c r="L14" s="670">
        <f t="shared" si="0"/>
        <v>0</v>
      </c>
      <c r="M14" s="495"/>
      <c r="N14" s="495">
        <v>0</v>
      </c>
      <c r="O14" s="495"/>
      <c r="P14" s="670">
        <f t="shared" si="1"/>
        <v>0</v>
      </c>
      <c r="Q14" s="489"/>
      <c r="R14" s="490"/>
    </row>
    <row r="15" spans="1:32">
      <c r="B15" s="488"/>
      <c r="C15" s="489" t="s">
        <v>17</v>
      </c>
      <c r="D15" s="489" t="s">
        <v>724</v>
      </c>
      <c r="E15" s="646">
        <v>2016</v>
      </c>
      <c r="F15" s="651">
        <v>0</v>
      </c>
      <c r="G15" s="495"/>
      <c r="H15" s="800">
        <v>0</v>
      </c>
      <c r="I15" s="495"/>
      <c r="J15" s="800">
        <v>0</v>
      </c>
      <c r="K15" s="495"/>
      <c r="L15" s="670">
        <f t="shared" si="0"/>
        <v>0</v>
      </c>
      <c r="M15" s="495"/>
      <c r="N15" s="495">
        <v>0</v>
      </c>
      <c r="O15" s="495"/>
      <c r="P15" s="670">
        <f t="shared" si="1"/>
        <v>0</v>
      </c>
      <c r="Q15" s="489"/>
      <c r="R15" s="490"/>
    </row>
    <row r="16" spans="1:32">
      <c r="B16" s="488"/>
      <c r="C16" s="489" t="s">
        <v>18</v>
      </c>
      <c r="D16" s="489" t="s">
        <v>724</v>
      </c>
      <c r="E16" s="646">
        <v>2016</v>
      </c>
      <c r="F16" s="651">
        <v>0</v>
      </c>
      <c r="G16" s="495"/>
      <c r="H16" s="800">
        <v>0</v>
      </c>
      <c r="I16" s="495"/>
      <c r="J16" s="800">
        <v>0</v>
      </c>
      <c r="K16" s="495"/>
      <c r="L16" s="670">
        <f t="shared" si="0"/>
        <v>0</v>
      </c>
      <c r="M16" s="495"/>
      <c r="N16" s="495">
        <v>0</v>
      </c>
      <c r="O16" s="495"/>
      <c r="P16" s="670">
        <f t="shared" si="1"/>
        <v>0</v>
      </c>
      <c r="Q16" s="489"/>
      <c r="R16" s="490"/>
    </row>
    <row r="17" spans="2:20">
      <c r="B17" s="488"/>
      <c r="C17" s="489" t="s">
        <v>19</v>
      </c>
      <c r="D17" s="489" t="s">
        <v>724</v>
      </c>
      <c r="E17" s="646">
        <v>2016</v>
      </c>
      <c r="F17" s="651">
        <v>0</v>
      </c>
      <c r="G17" s="495"/>
      <c r="H17" s="800">
        <v>0</v>
      </c>
      <c r="I17" s="495"/>
      <c r="J17" s="800">
        <v>0</v>
      </c>
      <c r="K17" s="495"/>
      <c r="L17" s="670">
        <f t="shared" si="0"/>
        <v>0</v>
      </c>
      <c r="M17" s="495"/>
      <c r="N17" s="495">
        <v>0</v>
      </c>
      <c r="O17" s="495"/>
      <c r="P17" s="670">
        <f t="shared" si="1"/>
        <v>0</v>
      </c>
      <c r="Q17" s="489"/>
      <c r="R17" s="490"/>
    </row>
    <row r="18" spans="2:20">
      <c r="B18" s="488"/>
      <c r="C18" s="489" t="s">
        <v>20</v>
      </c>
      <c r="D18" s="489" t="s">
        <v>724</v>
      </c>
      <c r="E18" s="646">
        <v>2016</v>
      </c>
      <c r="F18" s="651">
        <v>0</v>
      </c>
      <c r="G18" s="495"/>
      <c r="H18" s="800">
        <v>0</v>
      </c>
      <c r="I18" s="495"/>
      <c r="J18" s="800">
        <v>0</v>
      </c>
      <c r="K18" s="495"/>
      <c r="L18" s="670">
        <f t="shared" si="0"/>
        <v>0</v>
      </c>
      <c r="M18" s="495"/>
      <c r="N18" s="495">
        <v>0</v>
      </c>
      <c r="O18" s="495"/>
      <c r="P18" s="670">
        <f t="shared" si="1"/>
        <v>0</v>
      </c>
      <c r="Q18" s="489"/>
      <c r="R18" s="490"/>
    </row>
    <row r="19" spans="2:20">
      <c r="B19" s="488"/>
      <c r="C19" s="489" t="s">
        <v>21</v>
      </c>
      <c r="D19" s="489" t="s">
        <v>724</v>
      </c>
      <c r="E19" s="646">
        <v>2016</v>
      </c>
      <c r="F19" s="651">
        <v>0</v>
      </c>
      <c r="G19" s="495"/>
      <c r="H19" s="800">
        <v>0</v>
      </c>
      <c r="I19" s="495"/>
      <c r="J19" s="800">
        <v>0</v>
      </c>
      <c r="K19" s="495"/>
      <c r="L19" s="670">
        <f t="shared" si="0"/>
        <v>0</v>
      </c>
      <c r="M19" s="495"/>
      <c r="N19" s="495">
        <v>0</v>
      </c>
      <c r="O19" s="495"/>
      <c r="P19" s="670">
        <f t="shared" si="1"/>
        <v>0</v>
      </c>
      <c r="Q19" s="489"/>
      <c r="R19" s="490"/>
    </row>
    <row r="20" spans="2:20">
      <c r="B20" s="488"/>
      <c r="C20" s="489" t="s">
        <v>22</v>
      </c>
      <c r="D20" s="489" t="s">
        <v>724</v>
      </c>
      <c r="E20" s="646">
        <v>2016</v>
      </c>
      <c r="F20" s="651">
        <v>0</v>
      </c>
      <c r="G20" s="495"/>
      <c r="H20" s="800">
        <v>0</v>
      </c>
      <c r="I20" s="495"/>
      <c r="J20" s="800">
        <v>0</v>
      </c>
      <c r="K20" s="495"/>
      <c r="L20" s="670">
        <f t="shared" si="0"/>
        <v>0</v>
      </c>
      <c r="M20" s="495"/>
      <c r="N20" s="495">
        <v>0</v>
      </c>
      <c r="O20" s="495"/>
      <c r="P20" s="670">
        <f t="shared" si="1"/>
        <v>0</v>
      </c>
      <c r="Q20" s="489"/>
      <c r="R20" s="490"/>
    </row>
    <row r="21" spans="2:20">
      <c r="B21" s="488"/>
      <c r="C21" s="489" t="s">
        <v>23</v>
      </c>
      <c r="D21" s="489" t="s">
        <v>724</v>
      </c>
      <c r="E21" s="646">
        <v>2016</v>
      </c>
      <c r="F21" s="651">
        <v>0</v>
      </c>
      <c r="G21" s="495"/>
      <c r="H21" s="800">
        <v>0</v>
      </c>
      <c r="I21" s="495"/>
      <c r="J21" s="800">
        <v>0</v>
      </c>
      <c r="K21" s="495"/>
      <c r="L21" s="670">
        <f t="shared" si="0"/>
        <v>0</v>
      </c>
      <c r="M21" s="495"/>
      <c r="N21" s="495">
        <v>0</v>
      </c>
      <c r="O21" s="495"/>
      <c r="P21" s="670">
        <f t="shared" si="1"/>
        <v>0</v>
      </c>
      <c r="Q21" s="489"/>
      <c r="R21" s="490"/>
    </row>
    <row r="22" spans="2:20">
      <c r="B22" s="488"/>
      <c r="C22" s="489" t="s">
        <v>24</v>
      </c>
      <c r="D22" s="489" t="s">
        <v>724</v>
      </c>
      <c r="E22" s="646">
        <v>2016</v>
      </c>
      <c r="F22" s="651">
        <v>0</v>
      </c>
      <c r="G22" s="495"/>
      <c r="H22" s="800">
        <v>0</v>
      </c>
      <c r="I22" s="495"/>
      <c r="J22" s="800">
        <v>0</v>
      </c>
      <c r="K22" s="495"/>
      <c r="L22" s="670">
        <f t="shared" si="0"/>
        <v>0</v>
      </c>
      <c r="M22" s="495"/>
      <c r="N22" s="495">
        <v>0</v>
      </c>
      <c r="O22" s="495"/>
      <c r="P22" s="670">
        <f t="shared" si="1"/>
        <v>0</v>
      </c>
      <c r="Q22" s="489"/>
      <c r="R22" s="490"/>
    </row>
    <row r="23" spans="2:20">
      <c r="B23" s="488"/>
      <c r="C23" s="489" t="s">
        <v>13</v>
      </c>
      <c r="D23" s="489" t="s">
        <v>724</v>
      </c>
      <c r="E23" s="646">
        <v>2016</v>
      </c>
      <c r="F23" s="651">
        <v>0</v>
      </c>
      <c r="G23" s="384"/>
      <c r="H23" s="813">
        <v>0</v>
      </c>
      <c r="I23" s="384"/>
      <c r="J23" s="813">
        <v>0</v>
      </c>
      <c r="K23" s="384"/>
      <c r="L23" s="670">
        <f t="shared" si="0"/>
        <v>0</v>
      </c>
      <c r="M23" s="384"/>
      <c r="N23" s="384">
        <v>0</v>
      </c>
      <c r="O23" s="384"/>
      <c r="P23" s="670">
        <f t="shared" si="1"/>
        <v>0</v>
      </c>
      <c r="Q23" s="489"/>
      <c r="R23" s="490"/>
    </row>
    <row r="24" spans="2:20">
      <c r="B24" s="488"/>
      <c r="C24" s="341" t="s">
        <v>28</v>
      </c>
      <c r="D24" s="489"/>
      <c r="E24" s="489"/>
      <c r="F24" s="713">
        <f>AVERAGE(F11:F23)</f>
        <v>0</v>
      </c>
      <c r="G24" s="495"/>
      <c r="H24" s="713">
        <f t="shared" ref="H24:P24" si="2">AVERAGE(H11:H23)</f>
        <v>0</v>
      </c>
      <c r="I24" s="495"/>
      <c r="J24" s="713">
        <f>AVERAGE(J11:J23)</f>
        <v>0</v>
      </c>
      <c r="K24" s="495"/>
      <c r="L24" s="713">
        <f t="shared" si="2"/>
        <v>0</v>
      </c>
      <c r="M24" s="495"/>
      <c r="N24" s="388">
        <f t="shared" si="2"/>
        <v>0</v>
      </c>
      <c r="O24" s="495"/>
      <c r="P24" s="713">
        <f t="shared" si="2"/>
        <v>0</v>
      </c>
      <c r="Q24" s="489" t="s">
        <v>637</v>
      </c>
      <c r="R24" s="490"/>
    </row>
    <row r="25" spans="2:20" ht="15" thickBot="1">
      <c r="B25" s="366"/>
      <c r="C25" s="367"/>
      <c r="D25" s="367"/>
      <c r="E25" s="367"/>
      <c r="F25" s="391"/>
      <c r="G25" s="402"/>
      <c r="H25" s="391"/>
      <c r="I25" s="402"/>
      <c r="J25" s="391"/>
      <c r="K25" s="402"/>
      <c r="L25" s="391"/>
      <c r="M25" s="402"/>
      <c r="N25" s="391"/>
      <c r="O25" s="402"/>
      <c r="P25" s="391"/>
      <c r="Q25" s="367"/>
      <c r="R25" s="368"/>
    </row>
    <row r="26" spans="2:20">
      <c r="B26" s="489"/>
      <c r="C26" s="489"/>
      <c r="D26" s="489"/>
      <c r="E26" s="489"/>
      <c r="F26" s="388"/>
      <c r="G26" s="495"/>
      <c r="H26" s="388"/>
      <c r="I26" s="495"/>
      <c r="J26" s="388"/>
      <c r="K26" s="495"/>
      <c r="L26" s="388"/>
      <c r="M26" s="495"/>
      <c r="N26" s="388"/>
      <c r="O26" s="495"/>
      <c r="P26" s="388"/>
      <c r="Q26" s="489"/>
      <c r="R26" s="489"/>
    </row>
    <row r="27" spans="2:20">
      <c r="B27" s="201" t="s">
        <v>711</v>
      </c>
      <c r="C27" s="489" t="s">
        <v>944</v>
      </c>
      <c r="D27" s="489"/>
      <c r="E27" s="489"/>
      <c r="F27" s="388"/>
      <c r="G27" s="495"/>
      <c r="H27" s="388"/>
      <c r="I27" s="495"/>
      <c r="J27" s="388"/>
      <c r="K27" s="495"/>
      <c r="L27" s="388"/>
      <c r="M27" s="495"/>
      <c r="N27" s="388"/>
      <c r="O27" s="495"/>
      <c r="P27" s="388"/>
      <c r="Q27" s="489"/>
      <c r="R27" s="489"/>
    </row>
    <row r="28" spans="2:20" ht="15" thickBot="1"/>
    <row r="29" spans="2:20">
      <c r="B29" s="336" t="s">
        <v>571</v>
      </c>
      <c r="C29" s="360"/>
      <c r="D29" s="360"/>
      <c r="E29" s="360"/>
      <c r="F29" s="385"/>
      <c r="G29" s="407"/>
      <c r="H29" s="385"/>
      <c r="I29" s="407"/>
      <c r="J29" s="385"/>
      <c r="K29" s="407"/>
      <c r="L29" s="385"/>
      <c r="M29" s="407"/>
      <c r="N29" s="385"/>
      <c r="O29" s="407"/>
      <c r="P29" s="385"/>
      <c r="Q29" s="360"/>
      <c r="R29" s="361"/>
    </row>
    <row r="30" spans="2:20">
      <c r="B30" s="488"/>
      <c r="C30" s="341" t="s">
        <v>76</v>
      </c>
      <c r="D30" s="489"/>
      <c r="E30" s="489"/>
      <c r="F30" s="388"/>
      <c r="G30" s="495"/>
      <c r="H30" s="388"/>
      <c r="I30" s="495"/>
      <c r="J30" s="388"/>
      <c r="K30" s="495"/>
      <c r="L30" s="388"/>
      <c r="M30" s="495"/>
      <c r="N30" s="388"/>
      <c r="O30" s="495"/>
      <c r="P30" s="388"/>
      <c r="Q30" s="489"/>
      <c r="R30" s="490"/>
    </row>
    <row r="31" spans="2:20">
      <c r="B31" s="488"/>
      <c r="C31" s="296" t="s">
        <v>10</v>
      </c>
      <c r="D31" s="296" t="s">
        <v>11</v>
      </c>
      <c r="E31" s="296"/>
      <c r="F31" s="499" t="s">
        <v>12</v>
      </c>
      <c r="G31" s="500"/>
      <c r="H31" s="499" t="s">
        <v>1090</v>
      </c>
      <c r="I31" s="500"/>
      <c r="J31" s="499" t="s">
        <v>1255</v>
      </c>
      <c r="K31" s="500"/>
      <c r="L31" s="499" t="s">
        <v>588</v>
      </c>
      <c r="M31" s="500"/>
      <c r="N31" s="499" t="s">
        <v>1286</v>
      </c>
      <c r="O31" s="500"/>
      <c r="P31" s="499" t="s">
        <v>1287</v>
      </c>
      <c r="Q31" s="489"/>
      <c r="R31" s="490"/>
      <c r="T31" s="665"/>
    </row>
    <row r="32" spans="2:20">
      <c r="B32" s="488"/>
      <c r="C32" s="489" t="s">
        <v>13</v>
      </c>
      <c r="D32" s="489" t="s">
        <v>73</v>
      </c>
      <c r="E32" s="646">
        <v>2015</v>
      </c>
      <c r="F32" s="800">
        <v>0</v>
      </c>
      <c r="G32" s="495"/>
      <c r="H32" s="491">
        <v>0</v>
      </c>
      <c r="I32" s="495"/>
      <c r="J32" s="603">
        <v>0</v>
      </c>
      <c r="K32" s="495"/>
      <c r="L32" s="495">
        <f>+F32+H32-J32</f>
        <v>0</v>
      </c>
      <c r="M32" s="495"/>
      <c r="N32" s="495">
        <v>0</v>
      </c>
      <c r="O32" s="495"/>
      <c r="P32" s="495">
        <f>+L32-N32</f>
        <v>0</v>
      </c>
      <c r="Q32" s="489"/>
      <c r="R32" s="490"/>
      <c r="T32" s="665"/>
    </row>
    <row r="33" spans="2:24">
      <c r="B33" s="488"/>
      <c r="C33" s="489" t="s">
        <v>14</v>
      </c>
      <c r="D33" s="489" t="s">
        <v>724</v>
      </c>
      <c r="E33" s="646">
        <v>2016</v>
      </c>
      <c r="F33" s="800">
        <v>0</v>
      </c>
      <c r="G33" s="495"/>
      <c r="H33" s="509">
        <v>0</v>
      </c>
      <c r="I33" s="495"/>
      <c r="J33" s="600">
        <v>0</v>
      </c>
      <c r="K33" s="495"/>
      <c r="L33" s="495">
        <f t="shared" ref="L33:L44" si="3">+F33+H33-J33</f>
        <v>0</v>
      </c>
      <c r="M33" s="495"/>
      <c r="N33" s="495">
        <v>0</v>
      </c>
      <c r="O33" s="495"/>
      <c r="P33" s="495">
        <f t="shared" ref="P33:P44" si="4">+L33-N33</f>
        <v>0</v>
      </c>
      <c r="Q33" s="489"/>
      <c r="R33" s="490"/>
      <c r="T33" s="665"/>
    </row>
    <row r="34" spans="2:24">
      <c r="B34" s="488"/>
      <c r="C34" s="489" t="s">
        <v>15</v>
      </c>
      <c r="D34" s="489" t="s">
        <v>724</v>
      </c>
      <c r="E34" s="646">
        <v>2016</v>
      </c>
      <c r="F34" s="800">
        <v>0</v>
      </c>
      <c r="G34" s="495"/>
      <c r="H34" s="509">
        <v>0</v>
      </c>
      <c r="I34" s="495"/>
      <c r="J34" s="600">
        <v>0</v>
      </c>
      <c r="K34" s="495"/>
      <c r="L34" s="670">
        <f t="shared" si="3"/>
        <v>0</v>
      </c>
      <c r="M34" s="495"/>
      <c r="N34" s="495">
        <v>0</v>
      </c>
      <c r="O34" s="495"/>
      <c r="P34" s="495">
        <f t="shared" si="4"/>
        <v>0</v>
      </c>
      <c r="Q34" s="489"/>
      <c r="R34" s="490"/>
      <c r="T34" s="665"/>
    </row>
    <row r="35" spans="2:24">
      <c r="B35" s="488"/>
      <c r="C35" s="489" t="s">
        <v>16</v>
      </c>
      <c r="D35" s="489" t="s">
        <v>724</v>
      </c>
      <c r="E35" s="646">
        <v>2016</v>
      </c>
      <c r="F35" s="800">
        <v>0</v>
      </c>
      <c r="G35" s="495"/>
      <c r="H35" s="509">
        <v>0</v>
      </c>
      <c r="I35" s="495"/>
      <c r="J35" s="600">
        <v>0</v>
      </c>
      <c r="K35" s="495"/>
      <c r="L35" s="670">
        <f t="shared" si="3"/>
        <v>0</v>
      </c>
      <c r="M35" s="495"/>
      <c r="N35" s="495">
        <v>0</v>
      </c>
      <c r="O35" s="495"/>
      <c r="P35" s="495">
        <f t="shared" si="4"/>
        <v>0</v>
      </c>
      <c r="Q35" s="489"/>
      <c r="R35" s="490"/>
      <c r="T35" s="665"/>
    </row>
    <row r="36" spans="2:24">
      <c r="B36" s="488"/>
      <c r="C36" s="489" t="s">
        <v>17</v>
      </c>
      <c r="D36" s="489" t="s">
        <v>724</v>
      </c>
      <c r="E36" s="646">
        <v>2016</v>
      </c>
      <c r="F36" s="800">
        <v>0</v>
      </c>
      <c r="G36" s="495"/>
      <c r="H36" s="509">
        <v>0</v>
      </c>
      <c r="I36" s="495"/>
      <c r="J36" s="600">
        <v>0</v>
      </c>
      <c r="K36" s="495"/>
      <c r="L36" s="670">
        <f t="shared" si="3"/>
        <v>0</v>
      </c>
      <c r="M36" s="495"/>
      <c r="N36" s="495">
        <v>0</v>
      </c>
      <c r="O36" s="495"/>
      <c r="P36" s="495">
        <f t="shared" si="4"/>
        <v>0</v>
      </c>
      <c r="Q36" s="489"/>
      <c r="R36" s="490"/>
      <c r="T36" s="665"/>
    </row>
    <row r="37" spans="2:24">
      <c r="B37" s="488"/>
      <c r="C37" s="489" t="s">
        <v>18</v>
      </c>
      <c r="D37" s="489" t="s">
        <v>724</v>
      </c>
      <c r="E37" s="646">
        <v>2016</v>
      </c>
      <c r="F37" s="800">
        <v>0</v>
      </c>
      <c r="G37" s="495"/>
      <c r="H37" s="509">
        <v>0</v>
      </c>
      <c r="I37" s="495"/>
      <c r="J37" s="600">
        <v>0</v>
      </c>
      <c r="K37" s="495"/>
      <c r="L37" s="670">
        <f t="shared" si="3"/>
        <v>0</v>
      </c>
      <c r="M37" s="495"/>
      <c r="N37" s="495">
        <v>0</v>
      </c>
      <c r="O37" s="495"/>
      <c r="P37" s="495">
        <f t="shared" si="4"/>
        <v>0</v>
      </c>
      <c r="Q37" s="489"/>
      <c r="R37" s="490"/>
      <c r="T37" s="665"/>
    </row>
    <row r="38" spans="2:24">
      <c r="B38" s="488"/>
      <c r="C38" s="489" t="s">
        <v>19</v>
      </c>
      <c r="D38" s="489" t="s">
        <v>724</v>
      </c>
      <c r="E38" s="646">
        <v>2016</v>
      </c>
      <c r="F38" s="800">
        <v>0</v>
      </c>
      <c r="G38" s="495"/>
      <c r="H38" s="509">
        <v>0</v>
      </c>
      <c r="I38" s="495"/>
      <c r="J38" s="600">
        <v>0</v>
      </c>
      <c r="K38" s="495"/>
      <c r="L38" s="670">
        <f t="shared" si="3"/>
        <v>0</v>
      </c>
      <c r="M38" s="495"/>
      <c r="N38" s="495">
        <v>0</v>
      </c>
      <c r="O38" s="495"/>
      <c r="P38" s="495">
        <f t="shared" si="4"/>
        <v>0</v>
      </c>
      <c r="Q38" s="489"/>
      <c r="R38" s="490"/>
      <c r="T38" s="665"/>
      <c r="X38" s="624">
        <v>0</v>
      </c>
    </row>
    <row r="39" spans="2:24">
      <c r="B39" s="488"/>
      <c r="C39" s="489" t="s">
        <v>20</v>
      </c>
      <c r="D39" s="489" t="s">
        <v>724</v>
      </c>
      <c r="E39" s="646">
        <v>2016</v>
      </c>
      <c r="F39" s="800">
        <v>0</v>
      </c>
      <c r="G39" s="495"/>
      <c r="H39" s="509">
        <v>0</v>
      </c>
      <c r="I39" s="495"/>
      <c r="J39" s="600">
        <v>0</v>
      </c>
      <c r="K39" s="495"/>
      <c r="L39" s="670">
        <f t="shared" si="3"/>
        <v>0</v>
      </c>
      <c r="M39" s="495"/>
      <c r="N39" s="495">
        <v>0</v>
      </c>
      <c r="O39" s="495"/>
      <c r="P39" s="495">
        <f t="shared" si="4"/>
        <v>0</v>
      </c>
      <c r="Q39" s="489"/>
      <c r="R39" s="490"/>
      <c r="T39" s="665"/>
    </row>
    <row r="40" spans="2:24">
      <c r="B40" s="488"/>
      <c r="C40" s="489" t="s">
        <v>21</v>
      </c>
      <c r="D40" s="489" t="s">
        <v>724</v>
      </c>
      <c r="E40" s="646">
        <v>2016</v>
      </c>
      <c r="F40" s="800">
        <v>0</v>
      </c>
      <c r="G40" s="495"/>
      <c r="H40" s="509">
        <v>0</v>
      </c>
      <c r="I40" s="495"/>
      <c r="J40" s="600">
        <v>0</v>
      </c>
      <c r="K40" s="495"/>
      <c r="L40" s="670">
        <f t="shared" si="3"/>
        <v>0</v>
      </c>
      <c r="M40" s="495"/>
      <c r="N40" s="495">
        <v>0</v>
      </c>
      <c r="O40" s="495"/>
      <c r="P40" s="495">
        <f t="shared" si="4"/>
        <v>0</v>
      </c>
      <c r="Q40" s="489"/>
      <c r="R40" s="490"/>
      <c r="T40" s="665"/>
    </row>
    <row r="41" spans="2:24">
      <c r="B41" s="488"/>
      <c r="C41" s="489" t="s">
        <v>22</v>
      </c>
      <c r="D41" s="489" t="s">
        <v>724</v>
      </c>
      <c r="E41" s="646">
        <v>2016</v>
      </c>
      <c r="F41" s="800">
        <v>0</v>
      </c>
      <c r="G41" s="495"/>
      <c r="H41" s="509">
        <v>0</v>
      </c>
      <c r="I41" s="495"/>
      <c r="J41" s="600">
        <v>0</v>
      </c>
      <c r="K41" s="495"/>
      <c r="L41" s="670">
        <f t="shared" si="3"/>
        <v>0</v>
      </c>
      <c r="M41" s="495"/>
      <c r="N41" s="495">
        <v>0</v>
      </c>
      <c r="O41" s="495"/>
      <c r="P41" s="495">
        <f t="shared" si="4"/>
        <v>0</v>
      </c>
      <c r="Q41" s="489"/>
      <c r="R41" s="490"/>
      <c r="T41" s="665"/>
    </row>
    <row r="42" spans="2:24">
      <c r="B42" s="488"/>
      <c r="C42" s="489" t="s">
        <v>23</v>
      </c>
      <c r="D42" s="489" t="s">
        <v>724</v>
      </c>
      <c r="E42" s="646">
        <v>2016</v>
      </c>
      <c r="F42" s="800">
        <v>0</v>
      </c>
      <c r="G42" s="495"/>
      <c r="H42" s="509">
        <v>0</v>
      </c>
      <c r="I42" s="495"/>
      <c r="J42" s="600">
        <v>0</v>
      </c>
      <c r="K42" s="495"/>
      <c r="L42" s="670">
        <f t="shared" si="3"/>
        <v>0</v>
      </c>
      <c r="M42" s="495"/>
      <c r="N42" s="495">
        <v>0</v>
      </c>
      <c r="O42" s="495"/>
      <c r="P42" s="495">
        <f t="shared" si="4"/>
        <v>0</v>
      </c>
      <c r="Q42" s="489"/>
      <c r="R42" s="490"/>
      <c r="T42" s="665"/>
    </row>
    <row r="43" spans="2:24">
      <c r="B43" s="488"/>
      <c r="C43" s="489" t="s">
        <v>24</v>
      </c>
      <c r="D43" s="489" t="s">
        <v>724</v>
      </c>
      <c r="E43" s="646">
        <v>2016</v>
      </c>
      <c r="F43" s="800">
        <v>0</v>
      </c>
      <c r="G43" s="495"/>
      <c r="H43" s="509">
        <v>0</v>
      </c>
      <c r="I43" s="495"/>
      <c r="J43" s="600">
        <v>0</v>
      </c>
      <c r="K43" s="495"/>
      <c r="L43" s="670">
        <f t="shared" si="3"/>
        <v>0</v>
      </c>
      <c r="M43" s="495"/>
      <c r="N43" s="495">
        <v>0</v>
      </c>
      <c r="O43" s="495"/>
      <c r="P43" s="495">
        <f t="shared" si="4"/>
        <v>0</v>
      </c>
      <c r="Q43" s="489"/>
      <c r="R43" s="490"/>
      <c r="T43" s="665"/>
    </row>
    <row r="44" spans="2:24">
      <c r="B44" s="488"/>
      <c r="C44" s="489" t="s">
        <v>13</v>
      </c>
      <c r="D44" s="489" t="s">
        <v>724</v>
      </c>
      <c r="E44" s="646">
        <v>2016</v>
      </c>
      <c r="F44" s="813">
        <v>0</v>
      </c>
      <c r="G44" s="670"/>
      <c r="H44" s="604">
        <v>0</v>
      </c>
      <c r="I44" s="384"/>
      <c r="J44" s="601">
        <v>0</v>
      </c>
      <c r="K44" s="384"/>
      <c r="L44" s="670">
        <f t="shared" si="3"/>
        <v>0</v>
      </c>
      <c r="M44" s="384"/>
      <c r="N44" s="384">
        <v>0</v>
      </c>
      <c r="O44" s="384"/>
      <c r="P44" s="384">
        <f t="shared" si="4"/>
        <v>0</v>
      </c>
      <c r="Q44" s="489"/>
      <c r="R44" s="490"/>
      <c r="T44" s="665"/>
    </row>
    <row r="45" spans="2:24">
      <c r="B45" s="488"/>
      <c r="C45" s="341" t="s">
        <v>77</v>
      </c>
      <c r="D45" s="489"/>
      <c r="E45" s="489"/>
      <c r="F45" s="647">
        <f t="shared" ref="F45:N45" si="5">AVERAGE(F32:F44)</f>
        <v>0</v>
      </c>
      <c r="G45" s="647"/>
      <c r="H45" s="388">
        <f t="shared" si="5"/>
        <v>0</v>
      </c>
      <c r="I45" s="495"/>
      <c r="J45" s="388">
        <f t="shared" si="5"/>
        <v>0</v>
      </c>
      <c r="K45" s="495"/>
      <c r="L45" s="713">
        <f t="shared" si="5"/>
        <v>0</v>
      </c>
      <c r="M45" s="495"/>
      <c r="N45" s="388">
        <f t="shared" si="5"/>
        <v>0</v>
      </c>
      <c r="O45" s="495"/>
      <c r="P45" s="388">
        <f>AVERAGE(P32:P44)</f>
        <v>0</v>
      </c>
      <c r="Q45" s="489" t="s">
        <v>638</v>
      </c>
      <c r="R45" s="490"/>
      <c r="T45" s="665"/>
    </row>
    <row r="46" spans="2:24" ht="15" thickBot="1">
      <c r="B46" s="366"/>
      <c r="C46" s="367"/>
      <c r="D46" s="367"/>
      <c r="E46" s="367"/>
      <c r="F46" s="391"/>
      <c r="G46" s="402"/>
      <c r="H46" s="391"/>
      <c r="I46" s="402"/>
      <c r="J46" s="391"/>
      <c r="K46" s="402"/>
      <c r="L46" s="391"/>
      <c r="M46" s="402"/>
      <c r="N46" s="391"/>
      <c r="O46" s="402"/>
      <c r="P46" s="391"/>
      <c r="Q46" s="367"/>
      <c r="R46" s="368"/>
      <c r="T46" s="665"/>
    </row>
    <row r="47" spans="2:24">
      <c r="B47" s="489"/>
      <c r="C47" s="489"/>
      <c r="D47" s="489"/>
      <c r="E47" s="489"/>
      <c r="F47" s="388"/>
      <c r="G47" s="495"/>
      <c r="H47" s="388"/>
      <c r="I47" s="495"/>
      <c r="J47" s="388"/>
      <c r="K47" s="495"/>
      <c r="L47" s="388"/>
      <c r="M47" s="495"/>
      <c r="N47" s="388"/>
      <c r="O47" s="495"/>
      <c r="P47" s="388"/>
      <c r="Q47" s="489"/>
      <c r="R47" s="489"/>
    </row>
    <row r="48" spans="2:24">
      <c r="B48" s="201" t="s">
        <v>712</v>
      </c>
      <c r="C48" s="493" t="s">
        <v>713</v>
      </c>
      <c r="D48" s="489"/>
      <c r="E48" s="489"/>
      <c r="F48" s="388"/>
      <c r="G48" s="495"/>
      <c r="H48" s="388"/>
      <c r="I48" s="495"/>
      <c r="J48" s="388"/>
      <c r="K48" s="495"/>
      <c r="L48" s="388"/>
      <c r="M48" s="495"/>
      <c r="N48" s="388"/>
      <c r="O48" s="495"/>
      <c r="P48" s="388"/>
      <c r="Q48" s="489"/>
      <c r="R48" s="489"/>
    </row>
    <row r="49" spans="2:18" ht="15" thickBot="1"/>
    <row r="50" spans="2:18">
      <c r="B50" s="336" t="s">
        <v>586</v>
      </c>
      <c r="C50" s="360"/>
      <c r="D50" s="360"/>
      <c r="E50" s="360"/>
      <c r="F50" s="385"/>
      <c r="G50" s="407"/>
      <c r="H50" s="385"/>
      <c r="I50" s="407"/>
      <c r="J50" s="385"/>
      <c r="K50" s="407"/>
      <c r="L50" s="385"/>
      <c r="M50" s="407"/>
      <c r="N50" s="385"/>
      <c r="O50" s="407"/>
      <c r="P50" s="385"/>
      <c r="Q50" s="360"/>
      <c r="R50" s="361"/>
    </row>
    <row r="51" spans="2:18">
      <c r="B51" s="488"/>
      <c r="C51" s="341" t="s">
        <v>582</v>
      </c>
      <c r="D51" s="489"/>
      <c r="E51" s="489"/>
      <c r="F51" s="388"/>
      <c r="G51" s="495"/>
      <c r="H51" s="388"/>
      <c r="I51" s="495"/>
      <c r="J51" s="388"/>
      <c r="K51" s="495"/>
      <c r="L51" s="388"/>
      <c r="M51" s="495"/>
      <c r="N51" s="388"/>
      <c r="O51" s="495"/>
      <c r="P51" s="388"/>
      <c r="Q51" s="489"/>
      <c r="R51" s="490"/>
    </row>
    <row r="52" spans="2:18">
      <c r="B52" s="488"/>
      <c r="C52" s="296" t="s">
        <v>10</v>
      </c>
      <c r="D52" s="296" t="s">
        <v>11</v>
      </c>
      <c r="E52" s="296"/>
      <c r="F52" s="499" t="s">
        <v>12</v>
      </c>
      <c r="G52" s="500"/>
      <c r="H52" s="499" t="s">
        <v>1090</v>
      </c>
      <c r="I52" s="500"/>
      <c r="J52" s="499" t="s">
        <v>1255</v>
      </c>
      <c r="K52" s="500"/>
      <c r="L52" s="499" t="s">
        <v>588</v>
      </c>
      <c r="M52" s="500"/>
      <c r="N52" s="499" t="s">
        <v>1286</v>
      </c>
      <c r="O52" s="500"/>
      <c r="P52" s="499" t="s">
        <v>1287</v>
      </c>
      <c r="Q52" s="251"/>
      <c r="R52" s="490"/>
    </row>
    <row r="53" spans="2:18">
      <c r="B53" s="488"/>
      <c r="C53" s="489" t="s">
        <v>13</v>
      </c>
      <c r="D53" s="489" t="s">
        <v>1288</v>
      </c>
      <c r="E53" s="489">
        <v>2015</v>
      </c>
      <c r="F53" s="491">
        <v>0</v>
      </c>
      <c r="G53" s="495"/>
      <c r="H53" s="651">
        <v>0</v>
      </c>
      <c r="I53" s="495"/>
      <c r="J53" s="491">
        <v>0</v>
      </c>
      <c r="K53" s="495"/>
      <c r="L53" s="495">
        <f>+F53+H53-J53</f>
        <v>0</v>
      </c>
      <c r="M53" s="495"/>
      <c r="N53" s="495">
        <v>0</v>
      </c>
      <c r="O53" s="495"/>
      <c r="P53" s="495">
        <f>+L53-N53</f>
        <v>0</v>
      </c>
      <c r="Q53" s="495"/>
      <c r="R53" s="490"/>
    </row>
    <row r="54" spans="2:18">
      <c r="B54" s="488"/>
      <c r="C54" s="489" t="s">
        <v>13</v>
      </c>
      <c r="D54" s="489" t="s">
        <v>724</v>
      </c>
      <c r="E54" s="489">
        <v>2016</v>
      </c>
      <c r="F54" s="604">
        <v>0</v>
      </c>
      <c r="G54" s="495"/>
      <c r="H54" s="487">
        <v>0</v>
      </c>
      <c r="I54" s="495"/>
      <c r="J54" s="625">
        <v>0</v>
      </c>
      <c r="K54" s="495"/>
      <c r="L54" s="384">
        <f>+F54+H54-J54</f>
        <v>0</v>
      </c>
      <c r="M54" s="495"/>
      <c r="N54" s="384">
        <v>0</v>
      </c>
      <c r="O54" s="495"/>
      <c r="P54" s="384">
        <f>+L54-N54</f>
        <v>0</v>
      </c>
      <c r="Q54" s="495"/>
      <c r="R54" s="490"/>
    </row>
    <row r="55" spans="2:18">
      <c r="B55" s="488"/>
      <c r="C55" s="341" t="s">
        <v>587</v>
      </c>
      <c r="D55" s="489"/>
      <c r="E55" s="489"/>
      <c r="F55" s="388">
        <f>AVERAGE(F53:F54)</f>
        <v>0</v>
      </c>
      <c r="G55" s="495"/>
      <c r="H55" s="388">
        <f>AVERAGE(H53:H54)</f>
        <v>0</v>
      </c>
      <c r="I55" s="495"/>
      <c r="J55" s="388">
        <f>AVERAGE(J53:J54)</f>
        <v>0</v>
      </c>
      <c r="K55" s="495"/>
      <c r="L55" s="388">
        <f>AVERAGE(L53:L54)</f>
        <v>0</v>
      </c>
      <c r="M55" s="495"/>
      <c r="N55" s="388">
        <f>AVERAGE(N53:N54)</f>
        <v>0</v>
      </c>
      <c r="O55" s="495"/>
      <c r="P55" s="388">
        <f>AVERAGE(P53:P54)</f>
        <v>0</v>
      </c>
      <c r="Q55" s="490" t="s">
        <v>639</v>
      </c>
      <c r="R55" s="490"/>
    </row>
    <row r="56" spans="2:18" ht="15" thickBot="1">
      <c r="B56" s="366"/>
      <c r="C56" s="367"/>
      <c r="D56" s="367"/>
      <c r="E56" s="367"/>
      <c r="F56" s="402"/>
      <c r="G56" s="402"/>
      <c r="H56" s="391"/>
      <c r="I56" s="402"/>
      <c r="J56" s="391"/>
      <c r="K56" s="402"/>
      <c r="L56" s="391"/>
      <c r="M56" s="402"/>
      <c r="N56" s="391"/>
      <c r="O56" s="402"/>
      <c r="P56" s="391"/>
      <c r="Q56" s="367"/>
      <c r="R56" s="368"/>
    </row>
    <row r="57" spans="2:18">
      <c r="B57" s="489"/>
      <c r="C57" s="489"/>
      <c r="D57" s="489"/>
      <c r="E57" s="489"/>
      <c r="F57" s="388"/>
      <c r="G57" s="495"/>
      <c r="H57" s="388"/>
      <c r="I57" s="495"/>
      <c r="J57" s="388"/>
      <c r="K57" s="495"/>
      <c r="L57" s="388"/>
      <c r="M57" s="495"/>
      <c r="N57" s="388"/>
      <c r="O57" s="495"/>
      <c r="P57" s="388"/>
      <c r="Q57" s="489"/>
      <c r="R57" s="489"/>
    </row>
    <row r="58" spans="2:18">
      <c r="B58" s="201" t="s">
        <v>714</v>
      </c>
      <c r="C58" s="493" t="s">
        <v>945</v>
      </c>
      <c r="D58" s="489"/>
      <c r="E58" s="489"/>
      <c r="F58" s="388"/>
      <c r="G58" s="495"/>
      <c r="H58" s="388"/>
      <c r="I58" s="495"/>
      <c r="J58" s="388"/>
      <c r="K58" s="495"/>
      <c r="L58" s="388"/>
      <c r="M58" s="495"/>
      <c r="N58" s="388"/>
      <c r="O58" s="495"/>
      <c r="P58" s="388"/>
      <c r="Q58" s="489"/>
      <c r="R58" s="489"/>
    </row>
    <row r="59" spans="2:18">
      <c r="B59" s="201" t="s">
        <v>715</v>
      </c>
      <c r="C59" s="493" t="s">
        <v>946</v>
      </c>
      <c r="D59" s="489"/>
      <c r="E59" s="489"/>
      <c r="F59" s="388"/>
      <c r="G59" s="495"/>
      <c r="H59" s="388"/>
      <c r="I59" s="495"/>
      <c r="J59" s="388"/>
      <c r="K59" s="495"/>
      <c r="L59" s="388"/>
      <c r="M59" s="495"/>
      <c r="N59" s="388"/>
      <c r="O59" s="495"/>
      <c r="P59" s="388"/>
      <c r="Q59" s="489"/>
      <c r="R59" s="489"/>
    </row>
    <row r="60" spans="2:18" ht="15" thickBot="1"/>
    <row r="61" spans="2:18">
      <c r="B61" s="336" t="s">
        <v>572</v>
      </c>
      <c r="C61" s="360"/>
      <c r="D61" s="360"/>
      <c r="E61" s="360"/>
      <c r="F61" s="385"/>
      <c r="G61" s="407"/>
      <c r="H61" s="385"/>
      <c r="I61" s="407"/>
      <c r="J61" s="385"/>
      <c r="K61" s="407"/>
      <c r="L61" s="385"/>
      <c r="M61" s="407"/>
      <c r="N61" s="385"/>
      <c r="O61" s="407"/>
      <c r="P61" s="385"/>
      <c r="Q61" s="360"/>
      <c r="R61" s="361"/>
    </row>
    <row r="62" spans="2:18">
      <c r="B62" s="488"/>
      <c r="C62" s="341" t="s">
        <v>250</v>
      </c>
      <c r="D62" s="489"/>
      <c r="E62" s="489"/>
      <c r="F62" s="388"/>
      <c r="G62" s="495"/>
      <c r="H62" s="388"/>
      <c r="I62" s="495"/>
      <c r="J62" s="388"/>
      <c r="K62" s="495"/>
      <c r="L62" s="388"/>
      <c r="M62" s="495"/>
      <c r="N62" s="388"/>
      <c r="O62" s="495"/>
      <c r="P62" s="388"/>
      <c r="Q62" s="489"/>
      <c r="R62" s="490"/>
    </row>
    <row r="63" spans="2:18">
      <c r="B63" s="488"/>
      <c r="C63" s="296" t="s">
        <v>10</v>
      </c>
      <c r="D63" s="296" t="s">
        <v>11</v>
      </c>
      <c r="E63" s="296"/>
      <c r="F63" s="499" t="s">
        <v>12</v>
      </c>
      <c r="G63" s="500"/>
      <c r="H63" s="499" t="s">
        <v>1090</v>
      </c>
      <c r="I63" s="500"/>
      <c r="J63" s="499" t="s">
        <v>1255</v>
      </c>
      <c r="K63" s="500"/>
      <c r="L63" s="499" t="s">
        <v>588</v>
      </c>
      <c r="M63" s="500"/>
      <c r="N63" s="499"/>
      <c r="O63" s="500"/>
      <c r="P63" s="499"/>
      <c r="Q63" s="489"/>
      <c r="R63" s="490"/>
    </row>
    <row r="64" spans="2:18">
      <c r="B64" s="488"/>
      <c r="C64" s="489"/>
      <c r="D64" s="489"/>
      <c r="E64" s="489"/>
      <c r="F64" s="495"/>
      <c r="G64" s="495"/>
      <c r="H64" s="495"/>
      <c r="I64" s="495"/>
      <c r="J64" s="495"/>
      <c r="K64" s="495"/>
      <c r="L64" s="495"/>
      <c r="M64" s="495"/>
      <c r="N64" s="495"/>
      <c r="O64" s="495"/>
      <c r="P64" s="495"/>
      <c r="Q64" s="489"/>
      <c r="R64" s="490"/>
    </row>
    <row r="65" spans="2:18">
      <c r="B65" s="488"/>
      <c r="C65" s="489" t="s">
        <v>14</v>
      </c>
      <c r="D65" s="493" t="s">
        <v>724</v>
      </c>
      <c r="E65" s="489">
        <v>2016</v>
      </c>
      <c r="F65" s="495">
        <f t="shared" ref="F65" si="6">+F11*$F$84</f>
        <v>0</v>
      </c>
      <c r="G65" s="495"/>
      <c r="H65" s="800">
        <v>0</v>
      </c>
      <c r="I65" s="495"/>
      <c r="J65" s="603">
        <v>0</v>
      </c>
      <c r="K65" s="495"/>
      <c r="L65" s="495">
        <f>+F65+H65-J65</f>
        <v>0</v>
      </c>
      <c r="M65" s="495"/>
      <c r="N65" s="495"/>
      <c r="O65" s="495"/>
      <c r="P65" s="495"/>
      <c r="Q65" s="489"/>
      <c r="R65" s="490"/>
    </row>
    <row r="66" spans="2:18">
      <c r="B66" s="488"/>
      <c r="C66" s="489" t="s">
        <v>15</v>
      </c>
      <c r="D66" s="493" t="s">
        <v>724</v>
      </c>
      <c r="E66" s="646">
        <v>2016</v>
      </c>
      <c r="F66" s="495">
        <f>+F12*$F$84</f>
        <v>0</v>
      </c>
      <c r="G66" s="495"/>
      <c r="H66" s="800">
        <v>0</v>
      </c>
      <c r="I66" s="495"/>
      <c r="J66" s="651">
        <v>0</v>
      </c>
      <c r="K66" s="495"/>
      <c r="L66" s="495">
        <f t="shared" ref="L66:L76" si="7">+F66+H66-J66</f>
        <v>0</v>
      </c>
      <c r="M66" s="495"/>
      <c r="N66" s="495"/>
      <c r="O66" s="495"/>
      <c r="P66" s="495"/>
      <c r="Q66" s="489"/>
      <c r="R66" s="490"/>
    </row>
    <row r="67" spans="2:18">
      <c r="B67" s="488"/>
      <c r="C67" s="489" t="s">
        <v>16</v>
      </c>
      <c r="D67" s="493" t="s">
        <v>724</v>
      </c>
      <c r="E67" s="646">
        <v>2016</v>
      </c>
      <c r="F67" s="670">
        <f t="shared" ref="F67:F76" si="8">+F13*$F$84</f>
        <v>0</v>
      </c>
      <c r="G67" s="495"/>
      <c r="H67" s="800">
        <v>0</v>
      </c>
      <c r="I67" s="495"/>
      <c r="J67" s="651">
        <v>0</v>
      </c>
      <c r="K67" s="495"/>
      <c r="L67" s="495">
        <f t="shared" si="7"/>
        <v>0</v>
      </c>
      <c r="M67" s="495"/>
      <c r="N67" s="495"/>
      <c r="O67" s="495"/>
      <c r="P67" s="495"/>
      <c r="Q67" s="489"/>
      <c r="R67" s="490"/>
    </row>
    <row r="68" spans="2:18">
      <c r="B68" s="488"/>
      <c r="C68" s="489" t="s">
        <v>17</v>
      </c>
      <c r="D68" s="493" t="s">
        <v>724</v>
      </c>
      <c r="E68" s="646">
        <v>2016</v>
      </c>
      <c r="F68" s="670">
        <f t="shared" si="8"/>
        <v>0</v>
      </c>
      <c r="G68" s="495"/>
      <c r="H68" s="800">
        <v>0</v>
      </c>
      <c r="I68" s="495"/>
      <c r="J68" s="651">
        <v>0</v>
      </c>
      <c r="K68" s="495"/>
      <c r="L68" s="495">
        <f t="shared" si="7"/>
        <v>0</v>
      </c>
      <c r="M68" s="495"/>
      <c r="N68" s="495"/>
      <c r="O68" s="495"/>
      <c r="P68" s="495"/>
      <c r="Q68" s="489"/>
      <c r="R68" s="490"/>
    </row>
    <row r="69" spans="2:18">
      <c r="B69" s="488"/>
      <c r="C69" s="489" t="s">
        <v>18</v>
      </c>
      <c r="D69" s="493" t="s">
        <v>724</v>
      </c>
      <c r="E69" s="646">
        <v>2016</v>
      </c>
      <c r="F69" s="670">
        <f t="shared" si="8"/>
        <v>0</v>
      </c>
      <c r="G69" s="495"/>
      <c r="H69" s="800">
        <v>0</v>
      </c>
      <c r="I69" s="495"/>
      <c r="J69" s="651">
        <v>0</v>
      </c>
      <c r="K69" s="495"/>
      <c r="L69" s="495">
        <f t="shared" si="7"/>
        <v>0</v>
      </c>
      <c r="M69" s="495"/>
      <c r="N69" s="495"/>
      <c r="O69" s="495"/>
      <c r="P69" s="495"/>
      <c r="Q69" s="489"/>
      <c r="R69" s="490"/>
    </row>
    <row r="70" spans="2:18">
      <c r="B70" s="488"/>
      <c r="C70" s="489" t="s">
        <v>19</v>
      </c>
      <c r="D70" s="493" t="s">
        <v>724</v>
      </c>
      <c r="E70" s="646">
        <v>2016</v>
      </c>
      <c r="F70" s="670">
        <f t="shared" si="8"/>
        <v>0</v>
      </c>
      <c r="G70" s="495"/>
      <c r="H70" s="800">
        <v>0</v>
      </c>
      <c r="I70" s="495"/>
      <c r="J70" s="651">
        <v>0</v>
      </c>
      <c r="K70" s="495"/>
      <c r="L70" s="495">
        <f t="shared" si="7"/>
        <v>0</v>
      </c>
      <c r="M70" s="495"/>
      <c r="N70" s="495"/>
      <c r="O70" s="495"/>
      <c r="P70" s="606"/>
      <c r="Q70" s="607"/>
      <c r="R70" s="608"/>
    </row>
    <row r="71" spans="2:18">
      <c r="B71" s="488"/>
      <c r="C71" s="489" t="s">
        <v>20</v>
      </c>
      <c r="D71" s="493" t="s">
        <v>724</v>
      </c>
      <c r="E71" s="646">
        <v>2016</v>
      </c>
      <c r="F71" s="670">
        <f>+F17*$F$84</f>
        <v>0</v>
      </c>
      <c r="G71" s="495"/>
      <c r="H71" s="800">
        <v>0</v>
      </c>
      <c r="I71" s="495"/>
      <c r="J71" s="651">
        <v>0</v>
      </c>
      <c r="K71" s="495"/>
      <c r="L71" s="495">
        <f t="shared" si="7"/>
        <v>0</v>
      </c>
      <c r="M71" s="495"/>
      <c r="N71" s="495"/>
      <c r="O71" s="495"/>
      <c r="P71" s="605"/>
      <c r="Q71" s="607"/>
      <c r="R71" s="608"/>
    </row>
    <row r="72" spans="2:18">
      <c r="B72" s="488"/>
      <c r="C72" s="489" t="s">
        <v>21</v>
      </c>
      <c r="D72" s="493" t="s">
        <v>724</v>
      </c>
      <c r="E72" s="646">
        <v>2016</v>
      </c>
      <c r="F72" s="670">
        <f t="shared" si="8"/>
        <v>0</v>
      </c>
      <c r="G72" s="495"/>
      <c r="H72" s="800">
        <v>0</v>
      </c>
      <c r="I72" s="495"/>
      <c r="J72" s="651">
        <v>0</v>
      </c>
      <c r="K72" s="495"/>
      <c r="L72" s="495">
        <f t="shared" si="7"/>
        <v>0</v>
      </c>
      <c r="M72" s="495"/>
      <c r="N72" s="495"/>
      <c r="O72" s="495"/>
      <c r="P72" s="495"/>
      <c r="Q72" s="489"/>
      <c r="R72" s="490"/>
    </row>
    <row r="73" spans="2:18">
      <c r="B73" s="488"/>
      <c r="C73" s="489" t="s">
        <v>22</v>
      </c>
      <c r="D73" s="493" t="s">
        <v>724</v>
      </c>
      <c r="E73" s="646">
        <v>2016</v>
      </c>
      <c r="F73" s="670">
        <f t="shared" si="8"/>
        <v>0</v>
      </c>
      <c r="G73" s="495"/>
      <c r="H73" s="800">
        <v>0</v>
      </c>
      <c r="I73" s="495"/>
      <c r="J73" s="651">
        <v>0</v>
      </c>
      <c r="K73" s="495"/>
      <c r="L73" s="495">
        <f t="shared" si="7"/>
        <v>0</v>
      </c>
      <c r="M73" s="495"/>
      <c r="N73" s="495"/>
      <c r="O73" s="495"/>
      <c r="P73" s="495"/>
      <c r="Q73" s="489"/>
      <c r="R73" s="490"/>
    </row>
    <row r="74" spans="2:18">
      <c r="B74" s="488"/>
      <c r="C74" s="489" t="s">
        <v>23</v>
      </c>
      <c r="D74" s="493" t="s">
        <v>724</v>
      </c>
      <c r="E74" s="646">
        <v>2016</v>
      </c>
      <c r="F74" s="670">
        <f t="shared" si="8"/>
        <v>0</v>
      </c>
      <c r="G74" s="495"/>
      <c r="H74" s="800">
        <v>0</v>
      </c>
      <c r="I74" s="495"/>
      <c r="J74" s="651">
        <v>0</v>
      </c>
      <c r="K74" s="495"/>
      <c r="L74" s="495">
        <f t="shared" si="7"/>
        <v>0</v>
      </c>
      <c r="M74" s="495"/>
      <c r="N74" s="495"/>
      <c r="O74" s="495"/>
      <c r="P74" s="495"/>
      <c r="Q74" s="489"/>
      <c r="R74" s="490"/>
    </row>
    <row r="75" spans="2:18">
      <c r="B75" s="488"/>
      <c r="C75" s="489" t="s">
        <v>24</v>
      </c>
      <c r="D75" s="493" t="s">
        <v>724</v>
      </c>
      <c r="E75" s="646">
        <v>2016</v>
      </c>
      <c r="F75" s="670">
        <f t="shared" si="8"/>
        <v>0</v>
      </c>
      <c r="G75" s="495"/>
      <c r="H75" s="800">
        <v>0</v>
      </c>
      <c r="I75" s="495"/>
      <c r="J75" s="651">
        <v>0</v>
      </c>
      <c r="K75" s="495"/>
      <c r="L75" s="495">
        <f t="shared" si="7"/>
        <v>0</v>
      </c>
      <c r="M75" s="495"/>
      <c r="N75" s="495"/>
      <c r="O75" s="495"/>
      <c r="P75" s="495"/>
      <c r="Q75" s="489"/>
      <c r="R75" s="490"/>
    </row>
    <row r="76" spans="2:18">
      <c r="B76" s="488"/>
      <c r="C76" s="489" t="s">
        <v>13</v>
      </c>
      <c r="D76" s="493" t="s">
        <v>724</v>
      </c>
      <c r="E76" s="646">
        <v>2016</v>
      </c>
      <c r="F76" s="670">
        <f t="shared" si="8"/>
        <v>0</v>
      </c>
      <c r="G76" s="384"/>
      <c r="H76" s="813">
        <v>0</v>
      </c>
      <c r="I76" s="384"/>
      <c r="J76" s="651">
        <v>0</v>
      </c>
      <c r="K76" s="384"/>
      <c r="L76" s="384">
        <f t="shared" si="7"/>
        <v>0</v>
      </c>
      <c r="M76" s="495"/>
      <c r="N76" s="495"/>
      <c r="O76" s="495"/>
      <c r="P76" s="495"/>
      <c r="Q76" s="489"/>
      <c r="R76" s="490"/>
    </row>
    <row r="77" spans="2:18">
      <c r="B77" s="488"/>
      <c r="C77" s="341" t="s">
        <v>573</v>
      </c>
      <c r="D77" s="489"/>
      <c r="E77" s="489"/>
      <c r="F77" s="713">
        <f>SUM(F64:F76)</f>
        <v>0</v>
      </c>
      <c r="G77" s="495"/>
      <c r="H77" s="388">
        <f>SUM(H64:H76)</f>
        <v>0</v>
      </c>
      <c r="I77" s="495"/>
      <c r="J77" s="713">
        <f>SUM(J64:J76)</f>
        <v>0</v>
      </c>
      <c r="K77" s="495"/>
      <c r="L77" s="388">
        <f>SUM(L64:L76)</f>
        <v>0</v>
      </c>
      <c r="M77" s="495"/>
      <c r="N77" s="388"/>
      <c r="O77" s="495"/>
      <c r="P77" s="388"/>
      <c r="R77" s="490"/>
    </row>
    <row r="78" spans="2:18">
      <c r="B78" s="488"/>
      <c r="C78" s="341"/>
      <c r="D78" s="489"/>
      <c r="E78" s="489"/>
      <c r="F78" s="388"/>
      <c r="G78" s="495"/>
      <c r="H78" s="388"/>
      <c r="I78" s="495"/>
      <c r="J78" s="388"/>
      <c r="K78" s="495"/>
      <c r="L78" s="388"/>
      <c r="M78" s="495"/>
      <c r="N78" s="388"/>
      <c r="O78" s="495"/>
      <c r="P78" s="388"/>
      <c r="Q78" s="489"/>
      <c r="R78" s="490"/>
    </row>
    <row r="79" spans="2:18">
      <c r="B79" s="488"/>
      <c r="C79" s="341" t="s">
        <v>1084</v>
      </c>
      <c r="D79" s="486" t="s">
        <v>251</v>
      </c>
      <c r="E79" s="493">
        <v>2015</v>
      </c>
      <c r="F79" s="495">
        <v>0</v>
      </c>
      <c r="G79" s="495"/>
      <c r="H79" s="388">
        <v>0</v>
      </c>
      <c r="I79" s="495"/>
      <c r="J79" s="388">
        <v>0</v>
      </c>
      <c r="K79" s="495"/>
      <c r="L79" s="388">
        <f>+F79+H79-J79</f>
        <v>0</v>
      </c>
      <c r="M79" s="495"/>
      <c r="N79" s="388"/>
      <c r="O79" s="495"/>
      <c r="P79" s="388"/>
      <c r="Q79" s="489"/>
      <c r="R79" s="490"/>
    </row>
    <row r="80" spans="2:18">
      <c r="B80" s="488"/>
      <c r="C80" s="341"/>
      <c r="D80" s="489"/>
      <c r="E80" s="489"/>
      <c r="F80" s="388"/>
      <c r="G80" s="495"/>
      <c r="H80" s="388"/>
      <c r="I80" s="495"/>
      <c r="J80" s="388"/>
      <c r="K80" s="495"/>
      <c r="L80" s="388"/>
      <c r="M80" s="495"/>
      <c r="N80" s="388"/>
      <c r="O80" s="495"/>
      <c r="P80" s="388"/>
      <c r="Q80" s="489"/>
      <c r="R80" s="490"/>
    </row>
    <row r="81" spans="2:18">
      <c r="B81" s="488"/>
      <c r="C81" s="341"/>
      <c r="D81" s="489"/>
      <c r="E81" s="489"/>
      <c r="F81" s="388"/>
      <c r="G81" s="495"/>
      <c r="H81" s="388"/>
      <c r="I81" s="495"/>
      <c r="J81" s="388"/>
      <c r="K81" s="495"/>
      <c r="L81" s="388">
        <f>+L77-L79</f>
        <v>0</v>
      </c>
      <c r="M81" s="489" t="s">
        <v>655</v>
      </c>
      <c r="N81" s="388"/>
      <c r="O81" s="495"/>
      <c r="P81" s="388"/>
      <c r="Q81" s="489"/>
      <c r="R81" s="490"/>
    </row>
    <row r="82" spans="2:18" ht="15" thickBot="1">
      <c r="B82" s="366"/>
      <c r="C82" s="367"/>
      <c r="D82" s="367"/>
      <c r="E82" s="367"/>
      <c r="F82" s="391"/>
      <c r="G82" s="402"/>
      <c r="H82" s="391"/>
      <c r="I82" s="402"/>
      <c r="J82" s="391"/>
      <c r="K82" s="402"/>
      <c r="L82" s="391"/>
      <c r="M82" s="402"/>
      <c r="N82" s="391"/>
      <c r="O82" s="402"/>
      <c r="P82" s="391"/>
      <c r="Q82" s="367"/>
      <c r="R82" s="368"/>
    </row>
    <row r="83" spans="2:18" ht="15" thickBot="1"/>
    <row r="84" spans="2:18" ht="15" thickBot="1">
      <c r="B84" s="411" t="s">
        <v>574</v>
      </c>
      <c r="F84" s="132">
        <f>2.57%/12</f>
        <v>2.1416666666666663E-3</v>
      </c>
    </row>
    <row r="85" spans="2:18">
      <c r="B85" s="411"/>
      <c r="F85" s="496"/>
    </row>
    <row r="86" spans="2:18">
      <c r="B86" s="201" t="s">
        <v>716</v>
      </c>
      <c r="C86" s="493" t="s">
        <v>717</v>
      </c>
      <c r="F86" s="496"/>
    </row>
    <row r="87" spans="2:18" s="497" customFormat="1" ht="15" thickBot="1">
      <c r="B87" s="102"/>
      <c r="F87" s="496"/>
      <c r="G87" s="383"/>
      <c r="H87" s="383"/>
      <c r="I87" s="383"/>
      <c r="J87" s="383"/>
      <c r="K87" s="383"/>
      <c r="L87" s="383"/>
      <c r="M87" s="383"/>
      <c r="N87" s="383"/>
      <c r="O87" s="383"/>
      <c r="P87" s="383"/>
    </row>
    <row r="88" spans="2:18" s="497" customFormat="1">
      <c r="B88" s="336" t="s">
        <v>819</v>
      </c>
      <c r="C88" s="360"/>
      <c r="D88" s="360"/>
      <c r="E88" s="360"/>
      <c r="F88" s="385"/>
      <c r="G88" s="407"/>
      <c r="H88" s="385"/>
      <c r="I88" s="407"/>
      <c r="J88" s="385"/>
      <c r="K88" s="407"/>
      <c r="L88" s="385"/>
      <c r="M88" s="407"/>
      <c r="N88" s="385"/>
      <c r="O88" s="407"/>
      <c r="P88" s="385"/>
      <c r="Q88" s="360"/>
      <c r="R88" s="361"/>
    </row>
    <row r="89" spans="2:18" s="497" customFormat="1">
      <c r="B89" s="488"/>
      <c r="C89" s="341" t="s">
        <v>584</v>
      </c>
      <c r="D89" s="489"/>
      <c r="E89" s="489"/>
      <c r="F89" s="388"/>
      <c r="G89" s="495"/>
      <c r="H89" s="388"/>
      <c r="I89" s="495"/>
      <c r="J89" s="388"/>
      <c r="K89" s="495"/>
      <c r="L89" s="388"/>
      <c r="M89" s="495"/>
      <c r="N89" s="388"/>
      <c r="O89" s="495"/>
      <c r="P89" s="388"/>
      <c r="Q89" s="489"/>
      <c r="R89" s="490"/>
    </row>
    <row r="90" spans="2:18" s="497" customFormat="1">
      <c r="B90" s="488"/>
      <c r="C90" s="296" t="s">
        <v>10</v>
      </c>
      <c r="D90" s="296" t="s">
        <v>11</v>
      </c>
      <c r="E90" s="296"/>
      <c r="F90" s="251"/>
      <c r="G90" s="408"/>
      <c r="H90" s="251"/>
      <c r="I90" s="408"/>
      <c r="J90" s="251"/>
      <c r="K90" s="408"/>
      <c r="L90" s="251"/>
      <c r="M90" s="408"/>
      <c r="N90" s="251"/>
      <c r="O90" s="408"/>
      <c r="P90" s="251"/>
      <c r="Q90" s="251"/>
      <c r="R90" s="490"/>
    </row>
    <row r="91" spans="2:18" s="497" customFormat="1">
      <c r="B91" s="488"/>
      <c r="C91" s="489"/>
      <c r="D91" s="489"/>
      <c r="E91" s="489"/>
      <c r="F91" s="495"/>
      <c r="G91" s="495"/>
      <c r="H91" s="495"/>
      <c r="I91" s="495"/>
      <c r="J91" s="495"/>
      <c r="K91" s="495"/>
      <c r="L91" s="495"/>
      <c r="M91" s="495"/>
      <c r="N91" s="495"/>
      <c r="O91" s="495"/>
      <c r="P91" s="495"/>
      <c r="Q91" s="495"/>
      <c r="R91" s="490"/>
    </row>
    <row r="92" spans="2:18" s="497" customFormat="1">
      <c r="B92" s="488"/>
      <c r="C92" s="489" t="s">
        <v>14</v>
      </c>
      <c r="D92" s="489" t="s">
        <v>724</v>
      </c>
      <c r="E92" s="489">
        <v>1</v>
      </c>
      <c r="F92" s="809"/>
      <c r="G92" s="495"/>
      <c r="H92" s="495"/>
      <c r="I92" s="495"/>
      <c r="J92" s="495"/>
      <c r="K92" s="495"/>
      <c r="L92" s="495"/>
      <c r="M92" s="495"/>
      <c r="N92" s="495"/>
      <c r="O92" s="495"/>
      <c r="P92" s="495"/>
      <c r="Q92" s="495"/>
      <c r="R92" s="490"/>
    </row>
    <row r="93" spans="2:18" s="497" customFormat="1">
      <c r="B93" s="488"/>
      <c r="C93" s="489" t="s">
        <v>15</v>
      </c>
      <c r="D93" s="489" t="s">
        <v>724</v>
      </c>
      <c r="E93" s="489">
        <v>2</v>
      </c>
      <c r="F93" s="809"/>
      <c r="G93" s="495"/>
      <c r="H93" s="495"/>
      <c r="I93" s="495"/>
      <c r="J93" s="495"/>
      <c r="K93" s="495"/>
      <c r="L93" s="495"/>
      <c r="M93" s="495"/>
      <c r="N93" s="495"/>
      <c r="O93" s="495"/>
      <c r="P93" s="495"/>
      <c r="Q93" s="495"/>
      <c r="R93" s="490"/>
    </row>
    <row r="94" spans="2:18" s="497" customFormat="1">
      <c r="B94" s="488"/>
      <c r="C94" s="489" t="s">
        <v>16</v>
      </c>
      <c r="D94" s="489" t="s">
        <v>724</v>
      </c>
      <c r="E94" s="489">
        <v>3</v>
      </c>
      <c r="F94" s="809"/>
      <c r="G94" s="495"/>
      <c r="H94" s="495"/>
      <c r="I94" s="495"/>
      <c r="J94" s="495"/>
      <c r="K94" s="495"/>
      <c r="L94" s="495"/>
      <c r="M94" s="495"/>
      <c r="N94" s="495"/>
      <c r="O94" s="495"/>
      <c r="P94" s="495"/>
      <c r="Q94" s="495"/>
      <c r="R94" s="490"/>
    </row>
    <row r="95" spans="2:18" s="497" customFormat="1">
      <c r="B95" s="488"/>
      <c r="C95" s="489" t="s">
        <v>17</v>
      </c>
      <c r="D95" s="489" t="s">
        <v>724</v>
      </c>
      <c r="E95" s="493">
        <v>4</v>
      </c>
      <c r="F95" s="809"/>
      <c r="G95" s="495"/>
      <c r="H95" s="495"/>
      <c r="I95" s="495"/>
      <c r="J95" s="495"/>
      <c r="K95" s="495"/>
      <c r="L95" s="495"/>
      <c r="M95" s="495"/>
      <c r="N95" s="495"/>
      <c r="O95" s="495"/>
      <c r="P95" s="495"/>
      <c r="Q95" s="495"/>
      <c r="R95" s="490"/>
    </row>
    <row r="96" spans="2:18" s="497" customFormat="1">
      <c r="B96" s="488"/>
      <c r="C96" s="489" t="s">
        <v>18</v>
      </c>
      <c r="D96" s="489" t="s">
        <v>724</v>
      </c>
      <c r="E96" s="493">
        <v>5</v>
      </c>
      <c r="F96" s="809"/>
      <c r="G96" s="495"/>
      <c r="H96" s="495"/>
      <c r="I96" s="495"/>
      <c r="J96" s="495"/>
      <c r="K96" s="495"/>
      <c r="L96" s="495"/>
      <c r="M96" s="495"/>
      <c r="N96" s="495"/>
      <c r="O96" s="495"/>
      <c r="P96" s="495"/>
      <c r="Q96" s="495"/>
      <c r="R96" s="490"/>
    </row>
    <row r="97" spans="2:18" s="497" customFormat="1">
      <c r="B97" s="488"/>
      <c r="C97" s="646" t="s">
        <v>19</v>
      </c>
      <c r="D97" s="646" t="s">
        <v>724</v>
      </c>
      <c r="E97" s="646">
        <v>6</v>
      </c>
      <c r="F97" s="809"/>
      <c r="G97" s="670"/>
      <c r="H97" s="670"/>
      <c r="I97" s="670"/>
      <c r="J97" s="670"/>
      <c r="K97" s="670"/>
      <c r="L97" s="670"/>
      <c r="M97" s="670"/>
      <c r="N97" s="670"/>
      <c r="O97" s="670"/>
      <c r="P97" s="670"/>
      <c r="Q97" s="495"/>
      <c r="R97" s="490"/>
    </row>
    <row r="98" spans="2:18" s="497" customFormat="1">
      <c r="B98" s="488"/>
      <c r="C98" s="646" t="s">
        <v>20</v>
      </c>
      <c r="D98" s="660" t="s">
        <v>724</v>
      </c>
      <c r="E98" s="660">
        <v>7</v>
      </c>
      <c r="F98" s="809"/>
      <c r="G98" s="670"/>
      <c r="H98" s="670"/>
      <c r="I98" s="670"/>
      <c r="J98" s="670"/>
      <c r="K98" s="670"/>
      <c r="L98" s="670"/>
      <c r="M98" s="670"/>
      <c r="N98" s="670"/>
      <c r="O98" s="670"/>
      <c r="P98" s="670"/>
      <c r="Q98" s="495"/>
      <c r="R98" s="490"/>
    </row>
    <row r="99" spans="2:18" s="497" customFormat="1">
      <c r="B99" s="488"/>
      <c r="C99" s="646" t="s">
        <v>21</v>
      </c>
      <c r="D99" s="660" t="s">
        <v>724</v>
      </c>
      <c r="E99" s="660">
        <v>8</v>
      </c>
      <c r="F99" s="809"/>
      <c r="G99" s="670"/>
      <c r="H99" s="670"/>
      <c r="I99" s="670"/>
      <c r="J99" s="670"/>
      <c r="K99" s="670"/>
      <c r="L99" s="670"/>
      <c r="M99" s="670"/>
      <c r="N99" s="670"/>
      <c r="O99" s="670"/>
      <c r="P99" s="670"/>
      <c r="Q99" s="495"/>
      <c r="R99" s="490"/>
    </row>
    <row r="100" spans="2:18" s="497" customFormat="1">
      <c r="B100" s="488"/>
      <c r="C100" s="489" t="s">
        <v>22</v>
      </c>
      <c r="D100" s="493" t="s">
        <v>724</v>
      </c>
      <c r="E100" s="493">
        <v>9</v>
      </c>
      <c r="F100" s="809"/>
      <c r="G100" s="495"/>
      <c r="H100" s="495"/>
      <c r="I100" s="495"/>
      <c r="J100" s="495"/>
      <c r="K100" s="495"/>
      <c r="L100" s="495"/>
      <c r="M100" s="495"/>
      <c r="N100" s="495"/>
      <c r="O100" s="495"/>
      <c r="P100" s="495"/>
      <c r="Q100" s="495"/>
      <c r="R100" s="490"/>
    </row>
    <row r="101" spans="2:18" s="497" customFormat="1">
      <c r="B101" s="488"/>
      <c r="C101" s="489" t="s">
        <v>23</v>
      </c>
      <c r="D101" s="493" t="s">
        <v>724</v>
      </c>
      <c r="E101" s="493">
        <v>10</v>
      </c>
      <c r="F101" s="809"/>
      <c r="G101" s="495"/>
      <c r="H101" s="495"/>
      <c r="I101" s="495"/>
      <c r="J101" s="495"/>
      <c r="K101" s="495"/>
      <c r="L101" s="495"/>
      <c r="M101" s="495"/>
      <c r="N101" s="495"/>
      <c r="O101" s="495"/>
      <c r="P101" s="495"/>
      <c r="Q101" s="495"/>
      <c r="R101" s="490"/>
    </row>
    <row r="102" spans="2:18" s="497" customFormat="1">
      <c r="B102" s="488"/>
      <c r="C102" s="489" t="s">
        <v>24</v>
      </c>
      <c r="D102" s="493" t="s">
        <v>724</v>
      </c>
      <c r="E102" s="493">
        <v>11</v>
      </c>
      <c r="F102" s="809"/>
      <c r="G102" s="495"/>
      <c r="H102" s="495"/>
      <c r="I102" s="495"/>
      <c r="J102" s="495"/>
      <c r="K102" s="495"/>
      <c r="L102" s="495"/>
      <c r="M102" s="495"/>
      <c r="N102" s="495"/>
      <c r="O102" s="495"/>
      <c r="P102" s="495"/>
      <c r="Q102" s="495"/>
      <c r="R102" s="490"/>
    </row>
    <row r="103" spans="2:18" s="497" customFormat="1">
      <c r="B103" s="488"/>
      <c r="C103" s="489" t="s">
        <v>13</v>
      </c>
      <c r="D103" s="493" t="s">
        <v>724</v>
      </c>
      <c r="E103" s="493">
        <v>12</v>
      </c>
      <c r="F103" s="809"/>
      <c r="G103" s="670"/>
      <c r="H103" s="670"/>
      <c r="I103" s="670"/>
      <c r="J103" s="670"/>
      <c r="K103" s="670"/>
      <c r="L103" s="670"/>
      <c r="M103" s="670"/>
      <c r="N103" s="670"/>
      <c r="O103" s="670"/>
      <c r="P103" s="670"/>
      <c r="Q103" s="670"/>
      <c r="R103" s="490"/>
    </row>
    <row r="104" spans="2:18" s="668" customFormat="1">
      <c r="B104" s="644"/>
      <c r="C104" s="646" t="s">
        <v>1798</v>
      </c>
      <c r="D104" s="660"/>
      <c r="E104" s="660"/>
      <c r="F104" s="809"/>
      <c r="G104" s="670"/>
      <c r="H104" s="670"/>
      <c r="I104" s="670"/>
      <c r="J104" s="670"/>
      <c r="K104" s="670"/>
      <c r="L104" s="670"/>
      <c r="M104" s="670"/>
      <c r="N104" s="670"/>
      <c r="O104" s="670"/>
      <c r="P104" s="670"/>
      <c r="Q104" s="670"/>
      <c r="R104" s="648"/>
    </row>
    <row r="105" spans="2:18" s="497" customFormat="1">
      <c r="B105" s="488"/>
      <c r="C105" s="341" t="s">
        <v>585</v>
      </c>
      <c r="D105" s="489"/>
      <c r="E105" s="489"/>
      <c r="F105" s="713">
        <f>+SUM(F92:F104)</f>
        <v>0</v>
      </c>
      <c r="G105" s="409"/>
      <c r="H105" s="713"/>
      <c r="I105" s="409"/>
      <c r="J105" s="713"/>
      <c r="K105" s="409"/>
      <c r="L105" s="713"/>
      <c r="M105" s="495"/>
      <c r="N105" s="388"/>
      <c r="O105" s="495"/>
      <c r="P105" s="388"/>
      <c r="Q105" s="388"/>
      <c r="R105" s="490"/>
    </row>
    <row r="106" spans="2:18" s="497" customFormat="1">
      <c r="B106" s="488"/>
      <c r="C106" s="341"/>
      <c r="D106" s="489"/>
      <c r="E106" s="489"/>
      <c r="F106" s="388"/>
      <c r="G106" s="495"/>
      <c r="H106" s="388"/>
      <c r="I106" s="495"/>
      <c r="J106" s="388"/>
      <c r="K106" s="495"/>
      <c r="L106" s="388"/>
      <c r="M106" s="495"/>
      <c r="N106" s="388"/>
      <c r="O106" s="495"/>
      <c r="P106" s="388"/>
      <c r="Q106" s="388"/>
      <c r="R106" s="490"/>
    </row>
    <row r="107" spans="2:18" s="497" customFormat="1" ht="15" thickBot="1">
      <c r="B107" s="366"/>
      <c r="C107" s="367"/>
      <c r="D107" s="367"/>
      <c r="E107" s="367"/>
      <c r="F107" s="391"/>
      <c r="G107" s="402"/>
      <c r="H107" s="391"/>
      <c r="I107" s="402"/>
      <c r="J107" s="391"/>
      <c r="K107" s="402"/>
      <c r="L107" s="391"/>
      <c r="M107" s="402"/>
      <c r="N107" s="391"/>
      <c r="O107" s="402"/>
      <c r="P107" s="391"/>
      <c r="Q107" s="367"/>
      <c r="R107" s="368"/>
    </row>
    <row r="108" spans="2:18" s="497" customFormat="1">
      <c r="B108" s="489"/>
      <c r="C108" s="489"/>
      <c r="D108" s="489"/>
      <c r="E108" s="489"/>
      <c r="F108" s="388"/>
      <c r="G108" s="495"/>
      <c r="H108" s="388"/>
      <c r="I108" s="495"/>
      <c r="J108" s="388"/>
      <c r="K108" s="495"/>
      <c r="L108" s="388"/>
      <c r="M108" s="495"/>
      <c r="N108" s="388"/>
      <c r="O108" s="495"/>
      <c r="P108" s="388"/>
      <c r="Q108" s="489"/>
      <c r="R108" s="489"/>
    </row>
    <row r="109" spans="2:18" s="497" customFormat="1">
      <c r="B109" s="201" t="s">
        <v>718</v>
      </c>
      <c r="C109" s="489" t="s">
        <v>947</v>
      </c>
      <c r="D109" s="489"/>
      <c r="E109" s="489"/>
      <c r="F109" s="388"/>
      <c r="G109" s="495"/>
      <c r="H109" s="388"/>
      <c r="I109" s="495"/>
      <c r="J109" s="388"/>
      <c r="K109" s="495"/>
      <c r="L109" s="388"/>
      <c r="M109" s="495"/>
      <c r="N109" s="388"/>
      <c r="O109" s="495"/>
      <c r="P109" s="388"/>
      <c r="Q109" s="489"/>
      <c r="R109" s="489"/>
    </row>
    <row r="110" spans="2:18" s="497" customFormat="1">
      <c r="C110" s="489" t="s">
        <v>719</v>
      </c>
      <c r="D110" s="489"/>
      <c r="E110" s="489"/>
      <c r="F110" s="388"/>
      <c r="G110" s="495"/>
      <c r="H110" s="388"/>
      <c r="I110" s="495"/>
      <c r="J110" s="388"/>
      <c r="K110" s="495"/>
      <c r="L110" s="388"/>
      <c r="M110" s="495"/>
      <c r="N110" s="388"/>
      <c r="O110" s="495"/>
      <c r="P110" s="388"/>
      <c r="Q110" s="489"/>
      <c r="R110" s="489"/>
    </row>
    <row r="111" spans="2:18" s="497" customFormat="1">
      <c r="C111" s="489" t="s">
        <v>720</v>
      </c>
      <c r="D111" s="489"/>
      <c r="E111" s="489"/>
      <c r="F111" s="388"/>
      <c r="G111" s="495"/>
      <c r="H111" s="388"/>
      <c r="I111" s="495"/>
      <c r="J111" s="388"/>
      <c r="K111" s="495"/>
      <c r="L111" s="388"/>
      <c r="M111" s="495"/>
      <c r="N111" s="388"/>
      <c r="O111" s="495"/>
      <c r="P111" s="388"/>
      <c r="Q111" s="489"/>
      <c r="R111" s="489"/>
    </row>
    <row r="112" spans="2:18" s="497" customFormat="1" ht="15" thickBot="1">
      <c r="B112" s="102"/>
      <c r="F112" s="496"/>
      <c r="G112" s="383"/>
      <c r="H112" s="383"/>
      <c r="I112" s="383"/>
      <c r="J112" s="383"/>
      <c r="K112" s="383"/>
      <c r="L112" s="383"/>
      <c r="M112" s="383"/>
      <c r="N112" s="383"/>
      <c r="O112" s="383"/>
      <c r="P112" s="383"/>
    </row>
    <row r="113" spans="2:18">
      <c r="B113" s="336" t="s">
        <v>575</v>
      </c>
      <c r="C113" s="360"/>
      <c r="D113" s="360"/>
      <c r="E113" s="360"/>
      <c r="F113" s="385"/>
      <c r="G113" s="407"/>
      <c r="H113" s="385"/>
      <c r="I113" s="407"/>
      <c r="J113" s="385"/>
      <c r="K113" s="407"/>
      <c r="L113" s="385"/>
      <c r="M113" s="407"/>
      <c r="N113" s="385"/>
      <c r="O113" s="407"/>
      <c r="P113" s="385"/>
      <c r="Q113" s="360"/>
      <c r="R113" s="361"/>
    </row>
    <row r="114" spans="2:18">
      <c r="B114" s="488"/>
      <c r="C114" s="341" t="s">
        <v>2</v>
      </c>
      <c r="D114" s="489"/>
      <c r="E114" s="489"/>
      <c r="F114" s="388"/>
      <c r="G114" s="495"/>
      <c r="H114" s="388"/>
      <c r="I114" s="495"/>
      <c r="J114" s="388"/>
      <c r="K114" s="495"/>
      <c r="L114" s="388"/>
      <c r="M114" s="495"/>
      <c r="N114" s="388"/>
      <c r="O114" s="495"/>
      <c r="P114" s="388"/>
      <c r="Q114" s="489"/>
      <c r="R114" s="490"/>
    </row>
    <row r="115" spans="2:18">
      <c r="B115" s="488"/>
      <c r="C115" s="296" t="s">
        <v>10</v>
      </c>
      <c r="D115" s="296" t="s">
        <v>11</v>
      </c>
      <c r="E115" s="296"/>
      <c r="F115" s="251" t="s">
        <v>563</v>
      </c>
      <c r="G115" s="408"/>
      <c r="H115" s="251" t="s">
        <v>564</v>
      </c>
      <c r="I115" s="408"/>
      <c r="J115" s="251" t="s">
        <v>565</v>
      </c>
      <c r="K115" s="408"/>
      <c r="L115" s="251" t="s">
        <v>566</v>
      </c>
      <c r="M115" s="408"/>
      <c r="N115" s="251" t="s">
        <v>567</v>
      </c>
      <c r="O115" s="408"/>
      <c r="P115" s="251" t="s">
        <v>964</v>
      </c>
      <c r="Q115" s="489"/>
      <c r="R115" s="490"/>
    </row>
    <row r="116" spans="2:18">
      <c r="B116" s="488"/>
      <c r="C116" s="489" t="s">
        <v>13</v>
      </c>
      <c r="D116" s="489" t="s">
        <v>27</v>
      </c>
      <c r="E116" s="489"/>
      <c r="F116" s="491">
        <v>0</v>
      </c>
      <c r="G116" s="495"/>
      <c r="H116" s="491">
        <v>0</v>
      </c>
      <c r="I116" s="495"/>
      <c r="J116" s="491">
        <v>0</v>
      </c>
      <c r="K116" s="495"/>
      <c r="L116" s="491">
        <v>0</v>
      </c>
      <c r="M116" s="495"/>
      <c r="N116" s="491">
        <v>0</v>
      </c>
      <c r="O116" s="495"/>
      <c r="P116" s="491">
        <v>0</v>
      </c>
      <c r="Q116" s="489"/>
      <c r="R116" s="490"/>
    </row>
    <row r="117" spans="2:18">
      <c r="B117" s="488"/>
      <c r="C117" s="489" t="s">
        <v>14</v>
      </c>
      <c r="D117" s="489" t="s">
        <v>27</v>
      </c>
      <c r="E117" s="489"/>
      <c r="F117" s="491">
        <v>0</v>
      </c>
      <c r="G117" s="495"/>
      <c r="H117" s="491">
        <v>0</v>
      </c>
      <c r="I117" s="495"/>
      <c r="J117" s="491">
        <v>0</v>
      </c>
      <c r="K117" s="495"/>
      <c r="L117" s="491">
        <v>0</v>
      </c>
      <c r="M117" s="495"/>
      <c r="N117" s="491">
        <v>0</v>
      </c>
      <c r="O117" s="495"/>
      <c r="P117" s="491">
        <v>0</v>
      </c>
      <c r="Q117" s="489"/>
      <c r="R117" s="490"/>
    </row>
    <row r="118" spans="2:18">
      <c r="B118" s="488"/>
      <c r="C118" s="489" t="s">
        <v>15</v>
      </c>
      <c r="D118" s="489" t="s">
        <v>27</v>
      </c>
      <c r="E118" s="489"/>
      <c r="F118" s="491">
        <v>0</v>
      </c>
      <c r="G118" s="495"/>
      <c r="H118" s="491">
        <v>0</v>
      </c>
      <c r="I118" s="495"/>
      <c r="J118" s="491">
        <v>0</v>
      </c>
      <c r="K118" s="495"/>
      <c r="L118" s="491">
        <v>0</v>
      </c>
      <c r="M118" s="495"/>
      <c r="N118" s="491">
        <v>0</v>
      </c>
      <c r="O118" s="495"/>
      <c r="P118" s="491">
        <v>0</v>
      </c>
      <c r="Q118" s="489"/>
      <c r="R118" s="490"/>
    </row>
    <row r="119" spans="2:18">
      <c r="B119" s="488"/>
      <c r="C119" s="489" t="s">
        <v>16</v>
      </c>
      <c r="D119" s="489" t="s">
        <v>27</v>
      </c>
      <c r="E119" s="489"/>
      <c r="F119" s="491">
        <v>0</v>
      </c>
      <c r="G119" s="495"/>
      <c r="H119" s="491">
        <v>0</v>
      </c>
      <c r="I119" s="495"/>
      <c r="J119" s="491">
        <v>0</v>
      </c>
      <c r="K119" s="495"/>
      <c r="L119" s="491">
        <v>0</v>
      </c>
      <c r="M119" s="495"/>
      <c r="N119" s="491">
        <v>0</v>
      </c>
      <c r="O119" s="495"/>
      <c r="P119" s="491">
        <v>0</v>
      </c>
      <c r="Q119" s="489"/>
      <c r="R119" s="490"/>
    </row>
    <row r="120" spans="2:18">
      <c r="B120" s="488"/>
      <c r="C120" s="489" t="s">
        <v>17</v>
      </c>
      <c r="D120" s="489" t="s">
        <v>27</v>
      </c>
      <c r="E120" s="489"/>
      <c r="F120" s="491">
        <v>0</v>
      </c>
      <c r="G120" s="495"/>
      <c r="H120" s="491">
        <v>0</v>
      </c>
      <c r="I120" s="495"/>
      <c r="J120" s="491">
        <v>0</v>
      </c>
      <c r="K120" s="495"/>
      <c r="L120" s="491">
        <v>0</v>
      </c>
      <c r="M120" s="495"/>
      <c r="N120" s="491">
        <v>0</v>
      </c>
      <c r="O120" s="495"/>
      <c r="P120" s="491">
        <v>0</v>
      </c>
      <c r="Q120" s="489"/>
      <c r="R120" s="490"/>
    </row>
    <row r="121" spans="2:18">
      <c r="B121" s="488"/>
      <c r="C121" s="489" t="s">
        <v>18</v>
      </c>
      <c r="D121" s="489" t="s">
        <v>27</v>
      </c>
      <c r="E121" s="489"/>
      <c r="F121" s="491">
        <v>0</v>
      </c>
      <c r="G121" s="495"/>
      <c r="H121" s="491">
        <v>0</v>
      </c>
      <c r="I121" s="495"/>
      <c r="J121" s="491">
        <v>0</v>
      </c>
      <c r="K121" s="495"/>
      <c r="L121" s="491">
        <v>0</v>
      </c>
      <c r="M121" s="495"/>
      <c r="N121" s="491">
        <v>0</v>
      </c>
      <c r="O121" s="495"/>
      <c r="P121" s="491">
        <v>0</v>
      </c>
      <c r="Q121" s="489"/>
      <c r="R121" s="490"/>
    </row>
    <row r="122" spans="2:18">
      <c r="B122" s="488"/>
      <c r="C122" s="489" t="s">
        <v>19</v>
      </c>
      <c r="D122" s="489" t="s">
        <v>27</v>
      </c>
      <c r="E122" s="489"/>
      <c r="F122" s="491">
        <v>0</v>
      </c>
      <c r="G122" s="495"/>
      <c r="H122" s="491">
        <v>0</v>
      </c>
      <c r="I122" s="495"/>
      <c r="J122" s="491">
        <v>0</v>
      </c>
      <c r="K122" s="495"/>
      <c r="L122" s="491">
        <v>0</v>
      </c>
      <c r="M122" s="495"/>
      <c r="N122" s="491">
        <v>0</v>
      </c>
      <c r="O122" s="495"/>
      <c r="P122" s="491">
        <v>0</v>
      </c>
      <c r="Q122" s="489"/>
      <c r="R122" s="490"/>
    </row>
    <row r="123" spans="2:18">
      <c r="B123" s="488"/>
      <c r="C123" s="489" t="s">
        <v>20</v>
      </c>
      <c r="D123" s="489" t="s">
        <v>27</v>
      </c>
      <c r="E123" s="489"/>
      <c r="F123" s="491">
        <v>0</v>
      </c>
      <c r="G123" s="495"/>
      <c r="H123" s="491">
        <v>0</v>
      </c>
      <c r="I123" s="495"/>
      <c r="J123" s="491">
        <v>0</v>
      </c>
      <c r="K123" s="495"/>
      <c r="L123" s="491">
        <v>0</v>
      </c>
      <c r="M123" s="495"/>
      <c r="N123" s="491">
        <v>0</v>
      </c>
      <c r="O123" s="495"/>
      <c r="P123" s="491">
        <v>0</v>
      </c>
      <c r="Q123" s="489"/>
      <c r="R123" s="490"/>
    </row>
    <row r="124" spans="2:18">
      <c r="B124" s="488"/>
      <c r="C124" s="489" t="s">
        <v>21</v>
      </c>
      <c r="D124" s="489" t="s">
        <v>27</v>
      </c>
      <c r="E124" s="489"/>
      <c r="F124" s="491">
        <v>0</v>
      </c>
      <c r="G124" s="495"/>
      <c r="H124" s="491">
        <v>0</v>
      </c>
      <c r="I124" s="495"/>
      <c r="J124" s="491">
        <v>0</v>
      </c>
      <c r="K124" s="495"/>
      <c r="L124" s="491">
        <v>0</v>
      </c>
      <c r="M124" s="495"/>
      <c r="N124" s="491">
        <v>0</v>
      </c>
      <c r="O124" s="495"/>
      <c r="P124" s="491">
        <v>0</v>
      </c>
      <c r="Q124" s="489"/>
      <c r="R124" s="490"/>
    </row>
    <row r="125" spans="2:18">
      <c r="B125" s="488"/>
      <c r="C125" s="489" t="s">
        <v>22</v>
      </c>
      <c r="D125" s="489" t="s">
        <v>27</v>
      </c>
      <c r="E125" s="489"/>
      <c r="F125" s="491">
        <v>0</v>
      </c>
      <c r="G125" s="495"/>
      <c r="H125" s="491">
        <v>0</v>
      </c>
      <c r="I125" s="495"/>
      <c r="J125" s="491">
        <v>0</v>
      </c>
      <c r="K125" s="495"/>
      <c r="L125" s="491">
        <v>0</v>
      </c>
      <c r="M125" s="495"/>
      <c r="N125" s="491">
        <v>0</v>
      </c>
      <c r="O125" s="495"/>
      <c r="P125" s="491">
        <v>0</v>
      </c>
      <c r="Q125" s="489"/>
      <c r="R125" s="490"/>
    </row>
    <row r="126" spans="2:18">
      <c r="B126" s="488"/>
      <c r="C126" s="489" t="s">
        <v>23</v>
      </c>
      <c r="D126" s="489" t="s">
        <v>27</v>
      </c>
      <c r="E126" s="489"/>
      <c r="F126" s="491">
        <v>0</v>
      </c>
      <c r="G126" s="495"/>
      <c r="H126" s="491">
        <v>0</v>
      </c>
      <c r="I126" s="495"/>
      <c r="J126" s="491">
        <v>0</v>
      </c>
      <c r="K126" s="495"/>
      <c r="L126" s="491">
        <v>0</v>
      </c>
      <c r="M126" s="495"/>
      <c r="N126" s="491">
        <v>0</v>
      </c>
      <c r="O126" s="495"/>
      <c r="P126" s="491">
        <v>0</v>
      </c>
      <c r="Q126" s="489"/>
      <c r="R126" s="490"/>
    </row>
    <row r="127" spans="2:18">
      <c r="B127" s="488"/>
      <c r="C127" s="489" t="s">
        <v>24</v>
      </c>
      <c r="D127" s="489" t="s">
        <v>27</v>
      </c>
      <c r="E127" s="489"/>
      <c r="F127" s="491">
        <v>0</v>
      </c>
      <c r="G127" s="495"/>
      <c r="H127" s="491">
        <v>0</v>
      </c>
      <c r="I127" s="495"/>
      <c r="J127" s="491">
        <v>0</v>
      </c>
      <c r="K127" s="495"/>
      <c r="L127" s="491">
        <v>0</v>
      </c>
      <c r="M127" s="495"/>
      <c r="N127" s="491">
        <v>0</v>
      </c>
      <c r="O127" s="495"/>
      <c r="P127" s="491">
        <v>0</v>
      </c>
      <c r="Q127" s="489"/>
      <c r="R127" s="490"/>
    </row>
    <row r="128" spans="2:18">
      <c r="B128" s="488"/>
      <c r="C128" s="489" t="s">
        <v>13</v>
      </c>
      <c r="D128" s="489" t="s">
        <v>27</v>
      </c>
      <c r="E128" s="489"/>
      <c r="F128" s="487">
        <v>0</v>
      </c>
      <c r="G128" s="384"/>
      <c r="H128" s="487">
        <v>0</v>
      </c>
      <c r="I128" s="384"/>
      <c r="J128" s="487">
        <v>0</v>
      </c>
      <c r="K128" s="384"/>
      <c r="L128" s="487">
        <v>0</v>
      </c>
      <c r="M128" s="384"/>
      <c r="N128" s="487">
        <v>0</v>
      </c>
      <c r="O128" s="384"/>
      <c r="P128" s="487">
        <v>0</v>
      </c>
      <c r="Q128" s="489"/>
      <c r="R128" s="490"/>
    </row>
    <row r="129" spans="2:18">
      <c r="B129" s="488"/>
      <c r="C129" s="341" t="s">
        <v>28</v>
      </c>
      <c r="D129" s="489"/>
      <c r="E129" s="489"/>
      <c r="F129" s="388">
        <f t="shared" ref="F129:N129" si="9">AVERAGE(F116:F128)</f>
        <v>0</v>
      </c>
      <c r="G129" s="495"/>
      <c r="H129" s="388">
        <f t="shared" si="9"/>
        <v>0</v>
      </c>
      <c r="I129" s="495"/>
      <c r="J129" s="388">
        <f t="shared" si="9"/>
        <v>0</v>
      </c>
      <c r="K129" s="495"/>
      <c r="L129" s="388">
        <f t="shared" si="9"/>
        <v>0</v>
      </c>
      <c r="M129" s="495"/>
      <c r="N129" s="388">
        <f t="shared" si="9"/>
        <v>0</v>
      </c>
      <c r="O129" s="495"/>
      <c r="P129" s="388">
        <f>AVERAGE(P116:P128)</f>
        <v>0</v>
      </c>
      <c r="Q129" s="489"/>
      <c r="R129" s="490"/>
    </row>
    <row r="130" spans="2:18">
      <c r="B130" s="488"/>
      <c r="C130" s="341"/>
      <c r="D130" s="489"/>
      <c r="E130" s="489"/>
      <c r="F130" s="388"/>
      <c r="G130" s="495"/>
      <c r="H130" s="388"/>
      <c r="I130" s="495"/>
      <c r="J130" s="388"/>
      <c r="K130" s="495"/>
      <c r="L130" s="388"/>
      <c r="M130" s="495"/>
      <c r="N130" s="388"/>
      <c r="O130" s="495"/>
      <c r="P130" s="388"/>
      <c r="Q130" s="489"/>
      <c r="R130" s="490"/>
    </row>
    <row r="131" spans="2:18">
      <c r="B131" s="488"/>
      <c r="C131" s="494" t="s">
        <v>578</v>
      </c>
      <c r="D131" s="489"/>
      <c r="E131" s="489"/>
      <c r="F131" s="388"/>
      <c r="G131" s="495"/>
      <c r="H131" s="388"/>
      <c r="I131" s="495"/>
      <c r="J131" s="388"/>
      <c r="K131" s="495"/>
      <c r="L131" s="388"/>
      <c r="M131" s="495"/>
      <c r="N131" s="388"/>
      <c r="O131" s="495"/>
      <c r="P131" s="388"/>
      <c r="Q131" s="489" t="s">
        <v>721</v>
      </c>
      <c r="R131" s="490"/>
    </row>
    <row r="132" spans="2:18">
      <c r="B132" s="488"/>
      <c r="C132" s="494"/>
      <c r="D132" s="489"/>
      <c r="E132" s="489"/>
      <c r="F132" s="388"/>
      <c r="G132" s="495"/>
      <c r="H132" s="388"/>
      <c r="I132" s="495"/>
      <c r="J132" s="388"/>
      <c r="K132" s="495"/>
      <c r="L132" s="388"/>
      <c r="M132" s="495"/>
      <c r="N132" s="388"/>
      <c r="O132" s="495"/>
      <c r="P132" s="388"/>
      <c r="Q132" s="489"/>
      <c r="R132" s="490"/>
    </row>
    <row r="133" spans="2:18">
      <c r="B133" s="488"/>
      <c r="C133" s="494" t="s">
        <v>579</v>
      </c>
      <c r="D133" s="489"/>
      <c r="E133" s="489"/>
      <c r="F133" s="388"/>
      <c r="G133" s="495"/>
      <c r="H133" s="388"/>
      <c r="I133" s="495"/>
      <c r="J133" s="388"/>
      <c r="K133" s="495"/>
      <c r="L133" s="388"/>
      <c r="M133" s="495"/>
      <c r="N133" s="388"/>
      <c r="O133" s="495"/>
      <c r="P133" s="388"/>
      <c r="Q133" s="489" t="s">
        <v>640</v>
      </c>
      <c r="R133" s="490"/>
    </row>
    <row r="134" spans="2:18" ht="15" thickBot="1">
      <c r="B134" s="366"/>
      <c r="C134" s="367"/>
      <c r="D134" s="367"/>
      <c r="E134" s="367"/>
      <c r="F134" s="391"/>
      <c r="G134" s="402"/>
      <c r="H134" s="391"/>
      <c r="I134" s="402"/>
      <c r="J134" s="391"/>
      <c r="K134" s="402"/>
      <c r="L134" s="391"/>
      <c r="M134" s="402"/>
      <c r="N134" s="391"/>
      <c r="O134" s="402"/>
      <c r="P134" s="391"/>
      <c r="Q134" s="367"/>
      <c r="R134" s="368"/>
    </row>
    <row r="135" spans="2:18" ht="15" thickBot="1"/>
    <row r="136" spans="2:18">
      <c r="B136" s="336" t="s">
        <v>576</v>
      </c>
      <c r="C136" s="360"/>
      <c r="D136" s="360"/>
      <c r="E136" s="360"/>
      <c r="F136" s="385"/>
      <c r="G136" s="407"/>
      <c r="H136" s="385"/>
      <c r="I136" s="407"/>
      <c r="J136" s="385"/>
      <c r="K136" s="407"/>
      <c r="L136" s="385"/>
      <c r="M136" s="407"/>
      <c r="N136" s="385"/>
      <c r="O136" s="407"/>
      <c r="P136" s="385"/>
      <c r="Q136" s="360"/>
      <c r="R136" s="361"/>
    </row>
    <row r="137" spans="2:18">
      <c r="B137" s="488"/>
      <c r="C137" s="341" t="s">
        <v>76</v>
      </c>
      <c r="D137" s="489"/>
      <c r="E137" s="489"/>
      <c r="F137" s="388"/>
      <c r="G137" s="495"/>
      <c r="H137" s="388"/>
      <c r="I137" s="495"/>
      <c r="J137" s="388"/>
      <c r="K137" s="495"/>
      <c r="L137" s="388"/>
      <c r="M137" s="495"/>
      <c r="N137" s="388"/>
      <c r="O137" s="495"/>
      <c r="P137" s="388"/>
      <c r="Q137" s="489"/>
      <c r="R137" s="490"/>
    </row>
    <row r="138" spans="2:18">
      <c r="B138" s="488"/>
      <c r="C138" s="296" t="s">
        <v>10</v>
      </c>
      <c r="D138" s="296" t="s">
        <v>11</v>
      </c>
      <c r="E138" s="296"/>
      <c r="F138" s="251" t="s">
        <v>563</v>
      </c>
      <c r="G138" s="408"/>
      <c r="H138" s="251" t="s">
        <v>564</v>
      </c>
      <c r="I138" s="408"/>
      <c r="J138" s="251" t="s">
        <v>565</v>
      </c>
      <c r="K138" s="408"/>
      <c r="L138" s="251" t="s">
        <v>566</v>
      </c>
      <c r="M138" s="408"/>
      <c r="N138" s="251" t="s">
        <v>567</v>
      </c>
      <c r="O138" s="408"/>
      <c r="P138" s="251" t="s">
        <v>964</v>
      </c>
      <c r="Q138" s="489"/>
      <c r="R138" s="490"/>
    </row>
    <row r="139" spans="2:18">
      <c r="B139" s="488"/>
      <c r="C139" s="489" t="s">
        <v>13</v>
      </c>
      <c r="D139" s="489" t="s">
        <v>27</v>
      </c>
      <c r="E139" s="489"/>
      <c r="F139" s="495">
        <v>0</v>
      </c>
      <c r="G139" s="495"/>
      <c r="H139" s="495">
        <v>0</v>
      </c>
      <c r="I139" s="495"/>
      <c r="J139" s="495">
        <v>0</v>
      </c>
      <c r="K139" s="495"/>
      <c r="L139" s="495">
        <v>0</v>
      </c>
      <c r="M139" s="495"/>
      <c r="N139" s="495">
        <v>0</v>
      </c>
      <c r="O139" s="495"/>
      <c r="P139" s="495">
        <v>0</v>
      </c>
      <c r="Q139" s="489"/>
      <c r="R139" s="490"/>
    </row>
    <row r="140" spans="2:18">
      <c r="B140" s="488"/>
      <c r="C140" s="489" t="s">
        <v>14</v>
      </c>
      <c r="D140" s="489" t="s">
        <v>27</v>
      </c>
      <c r="E140" s="489"/>
      <c r="F140" s="495">
        <f>+-F187</f>
        <v>0</v>
      </c>
      <c r="G140" s="495"/>
      <c r="H140" s="495">
        <f t="shared" ref="H140:N140" si="10">+-H187</f>
        <v>0</v>
      </c>
      <c r="I140" s="495"/>
      <c r="J140" s="495">
        <f t="shared" si="10"/>
        <v>0</v>
      </c>
      <c r="K140" s="495"/>
      <c r="L140" s="495">
        <f t="shared" si="10"/>
        <v>0</v>
      </c>
      <c r="M140" s="495"/>
      <c r="N140" s="495">
        <f t="shared" si="10"/>
        <v>0</v>
      </c>
      <c r="O140" s="495"/>
      <c r="P140" s="495">
        <f>+-P187</f>
        <v>0</v>
      </c>
      <c r="Q140" s="489"/>
      <c r="R140" s="490"/>
    </row>
    <row r="141" spans="2:18">
      <c r="B141" s="488"/>
      <c r="C141" s="489" t="s">
        <v>15</v>
      </c>
      <c r="D141" s="489" t="s">
        <v>27</v>
      </c>
      <c r="E141" s="489"/>
      <c r="F141" s="495">
        <f t="shared" ref="F141:F151" si="11">+F140-F188</f>
        <v>0</v>
      </c>
      <c r="G141" s="495"/>
      <c r="H141" s="495">
        <f t="shared" ref="H141:H151" si="12">+H140-H188</f>
        <v>0</v>
      </c>
      <c r="I141" s="495"/>
      <c r="J141" s="495">
        <f t="shared" ref="J141:J151" si="13">+J140-J188</f>
        <v>0</v>
      </c>
      <c r="K141" s="495"/>
      <c r="L141" s="495">
        <f t="shared" ref="L141:L151" si="14">+L140-L188</f>
        <v>0</v>
      </c>
      <c r="M141" s="495"/>
      <c r="N141" s="495">
        <f t="shared" ref="N141:P151" si="15">+N140-N188</f>
        <v>0</v>
      </c>
      <c r="O141" s="495"/>
      <c r="P141" s="495">
        <f t="shared" si="15"/>
        <v>0</v>
      </c>
      <c r="Q141" s="489"/>
      <c r="R141" s="490"/>
    </row>
    <row r="142" spans="2:18">
      <c r="B142" s="488"/>
      <c r="C142" s="489" t="s">
        <v>16</v>
      </c>
      <c r="D142" s="489" t="s">
        <v>27</v>
      </c>
      <c r="E142" s="489"/>
      <c r="F142" s="495">
        <f t="shared" si="11"/>
        <v>0</v>
      </c>
      <c r="G142" s="495"/>
      <c r="H142" s="495">
        <f t="shared" si="12"/>
        <v>0</v>
      </c>
      <c r="I142" s="495"/>
      <c r="J142" s="495">
        <f t="shared" si="13"/>
        <v>0</v>
      </c>
      <c r="K142" s="495"/>
      <c r="L142" s="495">
        <f t="shared" si="14"/>
        <v>0</v>
      </c>
      <c r="M142" s="495"/>
      <c r="N142" s="495">
        <f t="shared" si="15"/>
        <v>0</v>
      </c>
      <c r="O142" s="495"/>
      <c r="P142" s="495">
        <f t="shared" si="15"/>
        <v>0</v>
      </c>
      <c r="Q142" s="489"/>
      <c r="R142" s="490"/>
    </row>
    <row r="143" spans="2:18">
      <c r="B143" s="488"/>
      <c r="C143" s="489" t="s">
        <v>17</v>
      </c>
      <c r="D143" s="489" t="s">
        <v>27</v>
      </c>
      <c r="E143" s="489"/>
      <c r="F143" s="495">
        <f t="shared" si="11"/>
        <v>0</v>
      </c>
      <c r="G143" s="495"/>
      <c r="H143" s="495">
        <f t="shared" si="12"/>
        <v>0</v>
      </c>
      <c r="I143" s="495"/>
      <c r="J143" s="495">
        <f t="shared" si="13"/>
        <v>0</v>
      </c>
      <c r="K143" s="495"/>
      <c r="L143" s="495">
        <f t="shared" si="14"/>
        <v>0</v>
      </c>
      <c r="M143" s="495"/>
      <c r="N143" s="495">
        <f t="shared" si="15"/>
        <v>0</v>
      </c>
      <c r="O143" s="495"/>
      <c r="P143" s="495">
        <f t="shared" si="15"/>
        <v>0</v>
      </c>
      <c r="Q143" s="489"/>
      <c r="R143" s="490"/>
    </row>
    <row r="144" spans="2:18">
      <c r="B144" s="488"/>
      <c r="C144" s="489" t="s">
        <v>18</v>
      </c>
      <c r="D144" s="489" t="s">
        <v>27</v>
      </c>
      <c r="E144" s="489"/>
      <c r="F144" s="495">
        <f t="shared" si="11"/>
        <v>0</v>
      </c>
      <c r="G144" s="495"/>
      <c r="H144" s="495">
        <f t="shared" si="12"/>
        <v>0</v>
      </c>
      <c r="I144" s="495"/>
      <c r="J144" s="495">
        <f t="shared" si="13"/>
        <v>0</v>
      </c>
      <c r="K144" s="495"/>
      <c r="L144" s="495">
        <f t="shared" si="14"/>
        <v>0</v>
      </c>
      <c r="M144" s="495"/>
      <c r="N144" s="495">
        <f t="shared" si="15"/>
        <v>0</v>
      </c>
      <c r="O144" s="495"/>
      <c r="P144" s="495">
        <f t="shared" si="15"/>
        <v>0</v>
      </c>
      <c r="Q144" s="489"/>
      <c r="R144" s="490"/>
    </row>
    <row r="145" spans="2:18">
      <c r="B145" s="488"/>
      <c r="C145" s="489" t="s">
        <v>19</v>
      </c>
      <c r="D145" s="489" t="s">
        <v>27</v>
      </c>
      <c r="E145" s="489"/>
      <c r="F145" s="495">
        <f t="shared" si="11"/>
        <v>0</v>
      </c>
      <c r="G145" s="495"/>
      <c r="H145" s="495">
        <f t="shared" si="12"/>
        <v>0</v>
      </c>
      <c r="I145" s="495"/>
      <c r="J145" s="495">
        <f t="shared" si="13"/>
        <v>0</v>
      </c>
      <c r="K145" s="495"/>
      <c r="L145" s="495">
        <f t="shared" si="14"/>
        <v>0</v>
      </c>
      <c r="M145" s="495"/>
      <c r="N145" s="495">
        <f t="shared" si="15"/>
        <v>0</v>
      </c>
      <c r="O145" s="495"/>
      <c r="P145" s="495">
        <f t="shared" si="15"/>
        <v>0</v>
      </c>
      <c r="Q145" s="489"/>
      <c r="R145" s="490"/>
    </row>
    <row r="146" spans="2:18">
      <c r="B146" s="488"/>
      <c r="C146" s="489" t="s">
        <v>20</v>
      </c>
      <c r="D146" s="489" t="s">
        <v>27</v>
      </c>
      <c r="E146" s="489"/>
      <c r="F146" s="495">
        <f t="shared" si="11"/>
        <v>0</v>
      </c>
      <c r="G146" s="495"/>
      <c r="H146" s="495">
        <f t="shared" si="12"/>
        <v>0</v>
      </c>
      <c r="I146" s="495"/>
      <c r="J146" s="495">
        <f t="shared" si="13"/>
        <v>0</v>
      </c>
      <c r="K146" s="495"/>
      <c r="L146" s="495">
        <f t="shared" si="14"/>
        <v>0</v>
      </c>
      <c r="M146" s="495"/>
      <c r="N146" s="495">
        <f t="shared" si="15"/>
        <v>0</v>
      </c>
      <c r="O146" s="495"/>
      <c r="P146" s="495">
        <f t="shared" si="15"/>
        <v>0</v>
      </c>
      <c r="Q146" s="489"/>
      <c r="R146" s="490"/>
    </row>
    <row r="147" spans="2:18">
      <c r="B147" s="488"/>
      <c r="C147" s="489" t="s">
        <v>21</v>
      </c>
      <c r="D147" s="489" t="s">
        <v>27</v>
      </c>
      <c r="E147" s="489"/>
      <c r="F147" s="495">
        <f t="shared" si="11"/>
        <v>0</v>
      </c>
      <c r="G147" s="495"/>
      <c r="H147" s="495">
        <f t="shared" si="12"/>
        <v>0</v>
      </c>
      <c r="I147" s="495"/>
      <c r="J147" s="495">
        <f t="shared" si="13"/>
        <v>0</v>
      </c>
      <c r="K147" s="495"/>
      <c r="L147" s="495">
        <f t="shared" si="14"/>
        <v>0</v>
      </c>
      <c r="M147" s="495"/>
      <c r="N147" s="495">
        <f t="shared" si="15"/>
        <v>0</v>
      </c>
      <c r="O147" s="495"/>
      <c r="P147" s="495">
        <f t="shared" si="15"/>
        <v>0</v>
      </c>
      <c r="Q147" s="489"/>
      <c r="R147" s="490"/>
    </row>
    <row r="148" spans="2:18">
      <c r="B148" s="488"/>
      <c r="C148" s="489" t="s">
        <v>22</v>
      </c>
      <c r="D148" s="489" t="s">
        <v>27</v>
      </c>
      <c r="E148" s="489"/>
      <c r="F148" s="495">
        <f t="shared" si="11"/>
        <v>0</v>
      </c>
      <c r="G148" s="495"/>
      <c r="H148" s="495">
        <f t="shared" si="12"/>
        <v>0</v>
      </c>
      <c r="I148" s="495"/>
      <c r="J148" s="495">
        <f t="shared" si="13"/>
        <v>0</v>
      </c>
      <c r="K148" s="495"/>
      <c r="L148" s="495">
        <f t="shared" si="14"/>
        <v>0</v>
      </c>
      <c r="M148" s="495"/>
      <c r="N148" s="495">
        <f t="shared" si="15"/>
        <v>0</v>
      </c>
      <c r="O148" s="495"/>
      <c r="P148" s="495">
        <f t="shared" si="15"/>
        <v>0</v>
      </c>
      <c r="Q148" s="489"/>
      <c r="R148" s="490"/>
    </row>
    <row r="149" spans="2:18">
      <c r="B149" s="488"/>
      <c r="C149" s="489" t="s">
        <v>23</v>
      </c>
      <c r="D149" s="489" t="s">
        <v>27</v>
      </c>
      <c r="E149" s="489"/>
      <c r="F149" s="495">
        <f t="shared" si="11"/>
        <v>0</v>
      </c>
      <c r="G149" s="495"/>
      <c r="H149" s="495">
        <f t="shared" si="12"/>
        <v>0</v>
      </c>
      <c r="I149" s="495"/>
      <c r="J149" s="495">
        <f t="shared" si="13"/>
        <v>0</v>
      </c>
      <c r="K149" s="495"/>
      <c r="L149" s="495">
        <f t="shared" si="14"/>
        <v>0</v>
      </c>
      <c r="M149" s="495"/>
      <c r="N149" s="495">
        <f t="shared" si="15"/>
        <v>0</v>
      </c>
      <c r="O149" s="495"/>
      <c r="P149" s="495">
        <f t="shared" si="15"/>
        <v>0</v>
      </c>
      <c r="Q149" s="489"/>
      <c r="R149" s="490"/>
    </row>
    <row r="150" spans="2:18">
      <c r="B150" s="488"/>
      <c r="C150" s="489" t="s">
        <v>24</v>
      </c>
      <c r="D150" s="489" t="s">
        <v>27</v>
      </c>
      <c r="E150" s="489"/>
      <c r="F150" s="495">
        <f t="shared" si="11"/>
        <v>0</v>
      </c>
      <c r="G150" s="495"/>
      <c r="H150" s="495">
        <f t="shared" si="12"/>
        <v>0</v>
      </c>
      <c r="I150" s="495"/>
      <c r="J150" s="495">
        <f t="shared" si="13"/>
        <v>0</v>
      </c>
      <c r="K150" s="495"/>
      <c r="L150" s="495">
        <f t="shared" si="14"/>
        <v>0</v>
      </c>
      <c r="M150" s="495"/>
      <c r="N150" s="495">
        <f t="shared" si="15"/>
        <v>0</v>
      </c>
      <c r="O150" s="495"/>
      <c r="P150" s="495">
        <f t="shared" si="15"/>
        <v>0</v>
      </c>
      <c r="Q150" s="489"/>
      <c r="R150" s="490"/>
    </row>
    <row r="151" spans="2:18">
      <c r="B151" s="488"/>
      <c r="C151" s="489" t="s">
        <v>13</v>
      </c>
      <c r="D151" s="489" t="s">
        <v>27</v>
      </c>
      <c r="E151" s="489"/>
      <c r="F151" s="384">
        <f t="shared" si="11"/>
        <v>0</v>
      </c>
      <c r="G151" s="384"/>
      <c r="H151" s="384">
        <f t="shared" si="12"/>
        <v>0</v>
      </c>
      <c r="I151" s="384"/>
      <c r="J151" s="384">
        <f t="shared" si="13"/>
        <v>0</v>
      </c>
      <c r="K151" s="384"/>
      <c r="L151" s="384">
        <f t="shared" si="14"/>
        <v>0</v>
      </c>
      <c r="M151" s="384"/>
      <c r="N151" s="384">
        <f t="shared" si="15"/>
        <v>0</v>
      </c>
      <c r="O151" s="384"/>
      <c r="P151" s="384">
        <f t="shared" si="15"/>
        <v>0</v>
      </c>
      <c r="Q151" s="489"/>
      <c r="R151" s="490"/>
    </row>
    <row r="152" spans="2:18">
      <c r="B152" s="488"/>
      <c r="C152" s="341" t="s">
        <v>77</v>
      </c>
      <c r="D152" s="489"/>
      <c r="E152" s="489"/>
      <c r="F152" s="388">
        <f t="shared" ref="F152:N152" si="16">AVERAGE(F139:F151)</f>
        <v>0</v>
      </c>
      <c r="G152" s="495"/>
      <c r="H152" s="388">
        <f t="shared" si="16"/>
        <v>0</v>
      </c>
      <c r="I152" s="495"/>
      <c r="J152" s="388">
        <f t="shared" si="16"/>
        <v>0</v>
      </c>
      <c r="K152" s="495"/>
      <c r="L152" s="388">
        <f t="shared" si="16"/>
        <v>0</v>
      </c>
      <c r="M152" s="495"/>
      <c r="N152" s="388">
        <f t="shared" si="16"/>
        <v>0</v>
      </c>
      <c r="O152" s="495"/>
      <c r="P152" s="388">
        <f>AVERAGE(P139:P151)</f>
        <v>0</v>
      </c>
      <c r="Q152" s="489"/>
      <c r="R152" s="490"/>
    </row>
    <row r="153" spans="2:18">
      <c r="B153" s="488"/>
      <c r="C153" s="341"/>
      <c r="D153" s="489"/>
      <c r="E153" s="489"/>
      <c r="F153" s="388"/>
      <c r="G153" s="495"/>
      <c r="H153" s="388"/>
      <c r="I153" s="495"/>
      <c r="J153" s="388"/>
      <c r="K153" s="495"/>
      <c r="L153" s="388"/>
      <c r="M153" s="495"/>
      <c r="N153" s="388"/>
      <c r="O153" s="495"/>
      <c r="P153" s="388"/>
      <c r="Q153" s="489"/>
      <c r="R153" s="490"/>
    </row>
    <row r="154" spans="2:18">
      <c r="B154" s="488"/>
      <c r="C154" s="494" t="s">
        <v>578</v>
      </c>
      <c r="D154" s="489"/>
      <c r="E154" s="489"/>
      <c r="F154" s="388"/>
      <c r="G154" s="495"/>
      <c r="H154" s="388"/>
      <c r="I154" s="495"/>
      <c r="J154" s="388"/>
      <c r="K154" s="495"/>
      <c r="L154" s="388"/>
      <c r="M154" s="495"/>
      <c r="N154" s="388"/>
      <c r="O154" s="495"/>
      <c r="P154" s="388"/>
      <c r="Q154" s="489" t="s">
        <v>721</v>
      </c>
      <c r="R154" s="490"/>
    </row>
    <row r="155" spans="2:18">
      <c r="B155" s="488"/>
      <c r="C155" s="494"/>
      <c r="D155" s="489"/>
      <c r="E155" s="489"/>
      <c r="F155" s="388"/>
      <c r="G155" s="495"/>
      <c r="H155" s="388"/>
      <c r="I155" s="495"/>
      <c r="J155" s="388"/>
      <c r="K155" s="495"/>
      <c r="L155" s="388"/>
      <c r="M155" s="495"/>
      <c r="N155" s="388"/>
      <c r="O155" s="495"/>
      <c r="P155" s="388"/>
      <c r="Q155" s="489"/>
      <c r="R155" s="490"/>
    </row>
    <row r="156" spans="2:18">
      <c r="B156" s="488"/>
      <c r="C156" s="494" t="s">
        <v>579</v>
      </c>
      <c r="D156" s="489"/>
      <c r="E156" s="489"/>
      <c r="F156" s="388"/>
      <c r="G156" s="495"/>
      <c r="H156" s="388"/>
      <c r="I156" s="495"/>
      <c r="J156" s="388"/>
      <c r="K156" s="495"/>
      <c r="L156" s="388"/>
      <c r="M156" s="495"/>
      <c r="N156" s="388"/>
      <c r="O156" s="495"/>
      <c r="P156" s="388"/>
      <c r="Q156" s="489" t="s">
        <v>641</v>
      </c>
      <c r="R156" s="490"/>
    </row>
    <row r="157" spans="2:18" ht="15" thickBot="1">
      <c r="B157" s="366"/>
      <c r="C157" s="367"/>
      <c r="D157" s="367"/>
      <c r="E157" s="367"/>
      <c r="F157" s="391"/>
      <c r="G157" s="402"/>
      <c r="H157" s="391"/>
      <c r="I157" s="402"/>
      <c r="J157" s="391"/>
      <c r="K157" s="402"/>
      <c r="L157" s="391"/>
      <c r="M157" s="402"/>
      <c r="N157" s="391"/>
      <c r="O157" s="402"/>
      <c r="P157" s="391"/>
      <c r="Q157" s="367"/>
      <c r="R157" s="368"/>
    </row>
    <row r="158" spans="2:18" ht="15" thickBot="1"/>
    <row r="159" spans="2:18">
      <c r="B159" s="336" t="s">
        <v>581</v>
      </c>
      <c r="C159" s="360"/>
      <c r="D159" s="360"/>
      <c r="E159" s="360"/>
      <c r="F159" s="385"/>
      <c r="G159" s="407"/>
      <c r="H159" s="385"/>
      <c r="I159" s="407"/>
      <c r="J159" s="385"/>
      <c r="K159" s="407"/>
      <c r="L159" s="385"/>
      <c r="M159" s="407"/>
      <c r="N159" s="385"/>
      <c r="O159" s="407"/>
      <c r="P159" s="385"/>
      <c r="Q159" s="360"/>
      <c r="R159" s="361"/>
    </row>
    <row r="160" spans="2:18">
      <c r="B160" s="488"/>
      <c r="C160" s="341" t="s">
        <v>582</v>
      </c>
      <c r="D160" s="489"/>
      <c r="E160" s="489"/>
      <c r="F160" s="388"/>
      <c r="G160" s="495"/>
      <c r="H160" s="388"/>
      <c r="I160" s="495"/>
      <c r="J160" s="388"/>
      <c r="K160" s="495"/>
      <c r="L160" s="388"/>
      <c r="M160" s="495"/>
      <c r="N160" s="388"/>
      <c r="O160" s="495"/>
      <c r="P160" s="388"/>
      <c r="Q160" s="489"/>
      <c r="R160" s="490"/>
    </row>
    <row r="161" spans="2:18" s="400" customFormat="1">
      <c r="B161" s="351"/>
      <c r="C161" s="352" t="s">
        <v>10</v>
      </c>
      <c r="D161" s="352"/>
      <c r="E161" s="352"/>
      <c r="F161" s="405" t="s">
        <v>563</v>
      </c>
      <c r="G161" s="501"/>
      <c r="H161" s="405" t="s">
        <v>564</v>
      </c>
      <c r="I161" s="501"/>
      <c r="J161" s="405" t="s">
        <v>565</v>
      </c>
      <c r="K161" s="501"/>
      <c r="L161" s="405" t="s">
        <v>566</v>
      </c>
      <c r="M161" s="501"/>
      <c r="N161" s="405" t="s">
        <v>567</v>
      </c>
      <c r="O161" s="501"/>
      <c r="P161" s="405" t="s">
        <v>964</v>
      </c>
      <c r="Q161" s="405" t="s">
        <v>55</v>
      </c>
      <c r="R161" s="354"/>
    </row>
    <row r="162" spans="2:18">
      <c r="B162" s="488"/>
      <c r="C162" s="489"/>
      <c r="D162" s="489"/>
      <c r="E162" s="489"/>
      <c r="F162" s="495"/>
      <c r="G162" s="495"/>
      <c r="H162" s="495"/>
      <c r="I162" s="495"/>
      <c r="J162" s="495"/>
      <c r="K162" s="495"/>
      <c r="L162" s="495"/>
      <c r="M162" s="495"/>
      <c r="N162" s="495"/>
      <c r="O162" s="495"/>
      <c r="P162" s="495"/>
      <c r="Q162" s="495"/>
      <c r="R162" s="490"/>
    </row>
    <row r="163" spans="2:18">
      <c r="B163" s="488"/>
      <c r="C163" s="489" t="s">
        <v>13</v>
      </c>
      <c r="D163" s="489" t="s">
        <v>27</v>
      </c>
      <c r="E163" s="489"/>
      <c r="F163" s="495">
        <v>0</v>
      </c>
      <c r="G163" s="495"/>
      <c r="H163" s="495">
        <v>0</v>
      </c>
      <c r="I163" s="495"/>
      <c r="J163" s="495">
        <v>0</v>
      </c>
      <c r="K163" s="495"/>
      <c r="L163" s="495">
        <v>0</v>
      </c>
      <c r="M163" s="495"/>
      <c r="N163" s="495">
        <v>0</v>
      </c>
      <c r="O163" s="495"/>
      <c r="P163" s="495">
        <v>0</v>
      </c>
      <c r="Q163" s="495"/>
      <c r="R163" s="490"/>
    </row>
    <row r="164" spans="2:18">
      <c r="B164" s="488"/>
      <c r="C164" s="489" t="s">
        <v>14</v>
      </c>
      <c r="D164" s="489" t="s">
        <v>27</v>
      </c>
      <c r="E164" s="489"/>
      <c r="F164" s="495">
        <f t="shared" ref="F164:F175" si="17">+F163+(F187-F211)*0.3959</f>
        <v>0</v>
      </c>
      <c r="G164" s="495"/>
      <c r="H164" s="495">
        <f t="shared" ref="H164:H175" si="18">+H163+(H187-H211)*0.3959</f>
        <v>0</v>
      </c>
      <c r="I164" s="495"/>
      <c r="J164" s="495">
        <f t="shared" ref="J164:J175" si="19">+J163+(J187-J211)*0.3959</f>
        <v>0</v>
      </c>
      <c r="K164" s="495"/>
      <c r="L164" s="495">
        <f t="shared" ref="L164:L175" si="20">+L163+(L187-L211)*0.3959</f>
        <v>0</v>
      </c>
      <c r="M164" s="495"/>
      <c r="N164" s="495">
        <f t="shared" ref="N164:P175" si="21">+N163+(N187-N211)*0.3959</f>
        <v>0</v>
      </c>
      <c r="O164" s="495"/>
      <c r="P164" s="495">
        <f t="shared" si="21"/>
        <v>0</v>
      </c>
      <c r="Q164" s="495">
        <f t="shared" ref="Q164:Q175" si="22">SUM(F164:P164)</f>
        <v>0</v>
      </c>
      <c r="R164" s="490"/>
    </row>
    <row r="165" spans="2:18">
      <c r="B165" s="488"/>
      <c r="C165" s="489" t="s">
        <v>15</v>
      </c>
      <c r="D165" s="489" t="s">
        <v>27</v>
      </c>
      <c r="E165" s="489"/>
      <c r="F165" s="495">
        <f t="shared" si="17"/>
        <v>0</v>
      </c>
      <c r="G165" s="495"/>
      <c r="H165" s="495">
        <f t="shared" si="18"/>
        <v>0</v>
      </c>
      <c r="I165" s="495"/>
      <c r="J165" s="495">
        <f t="shared" si="19"/>
        <v>0</v>
      </c>
      <c r="K165" s="495"/>
      <c r="L165" s="495">
        <f t="shared" si="20"/>
        <v>0</v>
      </c>
      <c r="M165" s="495"/>
      <c r="N165" s="495">
        <f t="shared" si="21"/>
        <v>0</v>
      </c>
      <c r="O165" s="495"/>
      <c r="P165" s="495">
        <f t="shared" si="21"/>
        <v>0</v>
      </c>
      <c r="Q165" s="495">
        <f t="shared" si="22"/>
        <v>0</v>
      </c>
      <c r="R165" s="490"/>
    </row>
    <row r="166" spans="2:18">
      <c r="B166" s="488"/>
      <c r="C166" s="489" t="s">
        <v>16</v>
      </c>
      <c r="D166" s="489" t="s">
        <v>27</v>
      </c>
      <c r="E166" s="489"/>
      <c r="F166" s="495">
        <f t="shared" si="17"/>
        <v>0</v>
      </c>
      <c r="G166" s="495"/>
      <c r="H166" s="495">
        <f t="shared" si="18"/>
        <v>0</v>
      </c>
      <c r="I166" s="495"/>
      <c r="J166" s="495">
        <f t="shared" si="19"/>
        <v>0</v>
      </c>
      <c r="K166" s="495"/>
      <c r="L166" s="495">
        <f t="shared" si="20"/>
        <v>0</v>
      </c>
      <c r="M166" s="495"/>
      <c r="N166" s="495">
        <f t="shared" si="21"/>
        <v>0</v>
      </c>
      <c r="O166" s="495"/>
      <c r="P166" s="495">
        <f t="shared" si="21"/>
        <v>0</v>
      </c>
      <c r="Q166" s="495">
        <f t="shared" si="22"/>
        <v>0</v>
      </c>
      <c r="R166" s="490"/>
    </row>
    <row r="167" spans="2:18">
      <c r="B167" s="488"/>
      <c r="C167" s="489" t="s">
        <v>17</v>
      </c>
      <c r="D167" s="489" t="s">
        <v>27</v>
      </c>
      <c r="E167" s="489"/>
      <c r="F167" s="495">
        <f t="shared" si="17"/>
        <v>0</v>
      </c>
      <c r="G167" s="495"/>
      <c r="H167" s="495">
        <f t="shared" si="18"/>
        <v>0</v>
      </c>
      <c r="I167" s="495"/>
      <c r="J167" s="495">
        <f t="shared" si="19"/>
        <v>0</v>
      </c>
      <c r="K167" s="495"/>
      <c r="L167" s="495">
        <f t="shared" si="20"/>
        <v>0</v>
      </c>
      <c r="M167" s="495"/>
      <c r="N167" s="495">
        <f t="shared" si="21"/>
        <v>0</v>
      </c>
      <c r="O167" s="495"/>
      <c r="P167" s="495">
        <f t="shared" si="21"/>
        <v>0</v>
      </c>
      <c r="Q167" s="495">
        <f t="shared" si="22"/>
        <v>0</v>
      </c>
      <c r="R167" s="490"/>
    </row>
    <row r="168" spans="2:18">
      <c r="B168" s="488"/>
      <c r="C168" s="489" t="s">
        <v>18</v>
      </c>
      <c r="D168" s="489" t="s">
        <v>27</v>
      </c>
      <c r="E168" s="489"/>
      <c r="F168" s="495">
        <f t="shared" si="17"/>
        <v>0</v>
      </c>
      <c r="G168" s="495"/>
      <c r="H168" s="495">
        <f t="shared" si="18"/>
        <v>0</v>
      </c>
      <c r="I168" s="495"/>
      <c r="J168" s="495">
        <f t="shared" si="19"/>
        <v>0</v>
      </c>
      <c r="K168" s="495"/>
      <c r="L168" s="495">
        <f t="shared" si="20"/>
        <v>0</v>
      </c>
      <c r="M168" s="495"/>
      <c r="N168" s="495">
        <f t="shared" si="21"/>
        <v>0</v>
      </c>
      <c r="O168" s="495"/>
      <c r="P168" s="495">
        <f t="shared" si="21"/>
        <v>0</v>
      </c>
      <c r="Q168" s="495">
        <f t="shared" si="22"/>
        <v>0</v>
      </c>
      <c r="R168" s="490"/>
    </row>
    <row r="169" spans="2:18">
      <c r="B169" s="488"/>
      <c r="C169" s="133" t="s">
        <v>19</v>
      </c>
      <c r="D169" s="133" t="s">
        <v>27</v>
      </c>
      <c r="E169" s="133"/>
      <c r="F169" s="384">
        <f t="shared" si="17"/>
        <v>0</v>
      </c>
      <c r="G169" s="384"/>
      <c r="H169" s="384">
        <f t="shared" si="18"/>
        <v>0</v>
      </c>
      <c r="I169" s="384"/>
      <c r="J169" s="384">
        <f t="shared" si="19"/>
        <v>0</v>
      </c>
      <c r="K169" s="384"/>
      <c r="L169" s="384">
        <f t="shared" si="20"/>
        <v>0</v>
      </c>
      <c r="M169" s="384"/>
      <c r="N169" s="384">
        <f t="shared" si="21"/>
        <v>0</v>
      </c>
      <c r="O169" s="384"/>
      <c r="P169" s="384">
        <f t="shared" si="21"/>
        <v>0</v>
      </c>
      <c r="Q169" s="384">
        <f t="shared" si="22"/>
        <v>0</v>
      </c>
      <c r="R169" s="490"/>
    </row>
    <row r="170" spans="2:18">
      <c r="B170" s="488"/>
      <c r="C170" s="489" t="s">
        <v>20</v>
      </c>
      <c r="D170" s="489" t="s">
        <v>27</v>
      </c>
      <c r="E170" s="489"/>
      <c r="F170" s="495">
        <f t="shared" si="17"/>
        <v>0</v>
      </c>
      <c r="G170" s="495"/>
      <c r="H170" s="495">
        <f t="shared" si="18"/>
        <v>0</v>
      </c>
      <c r="I170" s="495"/>
      <c r="J170" s="495">
        <f t="shared" si="19"/>
        <v>0</v>
      </c>
      <c r="K170" s="495"/>
      <c r="L170" s="495">
        <f t="shared" si="20"/>
        <v>0</v>
      </c>
      <c r="M170" s="495"/>
      <c r="N170" s="495">
        <f t="shared" si="21"/>
        <v>0</v>
      </c>
      <c r="O170" s="495"/>
      <c r="P170" s="495">
        <f t="shared" si="21"/>
        <v>0</v>
      </c>
      <c r="Q170" s="495">
        <f t="shared" si="22"/>
        <v>0</v>
      </c>
      <c r="R170" s="490"/>
    </row>
    <row r="171" spans="2:18">
      <c r="B171" s="488"/>
      <c r="C171" s="489" t="s">
        <v>21</v>
      </c>
      <c r="D171" s="489" t="s">
        <v>27</v>
      </c>
      <c r="E171" s="489"/>
      <c r="F171" s="495">
        <f t="shared" si="17"/>
        <v>0</v>
      </c>
      <c r="G171" s="495"/>
      <c r="H171" s="495">
        <f t="shared" si="18"/>
        <v>0</v>
      </c>
      <c r="I171" s="495"/>
      <c r="J171" s="495">
        <f t="shared" si="19"/>
        <v>0</v>
      </c>
      <c r="K171" s="495"/>
      <c r="L171" s="495">
        <f t="shared" si="20"/>
        <v>0</v>
      </c>
      <c r="M171" s="495"/>
      <c r="N171" s="495">
        <f t="shared" si="21"/>
        <v>0</v>
      </c>
      <c r="O171" s="495"/>
      <c r="P171" s="495">
        <f t="shared" si="21"/>
        <v>0</v>
      </c>
      <c r="Q171" s="495">
        <f t="shared" si="22"/>
        <v>0</v>
      </c>
      <c r="R171" s="490"/>
    </row>
    <row r="172" spans="2:18">
      <c r="B172" s="488"/>
      <c r="C172" s="489" t="s">
        <v>22</v>
      </c>
      <c r="D172" s="489" t="s">
        <v>27</v>
      </c>
      <c r="E172" s="489"/>
      <c r="F172" s="495">
        <f t="shared" si="17"/>
        <v>0</v>
      </c>
      <c r="G172" s="495"/>
      <c r="H172" s="495">
        <f t="shared" si="18"/>
        <v>0</v>
      </c>
      <c r="I172" s="495"/>
      <c r="J172" s="495">
        <f t="shared" si="19"/>
        <v>0</v>
      </c>
      <c r="K172" s="495"/>
      <c r="L172" s="495">
        <f t="shared" si="20"/>
        <v>0</v>
      </c>
      <c r="M172" s="495"/>
      <c r="N172" s="495">
        <f t="shared" si="21"/>
        <v>0</v>
      </c>
      <c r="O172" s="495"/>
      <c r="P172" s="495">
        <f t="shared" si="21"/>
        <v>0</v>
      </c>
      <c r="Q172" s="495">
        <f t="shared" si="22"/>
        <v>0</v>
      </c>
      <c r="R172" s="490"/>
    </row>
    <row r="173" spans="2:18">
      <c r="B173" s="488"/>
      <c r="C173" s="489" t="s">
        <v>23</v>
      </c>
      <c r="D173" s="489" t="s">
        <v>27</v>
      </c>
      <c r="E173" s="489"/>
      <c r="F173" s="495">
        <f t="shared" si="17"/>
        <v>0</v>
      </c>
      <c r="G173" s="495"/>
      <c r="H173" s="495">
        <f t="shared" si="18"/>
        <v>0</v>
      </c>
      <c r="I173" s="495"/>
      <c r="J173" s="495">
        <f t="shared" si="19"/>
        <v>0</v>
      </c>
      <c r="K173" s="495"/>
      <c r="L173" s="495">
        <f t="shared" si="20"/>
        <v>0</v>
      </c>
      <c r="M173" s="495"/>
      <c r="N173" s="495">
        <f t="shared" si="21"/>
        <v>0</v>
      </c>
      <c r="O173" s="495"/>
      <c r="P173" s="495">
        <f t="shared" si="21"/>
        <v>0</v>
      </c>
      <c r="Q173" s="495">
        <f t="shared" si="22"/>
        <v>0</v>
      </c>
      <c r="R173" s="490"/>
    </row>
    <row r="174" spans="2:18">
      <c r="B174" s="488"/>
      <c r="C174" s="489" t="s">
        <v>24</v>
      </c>
      <c r="D174" s="489" t="s">
        <v>27</v>
      </c>
      <c r="E174" s="489"/>
      <c r="F174" s="495">
        <f t="shared" si="17"/>
        <v>0</v>
      </c>
      <c r="G174" s="495"/>
      <c r="H174" s="495">
        <f t="shared" si="18"/>
        <v>0</v>
      </c>
      <c r="I174" s="495"/>
      <c r="J174" s="495">
        <f t="shared" si="19"/>
        <v>0</v>
      </c>
      <c r="K174" s="495"/>
      <c r="L174" s="495">
        <f t="shared" si="20"/>
        <v>0</v>
      </c>
      <c r="M174" s="495"/>
      <c r="N174" s="495">
        <f t="shared" si="21"/>
        <v>0</v>
      </c>
      <c r="O174" s="495"/>
      <c r="P174" s="495">
        <f t="shared" si="21"/>
        <v>0</v>
      </c>
      <c r="Q174" s="495">
        <f t="shared" si="22"/>
        <v>0</v>
      </c>
      <c r="R174" s="490"/>
    </row>
    <row r="175" spans="2:18">
      <c r="B175" s="488"/>
      <c r="C175" s="489" t="s">
        <v>13</v>
      </c>
      <c r="D175" s="489" t="s">
        <v>27</v>
      </c>
      <c r="E175" s="489"/>
      <c r="F175" s="384">
        <f t="shared" si="17"/>
        <v>0</v>
      </c>
      <c r="G175" s="384"/>
      <c r="H175" s="384">
        <f t="shared" si="18"/>
        <v>0</v>
      </c>
      <c r="I175" s="384"/>
      <c r="J175" s="384">
        <f t="shared" si="19"/>
        <v>0</v>
      </c>
      <c r="K175" s="384"/>
      <c r="L175" s="384">
        <f t="shared" si="20"/>
        <v>0</v>
      </c>
      <c r="M175" s="384"/>
      <c r="N175" s="384">
        <f t="shared" si="21"/>
        <v>0</v>
      </c>
      <c r="O175" s="384"/>
      <c r="P175" s="384">
        <f t="shared" si="21"/>
        <v>0</v>
      </c>
      <c r="Q175" s="384">
        <f t="shared" si="22"/>
        <v>0</v>
      </c>
      <c r="R175" s="490"/>
    </row>
    <row r="176" spans="2:18">
      <c r="B176" s="488"/>
      <c r="C176" s="341" t="s">
        <v>583</v>
      </c>
      <c r="D176" s="489"/>
      <c r="E176" s="489"/>
      <c r="F176" s="495">
        <f>(+F175+F163)/2</f>
        <v>0</v>
      </c>
      <c r="G176" s="495"/>
      <c r="H176" s="495">
        <f t="shared" ref="H176:Q176" si="23">(+H175+H163)/2</f>
        <v>0</v>
      </c>
      <c r="I176" s="495"/>
      <c r="J176" s="495">
        <f t="shared" si="23"/>
        <v>0</v>
      </c>
      <c r="K176" s="495"/>
      <c r="L176" s="495">
        <f t="shared" si="23"/>
        <v>0</v>
      </c>
      <c r="M176" s="495"/>
      <c r="N176" s="495">
        <f t="shared" si="23"/>
        <v>0</v>
      </c>
      <c r="O176" s="495"/>
      <c r="P176" s="495">
        <f>(+P175+P163)/2</f>
        <v>0</v>
      </c>
      <c r="Q176" s="495">
        <f t="shared" si="23"/>
        <v>0</v>
      </c>
      <c r="R176" s="490"/>
    </row>
    <row r="177" spans="2:18">
      <c r="B177" s="488"/>
      <c r="C177" s="341"/>
      <c r="D177" s="489"/>
      <c r="E177" s="489"/>
      <c r="F177" s="388"/>
      <c r="G177" s="495"/>
      <c r="H177" s="388"/>
      <c r="I177" s="495"/>
      <c r="J177" s="388"/>
      <c r="K177" s="495"/>
      <c r="L177" s="388"/>
      <c r="M177" s="495"/>
      <c r="N177" s="388"/>
      <c r="O177" s="495"/>
      <c r="P177" s="388"/>
      <c r="Q177" s="388"/>
      <c r="R177" s="490"/>
    </row>
    <row r="178" spans="2:18">
      <c r="B178" s="488"/>
      <c r="C178" s="494" t="s">
        <v>578</v>
      </c>
      <c r="D178" s="489"/>
      <c r="E178" s="489"/>
      <c r="F178" s="388"/>
      <c r="G178" s="495"/>
      <c r="H178" s="388"/>
      <c r="I178" s="495"/>
      <c r="J178" s="388"/>
      <c r="K178" s="495"/>
      <c r="L178" s="388"/>
      <c r="M178" s="495"/>
      <c r="N178" s="388"/>
      <c r="O178" s="495"/>
      <c r="P178" s="388"/>
      <c r="Q178" s="3"/>
      <c r="R178" s="490" t="s">
        <v>721</v>
      </c>
    </row>
    <row r="179" spans="2:18">
      <c r="B179" s="488"/>
      <c r="C179" s="494"/>
      <c r="D179" s="489"/>
      <c r="E179" s="489"/>
      <c r="F179" s="388"/>
      <c r="G179" s="495"/>
      <c r="H179" s="388"/>
      <c r="I179" s="495"/>
      <c r="J179" s="388"/>
      <c r="K179" s="495"/>
      <c r="L179" s="388"/>
      <c r="M179" s="495"/>
      <c r="N179" s="388"/>
      <c r="O179" s="495"/>
      <c r="P179" s="388"/>
      <c r="Q179" s="493"/>
      <c r="R179" s="490"/>
    </row>
    <row r="180" spans="2:18" ht="15" thickBot="1">
      <c r="B180" s="488"/>
      <c r="C180" s="494" t="s">
        <v>579</v>
      </c>
      <c r="D180" s="489"/>
      <c r="E180" s="489"/>
      <c r="F180" s="388"/>
      <c r="G180" s="495"/>
      <c r="H180" s="388"/>
      <c r="I180" s="495"/>
      <c r="J180" s="388"/>
      <c r="K180" s="495"/>
      <c r="L180" s="388"/>
      <c r="M180" s="495"/>
      <c r="N180" s="388"/>
      <c r="O180" s="495"/>
      <c r="P180" s="388"/>
      <c r="Q180" s="253">
        <f>+Q176-Q178</f>
        <v>0</v>
      </c>
      <c r="R180" s="490" t="s">
        <v>985</v>
      </c>
    </row>
    <row r="181" spans="2:18" ht="15.6" thickTop="1" thickBot="1">
      <c r="B181" s="366"/>
      <c r="C181" s="367"/>
      <c r="D181" s="367"/>
      <c r="E181" s="367"/>
      <c r="F181" s="391"/>
      <c r="G181" s="402"/>
      <c r="H181" s="391"/>
      <c r="I181" s="402"/>
      <c r="J181" s="391"/>
      <c r="K181" s="402"/>
      <c r="L181" s="391"/>
      <c r="M181" s="402"/>
      <c r="N181" s="391"/>
      <c r="O181" s="402"/>
      <c r="P181" s="391"/>
      <c r="Q181" s="367"/>
      <c r="R181" s="368"/>
    </row>
    <row r="182" spans="2:18" ht="15" thickBot="1"/>
    <row r="183" spans="2:18">
      <c r="B183" s="336" t="s">
        <v>577</v>
      </c>
      <c r="C183" s="360"/>
      <c r="D183" s="360"/>
      <c r="E183" s="360"/>
      <c r="F183" s="385"/>
      <c r="G183" s="407"/>
      <c r="H183" s="385"/>
      <c r="I183" s="407"/>
      <c r="J183" s="385"/>
      <c r="K183" s="407"/>
      <c r="L183" s="385"/>
      <c r="M183" s="407"/>
      <c r="N183" s="385"/>
      <c r="O183" s="407"/>
      <c r="P183" s="385"/>
      <c r="Q183" s="360"/>
      <c r="R183" s="361"/>
    </row>
    <row r="184" spans="2:18">
      <c r="B184" s="488"/>
      <c r="C184" s="341" t="s">
        <v>250</v>
      </c>
      <c r="D184" s="489"/>
      <c r="E184" s="489"/>
      <c r="F184" s="388"/>
      <c r="G184" s="495"/>
      <c r="H184" s="388"/>
      <c r="I184" s="495"/>
      <c r="J184" s="388"/>
      <c r="K184" s="495"/>
      <c r="L184" s="388"/>
      <c r="M184" s="495"/>
      <c r="N184" s="388"/>
      <c r="O184" s="495"/>
      <c r="P184" s="388"/>
      <c r="Q184" s="489"/>
      <c r="R184" s="490"/>
    </row>
    <row r="185" spans="2:18">
      <c r="B185" s="488"/>
      <c r="C185" s="296" t="s">
        <v>10</v>
      </c>
      <c r="D185" s="296" t="s">
        <v>11</v>
      </c>
      <c r="E185" s="296"/>
      <c r="F185" s="251" t="s">
        <v>563</v>
      </c>
      <c r="G185" s="408"/>
      <c r="H185" s="251" t="s">
        <v>564</v>
      </c>
      <c r="I185" s="408"/>
      <c r="J185" s="251" t="s">
        <v>565</v>
      </c>
      <c r="K185" s="408"/>
      <c r="L185" s="251" t="s">
        <v>566</v>
      </c>
      <c r="M185" s="408"/>
      <c r="N185" s="251" t="s">
        <v>567</v>
      </c>
      <c r="O185" s="408"/>
      <c r="P185" s="251" t="s">
        <v>964</v>
      </c>
      <c r="Q185" s="489"/>
      <c r="R185" s="490"/>
    </row>
    <row r="186" spans="2:18">
      <c r="B186" s="488"/>
      <c r="C186" s="489"/>
      <c r="D186" s="489"/>
      <c r="E186" s="489"/>
      <c r="F186" s="495"/>
      <c r="G186" s="495"/>
      <c r="H186" s="495"/>
      <c r="I186" s="495"/>
      <c r="J186" s="495"/>
      <c r="K186" s="495"/>
      <c r="L186" s="495"/>
      <c r="M186" s="495"/>
      <c r="N186" s="495"/>
      <c r="O186" s="495"/>
      <c r="P186" s="495"/>
      <c r="Q186" s="489"/>
      <c r="R186" s="490"/>
    </row>
    <row r="187" spans="2:18">
      <c r="B187" s="488"/>
      <c r="C187" s="489" t="s">
        <v>14</v>
      </c>
      <c r="D187" s="489" t="s">
        <v>27</v>
      </c>
      <c r="E187" s="489"/>
      <c r="F187" s="491">
        <v>0</v>
      </c>
      <c r="G187" s="495"/>
      <c r="H187" s="491">
        <v>0</v>
      </c>
      <c r="I187" s="495"/>
      <c r="J187" s="491">
        <v>0</v>
      </c>
      <c r="K187" s="495"/>
      <c r="L187" s="491">
        <v>0</v>
      </c>
      <c r="M187" s="495"/>
      <c r="N187" s="491">
        <v>0</v>
      </c>
      <c r="O187" s="495"/>
      <c r="P187" s="491">
        <v>0</v>
      </c>
      <c r="Q187" s="489"/>
      <c r="R187" s="490"/>
    </row>
    <row r="188" spans="2:18">
      <c r="B188" s="488"/>
      <c r="C188" s="489" t="s">
        <v>15</v>
      </c>
      <c r="D188" s="489" t="s">
        <v>27</v>
      </c>
      <c r="E188" s="489"/>
      <c r="F188" s="491">
        <v>0</v>
      </c>
      <c r="G188" s="495"/>
      <c r="H188" s="491">
        <v>0</v>
      </c>
      <c r="I188" s="495"/>
      <c r="J188" s="491">
        <v>0</v>
      </c>
      <c r="K188" s="495"/>
      <c r="L188" s="491">
        <v>0</v>
      </c>
      <c r="M188" s="495"/>
      <c r="N188" s="491">
        <v>0</v>
      </c>
      <c r="O188" s="495"/>
      <c r="P188" s="491">
        <v>0</v>
      </c>
      <c r="Q188" s="489"/>
      <c r="R188" s="490"/>
    </row>
    <row r="189" spans="2:18">
      <c r="B189" s="488"/>
      <c r="C189" s="489" t="s">
        <v>16</v>
      </c>
      <c r="D189" s="489" t="s">
        <v>27</v>
      </c>
      <c r="E189" s="489"/>
      <c r="F189" s="491">
        <v>0</v>
      </c>
      <c r="G189" s="495"/>
      <c r="H189" s="491">
        <v>0</v>
      </c>
      <c r="I189" s="495"/>
      <c r="J189" s="491">
        <v>0</v>
      </c>
      <c r="K189" s="495"/>
      <c r="L189" s="491">
        <v>0</v>
      </c>
      <c r="M189" s="495"/>
      <c r="N189" s="491">
        <v>0</v>
      </c>
      <c r="O189" s="495"/>
      <c r="P189" s="491">
        <v>0</v>
      </c>
      <c r="Q189" s="489"/>
      <c r="R189" s="490"/>
    </row>
    <row r="190" spans="2:18">
      <c r="B190" s="488"/>
      <c r="C190" s="489" t="s">
        <v>17</v>
      </c>
      <c r="D190" s="489" t="s">
        <v>27</v>
      </c>
      <c r="E190" s="489"/>
      <c r="F190" s="491">
        <v>0</v>
      </c>
      <c r="G190" s="495"/>
      <c r="H190" s="491">
        <v>0</v>
      </c>
      <c r="I190" s="495"/>
      <c r="J190" s="491">
        <v>0</v>
      </c>
      <c r="K190" s="495"/>
      <c r="L190" s="491">
        <v>0</v>
      </c>
      <c r="M190" s="495"/>
      <c r="N190" s="491">
        <v>0</v>
      </c>
      <c r="O190" s="495"/>
      <c r="P190" s="491">
        <v>0</v>
      </c>
      <c r="Q190" s="489"/>
      <c r="R190" s="490"/>
    </row>
    <row r="191" spans="2:18">
      <c r="B191" s="488"/>
      <c r="C191" s="489" t="s">
        <v>18</v>
      </c>
      <c r="D191" s="489" t="s">
        <v>27</v>
      </c>
      <c r="E191" s="489"/>
      <c r="F191" s="491">
        <v>0</v>
      </c>
      <c r="G191" s="495"/>
      <c r="H191" s="491">
        <v>0</v>
      </c>
      <c r="I191" s="495"/>
      <c r="J191" s="491">
        <v>0</v>
      </c>
      <c r="K191" s="495"/>
      <c r="L191" s="491">
        <v>0</v>
      </c>
      <c r="M191" s="495"/>
      <c r="N191" s="491">
        <v>0</v>
      </c>
      <c r="O191" s="495"/>
      <c r="P191" s="491">
        <v>0</v>
      </c>
      <c r="Q191" s="489"/>
      <c r="R191" s="490"/>
    </row>
    <row r="192" spans="2:18">
      <c r="B192" s="488"/>
      <c r="C192" s="489" t="s">
        <v>19</v>
      </c>
      <c r="D192" s="489" t="s">
        <v>27</v>
      </c>
      <c r="E192" s="489"/>
      <c r="F192" s="491">
        <v>0</v>
      </c>
      <c r="G192" s="495"/>
      <c r="H192" s="491">
        <v>0</v>
      </c>
      <c r="I192" s="495"/>
      <c r="J192" s="491">
        <v>0</v>
      </c>
      <c r="K192" s="495"/>
      <c r="L192" s="491">
        <v>0</v>
      </c>
      <c r="M192" s="495"/>
      <c r="N192" s="491">
        <v>0</v>
      </c>
      <c r="O192" s="495"/>
      <c r="P192" s="491">
        <v>0</v>
      </c>
      <c r="Q192" s="489"/>
      <c r="R192" s="490"/>
    </row>
    <row r="193" spans="2:18">
      <c r="B193" s="488"/>
      <c r="C193" s="489" t="s">
        <v>20</v>
      </c>
      <c r="D193" s="489" t="s">
        <v>27</v>
      </c>
      <c r="E193" s="489"/>
      <c r="F193" s="491">
        <v>0</v>
      </c>
      <c r="G193" s="495"/>
      <c r="H193" s="491">
        <v>0</v>
      </c>
      <c r="I193" s="495"/>
      <c r="J193" s="491">
        <v>0</v>
      </c>
      <c r="K193" s="495"/>
      <c r="L193" s="491">
        <v>0</v>
      </c>
      <c r="M193" s="495"/>
      <c r="N193" s="491">
        <v>0</v>
      </c>
      <c r="O193" s="495"/>
      <c r="P193" s="491">
        <v>0</v>
      </c>
      <c r="Q193" s="489"/>
      <c r="R193" s="490"/>
    </row>
    <row r="194" spans="2:18">
      <c r="B194" s="488"/>
      <c r="C194" s="489" t="s">
        <v>21</v>
      </c>
      <c r="D194" s="489" t="s">
        <v>27</v>
      </c>
      <c r="E194" s="489"/>
      <c r="F194" s="491">
        <v>0</v>
      </c>
      <c r="G194" s="495"/>
      <c r="H194" s="491">
        <v>0</v>
      </c>
      <c r="I194" s="495"/>
      <c r="J194" s="491">
        <v>0</v>
      </c>
      <c r="K194" s="495"/>
      <c r="L194" s="491">
        <v>0</v>
      </c>
      <c r="M194" s="495"/>
      <c r="N194" s="491">
        <v>0</v>
      </c>
      <c r="O194" s="495"/>
      <c r="P194" s="491">
        <v>0</v>
      </c>
      <c r="Q194" s="489"/>
      <c r="R194" s="490"/>
    </row>
    <row r="195" spans="2:18">
      <c r="B195" s="488"/>
      <c r="C195" s="489" t="s">
        <v>22</v>
      </c>
      <c r="D195" s="489" t="s">
        <v>27</v>
      </c>
      <c r="E195" s="489"/>
      <c r="F195" s="491">
        <v>0</v>
      </c>
      <c r="G195" s="495"/>
      <c r="H195" s="491">
        <v>0</v>
      </c>
      <c r="I195" s="495"/>
      <c r="J195" s="491">
        <v>0</v>
      </c>
      <c r="K195" s="495"/>
      <c r="L195" s="491">
        <v>0</v>
      </c>
      <c r="M195" s="495"/>
      <c r="N195" s="491">
        <v>0</v>
      </c>
      <c r="O195" s="495"/>
      <c r="P195" s="491">
        <v>0</v>
      </c>
      <c r="Q195" s="489"/>
      <c r="R195" s="490"/>
    </row>
    <row r="196" spans="2:18">
      <c r="B196" s="488"/>
      <c r="C196" s="489" t="s">
        <v>23</v>
      </c>
      <c r="D196" s="489" t="s">
        <v>27</v>
      </c>
      <c r="E196" s="489"/>
      <c r="F196" s="491">
        <v>0</v>
      </c>
      <c r="G196" s="495"/>
      <c r="H196" s="491">
        <v>0</v>
      </c>
      <c r="I196" s="495"/>
      <c r="J196" s="491">
        <v>0</v>
      </c>
      <c r="K196" s="495"/>
      <c r="L196" s="491">
        <v>0</v>
      </c>
      <c r="M196" s="495"/>
      <c r="N196" s="491">
        <v>0</v>
      </c>
      <c r="O196" s="495"/>
      <c r="P196" s="491">
        <v>0</v>
      </c>
      <c r="Q196" s="489"/>
      <c r="R196" s="490"/>
    </row>
    <row r="197" spans="2:18">
      <c r="B197" s="488"/>
      <c r="C197" s="489" t="s">
        <v>24</v>
      </c>
      <c r="D197" s="489" t="s">
        <v>27</v>
      </c>
      <c r="E197" s="489"/>
      <c r="F197" s="491">
        <v>0</v>
      </c>
      <c r="G197" s="495"/>
      <c r="H197" s="491">
        <v>0</v>
      </c>
      <c r="I197" s="495"/>
      <c r="J197" s="491">
        <v>0</v>
      </c>
      <c r="K197" s="495"/>
      <c r="L197" s="491">
        <v>0</v>
      </c>
      <c r="M197" s="495"/>
      <c r="N197" s="491">
        <v>0</v>
      </c>
      <c r="O197" s="495"/>
      <c r="P197" s="491">
        <v>0</v>
      </c>
      <c r="Q197" s="489"/>
      <c r="R197" s="490"/>
    </row>
    <row r="198" spans="2:18">
      <c r="B198" s="488"/>
      <c r="C198" s="489" t="s">
        <v>13</v>
      </c>
      <c r="D198" s="489" t="s">
        <v>27</v>
      </c>
      <c r="E198" s="489"/>
      <c r="F198" s="487">
        <v>0</v>
      </c>
      <c r="G198" s="384"/>
      <c r="H198" s="487">
        <v>0</v>
      </c>
      <c r="I198" s="384"/>
      <c r="J198" s="487">
        <v>0</v>
      </c>
      <c r="K198" s="384"/>
      <c r="L198" s="487">
        <v>0</v>
      </c>
      <c r="M198" s="384"/>
      <c r="N198" s="487">
        <v>0</v>
      </c>
      <c r="O198" s="384"/>
      <c r="P198" s="487">
        <v>0</v>
      </c>
      <c r="Q198" s="489"/>
      <c r="R198" s="490"/>
    </row>
    <row r="199" spans="2:18">
      <c r="B199" s="488"/>
      <c r="C199" s="341" t="s">
        <v>573</v>
      </c>
      <c r="D199" s="489"/>
      <c r="E199" s="489"/>
      <c r="F199" s="388">
        <f t="shared" ref="F199:N199" si="24">SUM(F186:F198)</f>
        <v>0</v>
      </c>
      <c r="G199" s="495"/>
      <c r="H199" s="388">
        <f t="shared" si="24"/>
        <v>0</v>
      </c>
      <c r="I199" s="495"/>
      <c r="J199" s="388">
        <f t="shared" si="24"/>
        <v>0</v>
      </c>
      <c r="K199" s="495"/>
      <c r="L199" s="388">
        <f t="shared" si="24"/>
        <v>0</v>
      </c>
      <c r="M199" s="495"/>
      <c r="N199" s="388">
        <f t="shared" si="24"/>
        <v>0</v>
      </c>
      <c r="O199" s="495"/>
      <c r="P199" s="388">
        <f>SUM(P186:P198)</f>
        <v>0</v>
      </c>
      <c r="Q199" s="489"/>
      <c r="R199" s="490"/>
    </row>
    <row r="200" spans="2:18">
      <c r="B200" s="488"/>
      <c r="C200" s="341"/>
      <c r="D200" s="489"/>
      <c r="E200" s="489"/>
      <c r="F200" s="388"/>
      <c r="G200" s="495"/>
      <c r="H200" s="388"/>
      <c r="I200" s="495"/>
      <c r="J200" s="388"/>
      <c r="K200" s="495"/>
      <c r="L200" s="388"/>
      <c r="M200" s="495"/>
      <c r="N200" s="388"/>
      <c r="O200" s="495"/>
      <c r="P200" s="388"/>
      <c r="Q200" s="489"/>
      <c r="R200" s="490"/>
    </row>
    <row r="201" spans="2:18">
      <c r="B201" s="488"/>
      <c r="C201" s="494" t="s">
        <v>578</v>
      </c>
      <c r="D201" s="489"/>
      <c r="E201" s="489"/>
      <c r="F201" s="388"/>
      <c r="G201" s="495"/>
      <c r="H201" s="388"/>
      <c r="I201" s="495"/>
      <c r="J201" s="388"/>
      <c r="K201" s="495"/>
      <c r="L201" s="388"/>
      <c r="M201" s="495"/>
      <c r="N201" s="388"/>
      <c r="O201" s="495"/>
      <c r="P201" s="388"/>
      <c r="Q201" s="489" t="s">
        <v>721</v>
      </c>
      <c r="R201" s="490"/>
    </row>
    <row r="202" spans="2:18">
      <c r="B202" s="488"/>
      <c r="C202" s="494"/>
      <c r="D202" s="489"/>
      <c r="E202" s="489"/>
      <c r="F202" s="388"/>
      <c r="G202" s="495"/>
      <c r="H202" s="388"/>
      <c r="I202" s="495"/>
      <c r="J202" s="388"/>
      <c r="K202" s="495"/>
      <c r="L202" s="388"/>
      <c r="M202" s="495"/>
      <c r="N202" s="388"/>
      <c r="O202" s="495"/>
      <c r="P202" s="388"/>
      <c r="Q202" s="489"/>
      <c r="R202" s="490"/>
    </row>
    <row r="203" spans="2:18">
      <c r="B203" s="488"/>
      <c r="C203" s="494" t="s">
        <v>579</v>
      </c>
      <c r="D203" s="489"/>
      <c r="E203" s="489"/>
      <c r="F203" s="388"/>
      <c r="G203" s="495"/>
      <c r="H203" s="388"/>
      <c r="I203" s="495"/>
      <c r="J203" s="388"/>
      <c r="K203" s="495"/>
      <c r="L203" s="388"/>
      <c r="M203" s="495"/>
      <c r="N203" s="388"/>
      <c r="O203" s="495"/>
      <c r="P203" s="388"/>
      <c r="Q203" s="489" t="s">
        <v>655</v>
      </c>
      <c r="R203" s="490"/>
    </row>
    <row r="204" spans="2:18" ht="15" thickBot="1">
      <c r="B204" s="366"/>
      <c r="C204" s="367"/>
      <c r="D204" s="367"/>
      <c r="E204" s="367"/>
      <c r="F204" s="391"/>
      <c r="G204" s="402"/>
      <c r="H204" s="391"/>
      <c r="I204" s="402"/>
      <c r="J204" s="391"/>
      <c r="K204" s="402"/>
      <c r="L204" s="391"/>
      <c r="M204" s="402"/>
      <c r="N204" s="391"/>
      <c r="O204" s="402"/>
      <c r="P204" s="391"/>
      <c r="Q204" s="367"/>
      <c r="R204" s="368"/>
    </row>
    <row r="206" spans="2:18" ht="15" thickBot="1"/>
    <row r="207" spans="2:18">
      <c r="B207" s="336" t="s">
        <v>819</v>
      </c>
      <c r="C207" s="360"/>
      <c r="D207" s="360"/>
      <c r="E207" s="360"/>
      <c r="F207" s="385"/>
      <c r="G207" s="407"/>
      <c r="H207" s="385"/>
      <c r="I207" s="407"/>
      <c r="J207" s="385"/>
      <c r="K207" s="407"/>
      <c r="L207" s="385"/>
      <c r="M207" s="407"/>
      <c r="N207" s="385"/>
      <c r="O207" s="407"/>
      <c r="P207" s="385"/>
      <c r="Q207" s="360"/>
      <c r="R207" s="361"/>
    </row>
    <row r="208" spans="2:18">
      <c r="B208" s="488"/>
      <c r="C208" s="341" t="s">
        <v>584</v>
      </c>
      <c r="D208" s="489"/>
      <c r="E208" s="489"/>
      <c r="F208" s="388"/>
      <c r="G208" s="495"/>
      <c r="H208" s="388"/>
      <c r="I208" s="495"/>
      <c r="J208" s="388"/>
      <c r="K208" s="495"/>
      <c r="L208" s="388"/>
      <c r="M208" s="495"/>
      <c r="N208" s="388"/>
      <c r="O208" s="495"/>
      <c r="P208" s="388"/>
      <c r="Q208" s="489"/>
      <c r="R208" s="490"/>
    </row>
    <row r="209" spans="2:18">
      <c r="B209" s="488"/>
      <c r="C209" s="296" t="s">
        <v>10</v>
      </c>
      <c r="D209" s="296"/>
      <c r="E209" s="296"/>
      <c r="F209" s="251" t="s">
        <v>563</v>
      </c>
      <c r="G209" s="408"/>
      <c r="H209" s="251" t="s">
        <v>564</v>
      </c>
      <c r="I209" s="408"/>
      <c r="J209" s="251" t="s">
        <v>565</v>
      </c>
      <c r="K209" s="408"/>
      <c r="L209" s="251" t="s">
        <v>566</v>
      </c>
      <c r="M209" s="408"/>
      <c r="N209" s="251" t="s">
        <v>567</v>
      </c>
      <c r="O209" s="408"/>
      <c r="P209" s="251" t="s">
        <v>964</v>
      </c>
      <c r="Q209" s="251"/>
      <c r="R209" s="490"/>
    </row>
    <row r="210" spans="2:18">
      <c r="B210" s="488"/>
      <c r="C210" s="489"/>
      <c r="D210" s="489"/>
      <c r="E210" s="489"/>
      <c r="F210" s="495"/>
      <c r="G210" s="495"/>
      <c r="H210" s="495"/>
      <c r="I210" s="495"/>
      <c r="J210" s="495"/>
      <c r="K210" s="495"/>
      <c r="L210" s="495"/>
      <c r="M210" s="495"/>
      <c r="N210" s="495"/>
      <c r="O210" s="495"/>
      <c r="P210" s="495"/>
      <c r="Q210" s="495"/>
      <c r="R210" s="490"/>
    </row>
    <row r="211" spans="2:18">
      <c r="B211" s="488"/>
      <c r="C211" s="489" t="s">
        <v>14</v>
      </c>
      <c r="D211" s="489" t="s">
        <v>27</v>
      </c>
      <c r="E211" s="489">
        <v>1</v>
      </c>
      <c r="F211" s="495">
        <f t="shared" ref="F211:F222" si="25">IF(+F210&gt;0,+F210,+F117*0.05*1/(12-$E210))</f>
        <v>0</v>
      </c>
      <c r="G211" s="495"/>
      <c r="H211" s="495">
        <f t="shared" ref="H211:H222" si="26">IF(+H210&gt;0,+H210,+H117*0.05*1/(12-$E210))</f>
        <v>0</v>
      </c>
      <c r="I211" s="495"/>
      <c r="J211" s="495">
        <f t="shared" ref="J211:J222" si="27">IF(+J210&gt;0,+J210,+J117*0.05*1/(12-$E210))</f>
        <v>0</v>
      </c>
      <c r="K211" s="495"/>
      <c r="L211" s="495">
        <f t="shared" ref="L211:L222" si="28">IF(+L210&gt;0,+L210,+L117*0.05*1/(12-$E210))</f>
        <v>0</v>
      </c>
      <c r="M211" s="495"/>
      <c r="N211" s="495">
        <f t="shared" ref="N211:P222" si="29">IF(+N210&gt;0,+N210,+N117*0.05*1/(12-$E210))</f>
        <v>0</v>
      </c>
      <c r="O211" s="495"/>
      <c r="P211" s="495">
        <f t="shared" si="29"/>
        <v>0</v>
      </c>
      <c r="Q211" s="495"/>
      <c r="R211" s="490"/>
    </row>
    <row r="212" spans="2:18">
      <c r="B212" s="488"/>
      <c r="C212" s="489" t="s">
        <v>15</v>
      </c>
      <c r="D212" s="489" t="s">
        <v>27</v>
      </c>
      <c r="E212" s="489">
        <v>2</v>
      </c>
      <c r="F212" s="495">
        <f t="shared" si="25"/>
        <v>0</v>
      </c>
      <c r="G212" s="495"/>
      <c r="H212" s="495">
        <f t="shared" si="26"/>
        <v>0</v>
      </c>
      <c r="I212" s="495"/>
      <c r="J212" s="495">
        <f t="shared" si="27"/>
        <v>0</v>
      </c>
      <c r="K212" s="495"/>
      <c r="L212" s="495">
        <f t="shared" si="28"/>
        <v>0</v>
      </c>
      <c r="M212" s="495"/>
      <c r="N212" s="495">
        <f t="shared" si="29"/>
        <v>0</v>
      </c>
      <c r="O212" s="495"/>
      <c r="P212" s="495">
        <f t="shared" si="29"/>
        <v>0</v>
      </c>
      <c r="Q212" s="495"/>
      <c r="R212" s="490"/>
    </row>
    <row r="213" spans="2:18">
      <c r="B213" s="488"/>
      <c r="C213" s="489" t="s">
        <v>16</v>
      </c>
      <c r="D213" s="489" t="s">
        <v>27</v>
      </c>
      <c r="E213" s="489">
        <v>3</v>
      </c>
      <c r="F213" s="495">
        <f t="shared" si="25"/>
        <v>0</v>
      </c>
      <c r="G213" s="495"/>
      <c r="H213" s="495">
        <f t="shared" si="26"/>
        <v>0</v>
      </c>
      <c r="I213" s="495"/>
      <c r="J213" s="495">
        <f t="shared" si="27"/>
        <v>0</v>
      </c>
      <c r="K213" s="495"/>
      <c r="L213" s="495">
        <f t="shared" si="28"/>
        <v>0</v>
      </c>
      <c r="M213" s="495"/>
      <c r="N213" s="495">
        <f t="shared" si="29"/>
        <v>0</v>
      </c>
      <c r="O213" s="495"/>
      <c r="P213" s="495">
        <f t="shared" si="29"/>
        <v>0</v>
      </c>
      <c r="Q213" s="495"/>
      <c r="R213" s="490"/>
    </row>
    <row r="214" spans="2:18">
      <c r="B214" s="488"/>
      <c r="C214" s="489" t="s">
        <v>17</v>
      </c>
      <c r="D214" s="489" t="s">
        <v>27</v>
      </c>
      <c r="E214" s="493">
        <v>4</v>
      </c>
      <c r="F214" s="495">
        <f t="shared" si="25"/>
        <v>0</v>
      </c>
      <c r="G214" s="495"/>
      <c r="H214" s="495">
        <f t="shared" si="26"/>
        <v>0</v>
      </c>
      <c r="I214" s="495"/>
      <c r="J214" s="495">
        <f t="shared" si="27"/>
        <v>0</v>
      </c>
      <c r="K214" s="495"/>
      <c r="L214" s="495">
        <f t="shared" si="28"/>
        <v>0</v>
      </c>
      <c r="M214" s="495"/>
      <c r="N214" s="495">
        <f t="shared" si="29"/>
        <v>0</v>
      </c>
      <c r="O214" s="495"/>
      <c r="P214" s="495">
        <f t="shared" si="29"/>
        <v>0</v>
      </c>
      <c r="Q214" s="495"/>
      <c r="R214" s="490"/>
    </row>
    <row r="215" spans="2:18">
      <c r="B215" s="488"/>
      <c r="C215" s="489" t="s">
        <v>18</v>
      </c>
      <c r="D215" s="489" t="s">
        <v>27</v>
      </c>
      <c r="E215" s="493">
        <v>5</v>
      </c>
      <c r="F215" s="495">
        <f t="shared" si="25"/>
        <v>0</v>
      </c>
      <c r="G215" s="495"/>
      <c r="H215" s="495">
        <f t="shared" si="26"/>
        <v>0</v>
      </c>
      <c r="I215" s="495"/>
      <c r="J215" s="495">
        <f t="shared" si="27"/>
        <v>0</v>
      </c>
      <c r="K215" s="495"/>
      <c r="L215" s="495">
        <f t="shared" si="28"/>
        <v>0</v>
      </c>
      <c r="M215" s="495"/>
      <c r="N215" s="495">
        <f t="shared" si="29"/>
        <v>0</v>
      </c>
      <c r="O215" s="495"/>
      <c r="P215" s="495">
        <f t="shared" si="29"/>
        <v>0</v>
      </c>
      <c r="Q215" s="495"/>
      <c r="R215" s="490"/>
    </row>
    <row r="216" spans="2:18">
      <c r="B216" s="488"/>
      <c r="C216" s="133" t="s">
        <v>19</v>
      </c>
      <c r="D216" s="133" t="s">
        <v>27</v>
      </c>
      <c r="E216" s="133">
        <v>6</v>
      </c>
      <c r="F216" s="384">
        <f t="shared" si="25"/>
        <v>0</v>
      </c>
      <c r="G216" s="384"/>
      <c r="H216" s="384">
        <f t="shared" si="26"/>
        <v>0</v>
      </c>
      <c r="I216" s="384"/>
      <c r="J216" s="384">
        <f t="shared" si="27"/>
        <v>0</v>
      </c>
      <c r="K216" s="384"/>
      <c r="L216" s="384">
        <f t="shared" si="28"/>
        <v>0</v>
      </c>
      <c r="M216" s="384"/>
      <c r="N216" s="384">
        <f t="shared" si="29"/>
        <v>0</v>
      </c>
      <c r="O216" s="384"/>
      <c r="P216" s="384">
        <f t="shared" si="29"/>
        <v>0</v>
      </c>
      <c r="Q216" s="495"/>
      <c r="R216" s="490"/>
    </row>
    <row r="217" spans="2:18">
      <c r="B217" s="488"/>
      <c r="C217" s="489" t="s">
        <v>20</v>
      </c>
      <c r="D217" s="489" t="s">
        <v>27</v>
      </c>
      <c r="E217" s="493">
        <v>7</v>
      </c>
      <c r="F217" s="495">
        <f t="shared" si="25"/>
        <v>0</v>
      </c>
      <c r="G217" s="495"/>
      <c r="H217" s="495">
        <f t="shared" si="26"/>
        <v>0</v>
      </c>
      <c r="I217" s="495"/>
      <c r="J217" s="495">
        <f t="shared" si="27"/>
        <v>0</v>
      </c>
      <c r="K217" s="495"/>
      <c r="L217" s="495">
        <f t="shared" si="28"/>
        <v>0</v>
      </c>
      <c r="M217" s="495"/>
      <c r="N217" s="495">
        <f t="shared" si="29"/>
        <v>0</v>
      </c>
      <c r="O217" s="495"/>
      <c r="P217" s="495">
        <f t="shared" si="29"/>
        <v>0</v>
      </c>
      <c r="Q217" s="495"/>
      <c r="R217" s="490"/>
    </row>
    <row r="218" spans="2:18">
      <c r="B218" s="488"/>
      <c r="C218" s="489" t="s">
        <v>21</v>
      </c>
      <c r="D218" s="489" t="s">
        <v>27</v>
      </c>
      <c r="E218" s="493">
        <v>8</v>
      </c>
      <c r="F218" s="495">
        <f t="shared" si="25"/>
        <v>0</v>
      </c>
      <c r="G218" s="495"/>
      <c r="H218" s="495">
        <f t="shared" si="26"/>
        <v>0</v>
      </c>
      <c r="I218" s="495"/>
      <c r="J218" s="495">
        <f t="shared" si="27"/>
        <v>0</v>
      </c>
      <c r="K218" s="495"/>
      <c r="L218" s="495">
        <f t="shared" si="28"/>
        <v>0</v>
      </c>
      <c r="M218" s="495"/>
      <c r="N218" s="495">
        <f t="shared" si="29"/>
        <v>0</v>
      </c>
      <c r="O218" s="495"/>
      <c r="P218" s="495">
        <f t="shared" si="29"/>
        <v>0</v>
      </c>
      <c r="Q218" s="495"/>
      <c r="R218" s="490"/>
    </row>
    <row r="219" spans="2:18">
      <c r="B219" s="488"/>
      <c r="C219" s="489" t="s">
        <v>22</v>
      </c>
      <c r="D219" s="489" t="s">
        <v>27</v>
      </c>
      <c r="E219" s="493">
        <v>9</v>
      </c>
      <c r="F219" s="495">
        <f t="shared" si="25"/>
        <v>0</v>
      </c>
      <c r="G219" s="495"/>
      <c r="H219" s="495">
        <f t="shared" si="26"/>
        <v>0</v>
      </c>
      <c r="I219" s="495"/>
      <c r="J219" s="495">
        <f t="shared" si="27"/>
        <v>0</v>
      </c>
      <c r="K219" s="495"/>
      <c r="L219" s="495">
        <f t="shared" si="28"/>
        <v>0</v>
      </c>
      <c r="M219" s="495"/>
      <c r="N219" s="495">
        <f t="shared" si="29"/>
        <v>0</v>
      </c>
      <c r="O219" s="495"/>
      <c r="P219" s="495">
        <f t="shared" si="29"/>
        <v>0</v>
      </c>
      <c r="Q219" s="495"/>
      <c r="R219" s="490"/>
    </row>
    <row r="220" spans="2:18">
      <c r="B220" s="488"/>
      <c r="C220" s="489" t="s">
        <v>23</v>
      </c>
      <c r="D220" s="489" t="s">
        <v>27</v>
      </c>
      <c r="E220" s="493">
        <v>10</v>
      </c>
      <c r="F220" s="495">
        <f t="shared" si="25"/>
        <v>0</v>
      </c>
      <c r="G220" s="495"/>
      <c r="H220" s="495">
        <f t="shared" si="26"/>
        <v>0</v>
      </c>
      <c r="I220" s="495"/>
      <c r="J220" s="495">
        <f t="shared" si="27"/>
        <v>0</v>
      </c>
      <c r="K220" s="495"/>
      <c r="L220" s="495">
        <f t="shared" si="28"/>
        <v>0</v>
      </c>
      <c r="M220" s="495"/>
      <c r="N220" s="495">
        <f t="shared" si="29"/>
        <v>0</v>
      </c>
      <c r="O220" s="495"/>
      <c r="P220" s="495">
        <f t="shared" si="29"/>
        <v>0</v>
      </c>
      <c r="Q220" s="495"/>
      <c r="R220" s="490"/>
    </row>
    <row r="221" spans="2:18">
      <c r="B221" s="488"/>
      <c r="C221" s="489" t="s">
        <v>24</v>
      </c>
      <c r="D221" s="489" t="s">
        <v>27</v>
      </c>
      <c r="E221" s="493">
        <v>11</v>
      </c>
      <c r="F221" s="495">
        <f t="shared" si="25"/>
        <v>0</v>
      </c>
      <c r="G221" s="495"/>
      <c r="H221" s="495">
        <f t="shared" si="26"/>
        <v>0</v>
      </c>
      <c r="I221" s="495"/>
      <c r="J221" s="495">
        <f t="shared" si="27"/>
        <v>0</v>
      </c>
      <c r="K221" s="495"/>
      <c r="L221" s="495">
        <f t="shared" si="28"/>
        <v>0</v>
      </c>
      <c r="M221" s="495"/>
      <c r="N221" s="495">
        <f t="shared" si="29"/>
        <v>0</v>
      </c>
      <c r="O221" s="495"/>
      <c r="P221" s="495">
        <f t="shared" si="29"/>
        <v>0</v>
      </c>
      <c r="Q221" s="495"/>
      <c r="R221" s="490"/>
    </row>
    <row r="222" spans="2:18">
      <c r="B222" s="488"/>
      <c r="C222" s="489" t="s">
        <v>13</v>
      </c>
      <c r="D222" s="489" t="s">
        <v>27</v>
      </c>
      <c r="E222" s="493">
        <v>12</v>
      </c>
      <c r="F222" s="384">
        <f t="shared" si="25"/>
        <v>0</v>
      </c>
      <c r="G222" s="384"/>
      <c r="H222" s="384">
        <f t="shared" si="26"/>
        <v>0</v>
      </c>
      <c r="I222" s="384"/>
      <c r="J222" s="384">
        <f t="shared" si="27"/>
        <v>0</v>
      </c>
      <c r="K222" s="384"/>
      <c r="L222" s="384">
        <f t="shared" si="28"/>
        <v>0</v>
      </c>
      <c r="M222" s="384"/>
      <c r="N222" s="384">
        <f t="shared" si="29"/>
        <v>0</v>
      </c>
      <c r="O222" s="384"/>
      <c r="P222" s="384">
        <f t="shared" si="29"/>
        <v>0</v>
      </c>
      <c r="Q222" s="495"/>
      <c r="R222" s="490"/>
    </row>
    <row r="223" spans="2:18">
      <c r="B223" s="488"/>
      <c r="C223" s="341" t="s">
        <v>585</v>
      </c>
      <c r="D223" s="489"/>
      <c r="E223" s="489"/>
      <c r="F223" s="388">
        <f t="shared" ref="F223:N223" si="30">SUM(F211:F222)</f>
        <v>0</v>
      </c>
      <c r="G223" s="495"/>
      <c r="H223" s="388">
        <f t="shared" si="30"/>
        <v>0</v>
      </c>
      <c r="I223" s="495"/>
      <c r="J223" s="388">
        <f t="shared" si="30"/>
        <v>0</v>
      </c>
      <c r="K223" s="495"/>
      <c r="L223" s="388">
        <f t="shared" si="30"/>
        <v>0</v>
      </c>
      <c r="M223" s="495"/>
      <c r="N223" s="388">
        <f t="shared" si="30"/>
        <v>0</v>
      </c>
      <c r="O223" s="495"/>
      <c r="P223" s="388">
        <f>SUM(P211:P222)</f>
        <v>0</v>
      </c>
      <c r="Q223" s="388"/>
      <c r="R223" s="490"/>
    </row>
    <row r="224" spans="2:18">
      <c r="B224" s="488"/>
      <c r="C224" s="341"/>
      <c r="D224" s="489"/>
      <c r="E224" s="489"/>
      <c r="F224" s="388"/>
      <c r="G224" s="495"/>
      <c r="H224" s="388"/>
      <c r="I224" s="495"/>
      <c r="J224" s="388"/>
      <c r="K224" s="495"/>
      <c r="L224" s="388"/>
      <c r="M224" s="495"/>
      <c r="N224" s="388"/>
      <c r="O224" s="495"/>
      <c r="P224" s="388"/>
      <c r="Q224" s="388"/>
      <c r="R224" s="490"/>
    </row>
    <row r="225" spans="2:18" ht="15" thickBot="1">
      <c r="B225" s="366"/>
      <c r="C225" s="367"/>
      <c r="D225" s="367"/>
      <c r="E225" s="367"/>
      <c r="F225" s="391"/>
      <c r="G225" s="402"/>
      <c r="H225" s="391"/>
      <c r="I225" s="402"/>
      <c r="J225" s="391"/>
      <c r="K225" s="402"/>
      <c r="L225" s="391"/>
      <c r="M225" s="402"/>
      <c r="N225" s="391"/>
      <c r="O225" s="402"/>
      <c r="P225" s="391"/>
      <c r="Q225" s="367"/>
      <c r="R225" s="368"/>
    </row>
    <row r="226" spans="2:18">
      <c r="F226" s="486"/>
      <c r="G226" s="486"/>
      <c r="H226" s="486"/>
      <c r="I226" s="486"/>
      <c r="J226" s="486"/>
      <c r="K226" s="486"/>
      <c r="L226" s="486"/>
      <c r="M226" s="486"/>
      <c r="N226" s="486"/>
      <c r="O226" s="486"/>
      <c r="P226" s="486"/>
    </row>
    <row r="227" spans="2:18">
      <c r="F227" s="486"/>
      <c r="G227" s="486"/>
      <c r="H227" s="486"/>
      <c r="I227" s="486"/>
      <c r="J227" s="486"/>
      <c r="K227" s="486"/>
      <c r="L227" s="486"/>
      <c r="M227" s="486"/>
      <c r="N227" s="486"/>
      <c r="O227" s="486"/>
      <c r="P227" s="486"/>
    </row>
    <row r="228" spans="2:18">
      <c r="C228" s="411"/>
      <c r="F228" s="486"/>
      <c r="G228" s="486"/>
      <c r="H228" s="486"/>
      <c r="I228" s="486"/>
      <c r="J228" s="486"/>
      <c r="K228" s="486"/>
      <c r="L228" s="486"/>
      <c r="M228" s="486"/>
      <c r="N228" s="486"/>
      <c r="O228" s="486"/>
      <c r="P228" s="486"/>
    </row>
    <row r="229" spans="2:18">
      <c r="F229" s="486"/>
      <c r="G229" s="486"/>
      <c r="H229" s="486"/>
      <c r="I229" s="486"/>
      <c r="J229" s="486"/>
      <c r="K229" s="486"/>
      <c r="L229" s="486"/>
      <c r="M229" s="486"/>
      <c r="N229" s="486"/>
      <c r="O229" s="486"/>
      <c r="P229" s="486"/>
    </row>
    <row r="230" spans="2:18">
      <c r="F230" s="486"/>
      <c r="G230" s="486"/>
      <c r="H230" s="486"/>
      <c r="I230" s="486"/>
      <c r="J230" s="486"/>
      <c r="K230" s="486"/>
      <c r="L230" s="486"/>
      <c r="M230" s="486"/>
      <c r="N230" s="486"/>
      <c r="O230" s="486"/>
      <c r="P230" s="486"/>
    </row>
    <row r="231" spans="2:18">
      <c r="F231" s="486"/>
      <c r="G231" s="486"/>
      <c r="H231" s="486"/>
      <c r="I231" s="486"/>
      <c r="J231" s="486"/>
      <c r="K231" s="486"/>
      <c r="L231" s="486"/>
      <c r="M231" s="486"/>
      <c r="N231" s="486"/>
      <c r="O231" s="486"/>
      <c r="P231" s="486"/>
    </row>
    <row r="232" spans="2:18">
      <c r="F232" s="486"/>
      <c r="G232" s="486"/>
      <c r="H232" s="486"/>
      <c r="I232" s="486"/>
      <c r="J232" s="486"/>
      <c r="K232" s="486"/>
      <c r="L232" s="486"/>
      <c r="M232" s="486"/>
      <c r="N232" s="486"/>
      <c r="O232" s="486"/>
      <c r="P232" s="486"/>
    </row>
    <row r="233" spans="2:18">
      <c r="F233" s="486"/>
      <c r="G233" s="486"/>
      <c r="H233" s="486"/>
      <c r="I233" s="486"/>
      <c r="J233" s="486"/>
      <c r="K233" s="486"/>
      <c r="L233" s="486"/>
      <c r="M233" s="486"/>
      <c r="N233" s="486"/>
      <c r="O233" s="486"/>
      <c r="P233" s="486"/>
    </row>
    <row r="236" spans="2:18">
      <c r="F236" s="486"/>
      <c r="G236" s="486"/>
      <c r="H236" s="486"/>
      <c r="I236" s="486"/>
      <c r="J236" s="486"/>
      <c r="K236" s="486"/>
      <c r="L236" s="486"/>
      <c r="M236" s="486"/>
      <c r="N236" s="486"/>
      <c r="O236" s="486"/>
      <c r="P236" s="486"/>
    </row>
  </sheetData>
  <pageMargins left="0.7" right="0.7" top="0.75" bottom="0.75" header="0.3" footer="0.3"/>
  <pageSetup scale="34" fitToHeight="0" orientation="landscape" r:id="rId1"/>
  <rowBreaks count="1" manualBreakCount="1">
    <brk id="10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1"/>
  <sheetViews>
    <sheetView view="pageBreakPreview" zoomScale="60" zoomScaleNormal="80" workbookViewId="0">
      <pane xSplit="1" ySplit="5" topLeftCell="B6" activePane="bottomRight" state="frozen"/>
      <selection activeCell="E57" sqref="E57"/>
      <selection pane="topRight" activeCell="E57" sqref="E57"/>
      <selection pane="bottomLeft" activeCell="E57" sqref="E57"/>
      <selection pane="bottomRight" activeCell="C241" sqref="C241"/>
    </sheetView>
  </sheetViews>
  <sheetFormatPr defaultColWidth="9.109375" defaultRowHeight="14.4"/>
  <cols>
    <col min="1" max="1" width="35.5546875" style="792" bestFit="1" customWidth="1"/>
    <col min="2" max="2" width="30.109375" style="792" bestFit="1" customWidth="1"/>
    <col min="3" max="4" width="30.5546875" style="792" customWidth="1"/>
    <col min="5" max="5" width="22" style="792" bestFit="1" customWidth="1"/>
    <col min="6" max="7" width="34.44140625" style="792" bestFit="1" customWidth="1"/>
    <col min="8" max="8" width="29.44140625" style="792" customWidth="1"/>
    <col min="9" max="11" width="22.5546875" style="792" customWidth="1"/>
    <col min="12" max="16384" width="9.109375" style="792"/>
  </cols>
  <sheetData>
    <row r="1" spans="1:9">
      <c r="A1" s="806" t="s">
        <v>0</v>
      </c>
    </row>
    <row r="2" spans="1:9">
      <c r="A2" s="806" t="s">
        <v>1373</v>
      </c>
    </row>
    <row r="3" spans="1:9" ht="15" thickBot="1"/>
    <row r="4" spans="1:9">
      <c r="A4" s="793" t="s">
        <v>1069</v>
      </c>
      <c r="C4" s="815" t="s">
        <v>1070</v>
      </c>
      <c r="D4" s="815" t="s">
        <v>1071</v>
      </c>
      <c r="E4" s="815" t="s">
        <v>1072</v>
      </c>
      <c r="F4" s="825" t="s">
        <v>1073</v>
      </c>
      <c r="G4" s="829" t="s">
        <v>1074</v>
      </c>
      <c r="H4" s="833" t="s">
        <v>1075</v>
      </c>
      <c r="I4" s="793"/>
    </row>
    <row r="5" spans="1:9">
      <c r="B5" s="795" t="s">
        <v>1076</v>
      </c>
      <c r="C5" s="837">
        <v>2.0899999999999998E-2</v>
      </c>
      <c r="D5" s="837">
        <v>2.2700000000000001E-2</v>
      </c>
      <c r="E5" s="815" t="s">
        <v>1077</v>
      </c>
      <c r="F5" s="826" t="s">
        <v>1077</v>
      </c>
      <c r="G5" s="830" t="s">
        <v>1077</v>
      </c>
      <c r="H5" s="832" t="s">
        <v>1077</v>
      </c>
    </row>
    <row r="6" spans="1:9">
      <c r="A6" s="831">
        <v>40694</v>
      </c>
      <c r="B6" s="800">
        <v>561545494</v>
      </c>
      <c r="C6" s="836"/>
      <c r="D6" s="828"/>
      <c r="F6" s="796"/>
      <c r="G6" s="797"/>
      <c r="H6" s="799"/>
      <c r="I6" s="831"/>
    </row>
    <row r="7" spans="1:9">
      <c r="A7" s="831">
        <v>40724</v>
      </c>
      <c r="B7" s="800">
        <v>561605075</v>
      </c>
      <c r="C7" s="794">
        <f>(B7*$C$5)/12</f>
        <v>978128.83895833325</v>
      </c>
      <c r="D7" s="794">
        <f>(B7*$D$5)/12</f>
        <v>1062369.6002083335</v>
      </c>
      <c r="E7" s="803">
        <f t="shared" ref="E7:E32" si="0">D7-C7</f>
        <v>84240.761250000214</v>
      </c>
      <c r="F7" s="834">
        <v>0</v>
      </c>
      <c r="G7" s="801">
        <f>E7</f>
        <v>84240.761250000214</v>
      </c>
      <c r="H7" s="811">
        <f>G7*0.3959</f>
        <v>33350.917378875085</v>
      </c>
      <c r="I7" s="831"/>
    </row>
    <row r="8" spans="1:9">
      <c r="A8" s="831">
        <v>40755</v>
      </c>
      <c r="B8" s="800">
        <v>562768565</v>
      </c>
      <c r="C8" s="794">
        <f t="shared" ref="C8:C32" si="1">(B8*$C$5)/12</f>
        <v>980155.25070833322</v>
      </c>
      <c r="D8" s="794">
        <f t="shared" ref="D8:D32" si="2">(B8*$D$5)/12</f>
        <v>1064570.5354583333</v>
      </c>
      <c r="E8" s="803">
        <f t="shared" si="0"/>
        <v>84415.284750000108</v>
      </c>
      <c r="F8" s="834">
        <v>0</v>
      </c>
      <c r="G8" s="801">
        <f t="shared" ref="G8:G32" si="3">G7+E8</f>
        <v>168656.04600000032</v>
      </c>
      <c r="H8" s="811">
        <f t="shared" ref="H8:H32" si="4">G8*0.3959</f>
        <v>66770.92861140013</v>
      </c>
      <c r="I8" s="831"/>
    </row>
    <row r="9" spans="1:9">
      <c r="A9" s="831">
        <v>40786</v>
      </c>
      <c r="B9" s="800">
        <v>567293325</v>
      </c>
      <c r="C9" s="794">
        <f t="shared" si="1"/>
        <v>988035.87437500001</v>
      </c>
      <c r="D9" s="794">
        <f t="shared" si="2"/>
        <v>1073129.8731250002</v>
      </c>
      <c r="E9" s="803">
        <f t="shared" si="0"/>
        <v>85093.998750000144</v>
      </c>
      <c r="F9" s="834">
        <v>0</v>
      </c>
      <c r="G9" s="801">
        <f t="shared" si="3"/>
        <v>253750.04475000047</v>
      </c>
      <c r="H9" s="811">
        <f t="shared" si="4"/>
        <v>100459.64271652518</v>
      </c>
      <c r="I9" s="831"/>
    </row>
    <row r="10" spans="1:9">
      <c r="A10" s="831">
        <v>40816</v>
      </c>
      <c r="B10" s="800">
        <v>568194419</v>
      </c>
      <c r="C10" s="794">
        <f t="shared" si="1"/>
        <v>989605.27975833323</v>
      </c>
      <c r="D10" s="794">
        <f t="shared" si="2"/>
        <v>1074834.4426083334</v>
      </c>
      <c r="E10" s="803">
        <f t="shared" si="0"/>
        <v>85229.162850000197</v>
      </c>
      <c r="F10" s="834">
        <v>0</v>
      </c>
      <c r="G10" s="801">
        <f t="shared" si="3"/>
        <v>338979.20760000066</v>
      </c>
      <c r="H10" s="811">
        <f t="shared" si="4"/>
        <v>134201.86828884025</v>
      </c>
      <c r="I10" s="831"/>
    </row>
    <row r="11" spans="1:9">
      <c r="A11" s="831">
        <v>40847</v>
      </c>
      <c r="B11" s="800">
        <v>588465377</v>
      </c>
      <c r="C11" s="794">
        <f t="shared" si="1"/>
        <v>1024910.5316083332</v>
      </c>
      <c r="D11" s="794">
        <f t="shared" si="2"/>
        <v>1113180.3381583334</v>
      </c>
      <c r="E11" s="803">
        <f t="shared" si="0"/>
        <v>88269.806550000212</v>
      </c>
      <c r="F11" s="834">
        <v>0</v>
      </c>
      <c r="G11" s="801">
        <f t="shared" si="3"/>
        <v>427249.01415000088</v>
      </c>
      <c r="H11" s="811">
        <f t="shared" si="4"/>
        <v>169147.88470198534</v>
      </c>
      <c r="I11" s="831"/>
    </row>
    <row r="12" spans="1:9">
      <c r="A12" s="831">
        <v>40877</v>
      </c>
      <c r="B12" s="800">
        <v>587913413</v>
      </c>
      <c r="C12" s="794">
        <f t="shared" si="1"/>
        <v>1023949.1943083332</v>
      </c>
      <c r="D12" s="794">
        <f t="shared" si="2"/>
        <v>1112136.2062583335</v>
      </c>
      <c r="E12" s="803">
        <f t="shared" si="0"/>
        <v>88187.011950000306</v>
      </c>
      <c r="F12" s="834">
        <v>0</v>
      </c>
      <c r="G12" s="801">
        <f t="shared" si="3"/>
        <v>515436.02610000118</v>
      </c>
      <c r="H12" s="811">
        <f t="shared" si="4"/>
        <v>204061.12273299045</v>
      </c>
      <c r="I12" s="831"/>
    </row>
    <row r="13" spans="1:9">
      <c r="A13" s="831">
        <v>40908</v>
      </c>
      <c r="B13" s="822">
        <v>588272716</v>
      </c>
      <c r="C13" s="794">
        <f t="shared" si="1"/>
        <v>1024574.9803666667</v>
      </c>
      <c r="D13" s="794">
        <f t="shared" si="2"/>
        <v>1112815.8877666667</v>
      </c>
      <c r="E13" s="803">
        <f t="shared" si="0"/>
        <v>88240.907400000026</v>
      </c>
      <c r="F13" s="841">
        <v>0</v>
      </c>
      <c r="G13" s="842">
        <f t="shared" si="3"/>
        <v>603676.93350000121</v>
      </c>
      <c r="H13" s="843">
        <f t="shared" si="4"/>
        <v>238995.69797265047</v>
      </c>
      <c r="I13" s="831"/>
    </row>
    <row r="14" spans="1:9">
      <c r="A14" s="831">
        <v>40939</v>
      </c>
      <c r="B14" s="800">
        <v>589885723.38000023</v>
      </c>
      <c r="C14" s="794">
        <f t="shared" si="1"/>
        <v>1027384.3015535004</v>
      </c>
      <c r="D14" s="794">
        <f t="shared" si="2"/>
        <v>1115867.1600605005</v>
      </c>
      <c r="E14" s="803">
        <f t="shared" si="0"/>
        <v>88482.858507000143</v>
      </c>
      <c r="F14" s="841">
        <v>0</v>
      </c>
      <c r="G14" s="842">
        <f t="shared" si="3"/>
        <v>692159.79200700135</v>
      </c>
      <c r="H14" s="843">
        <f t="shared" si="4"/>
        <v>274026.0616555718</v>
      </c>
      <c r="I14" s="831"/>
    </row>
    <row r="15" spans="1:9">
      <c r="A15" s="831">
        <v>40968</v>
      </c>
      <c r="B15" s="800">
        <v>589881236.2700001</v>
      </c>
      <c r="C15" s="794">
        <f t="shared" si="1"/>
        <v>1027376.4865035834</v>
      </c>
      <c r="D15" s="794">
        <f t="shared" si="2"/>
        <v>1115858.6719440836</v>
      </c>
      <c r="E15" s="803">
        <f t="shared" si="0"/>
        <v>88482.185440500267</v>
      </c>
      <c r="F15" s="841">
        <v>0</v>
      </c>
      <c r="G15" s="842">
        <f t="shared" si="3"/>
        <v>780641.97744750162</v>
      </c>
      <c r="H15" s="843">
        <f t="shared" si="4"/>
        <v>309056.15887146589</v>
      </c>
      <c r="I15" s="831"/>
    </row>
    <row r="16" spans="1:9">
      <c r="A16" s="831">
        <v>40999</v>
      </c>
      <c r="B16" s="800">
        <v>583894061.02000046</v>
      </c>
      <c r="C16" s="794">
        <f t="shared" si="1"/>
        <v>1016948.8229431674</v>
      </c>
      <c r="D16" s="794">
        <f t="shared" si="2"/>
        <v>1104532.9320961677</v>
      </c>
      <c r="E16" s="803">
        <f t="shared" si="0"/>
        <v>87584.109153000289</v>
      </c>
      <c r="F16" s="841">
        <v>0</v>
      </c>
      <c r="G16" s="842">
        <f t="shared" si="3"/>
        <v>868226.08660050191</v>
      </c>
      <c r="H16" s="843">
        <f t="shared" si="4"/>
        <v>343730.70768513868</v>
      </c>
      <c r="I16" s="831"/>
    </row>
    <row r="17" spans="1:9">
      <c r="A17" s="831">
        <v>41029</v>
      </c>
      <c r="B17" s="800">
        <v>589528503.54999936</v>
      </c>
      <c r="C17" s="794">
        <f t="shared" si="1"/>
        <v>1026762.1436829154</v>
      </c>
      <c r="D17" s="794">
        <f t="shared" si="2"/>
        <v>1115191.4192154154</v>
      </c>
      <c r="E17" s="803">
        <f t="shared" si="0"/>
        <v>88429.275532500003</v>
      </c>
      <c r="F17" s="841">
        <v>0</v>
      </c>
      <c r="G17" s="842">
        <f t="shared" si="3"/>
        <v>956655.36213300191</v>
      </c>
      <c r="H17" s="843">
        <f t="shared" si="4"/>
        <v>378739.85786845541</v>
      </c>
      <c r="I17" s="831"/>
    </row>
    <row r="18" spans="1:9">
      <c r="A18" s="831">
        <v>41060</v>
      </c>
      <c r="B18" s="800">
        <v>598261158.70000088</v>
      </c>
      <c r="C18" s="794">
        <f t="shared" si="1"/>
        <v>1041971.5180691681</v>
      </c>
      <c r="D18" s="794">
        <f t="shared" si="2"/>
        <v>1131710.6918741683</v>
      </c>
      <c r="E18" s="803">
        <f t="shared" si="0"/>
        <v>89739.17380500026</v>
      </c>
      <c r="F18" s="841">
        <v>0</v>
      </c>
      <c r="G18" s="842">
        <f t="shared" si="3"/>
        <v>1046394.5359380022</v>
      </c>
      <c r="H18" s="843">
        <f t="shared" si="4"/>
        <v>414267.59677785501</v>
      </c>
      <c r="I18" s="831"/>
    </row>
    <row r="19" spans="1:9">
      <c r="A19" s="831">
        <v>41090</v>
      </c>
      <c r="B19" s="800">
        <v>598294269.87000072</v>
      </c>
      <c r="C19" s="794">
        <f t="shared" si="1"/>
        <v>1042029.1866902512</v>
      </c>
      <c r="D19" s="794">
        <f t="shared" si="2"/>
        <v>1131773.3271707513</v>
      </c>
      <c r="E19" s="803">
        <f t="shared" si="0"/>
        <v>89744.140480500064</v>
      </c>
      <c r="F19" s="841">
        <v>0</v>
      </c>
      <c r="G19" s="842">
        <f t="shared" si="3"/>
        <v>1136138.6764185023</v>
      </c>
      <c r="H19" s="843">
        <f t="shared" si="4"/>
        <v>449797.30199408508</v>
      </c>
      <c r="I19" s="831"/>
    </row>
    <row r="20" spans="1:9">
      <c r="A20" s="831">
        <v>41121</v>
      </c>
      <c r="B20" s="800">
        <v>598200036.03000057</v>
      </c>
      <c r="C20" s="794">
        <f t="shared" si="1"/>
        <v>1041865.0627522509</v>
      </c>
      <c r="D20" s="794">
        <f t="shared" si="2"/>
        <v>1131595.0681567511</v>
      </c>
      <c r="E20" s="803">
        <f t="shared" si="0"/>
        <v>89730.005404500174</v>
      </c>
      <c r="F20" s="841">
        <v>0</v>
      </c>
      <c r="G20" s="842">
        <f t="shared" si="3"/>
        <v>1225868.6818230026</v>
      </c>
      <c r="H20" s="843">
        <f t="shared" si="4"/>
        <v>485321.41113372671</v>
      </c>
      <c r="I20" s="831"/>
    </row>
    <row r="21" spans="1:9">
      <c r="A21" s="831">
        <v>41152</v>
      </c>
      <c r="B21" s="800">
        <v>601271121.1600008</v>
      </c>
      <c r="C21" s="794">
        <f t="shared" si="1"/>
        <v>1047213.8693536679</v>
      </c>
      <c r="D21" s="794">
        <f t="shared" si="2"/>
        <v>1137404.5375276683</v>
      </c>
      <c r="E21" s="803">
        <f t="shared" si="0"/>
        <v>90190.668174000341</v>
      </c>
      <c r="F21" s="841">
        <v>0</v>
      </c>
      <c r="G21" s="842">
        <f t="shared" si="3"/>
        <v>1316059.3499970031</v>
      </c>
      <c r="H21" s="843">
        <f t="shared" si="4"/>
        <v>521027.8966638135</v>
      </c>
      <c r="I21" s="831"/>
    </row>
    <row r="22" spans="1:9">
      <c r="A22" s="831">
        <v>41182</v>
      </c>
      <c r="B22" s="800">
        <v>601019324.70000088</v>
      </c>
      <c r="C22" s="794">
        <f t="shared" si="1"/>
        <v>1046775.3238525015</v>
      </c>
      <c r="D22" s="794">
        <f t="shared" si="2"/>
        <v>1136928.2225575016</v>
      </c>
      <c r="E22" s="803">
        <f t="shared" si="0"/>
        <v>90152.898705000174</v>
      </c>
      <c r="F22" s="841">
        <v>0</v>
      </c>
      <c r="G22" s="842">
        <f t="shared" si="3"/>
        <v>1406212.2487020032</v>
      </c>
      <c r="H22" s="843">
        <f t="shared" si="4"/>
        <v>556719.42926112306</v>
      </c>
      <c r="I22" s="831"/>
    </row>
    <row r="23" spans="1:9">
      <c r="A23" s="831">
        <v>41213</v>
      </c>
      <c r="B23" s="800">
        <v>601637587.25000095</v>
      </c>
      <c r="C23" s="794">
        <f t="shared" si="1"/>
        <v>1047852.131127085</v>
      </c>
      <c r="D23" s="794">
        <f t="shared" si="2"/>
        <v>1138097.7692145852</v>
      </c>
      <c r="E23" s="803">
        <f t="shared" si="0"/>
        <v>90245.638087500236</v>
      </c>
      <c r="F23" s="841">
        <v>0</v>
      </c>
      <c r="G23" s="842">
        <f t="shared" si="3"/>
        <v>1496457.8867895035</v>
      </c>
      <c r="H23" s="843">
        <f t="shared" si="4"/>
        <v>592447.67737996439</v>
      </c>
      <c r="I23" s="831"/>
    </row>
    <row r="24" spans="1:9">
      <c r="A24" s="831">
        <v>41243</v>
      </c>
      <c r="B24" s="800">
        <v>607319064.95000052</v>
      </c>
      <c r="C24" s="794">
        <f t="shared" si="1"/>
        <v>1057747.3714545842</v>
      </c>
      <c r="D24" s="794">
        <f t="shared" si="2"/>
        <v>1148845.2311970845</v>
      </c>
      <c r="E24" s="803">
        <f t="shared" si="0"/>
        <v>91097.859742500354</v>
      </c>
      <c r="F24" s="841">
        <v>0</v>
      </c>
      <c r="G24" s="842">
        <f t="shared" si="3"/>
        <v>1587555.7465320039</v>
      </c>
      <c r="H24" s="843">
        <f t="shared" si="4"/>
        <v>628513.32005202025</v>
      </c>
      <c r="I24" s="831"/>
    </row>
    <row r="25" spans="1:9">
      <c r="A25" s="831">
        <v>41274</v>
      </c>
      <c r="B25" s="822">
        <v>609133959</v>
      </c>
      <c r="C25" s="794">
        <f t="shared" si="1"/>
        <v>1060908.3119249998</v>
      </c>
      <c r="D25" s="794">
        <f t="shared" si="2"/>
        <v>1152278.4057750001</v>
      </c>
      <c r="E25" s="803">
        <f t="shared" si="0"/>
        <v>91370.093850000296</v>
      </c>
      <c r="F25" s="841">
        <v>0</v>
      </c>
      <c r="G25" s="842">
        <f t="shared" si="3"/>
        <v>1678925.8403820042</v>
      </c>
      <c r="H25" s="843">
        <f t="shared" si="4"/>
        <v>664686.74020723545</v>
      </c>
      <c r="I25" s="831"/>
    </row>
    <row r="26" spans="1:9">
      <c r="A26" s="831">
        <v>41305</v>
      </c>
      <c r="B26" s="822">
        <v>609704101</v>
      </c>
      <c r="C26" s="794">
        <f t="shared" si="1"/>
        <v>1061901.3092416667</v>
      </c>
      <c r="D26" s="794">
        <f t="shared" si="2"/>
        <v>1153356.9243916667</v>
      </c>
      <c r="E26" s="803">
        <f t="shared" si="0"/>
        <v>91455.615149999969</v>
      </c>
      <c r="F26" s="834">
        <v>0</v>
      </c>
      <c r="G26" s="801">
        <f t="shared" si="3"/>
        <v>1770381.4555320041</v>
      </c>
      <c r="H26" s="811">
        <f t="shared" si="4"/>
        <v>700894.01824512042</v>
      </c>
      <c r="I26" s="831"/>
    </row>
    <row r="27" spans="1:9">
      <c r="A27" s="831">
        <v>41333</v>
      </c>
      <c r="B27" s="822">
        <v>609898303</v>
      </c>
      <c r="C27" s="794">
        <f t="shared" si="1"/>
        <v>1062239.5443916665</v>
      </c>
      <c r="D27" s="794">
        <f t="shared" si="2"/>
        <v>1153724.2898416666</v>
      </c>
      <c r="E27" s="803">
        <f t="shared" si="0"/>
        <v>91484.745450000046</v>
      </c>
      <c r="F27" s="834">
        <v>0</v>
      </c>
      <c r="G27" s="801">
        <f t="shared" si="3"/>
        <v>1861866.2009820042</v>
      </c>
      <c r="H27" s="811">
        <f t="shared" si="4"/>
        <v>737112.82896877546</v>
      </c>
      <c r="I27" s="831"/>
    </row>
    <row r="28" spans="1:9">
      <c r="A28" s="831">
        <v>41364</v>
      </c>
      <c r="B28" s="822">
        <v>610153351</v>
      </c>
      <c r="C28" s="794">
        <f t="shared" si="1"/>
        <v>1062683.7529916666</v>
      </c>
      <c r="D28" s="794">
        <f t="shared" si="2"/>
        <v>1154206.7556416667</v>
      </c>
      <c r="E28" s="803">
        <f t="shared" si="0"/>
        <v>91523.002650000155</v>
      </c>
      <c r="F28" s="834">
        <v>0</v>
      </c>
      <c r="G28" s="801">
        <f t="shared" si="3"/>
        <v>1953389.2036320043</v>
      </c>
      <c r="H28" s="811">
        <f t="shared" si="4"/>
        <v>773346.7857179105</v>
      </c>
      <c r="I28" s="831"/>
    </row>
    <row r="29" spans="1:9">
      <c r="A29" s="831">
        <v>41394</v>
      </c>
      <c r="B29" s="822">
        <v>610765127</v>
      </c>
      <c r="C29" s="794">
        <f t="shared" si="1"/>
        <v>1063749.2628583333</v>
      </c>
      <c r="D29" s="794">
        <f t="shared" si="2"/>
        <v>1155364.0319083335</v>
      </c>
      <c r="E29" s="803">
        <f t="shared" si="0"/>
        <v>91614.769050000235</v>
      </c>
      <c r="F29" s="834">
        <v>0</v>
      </c>
      <c r="G29" s="801">
        <f t="shared" si="3"/>
        <v>2045003.9726820046</v>
      </c>
      <c r="H29" s="811">
        <f t="shared" si="4"/>
        <v>809617.07278480555</v>
      </c>
      <c r="I29" s="831"/>
    </row>
    <row r="30" spans="1:9">
      <c r="A30" s="831">
        <v>41425</v>
      </c>
      <c r="B30" s="822">
        <v>610969758</v>
      </c>
      <c r="C30" s="794">
        <f t="shared" si="1"/>
        <v>1064105.66185</v>
      </c>
      <c r="D30" s="794">
        <f t="shared" si="2"/>
        <v>1155751.12555</v>
      </c>
      <c r="E30" s="803">
        <f t="shared" si="0"/>
        <v>91645.463699999964</v>
      </c>
      <c r="F30" s="834">
        <v>0</v>
      </c>
      <c r="G30" s="801">
        <f t="shared" si="3"/>
        <v>2136649.4363820045</v>
      </c>
      <c r="H30" s="811">
        <f t="shared" si="4"/>
        <v>845899.5118636355</v>
      </c>
      <c r="I30" s="831"/>
    </row>
    <row r="31" spans="1:9" ht="15.75" customHeight="1">
      <c r="A31" s="831">
        <v>41455</v>
      </c>
      <c r="B31" s="822">
        <v>613299095</v>
      </c>
      <c r="C31" s="794">
        <f t="shared" si="1"/>
        <v>1068162.5904583333</v>
      </c>
      <c r="D31" s="794">
        <f t="shared" si="2"/>
        <v>1160157.4547083334</v>
      </c>
      <c r="E31" s="803">
        <f t="shared" si="0"/>
        <v>91994.864250000101</v>
      </c>
      <c r="F31" s="834">
        <v>0</v>
      </c>
      <c r="G31" s="801">
        <f t="shared" si="3"/>
        <v>2228644.3006320046</v>
      </c>
      <c r="H31" s="811">
        <f t="shared" si="4"/>
        <v>882320.27862021059</v>
      </c>
      <c r="I31" s="831"/>
    </row>
    <row r="32" spans="1:9">
      <c r="A32" s="831">
        <v>41486</v>
      </c>
      <c r="B32" s="822">
        <v>615398686</v>
      </c>
      <c r="C32" s="794">
        <f t="shared" si="1"/>
        <v>1071819.3781166666</v>
      </c>
      <c r="D32" s="794">
        <f t="shared" si="2"/>
        <v>1164129.1810166668</v>
      </c>
      <c r="E32" s="803">
        <f t="shared" si="0"/>
        <v>92309.802900000243</v>
      </c>
      <c r="F32" s="834">
        <v>0</v>
      </c>
      <c r="G32" s="801">
        <f t="shared" si="3"/>
        <v>2320954.1035320051</v>
      </c>
      <c r="H32" s="811">
        <f t="shared" si="4"/>
        <v>918865.72958832071</v>
      </c>
      <c r="I32" s="831"/>
    </row>
    <row r="33" spans="1:16" ht="15" thickBot="1">
      <c r="C33" s="835">
        <f>SUM(C7:C32)</f>
        <v>26948855.979899347</v>
      </c>
      <c r="D33" s="835">
        <f>SUM(D7:D32)</f>
        <v>29269810.083431341</v>
      </c>
      <c r="E33" s="835">
        <f>SUM(E7:E32)</f>
        <v>2320954.1035320051</v>
      </c>
      <c r="F33" s="834"/>
      <c r="G33" s="801">
        <v>0</v>
      </c>
      <c r="H33" s="812"/>
    </row>
    <row r="34" spans="1:16" ht="15" thickTop="1">
      <c r="F34" s="796"/>
      <c r="G34" s="797">
        <v>0</v>
      </c>
      <c r="H34" s="799"/>
    </row>
    <row r="35" spans="1:16">
      <c r="B35" s="838"/>
      <c r="C35" s="840"/>
      <c r="E35" s="816"/>
      <c r="F35" s="839"/>
      <c r="G35" s="801">
        <v>0</v>
      </c>
      <c r="H35" s="823"/>
    </row>
    <row r="36" spans="1:16">
      <c r="A36" s="793" t="s">
        <v>1078</v>
      </c>
      <c r="F36" s="796"/>
      <c r="G36" s="824">
        <v>0</v>
      </c>
      <c r="H36" s="799"/>
      <c r="I36" s="793"/>
    </row>
    <row r="37" spans="1:16">
      <c r="B37" s="808">
        <v>7915895</v>
      </c>
      <c r="C37" s="806" t="s">
        <v>1079</v>
      </c>
      <c r="F37" s="796"/>
      <c r="G37" s="824">
        <v>0</v>
      </c>
      <c r="H37" s="799"/>
    </row>
    <row r="38" spans="1:16">
      <c r="B38" s="827">
        <v>2.7788461538461599E-2</v>
      </c>
      <c r="C38" s="805" t="s">
        <v>1515</v>
      </c>
      <c r="F38" s="796"/>
      <c r="G38" s="797"/>
      <c r="H38" s="799"/>
    </row>
    <row r="39" spans="1:16">
      <c r="B39" s="827">
        <v>2.7630769230769216E-2</v>
      </c>
      <c r="C39" s="805" t="s">
        <v>1516</v>
      </c>
      <c r="F39" s="796"/>
      <c r="G39" s="797"/>
      <c r="H39" s="799"/>
      <c r="J39" s="805"/>
      <c r="K39" s="805"/>
      <c r="L39" s="805"/>
      <c r="M39" s="805"/>
      <c r="N39" s="805"/>
      <c r="O39" s="805"/>
      <c r="P39" s="805"/>
    </row>
    <row r="40" spans="1:16">
      <c r="B40" s="794">
        <f>B37*B38/12*26</f>
        <v>476602.84479166771</v>
      </c>
      <c r="C40" s="806" t="s">
        <v>1080</v>
      </c>
      <c r="F40" s="796"/>
      <c r="G40" s="797"/>
      <c r="H40" s="799"/>
    </row>
    <row r="41" spans="1:16">
      <c r="B41" s="820">
        <f>B37*B39/12*26</f>
        <v>473898.24733333313</v>
      </c>
      <c r="C41" s="806" t="s">
        <v>1081</v>
      </c>
      <c r="F41" s="796"/>
      <c r="G41" s="797"/>
      <c r="H41" s="799"/>
    </row>
    <row r="42" spans="1:16">
      <c r="B42" s="817">
        <f>B40+B41</f>
        <v>950501.0921250009</v>
      </c>
      <c r="C42" s="793" t="s">
        <v>1082</v>
      </c>
      <c r="F42" s="796"/>
      <c r="G42" s="797"/>
      <c r="H42" s="799"/>
    </row>
    <row r="43" spans="1:16">
      <c r="B43" s="802">
        <v>2.0899999999999998E-2</v>
      </c>
      <c r="C43" s="792" t="s">
        <v>1083</v>
      </c>
      <c r="F43" s="796"/>
      <c r="G43" s="797"/>
      <c r="H43" s="799"/>
    </row>
    <row r="44" spans="1:16">
      <c r="B44" s="802"/>
      <c r="F44" s="826" t="s">
        <v>1073</v>
      </c>
      <c r="G44" s="830" t="s">
        <v>1074</v>
      </c>
      <c r="H44" s="832" t="s">
        <v>1075</v>
      </c>
    </row>
    <row r="45" spans="1:16" ht="28.8">
      <c r="A45" s="807"/>
      <c r="B45" s="821" t="s">
        <v>1084</v>
      </c>
      <c r="C45" s="854" t="s">
        <v>1085</v>
      </c>
      <c r="D45" s="854" t="s">
        <v>1086</v>
      </c>
      <c r="E45" s="854" t="s">
        <v>1087</v>
      </c>
      <c r="F45" s="850" t="s">
        <v>1077</v>
      </c>
      <c r="G45" s="856" t="s">
        <v>1077</v>
      </c>
      <c r="H45" s="852" t="s">
        <v>1077</v>
      </c>
      <c r="I45" s="853" t="s">
        <v>1283</v>
      </c>
      <c r="J45" s="853" t="s">
        <v>1284</v>
      </c>
      <c r="K45" s="851" t="s">
        <v>1285</v>
      </c>
    </row>
    <row r="46" spans="1:16">
      <c r="A46" s="831">
        <v>40724</v>
      </c>
      <c r="B46" s="794">
        <f>$B$42*$B$43/12</f>
        <v>1655.4560687843766</v>
      </c>
      <c r="C46" s="803">
        <f>B46</f>
        <v>1655.4560687843766</v>
      </c>
      <c r="D46" s="803">
        <f>$B$42-C46</f>
        <v>948845.63605621655</v>
      </c>
      <c r="E46" s="810">
        <f>-(D46*$B$38/(+$B$38+$B$39)+K46)*0.3959</f>
        <v>-13822.89999525259</v>
      </c>
      <c r="F46" s="834">
        <f>-$B$42</f>
        <v>-950501.0921250009</v>
      </c>
      <c r="G46" s="801">
        <f>-C46</f>
        <v>-1655.4560687843766</v>
      </c>
      <c r="H46" s="804">
        <f>-E46</f>
        <v>13822.89999525259</v>
      </c>
      <c r="I46" s="840">
        <f t="shared" ref="I46:I52" si="5">+$B$40*0.525/7</f>
        <v>35745.213359375084</v>
      </c>
      <c r="J46" s="803">
        <f>+I46</f>
        <v>35745.213359375084</v>
      </c>
      <c r="K46" s="803">
        <f>-B40+J46</f>
        <v>-440857.63143229263</v>
      </c>
    </row>
    <row r="47" spans="1:16">
      <c r="A47" s="831">
        <v>40755</v>
      </c>
      <c r="B47" s="794">
        <f t="shared" ref="B47:B110" si="6">$B$42*$B$43/12</f>
        <v>1655.4560687843766</v>
      </c>
      <c r="C47" s="803">
        <f>C46+B47</f>
        <v>3310.9121375687532</v>
      </c>
      <c r="D47" s="803">
        <f t="shared" ref="D47:D71" si="7">$B$42-C47</f>
        <v>947190.1799874322</v>
      </c>
      <c r="E47" s="810">
        <f t="shared" ref="E47:E110" si="8">-(D47*$B$38/(+$B$38+$B$39)+K47)*0.3959</f>
        <v>-27645.799990505202</v>
      </c>
      <c r="F47" s="834">
        <f t="shared" ref="F47:F110" si="9">-$B$42</f>
        <v>-950501.0921250009</v>
      </c>
      <c r="G47" s="801">
        <f t="shared" ref="G47:G110" si="10">-C47</f>
        <v>-3310.9121375687532</v>
      </c>
      <c r="H47" s="804">
        <f t="shared" ref="H47:H110" si="11">-E47</f>
        <v>27645.799990505202</v>
      </c>
      <c r="I47" s="840">
        <f t="shared" si="5"/>
        <v>35745.213359375084</v>
      </c>
      <c r="J47" s="803">
        <f t="shared" ref="J47:J64" si="12">+I47+J46</f>
        <v>71490.426718750168</v>
      </c>
      <c r="K47" s="803">
        <f t="shared" ref="K47:K64" si="13">+K46+I47</f>
        <v>-405112.41807291756</v>
      </c>
    </row>
    <row r="48" spans="1:16">
      <c r="A48" s="831">
        <v>40786</v>
      </c>
      <c r="B48" s="794">
        <f t="shared" si="6"/>
        <v>1655.4560687843766</v>
      </c>
      <c r="C48" s="803">
        <f t="shared" ref="C48:C71" si="14">C47+B48</f>
        <v>4966.3682063531296</v>
      </c>
      <c r="D48" s="803">
        <f t="shared" si="7"/>
        <v>945534.72391864774</v>
      </c>
      <c r="E48" s="810">
        <f t="shared" si="8"/>
        <v>-41468.699985757747</v>
      </c>
      <c r="F48" s="834">
        <f t="shared" si="9"/>
        <v>-950501.0921250009</v>
      </c>
      <c r="G48" s="801">
        <f t="shared" si="10"/>
        <v>-4966.3682063531296</v>
      </c>
      <c r="H48" s="804">
        <f t="shared" si="11"/>
        <v>41468.699985757747</v>
      </c>
      <c r="I48" s="840">
        <f t="shared" si="5"/>
        <v>35745.213359375084</v>
      </c>
      <c r="J48" s="803">
        <f t="shared" si="12"/>
        <v>107235.64007812526</v>
      </c>
      <c r="K48" s="803">
        <f t="shared" si="13"/>
        <v>-369367.20471354248</v>
      </c>
    </row>
    <row r="49" spans="1:11">
      <c r="A49" s="831">
        <v>40816</v>
      </c>
      <c r="B49" s="794">
        <f t="shared" si="6"/>
        <v>1655.4560687843766</v>
      </c>
      <c r="C49" s="803">
        <f t="shared" si="14"/>
        <v>6621.8242751375064</v>
      </c>
      <c r="D49" s="803">
        <f t="shared" si="7"/>
        <v>943879.26784986339</v>
      </c>
      <c r="E49" s="810">
        <f t="shared" si="8"/>
        <v>-55291.599981010339</v>
      </c>
      <c r="F49" s="834">
        <f t="shared" si="9"/>
        <v>-950501.0921250009</v>
      </c>
      <c r="G49" s="801">
        <f t="shared" si="10"/>
        <v>-6621.8242751375064</v>
      </c>
      <c r="H49" s="804">
        <f t="shared" si="11"/>
        <v>55291.599981010339</v>
      </c>
      <c r="I49" s="840">
        <f t="shared" si="5"/>
        <v>35745.213359375084</v>
      </c>
      <c r="J49" s="803">
        <f t="shared" si="12"/>
        <v>142980.85343750034</v>
      </c>
      <c r="K49" s="803">
        <f t="shared" si="13"/>
        <v>-333621.9913541674</v>
      </c>
    </row>
    <row r="50" spans="1:11">
      <c r="A50" s="831">
        <v>40847</v>
      </c>
      <c r="B50" s="794">
        <f t="shared" si="6"/>
        <v>1655.4560687843766</v>
      </c>
      <c r="C50" s="803">
        <f t="shared" si="14"/>
        <v>8277.2803439218824</v>
      </c>
      <c r="D50" s="803">
        <f t="shared" si="7"/>
        <v>942223.81178107904</v>
      </c>
      <c r="E50" s="810">
        <f t="shared" si="8"/>
        <v>-69114.499976262901</v>
      </c>
      <c r="F50" s="834">
        <f t="shared" si="9"/>
        <v>-950501.0921250009</v>
      </c>
      <c r="G50" s="801">
        <f t="shared" si="10"/>
        <v>-8277.2803439218824</v>
      </c>
      <c r="H50" s="804">
        <f t="shared" si="11"/>
        <v>69114.499976262901</v>
      </c>
      <c r="I50" s="840">
        <f t="shared" si="5"/>
        <v>35745.213359375084</v>
      </c>
      <c r="J50" s="803">
        <f t="shared" si="12"/>
        <v>178726.06679687541</v>
      </c>
      <c r="K50" s="803">
        <f t="shared" si="13"/>
        <v>-297876.77799479233</v>
      </c>
    </row>
    <row r="51" spans="1:11">
      <c r="A51" s="831">
        <v>40877</v>
      </c>
      <c r="B51" s="794">
        <f t="shared" si="6"/>
        <v>1655.4560687843766</v>
      </c>
      <c r="C51" s="803">
        <f t="shared" si="14"/>
        <v>9932.7364127062592</v>
      </c>
      <c r="D51" s="803">
        <f t="shared" si="7"/>
        <v>940568.35571229469</v>
      </c>
      <c r="E51" s="810">
        <f t="shared" si="8"/>
        <v>-82937.399971515493</v>
      </c>
      <c r="F51" s="834">
        <f t="shared" si="9"/>
        <v>-950501.0921250009</v>
      </c>
      <c r="G51" s="801">
        <f t="shared" si="10"/>
        <v>-9932.7364127062592</v>
      </c>
      <c r="H51" s="804">
        <f t="shared" si="11"/>
        <v>82937.399971515493</v>
      </c>
      <c r="I51" s="840">
        <f t="shared" si="5"/>
        <v>35745.213359375084</v>
      </c>
      <c r="J51" s="803">
        <f t="shared" si="12"/>
        <v>214471.28015625049</v>
      </c>
      <c r="K51" s="803">
        <f t="shared" si="13"/>
        <v>-262131.56463541725</v>
      </c>
    </row>
    <row r="52" spans="1:11" s="805" customFormat="1">
      <c r="A52" s="847">
        <v>40908</v>
      </c>
      <c r="B52" s="820">
        <f t="shared" si="6"/>
        <v>1655.4560687843766</v>
      </c>
      <c r="C52" s="818">
        <f t="shared" si="14"/>
        <v>11588.192481490636</v>
      </c>
      <c r="D52" s="818">
        <f t="shared" si="7"/>
        <v>938912.89964351023</v>
      </c>
      <c r="E52" s="810">
        <f t="shared" si="8"/>
        <v>-96760.299966768056</v>
      </c>
      <c r="F52" s="848">
        <f t="shared" si="9"/>
        <v>-950501.0921250009</v>
      </c>
      <c r="G52" s="801">
        <f t="shared" si="10"/>
        <v>-11588.192481490636</v>
      </c>
      <c r="H52" s="811">
        <f t="shared" si="11"/>
        <v>96760.299966768056</v>
      </c>
      <c r="I52" s="840">
        <f t="shared" si="5"/>
        <v>35745.213359375084</v>
      </c>
      <c r="J52" s="803">
        <f t="shared" si="12"/>
        <v>250216.49351562557</v>
      </c>
      <c r="K52" s="803">
        <f t="shared" si="13"/>
        <v>-226386.35127604217</v>
      </c>
    </row>
    <row r="53" spans="1:11" s="805" customFormat="1">
      <c r="A53" s="847">
        <v>40939</v>
      </c>
      <c r="B53" s="820">
        <f t="shared" si="6"/>
        <v>1655.4560687843766</v>
      </c>
      <c r="C53" s="818">
        <f t="shared" si="14"/>
        <v>13243.648550275013</v>
      </c>
      <c r="D53" s="818">
        <f t="shared" si="7"/>
        <v>937257.44357472588</v>
      </c>
      <c r="E53" s="810">
        <f t="shared" si="8"/>
        <v>-97178.55629696227</v>
      </c>
      <c r="F53" s="848">
        <f t="shared" si="9"/>
        <v>-950501.0921250009</v>
      </c>
      <c r="G53" s="801">
        <f t="shared" si="10"/>
        <v>-13243.648550275013</v>
      </c>
      <c r="H53" s="811">
        <f t="shared" si="11"/>
        <v>97178.55629696227</v>
      </c>
      <c r="I53" s="840">
        <f>+$B$40*0.0475/12</f>
        <v>1886.5529273003513</v>
      </c>
      <c r="J53" s="803">
        <f t="shared" si="12"/>
        <v>252103.04644292593</v>
      </c>
      <c r="K53" s="803">
        <f t="shared" si="13"/>
        <v>-224499.79834874181</v>
      </c>
    </row>
    <row r="54" spans="1:11" s="805" customFormat="1">
      <c r="A54" s="847">
        <v>40968</v>
      </c>
      <c r="B54" s="820">
        <f t="shared" si="6"/>
        <v>1655.4560687843766</v>
      </c>
      <c r="C54" s="818">
        <f t="shared" si="14"/>
        <v>14899.10461905939</v>
      </c>
      <c r="D54" s="818">
        <f t="shared" si="7"/>
        <v>935601.98750594154</v>
      </c>
      <c r="E54" s="810">
        <f t="shared" si="8"/>
        <v>-97596.812627156483</v>
      </c>
      <c r="F54" s="848">
        <f t="shared" si="9"/>
        <v>-950501.0921250009</v>
      </c>
      <c r="G54" s="801">
        <f t="shared" si="10"/>
        <v>-14899.10461905939</v>
      </c>
      <c r="H54" s="811">
        <f t="shared" si="11"/>
        <v>97596.812627156483</v>
      </c>
      <c r="I54" s="840">
        <f t="shared" ref="I54:I64" si="15">+$B$40*0.0475/12</f>
        <v>1886.5529273003513</v>
      </c>
      <c r="J54" s="803">
        <f t="shared" si="12"/>
        <v>253989.59937022629</v>
      </c>
      <c r="K54" s="803">
        <f t="shared" si="13"/>
        <v>-222613.24542144145</v>
      </c>
    </row>
    <row r="55" spans="1:11" s="805" customFormat="1">
      <c r="A55" s="847">
        <v>40999</v>
      </c>
      <c r="B55" s="820">
        <f t="shared" si="6"/>
        <v>1655.4560687843766</v>
      </c>
      <c r="C55" s="818">
        <f t="shared" si="14"/>
        <v>16554.560687843765</v>
      </c>
      <c r="D55" s="818">
        <f t="shared" si="7"/>
        <v>933946.53143715719</v>
      </c>
      <c r="E55" s="810">
        <f t="shared" si="8"/>
        <v>-98015.068957350697</v>
      </c>
      <c r="F55" s="848">
        <f t="shared" si="9"/>
        <v>-950501.0921250009</v>
      </c>
      <c r="G55" s="801">
        <f t="shared" si="10"/>
        <v>-16554.560687843765</v>
      </c>
      <c r="H55" s="811">
        <f t="shared" si="11"/>
        <v>98015.068957350697</v>
      </c>
      <c r="I55" s="840">
        <f t="shared" si="15"/>
        <v>1886.5529273003513</v>
      </c>
      <c r="J55" s="803">
        <f t="shared" si="12"/>
        <v>255876.15229752666</v>
      </c>
      <c r="K55" s="803">
        <f t="shared" si="13"/>
        <v>-220726.69249414108</v>
      </c>
    </row>
    <row r="56" spans="1:11" s="805" customFormat="1">
      <c r="A56" s="847">
        <v>41029</v>
      </c>
      <c r="B56" s="820">
        <f t="shared" si="6"/>
        <v>1655.4560687843766</v>
      </c>
      <c r="C56" s="818">
        <f t="shared" si="14"/>
        <v>18210.016756628142</v>
      </c>
      <c r="D56" s="818">
        <f t="shared" si="7"/>
        <v>932291.07536837272</v>
      </c>
      <c r="E56" s="810">
        <f t="shared" si="8"/>
        <v>-98433.325287544852</v>
      </c>
      <c r="F56" s="848">
        <f t="shared" si="9"/>
        <v>-950501.0921250009</v>
      </c>
      <c r="G56" s="801">
        <f t="shared" si="10"/>
        <v>-18210.016756628142</v>
      </c>
      <c r="H56" s="811">
        <f t="shared" si="11"/>
        <v>98433.325287544852</v>
      </c>
      <c r="I56" s="840">
        <f t="shared" si="15"/>
        <v>1886.5529273003513</v>
      </c>
      <c r="J56" s="803">
        <f t="shared" si="12"/>
        <v>257762.70522482702</v>
      </c>
      <c r="K56" s="803">
        <f t="shared" si="13"/>
        <v>-218840.13956684072</v>
      </c>
    </row>
    <row r="57" spans="1:11" s="805" customFormat="1">
      <c r="A57" s="847">
        <v>41060</v>
      </c>
      <c r="B57" s="820">
        <f t="shared" si="6"/>
        <v>1655.4560687843766</v>
      </c>
      <c r="C57" s="818">
        <f t="shared" si="14"/>
        <v>19865.472825412518</v>
      </c>
      <c r="D57" s="818">
        <f t="shared" si="7"/>
        <v>930635.61929958838</v>
      </c>
      <c r="E57" s="810">
        <f t="shared" si="8"/>
        <v>-98851.581617739066</v>
      </c>
      <c r="F57" s="848">
        <f t="shared" si="9"/>
        <v>-950501.0921250009</v>
      </c>
      <c r="G57" s="801">
        <f t="shared" si="10"/>
        <v>-19865.472825412518</v>
      </c>
      <c r="H57" s="811">
        <f t="shared" si="11"/>
        <v>98851.581617739066</v>
      </c>
      <c r="I57" s="840">
        <f t="shared" si="15"/>
        <v>1886.5529273003513</v>
      </c>
      <c r="J57" s="803">
        <f t="shared" si="12"/>
        <v>259649.25815212738</v>
      </c>
      <c r="K57" s="803">
        <f t="shared" si="13"/>
        <v>-216953.58663954036</v>
      </c>
    </row>
    <row r="58" spans="1:11" s="805" customFormat="1">
      <c r="A58" s="847">
        <v>41090</v>
      </c>
      <c r="B58" s="820">
        <f t="shared" si="6"/>
        <v>1655.4560687843766</v>
      </c>
      <c r="C58" s="818">
        <f t="shared" si="14"/>
        <v>21520.928894196895</v>
      </c>
      <c r="D58" s="818">
        <f t="shared" si="7"/>
        <v>928980.16323080403</v>
      </c>
      <c r="E58" s="810">
        <f t="shared" si="8"/>
        <v>-99269.837947933294</v>
      </c>
      <c r="F58" s="848">
        <f t="shared" si="9"/>
        <v>-950501.0921250009</v>
      </c>
      <c r="G58" s="801">
        <f t="shared" si="10"/>
        <v>-21520.928894196895</v>
      </c>
      <c r="H58" s="811">
        <f t="shared" si="11"/>
        <v>99269.837947933294</v>
      </c>
      <c r="I58" s="840">
        <f t="shared" si="15"/>
        <v>1886.5529273003513</v>
      </c>
      <c r="J58" s="803">
        <f t="shared" si="12"/>
        <v>261535.81107942775</v>
      </c>
      <c r="K58" s="803">
        <f t="shared" si="13"/>
        <v>-215067.03371223999</v>
      </c>
    </row>
    <row r="59" spans="1:11" s="805" customFormat="1">
      <c r="A59" s="847">
        <v>41121</v>
      </c>
      <c r="B59" s="820">
        <f t="shared" si="6"/>
        <v>1655.4560687843766</v>
      </c>
      <c r="C59" s="818">
        <f t="shared" si="14"/>
        <v>23176.384962981272</v>
      </c>
      <c r="D59" s="818">
        <f t="shared" si="7"/>
        <v>927324.70716201968</v>
      </c>
      <c r="E59" s="810">
        <f t="shared" si="8"/>
        <v>-99688.094278127493</v>
      </c>
      <c r="F59" s="848">
        <f t="shared" si="9"/>
        <v>-950501.0921250009</v>
      </c>
      <c r="G59" s="801">
        <f t="shared" si="10"/>
        <v>-23176.384962981272</v>
      </c>
      <c r="H59" s="811">
        <f t="shared" si="11"/>
        <v>99688.094278127493</v>
      </c>
      <c r="I59" s="840">
        <f t="shared" si="15"/>
        <v>1886.5529273003513</v>
      </c>
      <c r="J59" s="803">
        <f t="shared" si="12"/>
        <v>263422.36400672811</v>
      </c>
      <c r="K59" s="803">
        <f t="shared" si="13"/>
        <v>-213180.48078493963</v>
      </c>
    </row>
    <row r="60" spans="1:11" s="805" customFormat="1">
      <c r="A60" s="847">
        <v>41152</v>
      </c>
      <c r="B60" s="820">
        <f t="shared" si="6"/>
        <v>1655.4560687843766</v>
      </c>
      <c r="C60" s="818">
        <f t="shared" si="14"/>
        <v>24831.841031765649</v>
      </c>
      <c r="D60" s="818">
        <f t="shared" si="7"/>
        <v>925669.25109323522</v>
      </c>
      <c r="E60" s="810">
        <f t="shared" si="8"/>
        <v>-100106.35060832168</v>
      </c>
      <c r="F60" s="848">
        <f t="shared" si="9"/>
        <v>-950501.0921250009</v>
      </c>
      <c r="G60" s="801">
        <f t="shared" si="10"/>
        <v>-24831.841031765649</v>
      </c>
      <c r="H60" s="811">
        <f t="shared" si="11"/>
        <v>100106.35060832168</v>
      </c>
      <c r="I60" s="840">
        <f t="shared" si="15"/>
        <v>1886.5529273003513</v>
      </c>
      <c r="J60" s="803">
        <f t="shared" si="12"/>
        <v>265308.91693402844</v>
      </c>
      <c r="K60" s="803">
        <f t="shared" si="13"/>
        <v>-211293.92785763927</v>
      </c>
    </row>
    <row r="61" spans="1:11" s="805" customFormat="1">
      <c r="A61" s="847">
        <v>41182</v>
      </c>
      <c r="B61" s="820">
        <f t="shared" si="6"/>
        <v>1655.4560687843766</v>
      </c>
      <c r="C61" s="818">
        <f t="shared" si="14"/>
        <v>26487.297100550026</v>
      </c>
      <c r="D61" s="818">
        <f t="shared" si="7"/>
        <v>924013.79502445087</v>
      </c>
      <c r="E61" s="810">
        <f t="shared" si="8"/>
        <v>-100524.60693851586</v>
      </c>
      <c r="F61" s="848">
        <f t="shared" si="9"/>
        <v>-950501.0921250009</v>
      </c>
      <c r="G61" s="801">
        <f t="shared" si="10"/>
        <v>-26487.297100550026</v>
      </c>
      <c r="H61" s="811">
        <f t="shared" si="11"/>
        <v>100524.60693851586</v>
      </c>
      <c r="I61" s="840">
        <f t="shared" si="15"/>
        <v>1886.5529273003513</v>
      </c>
      <c r="J61" s="803">
        <f t="shared" si="12"/>
        <v>267195.46986132878</v>
      </c>
      <c r="K61" s="803">
        <f t="shared" si="13"/>
        <v>-209407.3749303389</v>
      </c>
    </row>
    <row r="62" spans="1:11" s="805" customFormat="1">
      <c r="A62" s="847">
        <v>41213</v>
      </c>
      <c r="B62" s="820">
        <f t="shared" si="6"/>
        <v>1655.4560687843766</v>
      </c>
      <c r="C62" s="818">
        <f t="shared" si="14"/>
        <v>28142.753169334403</v>
      </c>
      <c r="D62" s="818">
        <f t="shared" si="7"/>
        <v>922358.33895566652</v>
      </c>
      <c r="E62" s="810">
        <f t="shared" si="8"/>
        <v>-100942.86326871008</v>
      </c>
      <c r="F62" s="848">
        <f t="shared" si="9"/>
        <v>-950501.0921250009</v>
      </c>
      <c r="G62" s="801">
        <f t="shared" si="10"/>
        <v>-28142.753169334403</v>
      </c>
      <c r="H62" s="811">
        <f t="shared" si="11"/>
        <v>100942.86326871008</v>
      </c>
      <c r="I62" s="840">
        <f t="shared" si="15"/>
        <v>1886.5529273003513</v>
      </c>
      <c r="J62" s="803">
        <f t="shared" si="12"/>
        <v>269082.02278862911</v>
      </c>
      <c r="K62" s="803">
        <f t="shared" si="13"/>
        <v>-207520.82200303854</v>
      </c>
    </row>
    <row r="63" spans="1:11" s="805" customFormat="1">
      <c r="A63" s="847">
        <v>41243</v>
      </c>
      <c r="B63" s="820">
        <f t="shared" si="6"/>
        <v>1655.4560687843766</v>
      </c>
      <c r="C63" s="818">
        <f t="shared" si="14"/>
        <v>29798.209238118779</v>
      </c>
      <c r="D63" s="818">
        <f t="shared" si="7"/>
        <v>920702.88288688217</v>
      </c>
      <c r="E63" s="810">
        <f t="shared" si="8"/>
        <v>-101361.1195989043</v>
      </c>
      <c r="F63" s="848">
        <f t="shared" si="9"/>
        <v>-950501.0921250009</v>
      </c>
      <c r="G63" s="801">
        <f t="shared" si="10"/>
        <v>-29798.209238118779</v>
      </c>
      <c r="H63" s="811">
        <f t="shared" si="11"/>
        <v>101361.1195989043</v>
      </c>
      <c r="I63" s="840">
        <f t="shared" si="15"/>
        <v>1886.5529273003513</v>
      </c>
      <c r="J63" s="803">
        <f t="shared" si="12"/>
        <v>270968.57571592944</v>
      </c>
      <c r="K63" s="803">
        <f t="shared" si="13"/>
        <v>-205634.26907573818</v>
      </c>
    </row>
    <row r="64" spans="1:11" s="805" customFormat="1">
      <c r="A64" s="847">
        <v>41274</v>
      </c>
      <c r="B64" s="820">
        <f t="shared" si="6"/>
        <v>1655.4560687843766</v>
      </c>
      <c r="C64" s="818">
        <f t="shared" si="14"/>
        <v>31453.665306903156</v>
      </c>
      <c r="D64" s="818">
        <f t="shared" si="7"/>
        <v>919047.42681809771</v>
      </c>
      <c r="E64" s="810">
        <f t="shared" si="8"/>
        <v>-101779.37592909847</v>
      </c>
      <c r="F64" s="848">
        <f t="shared" si="9"/>
        <v>-950501.0921250009</v>
      </c>
      <c r="G64" s="801">
        <f t="shared" si="10"/>
        <v>-31453.665306903156</v>
      </c>
      <c r="H64" s="811">
        <f t="shared" si="11"/>
        <v>101779.37592909847</v>
      </c>
      <c r="I64" s="840">
        <f t="shared" si="15"/>
        <v>1886.5529273003513</v>
      </c>
      <c r="J64" s="803">
        <f t="shared" si="12"/>
        <v>272855.12864322978</v>
      </c>
      <c r="K64" s="803">
        <f t="shared" si="13"/>
        <v>-203747.71614843782</v>
      </c>
    </row>
    <row r="65" spans="1:11">
      <c r="A65" s="831">
        <v>41305</v>
      </c>
      <c r="B65" s="794">
        <f t="shared" si="6"/>
        <v>1655.4560687843766</v>
      </c>
      <c r="C65" s="803">
        <f t="shared" si="14"/>
        <v>33109.12137568753</v>
      </c>
      <c r="D65" s="803">
        <f t="shared" si="7"/>
        <v>917391.97074931336</v>
      </c>
      <c r="E65" s="810">
        <f t="shared" si="8"/>
        <v>-102122.94362890086</v>
      </c>
      <c r="F65" s="848">
        <f t="shared" si="9"/>
        <v>-950501.0921250009</v>
      </c>
      <c r="G65" s="824">
        <f t="shared" si="10"/>
        <v>-33109.12137568753</v>
      </c>
      <c r="H65" s="811">
        <f t="shared" si="11"/>
        <v>102122.94362890086</v>
      </c>
      <c r="I65" s="857">
        <f>+$B$40*0.04275/12</f>
        <v>1697.8976345703165</v>
      </c>
      <c r="J65" s="818">
        <f>+I65+J64</f>
        <v>274553.02627780009</v>
      </c>
      <c r="K65" s="818">
        <f>+K64+I65</f>
        <v>-202049.8185138675</v>
      </c>
    </row>
    <row r="66" spans="1:11">
      <c r="A66" s="831">
        <v>41333</v>
      </c>
      <c r="B66" s="794">
        <f t="shared" si="6"/>
        <v>1655.4560687843766</v>
      </c>
      <c r="C66" s="803">
        <f t="shared" si="14"/>
        <v>34764.577444471906</v>
      </c>
      <c r="D66" s="803">
        <f t="shared" si="7"/>
        <v>915736.51468052901</v>
      </c>
      <c r="E66" s="810">
        <f t="shared" si="8"/>
        <v>-102466.51132870324</v>
      </c>
      <c r="F66" s="848">
        <f t="shared" si="9"/>
        <v>-950501.0921250009</v>
      </c>
      <c r="G66" s="824">
        <f t="shared" si="10"/>
        <v>-34764.577444471906</v>
      </c>
      <c r="H66" s="811">
        <f t="shared" si="11"/>
        <v>102466.51132870324</v>
      </c>
      <c r="I66" s="857">
        <f t="shared" ref="I66:I112" si="16">+$B$40*0.04275/12</f>
        <v>1697.8976345703165</v>
      </c>
      <c r="J66" s="818">
        <f t="shared" ref="J66:J112" si="17">+I66+J65</f>
        <v>276250.9239123704</v>
      </c>
      <c r="K66" s="818">
        <f t="shared" ref="K66:K112" si="18">+K65+I66</f>
        <v>-200351.92087929719</v>
      </c>
    </row>
    <row r="67" spans="1:11">
      <c r="A67" s="831">
        <v>41364</v>
      </c>
      <c r="B67" s="794">
        <f t="shared" si="6"/>
        <v>1655.4560687843766</v>
      </c>
      <c r="C67" s="803">
        <f t="shared" si="14"/>
        <v>36420.033513256283</v>
      </c>
      <c r="D67" s="803">
        <f t="shared" si="7"/>
        <v>914081.05861174467</v>
      </c>
      <c r="E67" s="810">
        <f t="shared" si="8"/>
        <v>-102810.0790285056</v>
      </c>
      <c r="F67" s="848">
        <f t="shared" si="9"/>
        <v>-950501.0921250009</v>
      </c>
      <c r="G67" s="824">
        <f t="shared" si="10"/>
        <v>-36420.033513256283</v>
      </c>
      <c r="H67" s="811">
        <f t="shared" si="11"/>
        <v>102810.0790285056</v>
      </c>
      <c r="I67" s="857">
        <f t="shared" si="16"/>
        <v>1697.8976345703165</v>
      </c>
      <c r="J67" s="818">
        <f t="shared" si="17"/>
        <v>277948.82154694072</v>
      </c>
      <c r="K67" s="818">
        <f t="shared" si="18"/>
        <v>-198654.02324472688</v>
      </c>
    </row>
    <row r="68" spans="1:11">
      <c r="A68" s="831">
        <v>41394</v>
      </c>
      <c r="B68" s="794">
        <f t="shared" si="6"/>
        <v>1655.4560687843766</v>
      </c>
      <c r="C68" s="803">
        <f t="shared" si="14"/>
        <v>38075.48958204066</v>
      </c>
      <c r="D68" s="803">
        <f t="shared" si="7"/>
        <v>912425.6025429602</v>
      </c>
      <c r="E68" s="810">
        <f t="shared" si="8"/>
        <v>-103153.64672830798</v>
      </c>
      <c r="F68" s="848">
        <f t="shared" si="9"/>
        <v>-950501.0921250009</v>
      </c>
      <c r="G68" s="824">
        <f t="shared" si="10"/>
        <v>-38075.48958204066</v>
      </c>
      <c r="H68" s="811">
        <f t="shared" si="11"/>
        <v>103153.64672830798</v>
      </c>
      <c r="I68" s="857">
        <f t="shared" si="16"/>
        <v>1697.8976345703165</v>
      </c>
      <c r="J68" s="818">
        <f t="shared" si="17"/>
        <v>279646.71918151103</v>
      </c>
      <c r="K68" s="818">
        <f t="shared" si="18"/>
        <v>-196956.12561015657</v>
      </c>
    </row>
    <row r="69" spans="1:11">
      <c r="A69" s="831">
        <v>41425</v>
      </c>
      <c r="B69" s="794">
        <f t="shared" si="6"/>
        <v>1655.4560687843766</v>
      </c>
      <c r="C69" s="803">
        <f t="shared" si="14"/>
        <v>39730.945650825037</v>
      </c>
      <c r="D69" s="803">
        <f t="shared" si="7"/>
        <v>910770.14647417585</v>
      </c>
      <c r="E69" s="810">
        <f t="shared" si="8"/>
        <v>-103497.21442811037</v>
      </c>
      <c r="F69" s="848">
        <f t="shared" si="9"/>
        <v>-950501.0921250009</v>
      </c>
      <c r="G69" s="824">
        <f t="shared" si="10"/>
        <v>-39730.945650825037</v>
      </c>
      <c r="H69" s="811">
        <f t="shared" si="11"/>
        <v>103497.21442811037</v>
      </c>
      <c r="I69" s="857">
        <f t="shared" si="16"/>
        <v>1697.8976345703165</v>
      </c>
      <c r="J69" s="818">
        <f t="shared" si="17"/>
        <v>281344.61681608134</v>
      </c>
      <c r="K69" s="818">
        <f t="shared" si="18"/>
        <v>-195258.22797558625</v>
      </c>
    </row>
    <row r="70" spans="1:11">
      <c r="A70" s="831">
        <v>41455</v>
      </c>
      <c r="B70" s="794">
        <f t="shared" si="6"/>
        <v>1655.4560687843766</v>
      </c>
      <c r="C70" s="803">
        <f t="shared" si="14"/>
        <v>41386.401719609414</v>
      </c>
      <c r="D70" s="803">
        <f t="shared" si="7"/>
        <v>909114.69040539151</v>
      </c>
      <c r="E70" s="810">
        <f t="shared" si="8"/>
        <v>-103840.78212791274</v>
      </c>
      <c r="F70" s="848">
        <f t="shared" si="9"/>
        <v>-950501.0921250009</v>
      </c>
      <c r="G70" s="824">
        <f t="shared" si="10"/>
        <v>-41386.401719609414</v>
      </c>
      <c r="H70" s="811">
        <f t="shared" si="11"/>
        <v>103840.78212791274</v>
      </c>
      <c r="I70" s="857">
        <f t="shared" si="16"/>
        <v>1697.8976345703165</v>
      </c>
      <c r="J70" s="818">
        <f t="shared" si="17"/>
        <v>283042.51445065165</v>
      </c>
      <c r="K70" s="818">
        <f t="shared" si="18"/>
        <v>-193560.33034101594</v>
      </c>
    </row>
    <row r="71" spans="1:11">
      <c r="A71" s="831">
        <v>41486</v>
      </c>
      <c r="B71" s="794">
        <f t="shared" si="6"/>
        <v>1655.4560687843766</v>
      </c>
      <c r="C71" s="803">
        <f t="shared" si="14"/>
        <v>43041.857788393791</v>
      </c>
      <c r="D71" s="803">
        <f t="shared" si="7"/>
        <v>907459.23433660716</v>
      </c>
      <c r="E71" s="810">
        <f t="shared" si="8"/>
        <v>-104184.34982771512</v>
      </c>
      <c r="F71" s="848">
        <f t="shared" si="9"/>
        <v>-950501.0921250009</v>
      </c>
      <c r="G71" s="824">
        <f t="shared" si="10"/>
        <v>-43041.857788393791</v>
      </c>
      <c r="H71" s="811">
        <f t="shared" si="11"/>
        <v>104184.34982771512</v>
      </c>
      <c r="I71" s="857">
        <f t="shared" si="16"/>
        <v>1697.8976345703165</v>
      </c>
      <c r="J71" s="818">
        <f t="shared" si="17"/>
        <v>284740.41208522196</v>
      </c>
      <c r="K71" s="818">
        <f t="shared" si="18"/>
        <v>-191862.43270644563</v>
      </c>
    </row>
    <row r="72" spans="1:11">
      <c r="A72" s="831">
        <v>41517</v>
      </c>
      <c r="B72" s="794">
        <f t="shared" si="6"/>
        <v>1655.4560687843766</v>
      </c>
      <c r="C72" s="803">
        <f>C71+B72</f>
        <v>44697.313857178167</v>
      </c>
      <c r="D72" s="803">
        <f>$B$42-C72</f>
        <v>905803.77826782269</v>
      </c>
      <c r="E72" s="810">
        <f t="shared" si="8"/>
        <v>-104527.91752751748</v>
      </c>
      <c r="F72" s="848">
        <f t="shared" si="9"/>
        <v>-950501.0921250009</v>
      </c>
      <c r="G72" s="824">
        <f t="shared" si="10"/>
        <v>-44697.313857178167</v>
      </c>
      <c r="H72" s="811">
        <f t="shared" si="11"/>
        <v>104527.91752751748</v>
      </c>
      <c r="I72" s="857">
        <f t="shared" si="16"/>
        <v>1697.8976345703165</v>
      </c>
      <c r="J72" s="818">
        <f t="shared" si="17"/>
        <v>286438.30971979228</v>
      </c>
      <c r="K72" s="818">
        <f t="shared" si="18"/>
        <v>-190164.53507187532</v>
      </c>
    </row>
    <row r="73" spans="1:11">
      <c r="A73" s="831">
        <v>41547</v>
      </c>
      <c r="B73" s="794">
        <f t="shared" si="6"/>
        <v>1655.4560687843766</v>
      </c>
      <c r="C73" s="803">
        <f>C72+B73</f>
        <v>46352.769925962544</v>
      </c>
      <c r="D73" s="803">
        <f>$B$42-C73</f>
        <v>904148.32219903835</v>
      </c>
      <c r="E73" s="810">
        <f t="shared" si="8"/>
        <v>-104871.48522731986</v>
      </c>
      <c r="F73" s="848">
        <f t="shared" si="9"/>
        <v>-950501.0921250009</v>
      </c>
      <c r="G73" s="824">
        <f t="shared" si="10"/>
        <v>-46352.769925962544</v>
      </c>
      <c r="H73" s="811">
        <f t="shared" si="11"/>
        <v>104871.48522731986</v>
      </c>
      <c r="I73" s="857">
        <f t="shared" si="16"/>
        <v>1697.8976345703165</v>
      </c>
      <c r="J73" s="818">
        <f t="shared" si="17"/>
        <v>288136.20735436259</v>
      </c>
      <c r="K73" s="818">
        <f t="shared" si="18"/>
        <v>-188466.63743730501</v>
      </c>
    </row>
    <row r="74" spans="1:11">
      <c r="A74" s="831">
        <v>41578</v>
      </c>
      <c r="B74" s="794">
        <f t="shared" si="6"/>
        <v>1655.4560687843766</v>
      </c>
      <c r="C74" s="803">
        <f>C73+B74</f>
        <v>48008.225994746921</v>
      </c>
      <c r="D74" s="803">
        <f>$B$42-C74</f>
        <v>902492.866130254</v>
      </c>
      <c r="E74" s="810">
        <f t="shared" si="8"/>
        <v>-105215.05292712225</v>
      </c>
      <c r="F74" s="848">
        <f t="shared" si="9"/>
        <v>-950501.0921250009</v>
      </c>
      <c r="G74" s="824">
        <f t="shared" si="10"/>
        <v>-48008.225994746921</v>
      </c>
      <c r="H74" s="811">
        <f t="shared" si="11"/>
        <v>105215.05292712225</v>
      </c>
      <c r="I74" s="857">
        <f t="shared" si="16"/>
        <v>1697.8976345703165</v>
      </c>
      <c r="J74" s="818">
        <f t="shared" si="17"/>
        <v>289834.1049889329</v>
      </c>
      <c r="K74" s="818">
        <f t="shared" si="18"/>
        <v>-186768.73980273469</v>
      </c>
    </row>
    <row r="75" spans="1:11">
      <c r="A75" s="831">
        <v>41608</v>
      </c>
      <c r="B75" s="794">
        <f t="shared" si="6"/>
        <v>1655.4560687843766</v>
      </c>
      <c r="C75" s="803">
        <f>C74+B75</f>
        <v>49663.682063531298</v>
      </c>
      <c r="D75" s="803">
        <f>$B$42-C75</f>
        <v>900837.41006146965</v>
      </c>
      <c r="E75" s="810">
        <f t="shared" si="8"/>
        <v>-105558.6206269246</v>
      </c>
      <c r="F75" s="848">
        <f t="shared" si="9"/>
        <v>-950501.0921250009</v>
      </c>
      <c r="G75" s="824">
        <f t="shared" si="10"/>
        <v>-49663.682063531298</v>
      </c>
      <c r="H75" s="811">
        <f t="shared" si="11"/>
        <v>105558.6206269246</v>
      </c>
      <c r="I75" s="857">
        <f t="shared" si="16"/>
        <v>1697.8976345703165</v>
      </c>
      <c r="J75" s="818">
        <f t="shared" si="17"/>
        <v>291532.00262350321</v>
      </c>
      <c r="K75" s="818">
        <f t="shared" si="18"/>
        <v>-185070.84216816438</v>
      </c>
    </row>
    <row r="76" spans="1:11">
      <c r="A76" s="831">
        <v>41639</v>
      </c>
      <c r="B76" s="794">
        <f t="shared" si="6"/>
        <v>1655.4560687843766</v>
      </c>
      <c r="C76" s="803">
        <f>C75+B76</f>
        <v>51319.138132315675</v>
      </c>
      <c r="D76" s="803">
        <f>$B$42-C76</f>
        <v>899181.95399268519</v>
      </c>
      <c r="E76" s="810">
        <f t="shared" si="8"/>
        <v>-105902.18832672697</v>
      </c>
      <c r="F76" s="848">
        <f t="shared" si="9"/>
        <v>-950501.0921250009</v>
      </c>
      <c r="G76" s="824">
        <f t="shared" si="10"/>
        <v>-51319.138132315675</v>
      </c>
      <c r="H76" s="811">
        <f t="shared" si="11"/>
        <v>105902.18832672697</v>
      </c>
      <c r="I76" s="857">
        <f t="shared" si="16"/>
        <v>1697.8976345703165</v>
      </c>
      <c r="J76" s="818">
        <f t="shared" si="17"/>
        <v>293229.90025807353</v>
      </c>
      <c r="K76" s="818">
        <f t="shared" si="18"/>
        <v>-183372.94453359407</v>
      </c>
    </row>
    <row r="77" spans="1:11">
      <c r="A77" s="831">
        <v>41670</v>
      </c>
      <c r="B77" s="794">
        <f t="shared" si="6"/>
        <v>1655.4560687843766</v>
      </c>
      <c r="C77" s="803">
        <f t="shared" ref="C77:C88" si="19">C76+B77</f>
        <v>52974.594201100052</v>
      </c>
      <c r="D77" s="803">
        <f t="shared" ref="D77:D88" si="20">$B$42-C77</f>
        <v>897526.49792390084</v>
      </c>
      <c r="E77" s="810">
        <f t="shared" si="8"/>
        <v>-106245.75602652936</v>
      </c>
      <c r="F77" s="848">
        <f t="shared" si="9"/>
        <v>-950501.0921250009</v>
      </c>
      <c r="G77" s="824">
        <f t="shared" si="10"/>
        <v>-52974.594201100052</v>
      </c>
      <c r="H77" s="811">
        <f t="shared" si="11"/>
        <v>106245.75602652936</v>
      </c>
      <c r="I77" s="857">
        <f t="shared" si="16"/>
        <v>1697.8976345703165</v>
      </c>
      <c r="J77" s="818">
        <f t="shared" si="17"/>
        <v>294927.79789264384</v>
      </c>
      <c r="K77" s="818">
        <f t="shared" si="18"/>
        <v>-181675.04689902376</v>
      </c>
    </row>
    <row r="78" spans="1:11">
      <c r="A78" s="831">
        <v>41698</v>
      </c>
      <c r="B78" s="794">
        <f t="shared" si="6"/>
        <v>1655.4560687843766</v>
      </c>
      <c r="C78" s="803">
        <f t="shared" si="19"/>
        <v>54630.050269884428</v>
      </c>
      <c r="D78" s="803">
        <f t="shared" si="20"/>
        <v>895871.04185511649</v>
      </c>
      <c r="E78" s="810">
        <f t="shared" si="8"/>
        <v>-106589.32372633174</v>
      </c>
      <c r="F78" s="848">
        <f t="shared" si="9"/>
        <v>-950501.0921250009</v>
      </c>
      <c r="G78" s="824">
        <f t="shared" si="10"/>
        <v>-54630.050269884428</v>
      </c>
      <c r="H78" s="811">
        <f t="shared" si="11"/>
        <v>106589.32372633174</v>
      </c>
      <c r="I78" s="857">
        <f t="shared" si="16"/>
        <v>1697.8976345703165</v>
      </c>
      <c r="J78" s="818">
        <f t="shared" si="17"/>
        <v>296625.69552721415</v>
      </c>
      <c r="K78" s="818">
        <f t="shared" si="18"/>
        <v>-179977.14926445344</v>
      </c>
    </row>
    <row r="79" spans="1:11">
      <c r="A79" s="831">
        <v>41729</v>
      </c>
      <c r="B79" s="794">
        <f t="shared" si="6"/>
        <v>1655.4560687843766</v>
      </c>
      <c r="C79" s="803">
        <f t="shared" si="19"/>
        <v>56285.506338668805</v>
      </c>
      <c r="D79" s="803">
        <f t="shared" si="20"/>
        <v>894215.58578633214</v>
      </c>
      <c r="E79" s="810">
        <f t="shared" si="8"/>
        <v>-106932.89142613413</v>
      </c>
      <c r="F79" s="848">
        <f t="shared" si="9"/>
        <v>-950501.0921250009</v>
      </c>
      <c r="G79" s="824">
        <f t="shared" si="10"/>
        <v>-56285.506338668805</v>
      </c>
      <c r="H79" s="811">
        <f t="shared" si="11"/>
        <v>106932.89142613413</v>
      </c>
      <c r="I79" s="857">
        <f t="shared" si="16"/>
        <v>1697.8976345703165</v>
      </c>
      <c r="J79" s="818">
        <f t="shared" si="17"/>
        <v>298323.59316178446</v>
      </c>
      <c r="K79" s="818">
        <f t="shared" si="18"/>
        <v>-178279.25162988313</v>
      </c>
    </row>
    <row r="80" spans="1:11">
      <c r="A80" s="831">
        <v>41759</v>
      </c>
      <c r="B80" s="794">
        <f t="shared" si="6"/>
        <v>1655.4560687843766</v>
      </c>
      <c r="C80" s="803">
        <f t="shared" si="19"/>
        <v>57940.962407453182</v>
      </c>
      <c r="D80" s="803">
        <f t="shared" si="20"/>
        <v>892560.12971754768</v>
      </c>
      <c r="E80" s="810">
        <f t="shared" si="8"/>
        <v>-107276.45912593648</v>
      </c>
      <c r="F80" s="848">
        <f t="shared" si="9"/>
        <v>-950501.0921250009</v>
      </c>
      <c r="G80" s="824">
        <f t="shared" si="10"/>
        <v>-57940.962407453182</v>
      </c>
      <c r="H80" s="811">
        <f t="shared" si="11"/>
        <v>107276.45912593648</v>
      </c>
      <c r="I80" s="857">
        <f t="shared" si="16"/>
        <v>1697.8976345703165</v>
      </c>
      <c r="J80" s="818">
        <f t="shared" si="17"/>
        <v>300021.49079635477</v>
      </c>
      <c r="K80" s="818">
        <f t="shared" si="18"/>
        <v>-176581.35399531282</v>
      </c>
    </row>
    <row r="81" spans="1:11">
      <c r="A81" s="831">
        <v>41790</v>
      </c>
      <c r="B81" s="794">
        <f t="shared" si="6"/>
        <v>1655.4560687843766</v>
      </c>
      <c r="C81" s="803">
        <f t="shared" si="19"/>
        <v>59596.418476237559</v>
      </c>
      <c r="D81" s="803">
        <f t="shared" si="20"/>
        <v>890904.67364876333</v>
      </c>
      <c r="E81" s="810">
        <f t="shared" si="8"/>
        <v>-107620.02682573884</v>
      </c>
      <c r="F81" s="848">
        <f t="shared" si="9"/>
        <v>-950501.0921250009</v>
      </c>
      <c r="G81" s="824">
        <f t="shared" si="10"/>
        <v>-59596.418476237559</v>
      </c>
      <c r="H81" s="811">
        <f t="shared" si="11"/>
        <v>107620.02682573884</v>
      </c>
      <c r="I81" s="857">
        <f t="shared" si="16"/>
        <v>1697.8976345703165</v>
      </c>
      <c r="J81" s="818">
        <f t="shared" si="17"/>
        <v>301719.38843092509</v>
      </c>
      <c r="K81" s="818">
        <f t="shared" si="18"/>
        <v>-174883.45636074251</v>
      </c>
    </row>
    <row r="82" spans="1:11">
      <c r="A82" s="831">
        <v>41820</v>
      </c>
      <c r="B82" s="794">
        <f t="shared" si="6"/>
        <v>1655.4560687843766</v>
      </c>
      <c r="C82" s="803">
        <f t="shared" si="19"/>
        <v>61251.874545021936</v>
      </c>
      <c r="D82" s="803">
        <f t="shared" si="20"/>
        <v>889249.21757997898</v>
      </c>
      <c r="E82" s="810">
        <f t="shared" si="8"/>
        <v>-107963.59452554122</v>
      </c>
      <c r="F82" s="848">
        <f t="shared" si="9"/>
        <v>-950501.0921250009</v>
      </c>
      <c r="G82" s="824">
        <f t="shared" si="10"/>
        <v>-61251.874545021936</v>
      </c>
      <c r="H82" s="811">
        <f t="shared" si="11"/>
        <v>107963.59452554122</v>
      </c>
      <c r="I82" s="857">
        <f t="shared" si="16"/>
        <v>1697.8976345703165</v>
      </c>
      <c r="J82" s="818">
        <f t="shared" si="17"/>
        <v>303417.2860654954</v>
      </c>
      <c r="K82" s="818">
        <f t="shared" si="18"/>
        <v>-173185.5587261722</v>
      </c>
    </row>
    <row r="83" spans="1:11">
      <c r="A83" s="831">
        <v>41851</v>
      </c>
      <c r="B83" s="794">
        <f t="shared" si="6"/>
        <v>1655.4560687843766</v>
      </c>
      <c r="C83" s="803">
        <f t="shared" si="19"/>
        <v>62907.330613806313</v>
      </c>
      <c r="D83" s="803">
        <f t="shared" si="20"/>
        <v>887593.76151119464</v>
      </c>
      <c r="E83" s="810">
        <f t="shared" si="8"/>
        <v>-108307.16222534361</v>
      </c>
      <c r="F83" s="848">
        <f t="shared" si="9"/>
        <v>-950501.0921250009</v>
      </c>
      <c r="G83" s="824">
        <f t="shared" si="10"/>
        <v>-62907.330613806313</v>
      </c>
      <c r="H83" s="811">
        <f t="shared" si="11"/>
        <v>108307.16222534361</v>
      </c>
      <c r="I83" s="857">
        <f t="shared" si="16"/>
        <v>1697.8976345703165</v>
      </c>
      <c r="J83" s="818">
        <f t="shared" si="17"/>
        <v>305115.18370006571</v>
      </c>
      <c r="K83" s="818">
        <f t="shared" si="18"/>
        <v>-171487.66109160188</v>
      </c>
    </row>
    <row r="84" spans="1:11">
      <c r="A84" s="831">
        <v>41882</v>
      </c>
      <c r="B84" s="794">
        <f t="shared" si="6"/>
        <v>1655.4560687843766</v>
      </c>
      <c r="C84" s="803">
        <f t="shared" si="19"/>
        <v>64562.786682590689</v>
      </c>
      <c r="D84" s="803">
        <f t="shared" si="20"/>
        <v>885938.30544241017</v>
      </c>
      <c r="E84" s="810">
        <f t="shared" si="8"/>
        <v>-108650.72992514598</v>
      </c>
      <c r="F84" s="848">
        <f t="shared" si="9"/>
        <v>-950501.0921250009</v>
      </c>
      <c r="G84" s="824">
        <f t="shared" si="10"/>
        <v>-64562.786682590689</v>
      </c>
      <c r="H84" s="811">
        <f t="shared" si="11"/>
        <v>108650.72992514598</v>
      </c>
      <c r="I84" s="857">
        <f t="shared" si="16"/>
        <v>1697.8976345703165</v>
      </c>
      <c r="J84" s="818">
        <f t="shared" si="17"/>
        <v>306813.08133463602</v>
      </c>
      <c r="K84" s="818">
        <f t="shared" si="18"/>
        <v>-169789.76345703157</v>
      </c>
    </row>
    <row r="85" spans="1:11">
      <c r="A85" s="831">
        <v>41912</v>
      </c>
      <c r="B85" s="794">
        <f t="shared" si="6"/>
        <v>1655.4560687843766</v>
      </c>
      <c r="C85" s="803">
        <f t="shared" si="19"/>
        <v>66218.242751375059</v>
      </c>
      <c r="D85" s="803">
        <f t="shared" si="20"/>
        <v>884282.84937362582</v>
      </c>
      <c r="E85" s="810">
        <f t="shared" si="8"/>
        <v>-108994.29762494836</v>
      </c>
      <c r="F85" s="848">
        <f t="shared" si="9"/>
        <v>-950501.0921250009</v>
      </c>
      <c r="G85" s="824">
        <f t="shared" si="10"/>
        <v>-66218.242751375059</v>
      </c>
      <c r="H85" s="811">
        <f t="shared" si="11"/>
        <v>108994.29762494836</v>
      </c>
      <c r="I85" s="857">
        <f t="shared" si="16"/>
        <v>1697.8976345703165</v>
      </c>
      <c r="J85" s="818">
        <f t="shared" si="17"/>
        <v>308510.97896920634</v>
      </c>
      <c r="K85" s="818">
        <f t="shared" si="18"/>
        <v>-168091.86582246126</v>
      </c>
    </row>
    <row r="86" spans="1:11">
      <c r="A86" s="831">
        <v>41943</v>
      </c>
      <c r="B86" s="794">
        <f t="shared" si="6"/>
        <v>1655.4560687843766</v>
      </c>
      <c r="C86" s="803">
        <f t="shared" si="19"/>
        <v>67873.698820159436</v>
      </c>
      <c r="D86" s="803">
        <f t="shared" si="20"/>
        <v>882627.39330484148</v>
      </c>
      <c r="E86" s="810">
        <f t="shared" si="8"/>
        <v>-109337.86532475072</v>
      </c>
      <c r="F86" s="848">
        <f t="shared" si="9"/>
        <v>-950501.0921250009</v>
      </c>
      <c r="G86" s="824">
        <f t="shared" si="10"/>
        <v>-67873.698820159436</v>
      </c>
      <c r="H86" s="811">
        <f t="shared" si="11"/>
        <v>109337.86532475072</v>
      </c>
      <c r="I86" s="857">
        <f t="shared" si="16"/>
        <v>1697.8976345703165</v>
      </c>
      <c r="J86" s="818">
        <f t="shared" si="17"/>
        <v>310208.87660377665</v>
      </c>
      <c r="K86" s="818">
        <f t="shared" si="18"/>
        <v>-166393.96818789095</v>
      </c>
    </row>
    <row r="87" spans="1:11">
      <c r="A87" s="831">
        <v>41973</v>
      </c>
      <c r="B87" s="794">
        <f t="shared" si="6"/>
        <v>1655.4560687843766</v>
      </c>
      <c r="C87" s="803">
        <f t="shared" si="19"/>
        <v>69529.154888943813</v>
      </c>
      <c r="D87" s="803">
        <f t="shared" si="20"/>
        <v>880971.93723605713</v>
      </c>
      <c r="E87" s="810">
        <f t="shared" si="8"/>
        <v>-109681.4330245531</v>
      </c>
      <c r="F87" s="848">
        <f t="shared" si="9"/>
        <v>-950501.0921250009</v>
      </c>
      <c r="G87" s="824">
        <f t="shared" si="10"/>
        <v>-69529.154888943813</v>
      </c>
      <c r="H87" s="811">
        <f t="shared" si="11"/>
        <v>109681.4330245531</v>
      </c>
      <c r="I87" s="857">
        <f t="shared" si="16"/>
        <v>1697.8976345703165</v>
      </c>
      <c r="J87" s="818">
        <f t="shared" si="17"/>
        <v>311906.77423834696</v>
      </c>
      <c r="K87" s="818">
        <f t="shared" si="18"/>
        <v>-164696.07055332063</v>
      </c>
    </row>
    <row r="88" spans="1:11">
      <c r="A88" s="831">
        <v>42004</v>
      </c>
      <c r="B88" s="794">
        <f t="shared" si="6"/>
        <v>1655.4560687843766</v>
      </c>
      <c r="C88" s="803">
        <f t="shared" si="19"/>
        <v>71184.61095772819</v>
      </c>
      <c r="D88" s="803">
        <f t="shared" si="20"/>
        <v>879316.48116727266</v>
      </c>
      <c r="E88" s="810">
        <f t="shared" si="8"/>
        <v>-110025.00072435549</v>
      </c>
      <c r="F88" s="848">
        <f t="shared" si="9"/>
        <v>-950501.0921250009</v>
      </c>
      <c r="G88" s="824">
        <f t="shared" si="10"/>
        <v>-71184.61095772819</v>
      </c>
      <c r="H88" s="811">
        <f t="shared" si="11"/>
        <v>110025.00072435549</v>
      </c>
      <c r="I88" s="857">
        <f t="shared" si="16"/>
        <v>1697.8976345703165</v>
      </c>
      <c r="J88" s="818">
        <f t="shared" si="17"/>
        <v>313604.67187291727</v>
      </c>
      <c r="K88" s="818">
        <f t="shared" si="18"/>
        <v>-162998.17291875032</v>
      </c>
    </row>
    <row r="89" spans="1:11">
      <c r="A89" s="831">
        <v>42035</v>
      </c>
      <c r="B89" s="794">
        <f t="shared" si="6"/>
        <v>1655.4560687843766</v>
      </c>
      <c r="C89" s="803">
        <f>C88+B89</f>
        <v>72840.067026512566</v>
      </c>
      <c r="D89" s="803">
        <f>$B$42-C89</f>
        <v>877661.02509848832</v>
      </c>
      <c r="E89" s="810">
        <f t="shared" si="8"/>
        <v>-110368.56842415784</v>
      </c>
      <c r="F89" s="848">
        <f t="shared" si="9"/>
        <v>-950501.0921250009</v>
      </c>
      <c r="G89" s="824">
        <f t="shared" si="10"/>
        <v>-72840.067026512566</v>
      </c>
      <c r="H89" s="811">
        <f t="shared" si="11"/>
        <v>110368.56842415784</v>
      </c>
      <c r="I89" s="857">
        <f t="shared" si="16"/>
        <v>1697.8976345703165</v>
      </c>
      <c r="J89" s="818">
        <f t="shared" si="17"/>
        <v>315302.56950748758</v>
      </c>
      <c r="K89" s="818">
        <f t="shared" si="18"/>
        <v>-161300.27528418001</v>
      </c>
    </row>
    <row r="90" spans="1:11">
      <c r="A90" s="831">
        <v>42063</v>
      </c>
      <c r="B90" s="794">
        <f t="shared" si="6"/>
        <v>1655.4560687843766</v>
      </c>
      <c r="C90" s="803">
        <f t="shared" ref="C90:C112" si="21">C89+B90</f>
        <v>74495.523095296943</v>
      </c>
      <c r="D90" s="803">
        <f t="shared" ref="D90:D112" si="22">$B$42-C90</f>
        <v>876005.56902970397</v>
      </c>
      <c r="E90" s="810">
        <f t="shared" si="8"/>
        <v>-110712.13612396023</v>
      </c>
      <c r="F90" s="848">
        <f t="shared" si="9"/>
        <v>-950501.0921250009</v>
      </c>
      <c r="G90" s="824">
        <f t="shared" si="10"/>
        <v>-74495.523095296943</v>
      </c>
      <c r="H90" s="811">
        <f t="shared" si="11"/>
        <v>110712.13612396023</v>
      </c>
      <c r="I90" s="857">
        <f t="shared" si="16"/>
        <v>1697.8976345703165</v>
      </c>
      <c r="J90" s="818">
        <f t="shared" si="17"/>
        <v>317000.4671420579</v>
      </c>
      <c r="K90" s="818">
        <f t="shared" si="18"/>
        <v>-159602.3776496097</v>
      </c>
    </row>
    <row r="91" spans="1:11">
      <c r="A91" s="831">
        <v>42094</v>
      </c>
      <c r="B91" s="794">
        <f t="shared" si="6"/>
        <v>1655.4560687843766</v>
      </c>
      <c r="C91" s="803">
        <f t="shared" si="21"/>
        <v>76150.97916408132</v>
      </c>
      <c r="D91" s="803">
        <f t="shared" si="22"/>
        <v>874350.11296091962</v>
      </c>
      <c r="E91" s="810">
        <f t="shared" si="8"/>
        <v>-111055.70382376261</v>
      </c>
      <c r="F91" s="848">
        <f t="shared" si="9"/>
        <v>-950501.0921250009</v>
      </c>
      <c r="G91" s="824">
        <f t="shared" si="10"/>
        <v>-76150.97916408132</v>
      </c>
      <c r="H91" s="811">
        <f t="shared" si="11"/>
        <v>111055.70382376261</v>
      </c>
      <c r="I91" s="857">
        <f t="shared" si="16"/>
        <v>1697.8976345703165</v>
      </c>
      <c r="J91" s="818">
        <f t="shared" si="17"/>
        <v>318698.36477662821</v>
      </c>
      <c r="K91" s="818">
        <f t="shared" si="18"/>
        <v>-157904.48001503939</v>
      </c>
    </row>
    <row r="92" spans="1:11">
      <c r="A92" s="831">
        <v>42124</v>
      </c>
      <c r="B92" s="794">
        <f t="shared" si="6"/>
        <v>1655.4560687843766</v>
      </c>
      <c r="C92" s="803">
        <f t="shared" si="21"/>
        <v>77806.435232865697</v>
      </c>
      <c r="D92" s="803">
        <f t="shared" si="22"/>
        <v>872694.65689213516</v>
      </c>
      <c r="E92" s="810">
        <f t="shared" si="8"/>
        <v>-111399.27152356495</v>
      </c>
      <c r="F92" s="848">
        <f t="shared" si="9"/>
        <v>-950501.0921250009</v>
      </c>
      <c r="G92" s="824">
        <f t="shared" si="10"/>
        <v>-77806.435232865697</v>
      </c>
      <c r="H92" s="811">
        <f t="shared" si="11"/>
        <v>111399.27152356495</v>
      </c>
      <c r="I92" s="857">
        <f t="shared" si="16"/>
        <v>1697.8976345703165</v>
      </c>
      <c r="J92" s="818">
        <f t="shared" si="17"/>
        <v>320396.26241119852</v>
      </c>
      <c r="K92" s="818">
        <f t="shared" si="18"/>
        <v>-156206.58238046907</v>
      </c>
    </row>
    <row r="93" spans="1:11">
      <c r="A93" s="831">
        <v>42155</v>
      </c>
      <c r="B93" s="794">
        <f t="shared" si="6"/>
        <v>1655.4560687843766</v>
      </c>
      <c r="C93" s="803">
        <f t="shared" si="21"/>
        <v>79461.891301650074</v>
      </c>
      <c r="D93" s="803">
        <f t="shared" si="22"/>
        <v>871039.20082335081</v>
      </c>
      <c r="E93" s="810">
        <f t="shared" si="8"/>
        <v>-111742.83922336737</v>
      </c>
      <c r="F93" s="848">
        <f t="shared" si="9"/>
        <v>-950501.0921250009</v>
      </c>
      <c r="G93" s="824">
        <f t="shared" si="10"/>
        <v>-79461.891301650074</v>
      </c>
      <c r="H93" s="811">
        <f t="shared" si="11"/>
        <v>111742.83922336737</v>
      </c>
      <c r="I93" s="857">
        <f t="shared" si="16"/>
        <v>1697.8976345703165</v>
      </c>
      <c r="J93" s="818">
        <f t="shared" si="17"/>
        <v>322094.16004576883</v>
      </c>
      <c r="K93" s="818">
        <f t="shared" si="18"/>
        <v>-154508.68474589876</v>
      </c>
    </row>
    <row r="94" spans="1:11">
      <c r="A94" s="831">
        <v>42185</v>
      </c>
      <c r="B94" s="794">
        <f t="shared" si="6"/>
        <v>1655.4560687843766</v>
      </c>
      <c r="C94" s="803">
        <f t="shared" si="21"/>
        <v>81117.347370434451</v>
      </c>
      <c r="D94" s="803">
        <f t="shared" si="22"/>
        <v>869383.74475456646</v>
      </c>
      <c r="E94" s="810">
        <f t="shared" si="8"/>
        <v>-112086.40692316972</v>
      </c>
      <c r="F94" s="848">
        <f t="shared" si="9"/>
        <v>-950501.0921250009</v>
      </c>
      <c r="G94" s="824">
        <f t="shared" si="10"/>
        <v>-81117.347370434451</v>
      </c>
      <c r="H94" s="811">
        <f t="shared" si="11"/>
        <v>112086.40692316972</v>
      </c>
      <c r="I94" s="857">
        <f t="shared" si="16"/>
        <v>1697.8976345703165</v>
      </c>
      <c r="J94" s="818">
        <f t="shared" si="17"/>
        <v>323792.05768033915</v>
      </c>
      <c r="K94" s="818">
        <f t="shared" si="18"/>
        <v>-152810.78711132845</v>
      </c>
    </row>
    <row r="95" spans="1:11">
      <c r="A95" s="831">
        <v>42216</v>
      </c>
      <c r="B95" s="794">
        <f t="shared" si="6"/>
        <v>1655.4560687843766</v>
      </c>
      <c r="C95" s="803">
        <f t="shared" si="21"/>
        <v>82772.803439218827</v>
      </c>
      <c r="D95" s="803">
        <f t="shared" si="22"/>
        <v>867728.28868578211</v>
      </c>
      <c r="E95" s="810">
        <f t="shared" si="8"/>
        <v>-112429.97462297211</v>
      </c>
      <c r="F95" s="848">
        <f t="shared" si="9"/>
        <v>-950501.0921250009</v>
      </c>
      <c r="G95" s="824">
        <f t="shared" si="10"/>
        <v>-82772.803439218827</v>
      </c>
      <c r="H95" s="811">
        <f t="shared" si="11"/>
        <v>112429.97462297211</v>
      </c>
      <c r="I95" s="857">
        <f t="shared" si="16"/>
        <v>1697.8976345703165</v>
      </c>
      <c r="J95" s="818">
        <f t="shared" si="17"/>
        <v>325489.95531490946</v>
      </c>
      <c r="K95" s="818">
        <f t="shared" si="18"/>
        <v>-151112.88947675814</v>
      </c>
    </row>
    <row r="96" spans="1:11">
      <c r="A96" s="831">
        <v>42247</v>
      </c>
      <c r="B96" s="794">
        <f t="shared" si="6"/>
        <v>1655.4560687843766</v>
      </c>
      <c r="C96" s="803">
        <f t="shared" si="21"/>
        <v>84428.259508003204</v>
      </c>
      <c r="D96" s="803">
        <f t="shared" si="22"/>
        <v>866072.83261699765</v>
      </c>
      <c r="E96" s="810">
        <f t="shared" si="8"/>
        <v>-112773.54232277446</v>
      </c>
      <c r="F96" s="848">
        <f t="shared" si="9"/>
        <v>-950501.0921250009</v>
      </c>
      <c r="G96" s="824">
        <f t="shared" si="10"/>
        <v>-84428.259508003204</v>
      </c>
      <c r="H96" s="811">
        <f t="shared" si="11"/>
        <v>112773.54232277446</v>
      </c>
      <c r="I96" s="857">
        <f t="shared" si="16"/>
        <v>1697.8976345703165</v>
      </c>
      <c r="J96" s="818">
        <f t="shared" si="17"/>
        <v>327187.85294947977</v>
      </c>
      <c r="K96" s="818">
        <f t="shared" si="18"/>
        <v>-149414.99184218782</v>
      </c>
    </row>
    <row r="97" spans="1:11">
      <c r="A97" s="831">
        <v>42277</v>
      </c>
      <c r="B97" s="794">
        <f t="shared" si="6"/>
        <v>1655.4560687843766</v>
      </c>
      <c r="C97" s="803">
        <f t="shared" si="21"/>
        <v>86083.715576787581</v>
      </c>
      <c r="D97" s="803">
        <f t="shared" si="22"/>
        <v>864417.3765482133</v>
      </c>
      <c r="E97" s="810">
        <f t="shared" si="8"/>
        <v>-113117.11002257683</v>
      </c>
      <c r="F97" s="848">
        <f t="shared" si="9"/>
        <v>-950501.0921250009</v>
      </c>
      <c r="G97" s="824">
        <f t="shared" si="10"/>
        <v>-86083.715576787581</v>
      </c>
      <c r="H97" s="811">
        <f t="shared" si="11"/>
        <v>113117.11002257683</v>
      </c>
      <c r="I97" s="857">
        <f t="shared" si="16"/>
        <v>1697.8976345703165</v>
      </c>
      <c r="J97" s="818">
        <f t="shared" si="17"/>
        <v>328885.75058405008</v>
      </c>
      <c r="K97" s="818">
        <f t="shared" si="18"/>
        <v>-147717.09420761751</v>
      </c>
    </row>
    <row r="98" spans="1:11">
      <c r="A98" s="831">
        <v>42308</v>
      </c>
      <c r="B98" s="794">
        <f t="shared" si="6"/>
        <v>1655.4560687843766</v>
      </c>
      <c r="C98" s="803">
        <f t="shared" si="21"/>
        <v>87739.171645571958</v>
      </c>
      <c r="D98" s="803">
        <f t="shared" si="22"/>
        <v>862761.92047942895</v>
      </c>
      <c r="E98" s="810">
        <f t="shared" si="8"/>
        <v>-113460.67772237923</v>
      </c>
      <c r="F98" s="848">
        <f t="shared" si="9"/>
        <v>-950501.0921250009</v>
      </c>
      <c r="G98" s="824">
        <f t="shared" si="10"/>
        <v>-87739.171645571958</v>
      </c>
      <c r="H98" s="811">
        <f t="shared" si="11"/>
        <v>113460.67772237923</v>
      </c>
      <c r="I98" s="857">
        <f t="shared" si="16"/>
        <v>1697.8976345703165</v>
      </c>
      <c r="J98" s="818">
        <f t="shared" si="17"/>
        <v>330583.64821862039</v>
      </c>
      <c r="K98" s="818">
        <f t="shared" si="18"/>
        <v>-146019.1965730472</v>
      </c>
    </row>
    <row r="99" spans="1:11">
      <c r="A99" s="831">
        <v>42338</v>
      </c>
      <c r="B99" s="794">
        <f t="shared" si="6"/>
        <v>1655.4560687843766</v>
      </c>
      <c r="C99" s="803">
        <f t="shared" si="21"/>
        <v>89394.627714356335</v>
      </c>
      <c r="D99" s="803">
        <f t="shared" si="22"/>
        <v>861106.46441064461</v>
      </c>
      <c r="E99" s="810">
        <f t="shared" si="8"/>
        <v>-113804.24542218162</v>
      </c>
      <c r="F99" s="848">
        <f t="shared" si="9"/>
        <v>-950501.0921250009</v>
      </c>
      <c r="G99" s="824">
        <f t="shared" si="10"/>
        <v>-89394.627714356335</v>
      </c>
      <c r="H99" s="811">
        <f t="shared" si="11"/>
        <v>113804.24542218162</v>
      </c>
      <c r="I99" s="857">
        <f t="shared" si="16"/>
        <v>1697.8976345703165</v>
      </c>
      <c r="J99" s="818">
        <f t="shared" si="17"/>
        <v>332281.54585319071</v>
      </c>
      <c r="K99" s="818">
        <f t="shared" si="18"/>
        <v>-144321.29893847689</v>
      </c>
    </row>
    <row r="100" spans="1:11">
      <c r="A100" s="831">
        <v>42369</v>
      </c>
      <c r="B100" s="794">
        <f t="shared" si="6"/>
        <v>1655.4560687843766</v>
      </c>
      <c r="C100" s="803">
        <f t="shared" si="21"/>
        <v>91050.083783140712</v>
      </c>
      <c r="D100" s="803">
        <f t="shared" si="22"/>
        <v>859451.00834186014</v>
      </c>
      <c r="E100" s="810">
        <f t="shared" si="8"/>
        <v>-114147.81312198396</v>
      </c>
      <c r="F100" s="848">
        <f t="shared" si="9"/>
        <v>-950501.0921250009</v>
      </c>
      <c r="G100" s="824">
        <f t="shared" si="10"/>
        <v>-91050.083783140712</v>
      </c>
      <c r="H100" s="811">
        <f t="shared" si="11"/>
        <v>114147.81312198396</v>
      </c>
      <c r="I100" s="857">
        <f t="shared" si="16"/>
        <v>1697.8976345703165</v>
      </c>
      <c r="J100" s="818">
        <f t="shared" si="17"/>
        <v>333979.44348776102</v>
      </c>
      <c r="K100" s="818">
        <f t="shared" si="18"/>
        <v>-142623.40130390658</v>
      </c>
    </row>
    <row r="101" spans="1:11">
      <c r="A101" s="831">
        <v>42400</v>
      </c>
      <c r="B101" s="794">
        <f t="shared" si="6"/>
        <v>1655.4560687843766</v>
      </c>
      <c r="C101" s="803">
        <f t="shared" si="21"/>
        <v>92705.539851925088</v>
      </c>
      <c r="D101" s="803">
        <f t="shared" si="22"/>
        <v>857795.55227307579</v>
      </c>
      <c r="E101" s="810">
        <f t="shared" si="8"/>
        <v>-114491.38082178634</v>
      </c>
      <c r="F101" s="841">
        <f t="shared" si="9"/>
        <v>-950501.0921250009</v>
      </c>
      <c r="G101" s="842">
        <f t="shared" si="10"/>
        <v>-92705.539851925088</v>
      </c>
      <c r="H101" s="843">
        <f t="shared" si="11"/>
        <v>114491.38082178634</v>
      </c>
      <c r="I101" s="849">
        <f t="shared" si="16"/>
        <v>1697.8976345703165</v>
      </c>
      <c r="J101" s="855">
        <f t="shared" si="17"/>
        <v>335677.34112233133</v>
      </c>
      <c r="K101" s="855">
        <f t="shared" si="18"/>
        <v>-140925.50366933626</v>
      </c>
    </row>
    <row r="102" spans="1:11">
      <c r="A102" s="831">
        <v>42429</v>
      </c>
      <c r="B102" s="794">
        <f t="shared" si="6"/>
        <v>1655.4560687843766</v>
      </c>
      <c r="C102" s="803">
        <f t="shared" si="21"/>
        <v>94360.995920709465</v>
      </c>
      <c r="D102" s="803">
        <f t="shared" si="22"/>
        <v>856140.09620429145</v>
      </c>
      <c r="E102" s="810">
        <f t="shared" si="8"/>
        <v>-114834.94852158873</v>
      </c>
      <c r="F102" s="841">
        <f t="shared" si="9"/>
        <v>-950501.0921250009</v>
      </c>
      <c r="G102" s="842">
        <f t="shared" si="10"/>
        <v>-94360.995920709465</v>
      </c>
      <c r="H102" s="843">
        <f t="shared" si="11"/>
        <v>114834.94852158873</v>
      </c>
      <c r="I102" s="849">
        <f t="shared" si="16"/>
        <v>1697.8976345703165</v>
      </c>
      <c r="J102" s="855">
        <f t="shared" si="17"/>
        <v>337375.23875690164</v>
      </c>
      <c r="K102" s="855">
        <f t="shared" si="18"/>
        <v>-139227.60603476595</v>
      </c>
    </row>
    <row r="103" spans="1:11">
      <c r="A103" s="831">
        <v>42460</v>
      </c>
      <c r="B103" s="794">
        <f t="shared" si="6"/>
        <v>1655.4560687843766</v>
      </c>
      <c r="C103" s="803">
        <f t="shared" si="21"/>
        <v>96016.451989493842</v>
      </c>
      <c r="D103" s="803">
        <f t="shared" si="22"/>
        <v>854484.6401355071</v>
      </c>
      <c r="E103" s="810">
        <f t="shared" si="8"/>
        <v>-115178.51622139111</v>
      </c>
      <c r="F103" s="841">
        <f t="shared" si="9"/>
        <v>-950501.0921250009</v>
      </c>
      <c r="G103" s="842">
        <f t="shared" si="10"/>
        <v>-96016.451989493842</v>
      </c>
      <c r="H103" s="843">
        <f t="shared" si="11"/>
        <v>115178.51622139111</v>
      </c>
      <c r="I103" s="849">
        <f t="shared" si="16"/>
        <v>1697.8976345703165</v>
      </c>
      <c r="J103" s="855">
        <f t="shared" si="17"/>
        <v>339073.13639147195</v>
      </c>
      <c r="K103" s="855">
        <f t="shared" si="18"/>
        <v>-137529.70840019564</v>
      </c>
    </row>
    <row r="104" spans="1:11">
      <c r="A104" s="831">
        <v>42490</v>
      </c>
      <c r="B104" s="794">
        <f t="shared" si="6"/>
        <v>1655.4560687843766</v>
      </c>
      <c r="C104" s="803">
        <f t="shared" si="21"/>
        <v>97671.908058278219</v>
      </c>
      <c r="D104" s="803">
        <f t="shared" si="22"/>
        <v>852829.18406672264</v>
      </c>
      <c r="E104" s="810">
        <f t="shared" si="8"/>
        <v>-115522.08392119347</v>
      </c>
      <c r="F104" s="841">
        <f t="shared" si="9"/>
        <v>-950501.0921250009</v>
      </c>
      <c r="G104" s="842">
        <f t="shared" si="10"/>
        <v>-97671.908058278219</v>
      </c>
      <c r="H104" s="843">
        <f t="shared" si="11"/>
        <v>115522.08392119347</v>
      </c>
      <c r="I104" s="849">
        <f t="shared" si="16"/>
        <v>1697.8976345703165</v>
      </c>
      <c r="J104" s="855">
        <f t="shared" si="17"/>
        <v>340771.03402604227</v>
      </c>
      <c r="K104" s="855">
        <f t="shared" si="18"/>
        <v>-135831.81076562533</v>
      </c>
    </row>
    <row r="105" spans="1:11">
      <c r="A105" s="831">
        <v>42521</v>
      </c>
      <c r="B105" s="794">
        <f t="shared" si="6"/>
        <v>1655.4560687843766</v>
      </c>
      <c r="C105" s="803">
        <f t="shared" si="21"/>
        <v>99327.364127062596</v>
      </c>
      <c r="D105" s="803">
        <f t="shared" si="22"/>
        <v>851173.72799793829</v>
      </c>
      <c r="E105" s="810">
        <f t="shared" si="8"/>
        <v>-115865.65162099585</v>
      </c>
      <c r="F105" s="841">
        <f t="shared" si="9"/>
        <v>-950501.0921250009</v>
      </c>
      <c r="G105" s="842">
        <f t="shared" si="10"/>
        <v>-99327.364127062596</v>
      </c>
      <c r="H105" s="843">
        <f t="shared" si="11"/>
        <v>115865.65162099585</v>
      </c>
      <c r="I105" s="849">
        <f t="shared" si="16"/>
        <v>1697.8976345703165</v>
      </c>
      <c r="J105" s="855">
        <f t="shared" si="17"/>
        <v>342468.93166061258</v>
      </c>
      <c r="K105" s="855">
        <f t="shared" si="18"/>
        <v>-134133.91313105501</v>
      </c>
    </row>
    <row r="106" spans="1:11">
      <c r="A106" s="831">
        <v>42551</v>
      </c>
      <c r="B106" s="794">
        <f t="shared" si="6"/>
        <v>1655.4560687843766</v>
      </c>
      <c r="C106" s="803">
        <f t="shared" si="21"/>
        <v>100982.82019584697</v>
      </c>
      <c r="D106" s="803">
        <f t="shared" si="22"/>
        <v>849518.27192915394</v>
      </c>
      <c r="E106" s="810">
        <f t="shared" si="8"/>
        <v>-116209.21932079822</v>
      </c>
      <c r="F106" s="841">
        <f t="shared" si="9"/>
        <v>-950501.0921250009</v>
      </c>
      <c r="G106" s="842">
        <f t="shared" si="10"/>
        <v>-100982.82019584697</v>
      </c>
      <c r="H106" s="843">
        <f t="shared" si="11"/>
        <v>116209.21932079822</v>
      </c>
      <c r="I106" s="849">
        <f t="shared" si="16"/>
        <v>1697.8976345703165</v>
      </c>
      <c r="J106" s="855">
        <f t="shared" si="17"/>
        <v>344166.82929518289</v>
      </c>
      <c r="K106" s="855">
        <f t="shared" si="18"/>
        <v>-132436.0154964847</v>
      </c>
    </row>
    <row r="107" spans="1:11">
      <c r="A107" s="831">
        <v>42582</v>
      </c>
      <c r="B107" s="794">
        <f t="shared" si="6"/>
        <v>1655.4560687843766</v>
      </c>
      <c r="C107" s="803">
        <f t="shared" si="21"/>
        <v>102638.27626463135</v>
      </c>
      <c r="D107" s="803">
        <f t="shared" si="22"/>
        <v>847862.81586036959</v>
      </c>
      <c r="E107" s="810">
        <f t="shared" si="8"/>
        <v>-116552.7870206006</v>
      </c>
      <c r="F107" s="841">
        <f t="shared" si="9"/>
        <v>-950501.0921250009</v>
      </c>
      <c r="G107" s="842">
        <f t="shared" si="10"/>
        <v>-102638.27626463135</v>
      </c>
      <c r="H107" s="843">
        <f t="shared" si="11"/>
        <v>116552.7870206006</v>
      </c>
      <c r="I107" s="849">
        <f t="shared" si="16"/>
        <v>1697.8976345703165</v>
      </c>
      <c r="J107" s="855">
        <f t="shared" si="17"/>
        <v>345864.7269297532</v>
      </c>
      <c r="K107" s="855">
        <f t="shared" si="18"/>
        <v>-130738.11786191439</v>
      </c>
    </row>
    <row r="108" spans="1:11">
      <c r="A108" s="831">
        <v>42613</v>
      </c>
      <c r="B108" s="794">
        <f t="shared" si="6"/>
        <v>1655.4560687843766</v>
      </c>
      <c r="C108" s="803">
        <f t="shared" si="21"/>
        <v>104293.73233341573</v>
      </c>
      <c r="D108" s="803">
        <f t="shared" si="22"/>
        <v>846207.35979158513</v>
      </c>
      <c r="E108" s="810">
        <f t="shared" si="8"/>
        <v>-116896.35472040293</v>
      </c>
      <c r="F108" s="841">
        <f t="shared" si="9"/>
        <v>-950501.0921250009</v>
      </c>
      <c r="G108" s="842">
        <f t="shared" si="10"/>
        <v>-104293.73233341573</v>
      </c>
      <c r="H108" s="843">
        <f t="shared" si="11"/>
        <v>116896.35472040293</v>
      </c>
      <c r="I108" s="849">
        <f t="shared" si="16"/>
        <v>1697.8976345703165</v>
      </c>
      <c r="J108" s="855">
        <f t="shared" si="17"/>
        <v>347562.62456432352</v>
      </c>
      <c r="K108" s="855">
        <f t="shared" si="18"/>
        <v>-129040.22022734408</v>
      </c>
    </row>
    <row r="109" spans="1:11">
      <c r="A109" s="831">
        <v>42643</v>
      </c>
      <c r="B109" s="794">
        <f t="shared" si="6"/>
        <v>1655.4560687843766</v>
      </c>
      <c r="C109" s="803">
        <f t="shared" si="21"/>
        <v>105949.1884022001</v>
      </c>
      <c r="D109" s="803">
        <f t="shared" si="22"/>
        <v>844551.90372280078</v>
      </c>
      <c r="E109" s="810">
        <f t="shared" si="8"/>
        <v>-117239.92242020534</v>
      </c>
      <c r="F109" s="841">
        <f t="shared" si="9"/>
        <v>-950501.0921250009</v>
      </c>
      <c r="G109" s="842">
        <f t="shared" si="10"/>
        <v>-105949.1884022001</v>
      </c>
      <c r="H109" s="843">
        <f t="shared" si="11"/>
        <v>117239.92242020534</v>
      </c>
      <c r="I109" s="849">
        <f t="shared" si="16"/>
        <v>1697.8976345703165</v>
      </c>
      <c r="J109" s="855">
        <f t="shared" si="17"/>
        <v>349260.52219889383</v>
      </c>
      <c r="K109" s="855">
        <f t="shared" si="18"/>
        <v>-127342.32259277377</v>
      </c>
    </row>
    <row r="110" spans="1:11">
      <c r="A110" s="831">
        <v>42674</v>
      </c>
      <c r="B110" s="794">
        <f t="shared" si="6"/>
        <v>1655.4560687843766</v>
      </c>
      <c r="C110" s="803">
        <f t="shared" si="21"/>
        <v>107604.64447098448</v>
      </c>
      <c r="D110" s="803">
        <f t="shared" si="22"/>
        <v>842896.44765401643</v>
      </c>
      <c r="E110" s="810">
        <f t="shared" si="8"/>
        <v>-117583.49012000773</v>
      </c>
      <c r="F110" s="841">
        <f t="shared" si="9"/>
        <v>-950501.0921250009</v>
      </c>
      <c r="G110" s="842">
        <f t="shared" si="10"/>
        <v>-107604.64447098448</v>
      </c>
      <c r="H110" s="843">
        <f t="shared" si="11"/>
        <v>117583.49012000773</v>
      </c>
      <c r="I110" s="849">
        <f t="shared" si="16"/>
        <v>1697.8976345703165</v>
      </c>
      <c r="J110" s="855">
        <f t="shared" si="17"/>
        <v>350958.41983346414</v>
      </c>
      <c r="K110" s="855">
        <f t="shared" si="18"/>
        <v>-125644.42495820345</v>
      </c>
    </row>
    <row r="111" spans="1:11">
      <c r="A111" s="831">
        <v>42704</v>
      </c>
      <c r="B111" s="794">
        <f>$B$42*$B$43/12</f>
        <v>1655.4560687843766</v>
      </c>
      <c r="C111" s="803">
        <f t="shared" si="21"/>
        <v>109260.10053976886</v>
      </c>
      <c r="D111" s="803">
        <f t="shared" si="22"/>
        <v>841240.99158523208</v>
      </c>
      <c r="E111" s="810">
        <f t="shared" ref="E111:E112" si="23">-(D111*$B$38/(+$B$38+$B$39)+K111)*0.3959</f>
        <v>-117927.05781981008</v>
      </c>
      <c r="F111" s="841">
        <f>-$B$42</f>
        <v>-950501.0921250009</v>
      </c>
      <c r="G111" s="842">
        <f t="shared" ref="G111:G112" si="24">-C111</f>
        <v>-109260.10053976886</v>
      </c>
      <c r="H111" s="843">
        <f t="shared" ref="H111:H112" si="25">-E111</f>
        <v>117927.05781981008</v>
      </c>
      <c r="I111" s="849">
        <f t="shared" si="16"/>
        <v>1697.8976345703165</v>
      </c>
      <c r="J111" s="855">
        <f t="shared" si="17"/>
        <v>352656.31746803445</v>
      </c>
      <c r="K111" s="855">
        <f t="shared" si="18"/>
        <v>-123946.52732363314</v>
      </c>
    </row>
    <row r="112" spans="1:11">
      <c r="A112" s="831">
        <v>42735</v>
      </c>
      <c r="B112" s="794">
        <f>$B$42*$B$43/12</f>
        <v>1655.4560687843766</v>
      </c>
      <c r="C112" s="803">
        <f t="shared" si="21"/>
        <v>110915.55660855323</v>
      </c>
      <c r="D112" s="803">
        <f t="shared" si="22"/>
        <v>839585.53551644762</v>
      </c>
      <c r="E112" s="810">
        <f t="shared" si="23"/>
        <v>-118270.62551961245</v>
      </c>
      <c r="F112" s="841">
        <f>-$B$42</f>
        <v>-950501.0921250009</v>
      </c>
      <c r="G112" s="842">
        <f t="shared" si="24"/>
        <v>-110915.55660855323</v>
      </c>
      <c r="H112" s="843">
        <f t="shared" si="25"/>
        <v>118270.62551961245</v>
      </c>
      <c r="I112" s="849">
        <f t="shared" si="16"/>
        <v>1697.8976345703165</v>
      </c>
      <c r="J112" s="855">
        <f t="shared" si="17"/>
        <v>354354.21510260476</v>
      </c>
      <c r="K112" s="855">
        <f t="shared" si="18"/>
        <v>-122248.62968906283</v>
      </c>
    </row>
    <row r="113" spans="1:11">
      <c r="F113" s="826" t="s">
        <v>1073</v>
      </c>
      <c r="G113" s="830" t="s">
        <v>1074</v>
      </c>
      <c r="H113" s="832" t="s">
        <v>1075</v>
      </c>
    </row>
    <row r="114" spans="1:11">
      <c r="F114" s="826" t="s">
        <v>1077</v>
      </c>
      <c r="G114" s="830" t="s">
        <v>1077</v>
      </c>
      <c r="H114" s="832" t="s">
        <v>1077</v>
      </c>
    </row>
    <row r="115" spans="1:11" ht="28.8">
      <c r="A115" s="815" t="s">
        <v>1088</v>
      </c>
      <c r="B115" s="821" t="s">
        <v>1084</v>
      </c>
      <c r="C115" s="854" t="s">
        <v>1085</v>
      </c>
      <c r="D115" s="854" t="s">
        <v>1086</v>
      </c>
      <c r="E115" s="854" t="s">
        <v>1087</v>
      </c>
      <c r="F115" s="796"/>
      <c r="G115" s="797"/>
      <c r="H115" s="799"/>
      <c r="I115" s="853" t="s">
        <v>1283</v>
      </c>
      <c r="J115" s="853" t="s">
        <v>1284</v>
      </c>
      <c r="K115" s="851" t="s">
        <v>1285</v>
      </c>
    </row>
    <row r="116" spans="1:11">
      <c r="A116" s="831">
        <v>40908</v>
      </c>
      <c r="B116" s="824">
        <v>-1341307</v>
      </c>
      <c r="C116" s="824">
        <f>-B116*$C$5/12</f>
        <v>2336.1096916666665</v>
      </c>
      <c r="D116" s="803">
        <f>+B116+C116</f>
        <v>-1338970.8903083333</v>
      </c>
      <c r="E116" s="810">
        <f>(-D116+K116)*0.3959</f>
        <v>277862.44085556915</v>
      </c>
      <c r="F116" s="848">
        <f>B116</f>
        <v>-1341307</v>
      </c>
      <c r="G116" s="824">
        <f>-C116</f>
        <v>-2336.1096916666665</v>
      </c>
      <c r="H116" s="811">
        <f t="shared" ref="H116:H175" si="26">E116</f>
        <v>277862.44085556915</v>
      </c>
      <c r="I116" s="840">
        <f>+$B$116*0.525</f>
        <v>-704186.17500000005</v>
      </c>
      <c r="J116" s="803">
        <f>+I116</f>
        <v>-704186.17500000005</v>
      </c>
      <c r="K116" s="803">
        <f>+B116-I116</f>
        <v>-637120.82499999995</v>
      </c>
    </row>
    <row r="117" spans="1:11">
      <c r="A117" s="831">
        <v>40939</v>
      </c>
      <c r="B117" s="824">
        <v>-1341307</v>
      </c>
      <c r="C117" s="824">
        <f>-B117*$C$5/12+C116</f>
        <v>4672.2193833333331</v>
      </c>
      <c r="D117" s="803">
        <f t="shared" ref="D117:D175" si="27">+B117+C117</f>
        <v>-1336634.7806166667</v>
      </c>
      <c r="E117" s="810">
        <f t="shared" ref="E117:E175" si="28">(-D117+K117)*0.3959</f>
        <v>279039.54281711747</v>
      </c>
      <c r="F117" s="848">
        <f t="shared" ref="F117:F175" si="29">B117</f>
        <v>-1341307</v>
      </c>
      <c r="G117" s="824">
        <f t="shared" ref="G117:G175" si="30">-C117</f>
        <v>-4672.2193833333331</v>
      </c>
      <c r="H117" s="811">
        <f t="shared" si="26"/>
        <v>279039.54281711747</v>
      </c>
      <c r="I117" s="840">
        <f>+$B$116*0.0475/12</f>
        <v>-5309.340208333334</v>
      </c>
      <c r="J117" s="803">
        <f t="shared" ref="J117:J175" si="31">+I117+J116</f>
        <v>-709495.51520833338</v>
      </c>
      <c r="K117" s="803">
        <f>+K116-I117</f>
        <v>-631811.48479166662</v>
      </c>
    </row>
    <row r="118" spans="1:11">
      <c r="A118" s="831">
        <v>40968</v>
      </c>
      <c r="B118" s="824">
        <v>-1341307</v>
      </c>
      <c r="C118" s="824">
        <f t="shared" ref="C118:C175" si="32">-B118*$C$5/12+C117</f>
        <v>7008.3290749999996</v>
      </c>
      <c r="D118" s="803">
        <f t="shared" si="27"/>
        <v>-1334298.670925</v>
      </c>
      <c r="E118" s="810">
        <f t="shared" si="28"/>
        <v>280216.64477866585</v>
      </c>
      <c r="F118" s="848">
        <f t="shared" si="29"/>
        <v>-1341307</v>
      </c>
      <c r="G118" s="824">
        <f t="shared" si="30"/>
        <v>-7008.3290749999996</v>
      </c>
      <c r="H118" s="811">
        <f t="shared" si="26"/>
        <v>280216.64477866585</v>
      </c>
      <c r="I118" s="840">
        <f t="shared" ref="I118:I128" si="33">+$B$116*0.0475/12</f>
        <v>-5309.340208333334</v>
      </c>
      <c r="J118" s="803">
        <f t="shared" si="31"/>
        <v>-714804.85541666672</v>
      </c>
      <c r="K118" s="803">
        <f t="shared" ref="K118:K175" si="34">+K117-I118</f>
        <v>-626502.14458333328</v>
      </c>
    </row>
    <row r="119" spans="1:11">
      <c r="A119" s="831">
        <v>40999</v>
      </c>
      <c r="B119" s="824">
        <v>-1341307</v>
      </c>
      <c r="C119" s="824">
        <f t="shared" si="32"/>
        <v>9344.4387666666662</v>
      </c>
      <c r="D119" s="803">
        <f t="shared" si="27"/>
        <v>-1331962.5612333333</v>
      </c>
      <c r="E119" s="810">
        <f t="shared" si="28"/>
        <v>281393.74674021418</v>
      </c>
      <c r="F119" s="848">
        <f t="shared" si="29"/>
        <v>-1341307</v>
      </c>
      <c r="G119" s="824">
        <f t="shared" si="30"/>
        <v>-9344.4387666666662</v>
      </c>
      <c r="H119" s="811">
        <f t="shared" si="26"/>
        <v>281393.74674021418</v>
      </c>
      <c r="I119" s="840">
        <f t="shared" si="33"/>
        <v>-5309.340208333334</v>
      </c>
      <c r="J119" s="803">
        <f t="shared" si="31"/>
        <v>-720114.19562500005</v>
      </c>
      <c r="K119" s="803">
        <f t="shared" si="34"/>
        <v>-621192.80437499995</v>
      </c>
    </row>
    <row r="120" spans="1:11">
      <c r="A120" s="831">
        <v>41029</v>
      </c>
      <c r="B120" s="824">
        <v>-1341307</v>
      </c>
      <c r="C120" s="824">
        <f t="shared" si="32"/>
        <v>11680.548458333333</v>
      </c>
      <c r="D120" s="803">
        <f t="shared" si="27"/>
        <v>-1329626.4515416666</v>
      </c>
      <c r="E120" s="810">
        <f t="shared" si="28"/>
        <v>282570.8487017625</v>
      </c>
      <c r="F120" s="848">
        <f t="shared" si="29"/>
        <v>-1341307</v>
      </c>
      <c r="G120" s="824">
        <f t="shared" si="30"/>
        <v>-11680.548458333333</v>
      </c>
      <c r="H120" s="811">
        <f t="shared" si="26"/>
        <v>282570.8487017625</v>
      </c>
      <c r="I120" s="840">
        <f t="shared" si="33"/>
        <v>-5309.340208333334</v>
      </c>
      <c r="J120" s="803">
        <f t="shared" si="31"/>
        <v>-725423.53583333339</v>
      </c>
      <c r="K120" s="803">
        <f t="shared" si="34"/>
        <v>-615883.46416666661</v>
      </c>
    </row>
    <row r="121" spans="1:11">
      <c r="A121" s="831">
        <v>41060</v>
      </c>
      <c r="B121" s="824">
        <v>-1341307</v>
      </c>
      <c r="C121" s="824">
        <f t="shared" si="32"/>
        <v>14016.658149999999</v>
      </c>
      <c r="D121" s="803">
        <f t="shared" si="27"/>
        <v>-1327290.34185</v>
      </c>
      <c r="E121" s="810">
        <f t="shared" si="28"/>
        <v>283747.95066331082</v>
      </c>
      <c r="F121" s="848">
        <f t="shared" si="29"/>
        <v>-1341307</v>
      </c>
      <c r="G121" s="824">
        <f t="shared" si="30"/>
        <v>-14016.658149999999</v>
      </c>
      <c r="H121" s="811">
        <f t="shared" si="26"/>
        <v>283747.95066331082</v>
      </c>
      <c r="I121" s="840">
        <f t="shared" si="33"/>
        <v>-5309.340208333334</v>
      </c>
      <c r="J121" s="803">
        <f t="shared" si="31"/>
        <v>-730732.87604166672</v>
      </c>
      <c r="K121" s="803">
        <f t="shared" si="34"/>
        <v>-610574.12395833328</v>
      </c>
    </row>
    <row r="122" spans="1:11">
      <c r="A122" s="831">
        <v>41090</v>
      </c>
      <c r="B122" s="824">
        <v>-1341307</v>
      </c>
      <c r="C122" s="824">
        <f t="shared" si="32"/>
        <v>16352.767841666666</v>
      </c>
      <c r="D122" s="803">
        <f t="shared" si="27"/>
        <v>-1324954.2321583333</v>
      </c>
      <c r="E122" s="810">
        <f t="shared" si="28"/>
        <v>284925.05262485915</v>
      </c>
      <c r="F122" s="848">
        <f t="shared" si="29"/>
        <v>-1341307</v>
      </c>
      <c r="G122" s="824">
        <f t="shared" si="30"/>
        <v>-16352.767841666666</v>
      </c>
      <c r="H122" s="811">
        <f t="shared" si="26"/>
        <v>284925.05262485915</v>
      </c>
      <c r="I122" s="840">
        <f t="shared" si="33"/>
        <v>-5309.340208333334</v>
      </c>
      <c r="J122" s="803">
        <f t="shared" si="31"/>
        <v>-736042.21625000006</v>
      </c>
      <c r="K122" s="803">
        <f t="shared" si="34"/>
        <v>-605264.78374999994</v>
      </c>
    </row>
    <row r="123" spans="1:11">
      <c r="A123" s="831">
        <v>41121</v>
      </c>
      <c r="B123" s="824">
        <v>-1341307</v>
      </c>
      <c r="C123" s="824">
        <f t="shared" si="32"/>
        <v>18688.877533333332</v>
      </c>
      <c r="D123" s="803">
        <f t="shared" si="27"/>
        <v>-1322618.1224666666</v>
      </c>
      <c r="E123" s="810">
        <f t="shared" si="28"/>
        <v>286102.15458640747</v>
      </c>
      <c r="F123" s="848">
        <f t="shared" si="29"/>
        <v>-1341307</v>
      </c>
      <c r="G123" s="824">
        <f t="shared" si="30"/>
        <v>-18688.877533333332</v>
      </c>
      <c r="H123" s="811">
        <f t="shared" si="26"/>
        <v>286102.15458640747</v>
      </c>
      <c r="I123" s="840">
        <f t="shared" si="33"/>
        <v>-5309.340208333334</v>
      </c>
      <c r="J123" s="803">
        <f t="shared" si="31"/>
        <v>-741351.55645833339</v>
      </c>
      <c r="K123" s="803">
        <f t="shared" si="34"/>
        <v>-599955.44354166661</v>
      </c>
    </row>
    <row r="124" spans="1:11">
      <c r="A124" s="831">
        <v>41152</v>
      </c>
      <c r="B124" s="824">
        <v>-1341307</v>
      </c>
      <c r="C124" s="824">
        <f t="shared" si="32"/>
        <v>21024.987224999997</v>
      </c>
      <c r="D124" s="803">
        <f t="shared" si="27"/>
        <v>-1320282.012775</v>
      </c>
      <c r="E124" s="810">
        <f t="shared" si="28"/>
        <v>287279.2565479558</v>
      </c>
      <c r="F124" s="848">
        <f t="shared" si="29"/>
        <v>-1341307</v>
      </c>
      <c r="G124" s="824">
        <f t="shared" si="30"/>
        <v>-21024.987224999997</v>
      </c>
      <c r="H124" s="811">
        <f t="shared" si="26"/>
        <v>287279.2565479558</v>
      </c>
      <c r="I124" s="840">
        <f t="shared" si="33"/>
        <v>-5309.340208333334</v>
      </c>
      <c r="J124" s="803">
        <f t="shared" si="31"/>
        <v>-746660.89666666673</v>
      </c>
      <c r="K124" s="803">
        <f t="shared" si="34"/>
        <v>-594646.10333333327</v>
      </c>
    </row>
    <row r="125" spans="1:11">
      <c r="A125" s="831">
        <v>41182</v>
      </c>
      <c r="B125" s="824">
        <v>-1341307</v>
      </c>
      <c r="C125" s="824">
        <f t="shared" si="32"/>
        <v>23361.096916666662</v>
      </c>
      <c r="D125" s="803">
        <f t="shared" si="27"/>
        <v>-1317945.9030833333</v>
      </c>
      <c r="E125" s="810">
        <f t="shared" si="28"/>
        <v>288456.35850950418</v>
      </c>
      <c r="F125" s="848">
        <f t="shared" si="29"/>
        <v>-1341307</v>
      </c>
      <c r="G125" s="824">
        <f t="shared" si="30"/>
        <v>-23361.096916666662</v>
      </c>
      <c r="H125" s="811">
        <f t="shared" si="26"/>
        <v>288456.35850950418</v>
      </c>
      <c r="I125" s="840">
        <f t="shared" si="33"/>
        <v>-5309.340208333334</v>
      </c>
      <c r="J125" s="803">
        <f t="shared" si="31"/>
        <v>-751970.23687500006</v>
      </c>
      <c r="K125" s="803">
        <f t="shared" si="34"/>
        <v>-589336.76312499994</v>
      </c>
    </row>
    <row r="126" spans="1:11">
      <c r="A126" s="831">
        <v>41213</v>
      </c>
      <c r="B126" s="824">
        <v>-1341307</v>
      </c>
      <c r="C126" s="824">
        <f t="shared" si="32"/>
        <v>25697.206608333327</v>
      </c>
      <c r="D126" s="803">
        <f t="shared" si="27"/>
        <v>-1315609.7933916666</v>
      </c>
      <c r="E126" s="810">
        <f t="shared" si="28"/>
        <v>289633.4604710525</v>
      </c>
      <c r="F126" s="848">
        <f t="shared" si="29"/>
        <v>-1341307</v>
      </c>
      <c r="G126" s="824">
        <f t="shared" si="30"/>
        <v>-25697.206608333327</v>
      </c>
      <c r="H126" s="811">
        <f t="shared" si="26"/>
        <v>289633.4604710525</v>
      </c>
      <c r="I126" s="840">
        <f t="shared" si="33"/>
        <v>-5309.340208333334</v>
      </c>
      <c r="J126" s="803">
        <f t="shared" si="31"/>
        <v>-757279.5770833334</v>
      </c>
      <c r="K126" s="803">
        <f t="shared" si="34"/>
        <v>-584027.4229166666</v>
      </c>
    </row>
    <row r="127" spans="1:11">
      <c r="A127" s="831">
        <v>41243</v>
      </c>
      <c r="B127" s="824">
        <v>-1341307</v>
      </c>
      <c r="C127" s="824">
        <f t="shared" si="32"/>
        <v>28033.316299999991</v>
      </c>
      <c r="D127" s="803">
        <f t="shared" si="27"/>
        <v>-1313273.6836999999</v>
      </c>
      <c r="E127" s="810">
        <f t="shared" si="28"/>
        <v>290810.56243260083</v>
      </c>
      <c r="F127" s="848">
        <f t="shared" si="29"/>
        <v>-1341307</v>
      </c>
      <c r="G127" s="824">
        <f t="shared" si="30"/>
        <v>-28033.316299999991</v>
      </c>
      <c r="H127" s="811">
        <f t="shared" si="26"/>
        <v>290810.56243260083</v>
      </c>
      <c r="I127" s="840">
        <f t="shared" si="33"/>
        <v>-5309.340208333334</v>
      </c>
      <c r="J127" s="803">
        <f t="shared" si="31"/>
        <v>-762588.91729166673</v>
      </c>
      <c r="K127" s="803">
        <f t="shared" si="34"/>
        <v>-578718.08270833327</v>
      </c>
    </row>
    <row r="128" spans="1:11">
      <c r="A128" s="831">
        <v>41274</v>
      </c>
      <c r="B128" s="824">
        <v>-1341307</v>
      </c>
      <c r="C128" s="824">
        <f t="shared" si="32"/>
        <v>30369.425991666656</v>
      </c>
      <c r="D128" s="803">
        <f t="shared" si="27"/>
        <v>-1310937.5740083333</v>
      </c>
      <c r="E128" s="810">
        <f t="shared" si="28"/>
        <v>291987.66439414915</v>
      </c>
      <c r="F128" s="848">
        <f t="shared" si="29"/>
        <v>-1341307</v>
      </c>
      <c r="G128" s="824">
        <f t="shared" si="30"/>
        <v>-30369.425991666656</v>
      </c>
      <c r="H128" s="811">
        <f t="shared" si="26"/>
        <v>291987.66439414915</v>
      </c>
      <c r="I128" s="840">
        <f t="shared" si="33"/>
        <v>-5309.340208333334</v>
      </c>
      <c r="J128" s="803">
        <f t="shared" si="31"/>
        <v>-767898.25750000007</v>
      </c>
      <c r="K128" s="803">
        <f t="shared" si="34"/>
        <v>-573408.74249999993</v>
      </c>
    </row>
    <row r="129" spans="1:11" s="805" customFormat="1">
      <c r="A129" s="847">
        <v>41305</v>
      </c>
      <c r="B129" s="824">
        <v>-1341307</v>
      </c>
      <c r="C129" s="824">
        <f t="shared" si="32"/>
        <v>32705.535683333321</v>
      </c>
      <c r="D129" s="818">
        <f t="shared" si="27"/>
        <v>-1308601.4643166666</v>
      </c>
      <c r="E129" s="810">
        <f t="shared" si="28"/>
        <v>292954.56957684958</v>
      </c>
      <c r="F129" s="848">
        <f t="shared" si="29"/>
        <v>-1341307</v>
      </c>
      <c r="G129" s="824">
        <f t="shared" si="30"/>
        <v>-32705.535683333321</v>
      </c>
      <c r="H129" s="811">
        <f t="shared" si="26"/>
        <v>292954.56957684958</v>
      </c>
      <c r="I129" s="857">
        <f>+$B$116*0.04275/12</f>
        <v>-4778.4061875000007</v>
      </c>
      <c r="J129" s="818">
        <f t="shared" si="31"/>
        <v>-772676.66368750005</v>
      </c>
      <c r="K129" s="818">
        <f t="shared" si="34"/>
        <v>-568630.33631249995</v>
      </c>
    </row>
    <row r="130" spans="1:11" s="805" customFormat="1">
      <c r="A130" s="847">
        <v>41333</v>
      </c>
      <c r="B130" s="824">
        <v>-1341307</v>
      </c>
      <c r="C130" s="824">
        <f t="shared" si="32"/>
        <v>35041.645374999986</v>
      </c>
      <c r="D130" s="818">
        <f t="shared" si="27"/>
        <v>-1306265.3546249999</v>
      </c>
      <c r="E130" s="810">
        <f t="shared" si="28"/>
        <v>293921.47475954995</v>
      </c>
      <c r="F130" s="848">
        <f t="shared" si="29"/>
        <v>-1341307</v>
      </c>
      <c r="G130" s="824">
        <f t="shared" si="30"/>
        <v>-35041.645374999986</v>
      </c>
      <c r="H130" s="811">
        <f t="shared" si="26"/>
        <v>293921.47475954995</v>
      </c>
      <c r="I130" s="857">
        <f t="shared" ref="I130:I176" si="35">+$B$116*0.04275/12</f>
        <v>-4778.4061875000007</v>
      </c>
      <c r="J130" s="818">
        <f t="shared" si="31"/>
        <v>-777455.06987500004</v>
      </c>
      <c r="K130" s="818">
        <f t="shared" si="34"/>
        <v>-563851.93012499996</v>
      </c>
    </row>
    <row r="131" spans="1:11" s="805" customFormat="1">
      <c r="A131" s="847">
        <v>41364</v>
      </c>
      <c r="B131" s="824">
        <v>-1341307</v>
      </c>
      <c r="C131" s="824">
        <f t="shared" si="32"/>
        <v>37377.75506666665</v>
      </c>
      <c r="D131" s="818">
        <f t="shared" si="27"/>
        <v>-1303929.2449333332</v>
      </c>
      <c r="E131" s="810">
        <f t="shared" si="28"/>
        <v>294888.37994225038</v>
      </c>
      <c r="F131" s="848">
        <f t="shared" si="29"/>
        <v>-1341307</v>
      </c>
      <c r="G131" s="824">
        <f t="shared" si="30"/>
        <v>-37377.75506666665</v>
      </c>
      <c r="H131" s="811">
        <f t="shared" si="26"/>
        <v>294888.37994225038</v>
      </c>
      <c r="I131" s="857">
        <f t="shared" si="35"/>
        <v>-4778.4061875000007</v>
      </c>
      <c r="J131" s="818">
        <f t="shared" si="31"/>
        <v>-782233.47606250003</v>
      </c>
      <c r="K131" s="818">
        <f t="shared" si="34"/>
        <v>-559073.52393749997</v>
      </c>
    </row>
    <row r="132" spans="1:11" s="805" customFormat="1">
      <c r="A132" s="847">
        <v>41394</v>
      </c>
      <c r="B132" s="824">
        <v>-1341307</v>
      </c>
      <c r="C132" s="824">
        <f t="shared" si="32"/>
        <v>39713.864758333315</v>
      </c>
      <c r="D132" s="818">
        <f t="shared" si="27"/>
        <v>-1301593.1352416666</v>
      </c>
      <c r="E132" s="810">
        <f t="shared" si="28"/>
        <v>295855.28512495081</v>
      </c>
      <c r="F132" s="848">
        <f t="shared" si="29"/>
        <v>-1341307</v>
      </c>
      <c r="G132" s="824">
        <f t="shared" si="30"/>
        <v>-39713.864758333315</v>
      </c>
      <c r="H132" s="811">
        <f t="shared" si="26"/>
        <v>295855.28512495081</v>
      </c>
      <c r="I132" s="857">
        <f t="shared" si="35"/>
        <v>-4778.4061875000007</v>
      </c>
      <c r="J132" s="818">
        <f t="shared" si="31"/>
        <v>-787011.88225000002</v>
      </c>
      <c r="K132" s="818">
        <f t="shared" si="34"/>
        <v>-554295.11774999998</v>
      </c>
    </row>
    <row r="133" spans="1:11" s="805" customFormat="1">
      <c r="A133" s="847">
        <v>41425</v>
      </c>
      <c r="B133" s="824">
        <v>-1341307</v>
      </c>
      <c r="C133" s="824">
        <f t="shared" si="32"/>
        <v>42049.97444999998</v>
      </c>
      <c r="D133" s="818">
        <f t="shared" si="27"/>
        <v>-1299257.0255499999</v>
      </c>
      <c r="E133" s="810">
        <f t="shared" si="28"/>
        <v>296822.19030765118</v>
      </c>
      <c r="F133" s="848">
        <f t="shared" si="29"/>
        <v>-1341307</v>
      </c>
      <c r="G133" s="824">
        <f t="shared" si="30"/>
        <v>-42049.97444999998</v>
      </c>
      <c r="H133" s="811">
        <f t="shared" si="26"/>
        <v>296822.19030765118</v>
      </c>
      <c r="I133" s="857">
        <f t="shared" si="35"/>
        <v>-4778.4061875000007</v>
      </c>
      <c r="J133" s="818">
        <f t="shared" si="31"/>
        <v>-791790.28843750001</v>
      </c>
      <c r="K133" s="818">
        <f t="shared" si="34"/>
        <v>-549516.71156249999</v>
      </c>
    </row>
    <row r="134" spans="1:11" s="805" customFormat="1">
      <c r="A134" s="847">
        <v>41455</v>
      </c>
      <c r="B134" s="824">
        <v>-1341307</v>
      </c>
      <c r="C134" s="824">
        <f t="shared" si="32"/>
        <v>44386.084141666644</v>
      </c>
      <c r="D134" s="818">
        <f t="shared" si="27"/>
        <v>-1296920.9158583335</v>
      </c>
      <c r="E134" s="810">
        <f t="shared" si="28"/>
        <v>297789.09549035173</v>
      </c>
      <c r="F134" s="848">
        <f t="shared" si="29"/>
        <v>-1341307</v>
      </c>
      <c r="G134" s="824">
        <f t="shared" si="30"/>
        <v>-44386.084141666644</v>
      </c>
      <c r="H134" s="811">
        <f t="shared" si="26"/>
        <v>297789.09549035173</v>
      </c>
      <c r="I134" s="857">
        <f t="shared" si="35"/>
        <v>-4778.4061875000007</v>
      </c>
      <c r="J134" s="818">
        <f t="shared" si="31"/>
        <v>-796568.694625</v>
      </c>
      <c r="K134" s="818">
        <f t="shared" si="34"/>
        <v>-544738.305375</v>
      </c>
    </row>
    <row r="135" spans="1:11" s="805" customFormat="1">
      <c r="A135" s="847">
        <v>41486</v>
      </c>
      <c r="B135" s="824">
        <v>-1341307</v>
      </c>
      <c r="C135" s="824">
        <f t="shared" si="32"/>
        <v>46722.193833333309</v>
      </c>
      <c r="D135" s="818">
        <f t="shared" si="27"/>
        <v>-1294584.8061666668</v>
      </c>
      <c r="E135" s="810">
        <f t="shared" si="28"/>
        <v>298756.0006730521</v>
      </c>
      <c r="F135" s="848">
        <f t="shared" si="29"/>
        <v>-1341307</v>
      </c>
      <c r="G135" s="824">
        <f t="shared" si="30"/>
        <v>-46722.193833333309</v>
      </c>
      <c r="H135" s="811">
        <f t="shared" si="26"/>
        <v>298756.0006730521</v>
      </c>
      <c r="I135" s="857">
        <f t="shared" si="35"/>
        <v>-4778.4061875000007</v>
      </c>
      <c r="J135" s="818">
        <f t="shared" si="31"/>
        <v>-801347.10081249999</v>
      </c>
      <c r="K135" s="818">
        <f t="shared" si="34"/>
        <v>-539959.89918750001</v>
      </c>
    </row>
    <row r="136" spans="1:11" s="805" customFormat="1">
      <c r="A136" s="847">
        <v>41517</v>
      </c>
      <c r="B136" s="824">
        <v>-1341307</v>
      </c>
      <c r="C136" s="824">
        <f t="shared" si="32"/>
        <v>49058.303524999974</v>
      </c>
      <c r="D136" s="818">
        <f t="shared" si="27"/>
        <v>-1292248.6964750001</v>
      </c>
      <c r="E136" s="810">
        <f t="shared" si="28"/>
        <v>299722.90585575253</v>
      </c>
      <c r="F136" s="848">
        <f t="shared" si="29"/>
        <v>-1341307</v>
      </c>
      <c r="G136" s="824">
        <f t="shared" si="30"/>
        <v>-49058.303524999974</v>
      </c>
      <c r="H136" s="811">
        <f t="shared" si="26"/>
        <v>299722.90585575253</v>
      </c>
      <c r="I136" s="857">
        <f t="shared" si="35"/>
        <v>-4778.4061875000007</v>
      </c>
      <c r="J136" s="818">
        <f t="shared" si="31"/>
        <v>-806125.50699999998</v>
      </c>
      <c r="K136" s="818">
        <f t="shared" si="34"/>
        <v>-535181.49300000002</v>
      </c>
    </row>
    <row r="137" spans="1:11" s="805" customFormat="1">
      <c r="A137" s="847">
        <v>41547</v>
      </c>
      <c r="B137" s="824">
        <v>-1341307</v>
      </c>
      <c r="C137" s="824">
        <f t="shared" si="32"/>
        <v>51394.413216666639</v>
      </c>
      <c r="D137" s="818">
        <f t="shared" si="27"/>
        <v>-1289912.5867833334</v>
      </c>
      <c r="E137" s="810">
        <f t="shared" si="28"/>
        <v>300689.81103845296</v>
      </c>
      <c r="F137" s="848">
        <f t="shared" si="29"/>
        <v>-1341307</v>
      </c>
      <c r="G137" s="824">
        <f t="shared" si="30"/>
        <v>-51394.413216666639</v>
      </c>
      <c r="H137" s="811">
        <f t="shared" si="26"/>
        <v>300689.81103845296</v>
      </c>
      <c r="I137" s="857">
        <f t="shared" si="35"/>
        <v>-4778.4061875000007</v>
      </c>
      <c r="J137" s="818">
        <f t="shared" si="31"/>
        <v>-810903.91318749997</v>
      </c>
      <c r="K137" s="818">
        <f t="shared" si="34"/>
        <v>-530403.08681250003</v>
      </c>
    </row>
    <row r="138" spans="1:11" s="805" customFormat="1">
      <c r="A138" s="847">
        <v>41578</v>
      </c>
      <c r="B138" s="824">
        <v>-1341307</v>
      </c>
      <c r="C138" s="824">
        <f t="shared" si="32"/>
        <v>53730.522908333303</v>
      </c>
      <c r="D138" s="818">
        <f t="shared" si="27"/>
        <v>-1287576.4770916668</v>
      </c>
      <c r="E138" s="810">
        <f t="shared" si="28"/>
        <v>301656.71622115333</v>
      </c>
      <c r="F138" s="848">
        <f t="shared" si="29"/>
        <v>-1341307</v>
      </c>
      <c r="G138" s="824">
        <f t="shared" si="30"/>
        <v>-53730.522908333303</v>
      </c>
      <c r="H138" s="811">
        <f t="shared" si="26"/>
        <v>301656.71622115333</v>
      </c>
      <c r="I138" s="857">
        <f t="shared" si="35"/>
        <v>-4778.4061875000007</v>
      </c>
      <c r="J138" s="818">
        <f t="shared" si="31"/>
        <v>-815682.31937499996</v>
      </c>
      <c r="K138" s="818">
        <f t="shared" si="34"/>
        <v>-525624.68062500004</v>
      </c>
    </row>
    <row r="139" spans="1:11" s="805" customFormat="1">
      <c r="A139" s="847">
        <v>41608</v>
      </c>
      <c r="B139" s="824">
        <v>-1341307</v>
      </c>
      <c r="C139" s="824">
        <f t="shared" si="32"/>
        <v>56066.632599999968</v>
      </c>
      <c r="D139" s="818">
        <f t="shared" si="27"/>
        <v>-1285240.3674000001</v>
      </c>
      <c r="E139" s="810">
        <f t="shared" si="28"/>
        <v>302623.62140385376</v>
      </c>
      <c r="F139" s="848">
        <f t="shared" si="29"/>
        <v>-1341307</v>
      </c>
      <c r="G139" s="824">
        <f t="shared" si="30"/>
        <v>-56066.632599999968</v>
      </c>
      <c r="H139" s="811">
        <f t="shared" si="26"/>
        <v>302623.62140385376</v>
      </c>
      <c r="I139" s="857">
        <f t="shared" si="35"/>
        <v>-4778.4061875000007</v>
      </c>
      <c r="J139" s="818">
        <f t="shared" si="31"/>
        <v>-820460.72556249995</v>
      </c>
      <c r="K139" s="818">
        <f t="shared" si="34"/>
        <v>-520846.27443750005</v>
      </c>
    </row>
    <row r="140" spans="1:11" s="805" customFormat="1">
      <c r="A140" s="847">
        <v>41639</v>
      </c>
      <c r="B140" s="824">
        <v>-1341307</v>
      </c>
      <c r="C140" s="824">
        <f t="shared" si="32"/>
        <v>58402.742291666633</v>
      </c>
      <c r="D140" s="818">
        <f t="shared" si="27"/>
        <v>-1282904.2577083334</v>
      </c>
      <c r="E140" s="810">
        <f t="shared" si="28"/>
        <v>303590.52658655419</v>
      </c>
      <c r="F140" s="848">
        <f t="shared" si="29"/>
        <v>-1341307</v>
      </c>
      <c r="G140" s="824">
        <f t="shared" si="30"/>
        <v>-58402.742291666633</v>
      </c>
      <c r="H140" s="811">
        <f t="shared" si="26"/>
        <v>303590.52658655419</v>
      </c>
      <c r="I140" s="857">
        <f t="shared" si="35"/>
        <v>-4778.4061875000007</v>
      </c>
      <c r="J140" s="818">
        <f t="shared" si="31"/>
        <v>-825239.13174999994</v>
      </c>
      <c r="K140" s="818">
        <f t="shared" si="34"/>
        <v>-516067.86825000006</v>
      </c>
    </row>
    <row r="141" spans="1:11">
      <c r="A141" s="831">
        <v>41670</v>
      </c>
      <c r="B141" s="824">
        <v>-1341307</v>
      </c>
      <c r="C141" s="824">
        <f t="shared" si="32"/>
        <v>60738.851983333298</v>
      </c>
      <c r="D141" s="803">
        <f t="shared" si="27"/>
        <v>-1280568.1480166668</v>
      </c>
      <c r="E141" s="810">
        <f t="shared" si="28"/>
        <v>304557.43176925456</v>
      </c>
      <c r="F141" s="848">
        <f t="shared" si="29"/>
        <v>-1341307</v>
      </c>
      <c r="G141" s="824">
        <f t="shared" si="30"/>
        <v>-60738.851983333298</v>
      </c>
      <c r="H141" s="811">
        <f t="shared" si="26"/>
        <v>304557.43176925456</v>
      </c>
      <c r="I141" s="840">
        <f t="shared" si="35"/>
        <v>-4778.4061875000007</v>
      </c>
      <c r="J141" s="803">
        <f t="shared" si="31"/>
        <v>-830017.53793749993</v>
      </c>
      <c r="K141" s="803">
        <f t="shared" si="34"/>
        <v>-511289.46206250007</v>
      </c>
    </row>
    <row r="142" spans="1:11">
      <c r="A142" s="831">
        <v>41698</v>
      </c>
      <c r="B142" s="824">
        <v>-1341307</v>
      </c>
      <c r="C142" s="824">
        <f t="shared" si="32"/>
        <v>63074.961674999962</v>
      </c>
      <c r="D142" s="803">
        <f t="shared" si="27"/>
        <v>-1278232.0383250001</v>
      </c>
      <c r="E142" s="810">
        <f t="shared" si="28"/>
        <v>305524.33695195499</v>
      </c>
      <c r="F142" s="848">
        <f t="shared" si="29"/>
        <v>-1341307</v>
      </c>
      <c r="G142" s="824">
        <f t="shared" si="30"/>
        <v>-63074.961674999962</v>
      </c>
      <c r="H142" s="811">
        <f t="shared" si="26"/>
        <v>305524.33695195499</v>
      </c>
      <c r="I142" s="840">
        <f t="shared" si="35"/>
        <v>-4778.4061875000007</v>
      </c>
      <c r="J142" s="803">
        <f t="shared" si="31"/>
        <v>-834795.94412499992</v>
      </c>
      <c r="K142" s="803">
        <f t="shared" si="34"/>
        <v>-506511.05587500008</v>
      </c>
    </row>
    <row r="143" spans="1:11">
      <c r="A143" s="831">
        <v>41729</v>
      </c>
      <c r="B143" s="824">
        <v>-1341307</v>
      </c>
      <c r="C143" s="824">
        <f t="shared" si="32"/>
        <v>65411.071366666627</v>
      </c>
      <c r="D143" s="803">
        <f t="shared" si="27"/>
        <v>-1275895.9286333334</v>
      </c>
      <c r="E143" s="810">
        <f t="shared" si="28"/>
        <v>306491.24213465542</v>
      </c>
      <c r="F143" s="848">
        <f t="shared" si="29"/>
        <v>-1341307</v>
      </c>
      <c r="G143" s="824">
        <f t="shared" si="30"/>
        <v>-65411.071366666627</v>
      </c>
      <c r="H143" s="811">
        <f t="shared" si="26"/>
        <v>306491.24213465542</v>
      </c>
      <c r="I143" s="840">
        <f t="shared" si="35"/>
        <v>-4778.4061875000007</v>
      </c>
      <c r="J143" s="803">
        <f t="shared" si="31"/>
        <v>-839574.35031249991</v>
      </c>
      <c r="K143" s="803">
        <f t="shared" si="34"/>
        <v>-501732.64968750009</v>
      </c>
    </row>
    <row r="144" spans="1:11">
      <c r="A144" s="831">
        <v>41759</v>
      </c>
      <c r="B144" s="824">
        <v>-1341307</v>
      </c>
      <c r="C144" s="824">
        <f t="shared" si="32"/>
        <v>67747.181058333299</v>
      </c>
      <c r="D144" s="803">
        <f t="shared" si="27"/>
        <v>-1273559.8189416667</v>
      </c>
      <c r="E144" s="810">
        <f t="shared" si="28"/>
        <v>307458.14731735579</v>
      </c>
      <c r="F144" s="848">
        <f t="shared" si="29"/>
        <v>-1341307</v>
      </c>
      <c r="G144" s="824">
        <f t="shared" si="30"/>
        <v>-67747.181058333299</v>
      </c>
      <c r="H144" s="811">
        <f t="shared" si="26"/>
        <v>307458.14731735579</v>
      </c>
      <c r="I144" s="840">
        <f t="shared" si="35"/>
        <v>-4778.4061875000007</v>
      </c>
      <c r="J144" s="803">
        <f t="shared" si="31"/>
        <v>-844352.7564999999</v>
      </c>
      <c r="K144" s="803">
        <f t="shared" si="34"/>
        <v>-496954.2435000001</v>
      </c>
    </row>
    <row r="145" spans="1:11">
      <c r="A145" s="831">
        <v>41790</v>
      </c>
      <c r="B145" s="824">
        <v>-1341307</v>
      </c>
      <c r="C145" s="824">
        <f t="shared" si="32"/>
        <v>70083.290749999971</v>
      </c>
      <c r="D145" s="803">
        <f t="shared" si="27"/>
        <v>-1271223.7092500001</v>
      </c>
      <c r="E145" s="810">
        <f t="shared" si="28"/>
        <v>308425.05250005622</v>
      </c>
      <c r="F145" s="848">
        <f t="shared" si="29"/>
        <v>-1341307</v>
      </c>
      <c r="G145" s="824">
        <f t="shared" si="30"/>
        <v>-70083.290749999971</v>
      </c>
      <c r="H145" s="811">
        <f t="shared" si="26"/>
        <v>308425.05250005622</v>
      </c>
      <c r="I145" s="840">
        <f t="shared" si="35"/>
        <v>-4778.4061875000007</v>
      </c>
      <c r="J145" s="803">
        <f t="shared" si="31"/>
        <v>-849131.16268749989</v>
      </c>
      <c r="K145" s="803">
        <f t="shared" si="34"/>
        <v>-492175.83731250011</v>
      </c>
    </row>
    <row r="146" spans="1:11">
      <c r="A146" s="831">
        <v>41820</v>
      </c>
      <c r="B146" s="824">
        <v>-1341307</v>
      </c>
      <c r="C146" s="824">
        <f t="shared" si="32"/>
        <v>72419.400441666643</v>
      </c>
      <c r="D146" s="803">
        <f t="shared" si="27"/>
        <v>-1268887.5995583334</v>
      </c>
      <c r="E146" s="810">
        <f t="shared" si="28"/>
        <v>309391.95768275665</v>
      </c>
      <c r="F146" s="848">
        <f t="shared" si="29"/>
        <v>-1341307</v>
      </c>
      <c r="G146" s="824">
        <f t="shared" si="30"/>
        <v>-72419.400441666643</v>
      </c>
      <c r="H146" s="811">
        <f t="shared" si="26"/>
        <v>309391.95768275665</v>
      </c>
      <c r="I146" s="840">
        <f t="shared" si="35"/>
        <v>-4778.4061875000007</v>
      </c>
      <c r="J146" s="803">
        <f t="shared" si="31"/>
        <v>-853909.56887499988</v>
      </c>
      <c r="K146" s="803">
        <f t="shared" si="34"/>
        <v>-487397.43112500012</v>
      </c>
    </row>
    <row r="147" spans="1:11">
      <c r="A147" s="831">
        <v>41851</v>
      </c>
      <c r="B147" s="824">
        <v>-1341307</v>
      </c>
      <c r="C147" s="824">
        <f t="shared" si="32"/>
        <v>74755.510133333315</v>
      </c>
      <c r="D147" s="803">
        <f t="shared" si="27"/>
        <v>-1266551.4898666667</v>
      </c>
      <c r="E147" s="810">
        <f t="shared" si="28"/>
        <v>310358.86286545702</v>
      </c>
      <c r="F147" s="848">
        <f t="shared" si="29"/>
        <v>-1341307</v>
      </c>
      <c r="G147" s="824">
        <f t="shared" si="30"/>
        <v>-74755.510133333315</v>
      </c>
      <c r="H147" s="811">
        <f t="shared" si="26"/>
        <v>310358.86286545702</v>
      </c>
      <c r="I147" s="840">
        <f t="shared" si="35"/>
        <v>-4778.4061875000007</v>
      </c>
      <c r="J147" s="803">
        <f t="shared" si="31"/>
        <v>-858687.97506249987</v>
      </c>
      <c r="K147" s="803">
        <f t="shared" si="34"/>
        <v>-482619.02493750013</v>
      </c>
    </row>
    <row r="148" spans="1:11">
      <c r="A148" s="831">
        <v>41882</v>
      </c>
      <c r="B148" s="824">
        <v>-1341307</v>
      </c>
      <c r="C148" s="824">
        <f t="shared" si="32"/>
        <v>77091.619824999987</v>
      </c>
      <c r="D148" s="803">
        <f t="shared" si="27"/>
        <v>-1264215.3801750001</v>
      </c>
      <c r="E148" s="810">
        <f t="shared" si="28"/>
        <v>311325.76804815745</v>
      </c>
      <c r="F148" s="848">
        <f t="shared" si="29"/>
        <v>-1341307</v>
      </c>
      <c r="G148" s="824">
        <f t="shared" si="30"/>
        <v>-77091.619824999987</v>
      </c>
      <c r="H148" s="811">
        <f t="shared" si="26"/>
        <v>311325.76804815745</v>
      </c>
      <c r="I148" s="840">
        <f t="shared" si="35"/>
        <v>-4778.4061875000007</v>
      </c>
      <c r="J148" s="803">
        <f t="shared" si="31"/>
        <v>-863466.38124999986</v>
      </c>
      <c r="K148" s="803">
        <f t="shared" si="34"/>
        <v>-477840.61875000014</v>
      </c>
    </row>
    <row r="149" spans="1:11">
      <c r="A149" s="831">
        <v>41912</v>
      </c>
      <c r="B149" s="824">
        <v>-1341307</v>
      </c>
      <c r="C149" s="824">
        <f t="shared" si="32"/>
        <v>79427.729516666659</v>
      </c>
      <c r="D149" s="803">
        <f t="shared" si="27"/>
        <v>-1261879.2704833334</v>
      </c>
      <c r="E149" s="810">
        <f t="shared" si="28"/>
        <v>312292.67323085788</v>
      </c>
      <c r="F149" s="848">
        <f t="shared" si="29"/>
        <v>-1341307</v>
      </c>
      <c r="G149" s="824">
        <f t="shared" si="30"/>
        <v>-79427.729516666659</v>
      </c>
      <c r="H149" s="811">
        <f t="shared" si="26"/>
        <v>312292.67323085788</v>
      </c>
      <c r="I149" s="840">
        <f t="shared" si="35"/>
        <v>-4778.4061875000007</v>
      </c>
      <c r="J149" s="803">
        <f t="shared" si="31"/>
        <v>-868244.78743749985</v>
      </c>
      <c r="K149" s="803">
        <f t="shared" si="34"/>
        <v>-473062.21256250015</v>
      </c>
    </row>
    <row r="150" spans="1:11">
      <c r="A150" s="831">
        <v>41943</v>
      </c>
      <c r="B150" s="824">
        <v>-1341307</v>
      </c>
      <c r="C150" s="824">
        <f t="shared" si="32"/>
        <v>81763.839208333331</v>
      </c>
      <c r="D150" s="803">
        <f t="shared" si="27"/>
        <v>-1259543.1607916667</v>
      </c>
      <c r="E150" s="810">
        <f t="shared" si="28"/>
        <v>313259.57841355825</v>
      </c>
      <c r="F150" s="848">
        <f t="shared" si="29"/>
        <v>-1341307</v>
      </c>
      <c r="G150" s="824">
        <f t="shared" si="30"/>
        <v>-81763.839208333331</v>
      </c>
      <c r="H150" s="811">
        <f t="shared" si="26"/>
        <v>313259.57841355825</v>
      </c>
      <c r="I150" s="840">
        <f t="shared" si="35"/>
        <v>-4778.4061875000007</v>
      </c>
      <c r="J150" s="803">
        <f t="shared" si="31"/>
        <v>-873023.19362499984</v>
      </c>
      <c r="K150" s="803">
        <f t="shared" si="34"/>
        <v>-468283.80637500016</v>
      </c>
    </row>
    <row r="151" spans="1:11">
      <c r="A151" s="831">
        <v>41973</v>
      </c>
      <c r="B151" s="824">
        <v>-1341307</v>
      </c>
      <c r="C151" s="824">
        <f t="shared" si="32"/>
        <v>84099.948900000003</v>
      </c>
      <c r="D151" s="803">
        <f t="shared" si="27"/>
        <v>-1257207.0511</v>
      </c>
      <c r="E151" s="810">
        <f t="shared" si="28"/>
        <v>314226.48359625868</v>
      </c>
      <c r="F151" s="848">
        <f t="shared" si="29"/>
        <v>-1341307</v>
      </c>
      <c r="G151" s="824">
        <f t="shared" si="30"/>
        <v>-84099.948900000003</v>
      </c>
      <c r="H151" s="811">
        <f t="shared" si="26"/>
        <v>314226.48359625868</v>
      </c>
      <c r="I151" s="840">
        <f t="shared" si="35"/>
        <v>-4778.4061875000007</v>
      </c>
      <c r="J151" s="803">
        <f t="shared" si="31"/>
        <v>-877801.59981249983</v>
      </c>
      <c r="K151" s="803">
        <f t="shared" si="34"/>
        <v>-463505.40018750017</v>
      </c>
    </row>
    <row r="152" spans="1:11">
      <c r="A152" s="831">
        <v>42004</v>
      </c>
      <c r="B152" s="824">
        <v>-1341307</v>
      </c>
      <c r="C152" s="824">
        <f t="shared" si="32"/>
        <v>86436.058591666675</v>
      </c>
      <c r="D152" s="803">
        <f t="shared" si="27"/>
        <v>-1254870.9414083334</v>
      </c>
      <c r="E152" s="810">
        <f t="shared" si="28"/>
        <v>315193.38877895911</v>
      </c>
      <c r="F152" s="848">
        <f t="shared" si="29"/>
        <v>-1341307</v>
      </c>
      <c r="G152" s="824">
        <f t="shared" si="30"/>
        <v>-86436.058591666675</v>
      </c>
      <c r="H152" s="811">
        <f t="shared" si="26"/>
        <v>315193.38877895911</v>
      </c>
      <c r="I152" s="840">
        <f t="shared" si="35"/>
        <v>-4778.4061875000007</v>
      </c>
      <c r="J152" s="803">
        <f t="shared" si="31"/>
        <v>-882580.00599999982</v>
      </c>
      <c r="K152" s="803">
        <f t="shared" si="34"/>
        <v>-458726.99400000018</v>
      </c>
    </row>
    <row r="153" spans="1:11">
      <c r="A153" s="831">
        <v>42035</v>
      </c>
      <c r="B153" s="824">
        <v>-1341307</v>
      </c>
      <c r="C153" s="824">
        <f t="shared" si="32"/>
        <v>88772.168283333347</v>
      </c>
      <c r="D153" s="803">
        <f t="shared" si="27"/>
        <v>-1252534.8317166667</v>
      </c>
      <c r="E153" s="810">
        <f t="shared" si="28"/>
        <v>316160.29396165948</v>
      </c>
      <c r="F153" s="848">
        <f t="shared" si="29"/>
        <v>-1341307</v>
      </c>
      <c r="G153" s="824">
        <f t="shared" si="30"/>
        <v>-88772.168283333347</v>
      </c>
      <c r="H153" s="811">
        <f t="shared" si="26"/>
        <v>316160.29396165948</v>
      </c>
      <c r="I153" s="840">
        <f t="shared" si="35"/>
        <v>-4778.4061875000007</v>
      </c>
      <c r="J153" s="803">
        <f t="shared" si="31"/>
        <v>-887358.41218749981</v>
      </c>
      <c r="K153" s="803">
        <f t="shared" si="34"/>
        <v>-453948.58781250019</v>
      </c>
    </row>
    <row r="154" spans="1:11">
      <c r="A154" s="831">
        <v>42063</v>
      </c>
      <c r="B154" s="824">
        <v>-1341307</v>
      </c>
      <c r="C154" s="824">
        <f t="shared" si="32"/>
        <v>91108.277975000019</v>
      </c>
      <c r="D154" s="803">
        <f t="shared" si="27"/>
        <v>-1250198.722025</v>
      </c>
      <c r="E154" s="810">
        <f t="shared" si="28"/>
        <v>317127.19914435991</v>
      </c>
      <c r="F154" s="848">
        <f t="shared" si="29"/>
        <v>-1341307</v>
      </c>
      <c r="G154" s="824">
        <f t="shared" si="30"/>
        <v>-91108.277975000019</v>
      </c>
      <c r="H154" s="811">
        <f t="shared" si="26"/>
        <v>317127.19914435991</v>
      </c>
      <c r="I154" s="840">
        <f t="shared" si="35"/>
        <v>-4778.4061875000007</v>
      </c>
      <c r="J154" s="803">
        <f t="shared" si="31"/>
        <v>-892136.8183749998</v>
      </c>
      <c r="K154" s="803">
        <f t="shared" si="34"/>
        <v>-449170.1816250002</v>
      </c>
    </row>
    <row r="155" spans="1:11">
      <c r="A155" s="831">
        <v>42094</v>
      </c>
      <c r="B155" s="824">
        <v>-1341307</v>
      </c>
      <c r="C155" s="824">
        <f t="shared" si="32"/>
        <v>93444.387666666691</v>
      </c>
      <c r="D155" s="803">
        <f t="shared" si="27"/>
        <v>-1247862.6123333334</v>
      </c>
      <c r="E155" s="810">
        <f t="shared" si="28"/>
        <v>318094.10432706034</v>
      </c>
      <c r="F155" s="848">
        <f t="shared" si="29"/>
        <v>-1341307</v>
      </c>
      <c r="G155" s="824">
        <f t="shared" si="30"/>
        <v>-93444.387666666691</v>
      </c>
      <c r="H155" s="811">
        <f t="shared" si="26"/>
        <v>318094.10432706034</v>
      </c>
      <c r="I155" s="840">
        <f t="shared" si="35"/>
        <v>-4778.4061875000007</v>
      </c>
      <c r="J155" s="803">
        <f t="shared" si="31"/>
        <v>-896915.22456249979</v>
      </c>
      <c r="K155" s="803">
        <f t="shared" si="34"/>
        <v>-444391.77543750021</v>
      </c>
    </row>
    <row r="156" spans="1:11">
      <c r="A156" s="831">
        <v>42124</v>
      </c>
      <c r="B156" s="824">
        <v>-1341307</v>
      </c>
      <c r="C156" s="824">
        <f t="shared" si="32"/>
        <v>95780.497358333363</v>
      </c>
      <c r="D156" s="803">
        <f t="shared" si="27"/>
        <v>-1245526.5026416667</v>
      </c>
      <c r="E156" s="810">
        <f t="shared" si="28"/>
        <v>319061.00950976071</v>
      </c>
      <c r="F156" s="848">
        <f t="shared" si="29"/>
        <v>-1341307</v>
      </c>
      <c r="G156" s="824">
        <f t="shared" si="30"/>
        <v>-95780.497358333363</v>
      </c>
      <c r="H156" s="811">
        <f t="shared" si="26"/>
        <v>319061.00950976071</v>
      </c>
      <c r="I156" s="840">
        <f t="shared" si="35"/>
        <v>-4778.4061875000007</v>
      </c>
      <c r="J156" s="803">
        <f t="shared" si="31"/>
        <v>-901693.63074999978</v>
      </c>
      <c r="K156" s="803">
        <f t="shared" si="34"/>
        <v>-439613.36925000022</v>
      </c>
    </row>
    <row r="157" spans="1:11">
      <c r="A157" s="831">
        <v>42155</v>
      </c>
      <c r="B157" s="824">
        <v>-1341307</v>
      </c>
      <c r="C157" s="824">
        <f t="shared" si="32"/>
        <v>98116.607050000035</v>
      </c>
      <c r="D157" s="803">
        <f t="shared" si="27"/>
        <v>-1243190.39295</v>
      </c>
      <c r="E157" s="810">
        <f t="shared" si="28"/>
        <v>320027.91469246114</v>
      </c>
      <c r="F157" s="848">
        <f t="shared" si="29"/>
        <v>-1341307</v>
      </c>
      <c r="G157" s="824">
        <f t="shared" si="30"/>
        <v>-98116.607050000035</v>
      </c>
      <c r="H157" s="811">
        <f t="shared" si="26"/>
        <v>320027.91469246114</v>
      </c>
      <c r="I157" s="840">
        <f t="shared" si="35"/>
        <v>-4778.4061875000007</v>
      </c>
      <c r="J157" s="803">
        <f t="shared" si="31"/>
        <v>-906472.03693749977</v>
      </c>
      <c r="K157" s="803">
        <f t="shared" si="34"/>
        <v>-434834.96306250023</v>
      </c>
    </row>
    <row r="158" spans="1:11">
      <c r="A158" s="831">
        <v>42185</v>
      </c>
      <c r="B158" s="824">
        <v>-1341307</v>
      </c>
      <c r="C158" s="824">
        <f t="shared" si="32"/>
        <v>100452.71674166671</v>
      </c>
      <c r="D158" s="803">
        <f t="shared" si="27"/>
        <v>-1240854.2832583333</v>
      </c>
      <c r="E158" s="810">
        <f t="shared" si="28"/>
        <v>320994.81987516157</v>
      </c>
      <c r="F158" s="848">
        <f t="shared" si="29"/>
        <v>-1341307</v>
      </c>
      <c r="G158" s="824">
        <f t="shared" si="30"/>
        <v>-100452.71674166671</v>
      </c>
      <c r="H158" s="811">
        <f t="shared" si="26"/>
        <v>320994.81987516157</v>
      </c>
      <c r="I158" s="840">
        <f t="shared" si="35"/>
        <v>-4778.4061875000007</v>
      </c>
      <c r="J158" s="803">
        <f t="shared" si="31"/>
        <v>-911250.44312499976</v>
      </c>
      <c r="K158" s="803">
        <f t="shared" si="34"/>
        <v>-430056.55687500024</v>
      </c>
    </row>
    <row r="159" spans="1:11">
      <c r="A159" s="831">
        <v>42216</v>
      </c>
      <c r="B159" s="824">
        <v>-1341307</v>
      </c>
      <c r="C159" s="824">
        <f t="shared" si="32"/>
        <v>102788.82643333338</v>
      </c>
      <c r="D159" s="803">
        <f t="shared" si="27"/>
        <v>-1238518.1735666667</v>
      </c>
      <c r="E159" s="810">
        <f t="shared" si="28"/>
        <v>321961.72505786194</v>
      </c>
      <c r="F159" s="848">
        <f t="shared" si="29"/>
        <v>-1341307</v>
      </c>
      <c r="G159" s="824">
        <f t="shared" si="30"/>
        <v>-102788.82643333338</v>
      </c>
      <c r="H159" s="811">
        <f t="shared" si="26"/>
        <v>321961.72505786194</v>
      </c>
      <c r="I159" s="840">
        <f t="shared" si="35"/>
        <v>-4778.4061875000007</v>
      </c>
      <c r="J159" s="803">
        <f t="shared" si="31"/>
        <v>-916028.84931249975</v>
      </c>
      <c r="K159" s="803">
        <f t="shared" si="34"/>
        <v>-425278.15068750025</v>
      </c>
    </row>
    <row r="160" spans="1:11">
      <c r="A160" s="831">
        <v>42247</v>
      </c>
      <c r="B160" s="824">
        <v>-1341307</v>
      </c>
      <c r="C160" s="824">
        <f t="shared" si="32"/>
        <v>105124.93612500005</v>
      </c>
      <c r="D160" s="803">
        <f t="shared" si="27"/>
        <v>-1236182.063875</v>
      </c>
      <c r="E160" s="810">
        <f t="shared" si="28"/>
        <v>322928.63024056237</v>
      </c>
      <c r="F160" s="848">
        <f t="shared" si="29"/>
        <v>-1341307</v>
      </c>
      <c r="G160" s="824">
        <f t="shared" si="30"/>
        <v>-105124.93612500005</v>
      </c>
      <c r="H160" s="811">
        <f t="shared" si="26"/>
        <v>322928.63024056237</v>
      </c>
      <c r="I160" s="840">
        <f t="shared" si="35"/>
        <v>-4778.4061875000007</v>
      </c>
      <c r="J160" s="803">
        <f t="shared" si="31"/>
        <v>-920807.25549999974</v>
      </c>
      <c r="K160" s="803">
        <f t="shared" si="34"/>
        <v>-420499.74450000026</v>
      </c>
    </row>
    <row r="161" spans="1:11">
      <c r="A161" s="831">
        <v>42277</v>
      </c>
      <c r="B161" s="824">
        <v>-1341307</v>
      </c>
      <c r="C161" s="824">
        <f t="shared" si="32"/>
        <v>107461.04581666672</v>
      </c>
      <c r="D161" s="803">
        <f t="shared" si="27"/>
        <v>-1233845.9541833333</v>
      </c>
      <c r="E161" s="810">
        <f t="shared" si="28"/>
        <v>323895.5354232628</v>
      </c>
      <c r="F161" s="848">
        <f t="shared" si="29"/>
        <v>-1341307</v>
      </c>
      <c r="G161" s="824">
        <f t="shared" si="30"/>
        <v>-107461.04581666672</v>
      </c>
      <c r="H161" s="811">
        <f t="shared" si="26"/>
        <v>323895.5354232628</v>
      </c>
      <c r="I161" s="840">
        <f t="shared" si="35"/>
        <v>-4778.4061875000007</v>
      </c>
      <c r="J161" s="803">
        <f t="shared" si="31"/>
        <v>-925585.66168749973</v>
      </c>
      <c r="K161" s="803">
        <f t="shared" si="34"/>
        <v>-415721.33831250027</v>
      </c>
    </row>
    <row r="162" spans="1:11">
      <c r="A162" s="831">
        <v>42308</v>
      </c>
      <c r="B162" s="824">
        <v>-1341307</v>
      </c>
      <c r="C162" s="824">
        <f t="shared" si="32"/>
        <v>109797.1555083334</v>
      </c>
      <c r="D162" s="803">
        <f t="shared" si="27"/>
        <v>-1231509.8444916666</v>
      </c>
      <c r="E162" s="810">
        <f t="shared" si="28"/>
        <v>324862.44060596317</v>
      </c>
      <c r="F162" s="848">
        <f t="shared" si="29"/>
        <v>-1341307</v>
      </c>
      <c r="G162" s="824">
        <f t="shared" si="30"/>
        <v>-109797.1555083334</v>
      </c>
      <c r="H162" s="811">
        <f t="shared" si="26"/>
        <v>324862.44060596317</v>
      </c>
      <c r="I162" s="840">
        <f t="shared" si="35"/>
        <v>-4778.4061875000007</v>
      </c>
      <c r="J162" s="803">
        <f t="shared" si="31"/>
        <v>-930364.06787499972</v>
      </c>
      <c r="K162" s="803">
        <f t="shared" si="34"/>
        <v>-410942.93212500028</v>
      </c>
    </row>
    <row r="163" spans="1:11">
      <c r="A163" s="831">
        <v>42338</v>
      </c>
      <c r="B163" s="824">
        <v>-1341307</v>
      </c>
      <c r="C163" s="824">
        <f t="shared" si="32"/>
        <v>112133.26520000007</v>
      </c>
      <c r="D163" s="803">
        <f t="shared" si="27"/>
        <v>-1229173.7348</v>
      </c>
      <c r="E163" s="810">
        <f t="shared" si="28"/>
        <v>325829.3457886636</v>
      </c>
      <c r="F163" s="848">
        <f t="shared" si="29"/>
        <v>-1341307</v>
      </c>
      <c r="G163" s="824">
        <f t="shared" si="30"/>
        <v>-112133.26520000007</v>
      </c>
      <c r="H163" s="811">
        <f t="shared" si="26"/>
        <v>325829.3457886636</v>
      </c>
      <c r="I163" s="840">
        <f t="shared" si="35"/>
        <v>-4778.4061875000007</v>
      </c>
      <c r="J163" s="803">
        <f t="shared" si="31"/>
        <v>-935142.47406249971</v>
      </c>
      <c r="K163" s="803">
        <f t="shared" si="34"/>
        <v>-406164.52593750029</v>
      </c>
    </row>
    <row r="164" spans="1:11">
      <c r="A164" s="831">
        <v>42369</v>
      </c>
      <c r="B164" s="824">
        <v>-1341307</v>
      </c>
      <c r="C164" s="824">
        <f t="shared" si="32"/>
        <v>114469.37489166674</v>
      </c>
      <c r="D164" s="803">
        <f t="shared" si="27"/>
        <v>-1226837.6251083333</v>
      </c>
      <c r="E164" s="810">
        <f t="shared" si="28"/>
        <v>326796.25097136403</v>
      </c>
      <c r="F164" s="848">
        <f t="shared" si="29"/>
        <v>-1341307</v>
      </c>
      <c r="G164" s="824">
        <f t="shared" si="30"/>
        <v>-114469.37489166674</v>
      </c>
      <c r="H164" s="811">
        <f t="shared" si="26"/>
        <v>326796.25097136403</v>
      </c>
      <c r="I164" s="840">
        <f t="shared" si="35"/>
        <v>-4778.4061875000007</v>
      </c>
      <c r="J164" s="803">
        <f t="shared" si="31"/>
        <v>-939920.8802499997</v>
      </c>
      <c r="K164" s="803">
        <f t="shared" si="34"/>
        <v>-401386.1197500003</v>
      </c>
    </row>
    <row r="165" spans="1:11">
      <c r="A165" s="831">
        <v>42400</v>
      </c>
      <c r="B165" s="824">
        <v>-1341307</v>
      </c>
      <c r="C165" s="824">
        <f t="shared" si="32"/>
        <v>116805.48458333341</v>
      </c>
      <c r="D165" s="803">
        <f t="shared" si="27"/>
        <v>-1224501.5154166666</v>
      </c>
      <c r="E165" s="810">
        <f t="shared" si="28"/>
        <v>327763.1561540644</v>
      </c>
      <c r="F165" s="841">
        <f t="shared" si="29"/>
        <v>-1341307</v>
      </c>
      <c r="G165" s="842">
        <f t="shared" si="30"/>
        <v>-116805.48458333341</v>
      </c>
      <c r="H165" s="843">
        <f t="shared" si="26"/>
        <v>327763.1561540644</v>
      </c>
      <c r="I165" s="840">
        <f t="shared" si="35"/>
        <v>-4778.4061875000007</v>
      </c>
      <c r="J165" s="803">
        <f t="shared" si="31"/>
        <v>-944699.28643749969</v>
      </c>
      <c r="K165" s="803">
        <f t="shared" si="34"/>
        <v>-396607.71356250031</v>
      </c>
    </row>
    <row r="166" spans="1:11">
      <c r="A166" s="831">
        <v>42429</v>
      </c>
      <c r="B166" s="824">
        <v>-1341307</v>
      </c>
      <c r="C166" s="824">
        <f t="shared" si="32"/>
        <v>119141.59427500008</v>
      </c>
      <c r="D166" s="803">
        <f t="shared" si="27"/>
        <v>-1222165.405725</v>
      </c>
      <c r="E166" s="810">
        <f t="shared" si="28"/>
        <v>328730.06133676483</v>
      </c>
      <c r="F166" s="841">
        <f t="shared" si="29"/>
        <v>-1341307</v>
      </c>
      <c r="G166" s="842">
        <f t="shared" si="30"/>
        <v>-119141.59427500008</v>
      </c>
      <c r="H166" s="843">
        <f t="shared" si="26"/>
        <v>328730.06133676483</v>
      </c>
      <c r="I166" s="840">
        <f t="shared" si="35"/>
        <v>-4778.4061875000007</v>
      </c>
      <c r="J166" s="803">
        <f t="shared" si="31"/>
        <v>-949477.69262499968</v>
      </c>
      <c r="K166" s="803">
        <f t="shared" si="34"/>
        <v>-391829.30737500032</v>
      </c>
    </row>
    <row r="167" spans="1:11">
      <c r="A167" s="831">
        <v>42460</v>
      </c>
      <c r="B167" s="824">
        <v>-1341307</v>
      </c>
      <c r="C167" s="824">
        <f t="shared" si="32"/>
        <v>121477.70396666676</v>
      </c>
      <c r="D167" s="803">
        <f t="shared" si="27"/>
        <v>-1219829.2960333333</v>
      </c>
      <c r="E167" s="810">
        <f t="shared" si="28"/>
        <v>329696.96651946526</v>
      </c>
      <c r="F167" s="841">
        <f t="shared" si="29"/>
        <v>-1341307</v>
      </c>
      <c r="G167" s="842">
        <f t="shared" si="30"/>
        <v>-121477.70396666676</v>
      </c>
      <c r="H167" s="843">
        <f t="shared" si="26"/>
        <v>329696.96651946526</v>
      </c>
      <c r="I167" s="840">
        <f t="shared" si="35"/>
        <v>-4778.4061875000007</v>
      </c>
      <c r="J167" s="803">
        <f t="shared" si="31"/>
        <v>-954256.09881249967</v>
      </c>
      <c r="K167" s="803">
        <f t="shared" si="34"/>
        <v>-387050.90118750033</v>
      </c>
    </row>
    <row r="168" spans="1:11">
      <c r="A168" s="831">
        <v>42490</v>
      </c>
      <c r="B168" s="824">
        <v>-1341307</v>
      </c>
      <c r="C168" s="824">
        <f t="shared" si="32"/>
        <v>123813.81365833343</v>
      </c>
      <c r="D168" s="803">
        <f t="shared" si="27"/>
        <v>-1217493.1863416666</v>
      </c>
      <c r="E168" s="810">
        <f t="shared" si="28"/>
        <v>330663.87170216563</v>
      </c>
      <c r="F168" s="841">
        <f t="shared" si="29"/>
        <v>-1341307</v>
      </c>
      <c r="G168" s="842">
        <f t="shared" si="30"/>
        <v>-123813.81365833343</v>
      </c>
      <c r="H168" s="843">
        <f t="shared" si="26"/>
        <v>330663.87170216563</v>
      </c>
      <c r="I168" s="840">
        <f t="shared" si="35"/>
        <v>-4778.4061875000007</v>
      </c>
      <c r="J168" s="803">
        <f t="shared" si="31"/>
        <v>-959034.50499999966</v>
      </c>
      <c r="K168" s="803">
        <f t="shared" si="34"/>
        <v>-382272.49500000034</v>
      </c>
    </row>
    <row r="169" spans="1:11">
      <c r="A169" s="831">
        <v>42521</v>
      </c>
      <c r="B169" s="824">
        <v>-1341307</v>
      </c>
      <c r="C169" s="824">
        <f t="shared" si="32"/>
        <v>126149.9233500001</v>
      </c>
      <c r="D169" s="803">
        <f t="shared" si="27"/>
        <v>-1215157.0766499999</v>
      </c>
      <c r="E169" s="810">
        <f t="shared" si="28"/>
        <v>331630.77688486606</v>
      </c>
      <c r="F169" s="841">
        <f t="shared" si="29"/>
        <v>-1341307</v>
      </c>
      <c r="G169" s="842">
        <f t="shared" si="30"/>
        <v>-126149.9233500001</v>
      </c>
      <c r="H169" s="843">
        <f t="shared" si="26"/>
        <v>331630.77688486606</v>
      </c>
      <c r="I169" s="840">
        <f t="shared" si="35"/>
        <v>-4778.4061875000007</v>
      </c>
      <c r="J169" s="803">
        <f t="shared" si="31"/>
        <v>-963812.91118749965</v>
      </c>
      <c r="K169" s="803">
        <f t="shared" si="34"/>
        <v>-377494.08881250035</v>
      </c>
    </row>
    <row r="170" spans="1:11">
      <c r="A170" s="831">
        <v>42551</v>
      </c>
      <c r="B170" s="824">
        <v>-1341307</v>
      </c>
      <c r="C170" s="824">
        <f t="shared" si="32"/>
        <v>128486.03304166677</v>
      </c>
      <c r="D170" s="803">
        <f t="shared" si="27"/>
        <v>-1212820.9669583333</v>
      </c>
      <c r="E170" s="810">
        <f t="shared" si="28"/>
        <v>332597.68206756649</v>
      </c>
      <c r="F170" s="841">
        <f t="shared" si="29"/>
        <v>-1341307</v>
      </c>
      <c r="G170" s="842">
        <f t="shared" si="30"/>
        <v>-128486.03304166677</v>
      </c>
      <c r="H170" s="843">
        <f t="shared" si="26"/>
        <v>332597.68206756649</v>
      </c>
      <c r="I170" s="840">
        <f t="shared" si="35"/>
        <v>-4778.4061875000007</v>
      </c>
      <c r="J170" s="803">
        <f t="shared" si="31"/>
        <v>-968591.31737499963</v>
      </c>
      <c r="K170" s="803">
        <f t="shared" si="34"/>
        <v>-372715.68262500037</v>
      </c>
    </row>
    <row r="171" spans="1:11">
      <c r="A171" s="831">
        <v>42582</v>
      </c>
      <c r="B171" s="824">
        <v>-1341307</v>
      </c>
      <c r="C171" s="824">
        <f t="shared" si="32"/>
        <v>130822.14273333344</v>
      </c>
      <c r="D171" s="803">
        <f t="shared" si="27"/>
        <v>-1210484.8572666666</v>
      </c>
      <c r="E171" s="810">
        <f t="shared" si="28"/>
        <v>333564.58725026686</v>
      </c>
      <c r="F171" s="841">
        <f t="shared" si="29"/>
        <v>-1341307</v>
      </c>
      <c r="G171" s="842">
        <f t="shared" si="30"/>
        <v>-130822.14273333344</v>
      </c>
      <c r="H171" s="843">
        <f t="shared" si="26"/>
        <v>333564.58725026686</v>
      </c>
      <c r="I171" s="840">
        <f t="shared" si="35"/>
        <v>-4778.4061875000007</v>
      </c>
      <c r="J171" s="803">
        <f t="shared" si="31"/>
        <v>-973369.72356249962</v>
      </c>
      <c r="K171" s="803">
        <f t="shared" si="34"/>
        <v>-367937.27643750038</v>
      </c>
    </row>
    <row r="172" spans="1:11">
      <c r="A172" s="831">
        <v>42613</v>
      </c>
      <c r="B172" s="824">
        <v>-1341307</v>
      </c>
      <c r="C172" s="824">
        <f t="shared" si="32"/>
        <v>133158.2524250001</v>
      </c>
      <c r="D172" s="803">
        <f t="shared" si="27"/>
        <v>-1208148.7475749999</v>
      </c>
      <c r="E172" s="810">
        <f t="shared" si="28"/>
        <v>334531.49243296729</v>
      </c>
      <c r="F172" s="841">
        <f t="shared" si="29"/>
        <v>-1341307</v>
      </c>
      <c r="G172" s="842">
        <f t="shared" si="30"/>
        <v>-133158.2524250001</v>
      </c>
      <c r="H172" s="843">
        <f t="shared" si="26"/>
        <v>334531.49243296729</v>
      </c>
      <c r="I172" s="840">
        <f t="shared" si="35"/>
        <v>-4778.4061875000007</v>
      </c>
      <c r="J172" s="803">
        <f t="shared" si="31"/>
        <v>-978148.12974999961</v>
      </c>
      <c r="K172" s="803">
        <f t="shared" si="34"/>
        <v>-363158.87025000039</v>
      </c>
    </row>
    <row r="173" spans="1:11">
      <c r="A173" s="831">
        <v>42643</v>
      </c>
      <c r="B173" s="824">
        <v>-1341307</v>
      </c>
      <c r="C173" s="824">
        <f t="shared" si="32"/>
        <v>135494.36211666677</v>
      </c>
      <c r="D173" s="803">
        <f t="shared" si="27"/>
        <v>-1205812.6378833333</v>
      </c>
      <c r="E173" s="810">
        <f t="shared" si="28"/>
        <v>335498.39761566772</v>
      </c>
      <c r="F173" s="841">
        <f t="shared" si="29"/>
        <v>-1341307</v>
      </c>
      <c r="G173" s="842">
        <f t="shared" si="30"/>
        <v>-135494.36211666677</v>
      </c>
      <c r="H173" s="843">
        <f t="shared" si="26"/>
        <v>335498.39761566772</v>
      </c>
      <c r="I173" s="840">
        <f t="shared" si="35"/>
        <v>-4778.4061875000007</v>
      </c>
      <c r="J173" s="803">
        <f t="shared" si="31"/>
        <v>-982926.5359374996</v>
      </c>
      <c r="K173" s="803">
        <f t="shared" si="34"/>
        <v>-358380.4640625004</v>
      </c>
    </row>
    <row r="174" spans="1:11">
      <c r="A174" s="831">
        <v>42674</v>
      </c>
      <c r="B174" s="824">
        <v>-1341307</v>
      </c>
      <c r="C174" s="824">
        <f t="shared" si="32"/>
        <v>137830.47180833344</v>
      </c>
      <c r="D174" s="803">
        <f t="shared" si="27"/>
        <v>-1203476.5281916666</v>
      </c>
      <c r="E174" s="810">
        <f t="shared" si="28"/>
        <v>336465.30279836809</v>
      </c>
      <c r="F174" s="841">
        <f t="shared" si="29"/>
        <v>-1341307</v>
      </c>
      <c r="G174" s="842">
        <f t="shared" si="30"/>
        <v>-137830.47180833344</v>
      </c>
      <c r="H174" s="843">
        <f t="shared" si="26"/>
        <v>336465.30279836809</v>
      </c>
      <c r="I174" s="840">
        <f t="shared" si="35"/>
        <v>-4778.4061875000007</v>
      </c>
      <c r="J174" s="803">
        <f t="shared" si="31"/>
        <v>-987704.94212499959</v>
      </c>
      <c r="K174" s="803">
        <f t="shared" si="34"/>
        <v>-353602.05787500041</v>
      </c>
    </row>
    <row r="175" spans="1:11">
      <c r="A175" s="831">
        <v>42704</v>
      </c>
      <c r="B175" s="824">
        <v>-1341307</v>
      </c>
      <c r="C175" s="824">
        <f t="shared" si="32"/>
        <v>140166.58150000012</v>
      </c>
      <c r="D175" s="803">
        <f t="shared" si="27"/>
        <v>-1201140.4184999999</v>
      </c>
      <c r="E175" s="810">
        <f t="shared" si="28"/>
        <v>337432.20798106852</v>
      </c>
      <c r="F175" s="841">
        <f t="shared" si="29"/>
        <v>-1341307</v>
      </c>
      <c r="G175" s="842">
        <f t="shared" si="30"/>
        <v>-140166.58150000012</v>
      </c>
      <c r="H175" s="843">
        <f t="shared" si="26"/>
        <v>337432.20798106852</v>
      </c>
      <c r="I175" s="840">
        <f t="shared" si="35"/>
        <v>-4778.4061875000007</v>
      </c>
      <c r="J175" s="803">
        <f t="shared" si="31"/>
        <v>-992483.34831249958</v>
      </c>
      <c r="K175" s="803">
        <f t="shared" si="34"/>
        <v>-348823.65168750042</v>
      </c>
    </row>
    <row r="176" spans="1:11">
      <c r="A176" s="831">
        <v>42735</v>
      </c>
      <c r="B176" s="824">
        <v>-1341307</v>
      </c>
      <c r="C176" s="824">
        <f>-B176*$C$5/12+C175</f>
        <v>142502.69119166679</v>
      </c>
      <c r="D176" s="803">
        <f>+B176+C176</f>
        <v>-1198804.3088083332</v>
      </c>
      <c r="E176" s="810">
        <f>(-D176+K176)*0.3959</f>
        <v>338399.11316376895</v>
      </c>
      <c r="F176" s="841">
        <f>B176</f>
        <v>-1341307</v>
      </c>
      <c r="G176" s="842">
        <f>-C176</f>
        <v>-142502.69119166679</v>
      </c>
      <c r="H176" s="843">
        <f>E176</f>
        <v>338399.11316376895</v>
      </c>
      <c r="I176" s="840">
        <f t="shared" si="35"/>
        <v>-4778.4061875000007</v>
      </c>
      <c r="J176" s="803">
        <f>+I176+J175</f>
        <v>-997261.75449999957</v>
      </c>
      <c r="K176" s="803">
        <f>+K175-I176</f>
        <v>-344045.24550000043</v>
      </c>
    </row>
    <row r="177" spans="1:11">
      <c r="B177" s="824"/>
      <c r="E177" s="810"/>
      <c r="F177" s="834"/>
      <c r="G177" s="801"/>
      <c r="H177" s="804"/>
    </row>
    <row r="178" spans="1:11">
      <c r="A178" s="815" t="s">
        <v>1089</v>
      </c>
      <c r="B178" s="824"/>
      <c r="E178" s="810"/>
      <c r="F178" s="834"/>
      <c r="G178" s="801"/>
      <c r="H178" s="804"/>
      <c r="I178" s="815"/>
    </row>
    <row r="179" spans="1:11">
      <c r="A179" s="831">
        <v>40908</v>
      </c>
      <c r="B179" s="824">
        <v>-65000</v>
      </c>
      <c r="C179" s="824">
        <f>-B179*$C$5/12</f>
        <v>113.20833333333333</v>
      </c>
      <c r="D179" s="803">
        <f>+B179+C179</f>
        <v>-64886.791666666664</v>
      </c>
      <c r="E179" s="810">
        <f>(-D179+K179)*0.3959</f>
        <v>13465.268320833331</v>
      </c>
      <c r="F179" s="848">
        <f t="shared" ref="F179:F239" si="36">B179</f>
        <v>-65000</v>
      </c>
      <c r="G179" s="824">
        <f>-C179</f>
        <v>-113.20833333333333</v>
      </c>
      <c r="H179" s="811">
        <f t="shared" ref="H179:H239" si="37">E179</f>
        <v>13465.268320833331</v>
      </c>
      <c r="I179" s="840">
        <f>+$B$179*0.525</f>
        <v>-34125</v>
      </c>
      <c r="J179" s="803">
        <f>+I179</f>
        <v>-34125</v>
      </c>
      <c r="K179" s="803">
        <f>+B179-I179</f>
        <v>-30875</v>
      </c>
    </row>
    <row r="180" spans="1:11">
      <c r="A180" s="831">
        <v>40939</v>
      </c>
      <c r="B180" s="824">
        <v>-65000</v>
      </c>
      <c r="C180" s="824">
        <f>-B180*$C$5/12+C179</f>
        <v>226.41666666666666</v>
      </c>
      <c r="D180" s="803">
        <f t="shared" ref="D180:D239" si="38">+B180+C180</f>
        <v>-64773.583333333336</v>
      </c>
      <c r="E180" s="810">
        <f t="shared" ref="E180:E239" si="39">(-D180+K180)*0.3959</f>
        <v>13522.310912499999</v>
      </c>
      <c r="F180" s="848">
        <f t="shared" si="36"/>
        <v>-65000</v>
      </c>
      <c r="G180" s="824">
        <f t="shared" ref="G180:G239" si="40">-C180</f>
        <v>-226.41666666666666</v>
      </c>
      <c r="H180" s="811">
        <f t="shared" si="37"/>
        <v>13522.310912499999</v>
      </c>
      <c r="I180" s="840">
        <f>+$B$179*0.0475/12</f>
        <v>-257.29166666666669</v>
      </c>
      <c r="J180" s="803">
        <f t="shared" ref="J180:J239" si="41">+I180+J179</f>
        <v>-34382.291666666664</v>
      </c>
      <c r="K180" s="803">
        <f>+K179-I180</f>
        <v>-30617.708333333332</v>
      </c>
    </row>
    <row r="181" spans="1:11">
      <c r="A181" s="831">
        <v>40968</v>
      </c>
      <c r="B181" s="824">
        <v>-65000</v>
      </c>
      <c r="C181" s="824">
        <f t="shared" ref="C181:C239" si="42">-B181*$C$5/12+C180</f>
        <v>339.625</v>
      </c>
      <c r="D181" s="803">
        <f t="shared" si="38"/>
        <v>-64660.375</v>
      </c>
      <c r="E181" s="810">
        <f t="shared" si="39"/>
        <v>13579.353504166667</v>
      </c>
      <c r="F181" s="848">
        <f t="shared" si="36"/>
        <v>-65000</v>
      </c>
      <c r="G181" s="824">
        <f t="shared" si="40"/>
        <v>-339.625</v>
      </c>
      <c r="H181" s="811">
        <f t="shared" si="37"/>
        <v>13579.353504166667</v>
      </c>
      <c r="I181" s="840">
        <f t="shared" ref="I181:I191" si="43">+$B$179*0.0475/12</f>
        <v>-257.29166666666669</v>
      </c>
      <c r="J181" s="803">
        <f t="shared" si="41"/>
        <v>-34639.583333333328</v>
      </c>
      <c r="K181" s="803">
        <f t="shared" ref="K181:K239" si="44">+K180-I181</f>
        <v>-30360.416666666664</v>
      </c>
    </row>
    <row r="182" spans="1:11">
      <c r="A182" s="831">
        <v>40999</v>
      </c>
      <c r="B182" s="824">
        <v>-65000</v>
      </c>
      <c r="C182" s="824">
        <f t="shared" si="42"/>
        <v>452.83333333333331</v>
      </c>
      <c r="D182" s="803">
        <f t="shared" si="38"/>
        <v>-64547.166666666664</v>
      </c>
      <c r="E182" s="810">
        <f t="shared" si="39"/>
        <v>13636.396095833334</v>
      </c>
      <c r="F182" s="848">
        <f t="shared" si="36"/>
        <v>-65000</v>
      </c>
      <c r="G182" s="824">
        <f t="shared" si="40"/>
        <v>-452.83333333333331</v>
      </c>
      <c r="H182" s="811">
        <f t="shared" si="37"/>
        <v>13636.396095833334</v>
      </c>
      <c r="I182" s="840">
        <f t="shared" si="43"/>
        <v>-257.29166666666669</v>
      </c>
      <c r="J182" s="803">
        <f t="shared" si="41"/>
        <v>-34896.874999999993</v>
      </c>
      <c r="K182" s="803">
        <f t="shared" si="44"/>
        <v>-30103.124999999996</v>
      </c>
    </row>
    <row r="183" spans="1:11">
      <c r="A183" s="831">
        <v>41029</v>
      </c>
      <c r="B183" s="824">
        <v>-65000</v>
      </c>
      <c r="C183" s="824">
        <f t="shared" si="42"/>
        <v>566.04166666666663</v>
      </c>
      <c r="D183" s="803">
        <f t="shared" si="38"/>
        <v>-64433.958333333336</v>
      </c>
      <c r="E183" s="810">
        <f t="shared" si="39"/>
        <v>13693.438687500002</v>
      </c>
      <c r="F183" s="848">
        <f t="shared" si="36"/>
        <v>-65000</v>
      </c>
      <c r="G183" s="824">
        <f t="shared" si="40"/>
        <v>-566.04166666666663</v>
      </c>
      <c r="H183" s="811">
        <f t="shared" si="37"/>
        <v>13693.438687500002</v>
      </c>
      <c r="I183" s="840">
        <f t="shared" si="43"/>
        <v>-257.29166666666669</v>
      </c>
      <c r="J183" s="803">
        <f t="shared" si="41"/>
        <v>-35154.166666666657</v>
      </c>
      <c r="K183" s="803">
        <f t="shared" si="44"/>
        <v>-29845.833333333328</v>
      </c>
    </row>
    <row r="184" spans="1:11">
      <c r="A184" s="831">
        <v>41060</v>
      </c>
      <c r="B184" s="824">
        <v>-65000</v>
      </c>
      <c r="C184" s="824">
        <f t="shared" si="42"/>
        <v>679.25</v>
      </c>
      <c r="D184" s="803">
        <f t="shared" si="38"/>
        <v>-64320.75</v>
      </c>
      <c r="E184" s="810">
        <f t="shared" si="39"/>
        <v>13750.48127916667</v>
      </c>
      <c r="F184" s="848">
        <f t="shared" si="36"/>
        <v>-65000</v>
      </c>
      <c r="G184" s="824">
        <f t="shared" si="40"/>
        <v>-679.25</v>
      </c>
      <c r="H184" s="811">
        <f t="shared" si="37"/>
        <v>13750.48127916667</v>
      </c>
      <c r="I184" s="840">
        <f t="shared" si="43"/>
        <v>-257.29166666666669</v>
      </c>
      <c r="J184" s="803">
        <f t="shared" si="41"/>
        <v>-35411.458333333321</v>
      </c>
      <c r="K184" s="803">
        <f t="shared" si="44"/>
        <v>-29588.541666666661</v>
      </c>
    </row>
    <row r="185" spans="1:11">
      <c r="A185" s="831">
        <v>41090</v>
      </c>
      <c r="B185" s="824">
        <v>-65000</v>
      </c>
      <c r="C185" s="824">
        <f t="shared" si="42"/>
        <v>792.45833333333337</v>
      </c>
      <c r="D185" s="803">
        <f t="shared" si="38"/>
        <v>-64207.541666666664</v>
      </c>
      <c r="E185" s="810">
        <f t="shared" si="39"/>
        <v>13807.523870833335</v>
      </c>
      <c r="F185" s="848">
        <f t="shared" si="36"/>
        <v>-65000</v>
      </c>
      <c r="G185" s="824">
        <f t="shared" si="40"/>
        <v>-792.45833333333337</v>
      </c>
      <c r="H185" s="811">
        <f t="shared" si="37"/>
        <v>13807.523870833335</v>
      </c>
      <c r="I185" s="840">
        <f t="shared" si="43"/>
        <v>-257.29166666666669</v>
      </c>
      <c r="J185" s="803">
        <f t="shared" si="41"/>
        <v>-35668.749999999985</v>
      </c>
      <c r="K185" s="803">
        <f t="shared" si="44"/>
        <v>-29331.249999999993</v>
      </c>
    </row>
    <row r="186" spans="1:11">
      <c r="A186" s="831">
        <v>41121</v>
      </c>
      <c r="B186" s="824">
        <v>-65000</v>
      </c>
      <c r="C186" s="824">
        <f t="shared" si="42"/>
        <v>905.66666666666674</v>
      </c>
      <c r="D186" s="803">
        <f t="shared" si="38"/>
        <v>-64094.333333333336</v>
      </c>
      <c r="E186" s="810">
        <f t="shared" si="39"/>
        <v>13864.566462500004</v>
      </c>
      <c r="F186" s="848">
        <f t="shared" si="36"/>
        <v>-65000</v>
      </c>
      <c r="G186" s="824">
        <f t="shared" si="40"/>
        <v>-905.66666666666674</v>
      </c>
      <c r="H186" s="811">
        <f t="shared" si="37"/>
        <v>13864.566462500004</v>
      </c>
      <c r="I186" s="840">
        <f t="shared" si="43"/>
        <v>-257.29166666666669</v>
      </c>
      <c r="J186" s="803">
        <f t="shared" si="41"/>
        <v>-35926.04166666665</v>
      </c>
      <c r="K186" s="803">
        <f t="shared" si="44"/>
        <v>-29073.958333333325</v>
      </c>
    </row>
    <row r="187" spans="1:11">
      <c r="A187" s="831">
        <v>41152</v>
      </c>
      <c r="B187" s="824">
        <v>-65000</v>
      </c>
      <c r="C187" s="824">
        <f t="shared" si="42"/>
        <v>1018.8750000000001</v>
      </c>
      <c r="D187" s="803">
        <f t="shared" si="38"/>
        <v>-63981.125</v>
      </c>
      <c r="E187" s="810">
        <f t="shared" si="39"/>
        <v>13921.609054166669</v>
      </c>
      <c r="F187" s="848">
        <f t="shared" si="36"/>
        <v>-65000</v>
      </c>
      <c r="G187" s="824">
        <f t="shared" si="40"/>
        <v>-1018.8750000000001</v>
      </c>
      <c r="H187" s="811">
        <f t="shared" si="37"/>
        <v>13921.609054166669</v>
      </c>
      <c r="I187" s="840">
        <f t="shared" si="43"/>
        <v>-257.29166666666669</v>
      </c>
      <c r="J187" s="803">
        <f t="shared" si="41"/>
        <v>-36183.333333333314</v>
      </c>
      <c r="K187" s="803">
        <f t="shared" si="44"/>
        <v>-28816.666666666657</v>
      </c>
    </row>
    <row r="188" spans="1:11">
      <c r="A188" s="831">
        <v>41182</v>
      </c>
      <c r="B188" s="824">
        <v>-65000</v>
      </c>
      <c r="C188" s="824">
        <f t="shared" si="42"/>
        <v>1132.0833333333335</v>
      </c>
      <c r="D188" s="803">
        <f t="shared" si="38"/>
        <v>-63867.916666666664</v>
      </c>
      <c r="E188" s="810">
        <f t="shared" si="39"/>
        <v>13978.651645833334</v>
      </c>
      <c r="F188" s="848">
        <f t="shared" si="36"/>
        <v>-65000</v>
      </c>
      <c r="G188" s="824">
        <f t="shared" si="40"/>
        <v>-1132.0833333333335</v>
      </c>
      <c r="H188" s="811">
        <f t="shared" si="37"/>
        <v>13978.651645833334</v>
      </c>
      <c r="I188" s="840">
        <f t="shared" si="43"/>
        <v>-257.29166666666669</v>
      </c>
      <c r="J188" s="803">
        <f t="shared" si="41"/>
        <v>-36440.624999999978</v>
      </c>
      <c r="K188" s="803">
        <f t="shared" si="44"/>
        <v>-28559.374999999989</v>
      </c>
    </row>
    <row r="189" spans="1:11">
      <c r="A189" s="831">
        <v>41213</v>
      </c>
      <c r="B189" s="824">
        <v>-65000</v>
      </c>
      <c r="C189" s="824">
        <f t="shared" si="42"/>
        <v>1245.2916666666667</v>
      </c>
      <c r="D189" s="803">
        <f t="shared" si="38"/>
        <v>-63754.708333333336</v>
      </c>
      <c r="E189" s="810">
        <f t="shared" si="39"/>
        <v>14035.694237500005</v>
      </c>
      <c r="F189" s="848">
        <f t="shared" si="36"/>
        <v>-65000</v>
      </c>
      <c r="G189" s="824">
        <f t="shared" si="40"/>
        <v>-1245.2916666666667</v>
      </c>
      <c r="H189" s="811">
        <f t="shared" si="37"/>
        <v>14035.694237500005</v>
      </c>
      <c r="I189" s="840">
        <f t="shared" si="43"/>
        <v>-257.29166666666669</v>
      </c>
      <c r="J189" s="803">
        <f t="shared" si="41"/>
        <v>-36697.916666666642</v>
      </c>
      <c r="K189" s="803">
        <f t="shared" si="44"/>
        <v>-28302.083333333321</v>
      </c>
    </row>
    <row r="190" spans="1:11">
      <c r="A190" s="831">
        <v>41243</v>
      </c>
      <c r="B190" s="824">
        <v>-65000</v>
      </c>
      <c r="C190" s="824">
        <f t="shared" si="42"/>
        <v>1358.5</v>
      </c>
      <c r="D190" s="803">
        <f t="shared" si="38"/>
        <v>-63641.5</v>
      </c>
      <c r="E190" s="810">
        <f t="shared" si="39"/>
        <v>14092.73682916667</v>
      </c>
      <c r="F190" s="848">
        <f t="shared" si="36"/>
        <v>-65000</v>
      </c>
      <c r="G190" s="824">
        <f t="shared" si="40"/>
        <v>-1358.5</v>
      </c>
      <c r="H190" s="811">
        <f t="shared" si="37"/>
        <v>14092.73682916667</v>
      </c>
      <c r="I190" s="840">
        <f t="shared" si="43"/>
        <v>-257.29166666666669</v>
      </c>
      <c r="J190" s="803">
        <f t="shared" si="41"/>
        <v>-36955.208333333307</v>
      </c>
      <c r="K190" s="803">
        <f t="shared" si="44"/>
        <v>-28044.791666666653</v>
      </c>
    </row>
    <row r="191" spans="1:11">
      <c r="A191" s="831">
        <v>41274</v>
      </c>
      <c r="B191" s="824">
        <v>-65000</v>
      </c>
      <c r="C191" s="824">
        <f t="shared" si="42"/>
        <v>1471.7083333333333</v>
      </c>
      <c r="D191" s="803">
        <f t="shared" si="38"/>
        <v>-63528.291666666664</v>
      </c>
      <c r="E191" s="810">
        <f t="shared" si="39"/>
        <v>14149.779420833338</v>
      </c>
      <c r="F191" s="848">
        <f t="shared" si="36"/>
        <v>-65000</v>
      </c>
      <c r="G191" s="824">
        <f t="shared" si="40"/>
        <v>-1471.7083333333333</v>
      </c>
      <c r="H191" s="811">
        <f t="shared" si="37"/>
        <v>14149.779420833338</v>
      </c>
      <c r="I191" s="840">
        <f t="shared" si="43"/>
        <v>-257.29166666666669</v>
      </c>
      <c r="J191" s="803">
        <f t="shared" si="41"/>
        <v>-37212.499999999971</v>
      </c>
      <c r="K191" s="803">
        <f t="shared" si="44"/>
        <v>-27787.499999999985</v>
      </c>
    </row>
    <row r="192" spans="1:11">
      <c r="A192" s="831">
        <v>41305</v>
      </c>
      <c r="B192" s="824">
        <v>-65000</v>
      </c>
      <c r="C192" s="824">
        <f t="shared" si="42"/>
        <v>1584.9166666666665</v>
      </c>
      <c r="D192" s="803">
        <f t="shared" si="38"/>
        <v>-63415.083333333336</v>
      </c>
      <c r="E192" s="810">
        <f t="shared" si="39"/>
        <v>14196.635835416673</v>
      </c>
      <c r="F192" s="848">
        <f t="shared" si="36"/>
        <v>-65000</v>
      </c>
      <c r="G192" s="824">
        <f t="shared" si="40"/>
        <v>-1584.9166666666665</v>
      </c>
      <c r="H192" s="811">
        <f t="shared" si="37"/>
        <v>14196.635835416673</v>
      </c>
      <c r="I192" s="840">
        <f>+$B$179*0.04275/12</f>
        <v>-231.5625</v>
      </c>
      <c r="J192" s="803">
        <f t="shared" si="41"/>
        <v>-37444.062499999971</v>
      </c>
      <c r="K192" s="803">
        <f t="shared" si="44"/>
        <v>-27555.937499999985</v>
      </c>
    </row>
    <row r="193" spans="1:11">
      <c r="A193" s="831">
        <v>41333</v>
      </c>
      <c r="B193" s="824">
        <v>-65000</v>
      </c>
      <c r="C193" s="824">
        <f t="shared" si="42"/>
        <v>1698.1249999999998</v>
      </c>
      <c r="D193" s="803">
        <f t="shared" si="38"/>
        <v>-63301.875</v>
      </c>
      <c r="E193" s="810">
        <f t="shared" si="39"/>
        <v>14243.492250000005</v>
      </c>
      <c r="F193" s="848">
        <f t="shared" si="36"/>
        <v>-65000</v>
      </c>
      <c r="G193" s="824">
        <f t="shared" si="40"/>
        <v>-1698.1249999999998</v>
      </c>
      <c r="H193" s="811">
        <f t="shared" si="37"/>
        <v>14243.492250000005</v>
      </c>
      <c r="I193" s="840">
        <f t="shared" ref="I193:I239" si="45">+$B$179*0.04275/12</f>
        <v>-231.5625</v>
      </c>
      <c r="J193" s="803">
        <f t="shared" si="41"/>
        <v>-37675.624999999971</v>
      </c>
      <c r="K193" s="803">
        <f t="shared" si="44"/>
        <v>-27324.374999999985</v>
      </c>
    </row>
    <row r="194" spans="1:11">
      <c r="A194" s="831">
        <v>41364</v>
      </c>
      <c r="B194" s="824">
        <v>-65000</v>
      </c>
      <c r="C194" s="824">
        <f t="shared" si="42"/>
        <v>1811.333333333333</v>
      </c>
      <c r="D194" s="803">
        <f t="shared" si="38"/>
        <v>-63188.666666666664</v>
      </c>
      <c r="E194" s="810">
        <f t="shared" si="39"/>
        <v>14290.348664583336</v>
      </c>
      <c r="F194" s="848">
        <f t="shared" si="36"/>
        <v>-65000</v>
      </c>
      <c r="G194" s="824">
        <f t="shared" si="40"/>
        <v>-1811.333333333333</v>
      </c>
      <c r="H194" s="811">
        <f t="shared" si="37"/>
        <v>14290.348664583336</v>
      </c>
      <c r="I194" s="840">
        <f t="shared" si="45"/>
        <v>-231.5625</v>
      </c>
      <c r="J194" s="803">
        <f t="shared" si="41"/>
        <v>-37907.187499999971</v>
      </c>
      <c r="K194" s="803">
        <f t="shared" si="44"/>
        <v>-27092.812499999985</v>
      </c>
    </row>
    <row r="195" spans="1:11">
      <c r="A195" s="831">
        <v>41394</v>
      </c>
      <c r="B195" s="824">
        <v>-65000</v>
      </c>
      <c r="C195" s="824">
        <f t="shared" si="42"/>
        <v>1924.5416666666663</v>
      </c>
      <c r="D195" s="803">
        <f t="shared" si="38"/>
        <v>-63075.458333333336</v>
      </c>
      <c r="E195" s="810">
        <f t="shared" si="39"/>
        <v>14337.205079166672</v>
      </c>
      <c r="F195" s="848">
        <f t="shared" si="36"/>
        <v>-65000</v>
      </c>
      <c r="G195" s="824">
        <f t="shared" si="40"/>
        <v>-1924.5416666666663</v>
      </c>
      <c r="H195" s="811">
        <f t="shared" si="37"/>
        <v>14337.205079166672</v>
      </c>
      <c r="I195" s="840">
        <f t="shared" si="45"/>
        <v>-231.5625</v>
      </c>
      <c r="J195" s="803">
        <f t="shared" si="41"/>
        <v>-38138.749999999971</v>
      </c>
      <c r="K195" s="803">
        <f t="shared" si="44"/>
        <v>-26861.249999999985</v>
      </c>
    </row>
    <row r="196" spans="1:11">
      <c r="A196" s="831">
        <v>41425</v>
      </c>
      <c r="B196" s="824">
        <v>-65000</v>
      </c>
      <c r="C196" s="824">
        <f t="shared" si="42"/>
        <v>2037.7499999999995</v>
      </c>
      <c r="D196" s="803">
        <f t="shared" si="38"/>
        <v>-62962.25</v>
      </c>
      <c r="E196" s="810">
        <f t="shared" si="39"/>
        <v>14384.061493750005</v>
      </c>
      <c r="F196" s="848">
        <f t="shared" si="36"/>
        <v>-65000</v>
      </c>
      <c r="G196" s="824">
        <f t="shared" si="40"/>
        <v>-2037.7499999999995</v>
      </c>
      <c r="H196" s="811">
        <f t="shared" si="37"/>
        <v>14384.061493750005</v>
      </c>
      <c r="I196" s="840">
        <f t="shared" si="45"/>
        <v>-231.5625</v>
      </c>
      <c r="J196" s="803">
        <f t="shared" si="41"/>
        <v>-38370.312499999971</v>
      </c>
      <c r="K196" s="803">
        <f t="shared" si="44"/>
        <v>-26629.687499999985</v>
      </c>
    </row>
    <row r="197" spans="1:11">
      <c r="A197" s="831">
        <v>41455</v>
      </c>
      <c r="B197" s="824">
        <v>-65000</v>
      </c>
      <c r="C197" s="824">
        <f t="shared" si="42"/>
        <v>2150.958333333333</v>
      </c>
      <c r="D197" s="803">
        <f t="shared" si="38"/>
        <v>-62849.041666666664</v>
      </c>
      <c r="E197" s="810">
        <f t="shared" si="39"/>
        <v>14430.917908333337</v>
      </c>
      <c r="F197" s="848">
        <f t="shared" si="36"/>
        <v>-65000</v>
      </c>
      <c r="G197" s="824">
        <f t="shared" si="40"/>
        <v>-2150.958333333333</v>
      </c>
      <c r="H197" s="811">
        <f t="shared" si="37"/>
        <v>14430.917908333337</v>
      </c>
      <c r="I197" s="840">
        <f t="shared" si="45"/>
        <v>-231.5625</v>
      </c>
      <c r="J197" s="803">
        <f t="shared" si="41"/>
        <v>-38601.874999999971</v>
      </c>
      <c r="K197" s="803">
        <f t="shared" si="44"/>
        <v>-26398.124999999985</v>
      </c>
    </row>
    <row r="198" spans="1:11">
      <c r="A198" s="831">
        <v>41486</v>
      </c>
      <c r="B198" s="824">
        <v>-65000</v>
      </c>
      <c r="C198" s="824">
        <f t="shared" si="42"/>
        <v>2264.1666666666665</v>
      </c>
      <c r="D198" s="803">
        <f t="shared" si="38"/>
        <v>-62735.833333333336</v>
      </c>
      <c r="E198" s="810">
        <f t="shared" si="39"/>
        <v>14477.774322916672</v>
      </c>
      <c r="F198" s="848">
        <f t="shared" si="36"/>
        <v>-65000</v>
      </c>
      <c r="G198" s="824">
        <f t="shared" si="40"/>
        <v>-2264.1666666666665</v>
      </c>
      <c r="H198" s="811">
        <f t="shared" si="37"/>
        <v>14477.774322916672</v>
      </c>
      <c r="I198" s="840">
        <f t="shared" si="45"/>
        <v>-231.5625</v>
      </c>
      <c r="J198" s="803">
        <f t="shared" si="41"/>
        <v>-38833.437499999971</v>
      </c>
      <c r="K198" s="803">
        <f t="shared" si="44"/>
        <v>-26166.562499999985</v>
      </c>
    </row>
    <row r="199" spans="1:11">
      <c r="A199" s="831">
        <v>41517</v>
      </c>
      <c r="B199" s="824">
        <v>-65000</v>
      </c>
      <c r="C199" s="824">
        <f t="shared" si="42"/>
        <v>2377.375</v>
      </c>
      <c r="D199" s="803">
        <f t="shared" si="38"/>
        <v>-62622.625</v>
      </c>
      <c r="E199" s="810">
        <f t="shared" si="39"/>
        <v>14524.630737500005</v>
      </c>
      <c r="F199" s="848">
        <f t="shared" si="36"/>
        <v>-65000</v>
      </c>
      <c r="G199" s="824">
        <f t="shared" si="40"/>
        <v>-2377.375</v>
      </c>
      <c r="H199" s="811">
        <f t="shared" si="37"/>
        <v>14524.630737500005</v>
      </c>
      <c r="I199" s="840">
        <f t="shared" si="45"/>
        <v>-231.5625</v>
      </c>
      <c r="J199" s="803">
        <f t="shared" si="41"/>
        <v>-39064.999999999971</v>
      </c>
      <c r="K199" s="803">
        <f t="shared" si="44"/>
        <v>-25934.999999999985</v>
      </c>
    </row>
    <row r="200" spans="1:11">
      <c r="A200" s="831">
        <v>41547</v>
      </c>
      <c r="B200" s="824">
        <v>-65000</v>
      </c>
      <c r="C200" s="824">
        <f t="shared" si="42"/>
        <v>2490.5833333333335</v>
      </c>
      <c r="D200" s="803">
        <f t="shared" si="38"/>
        <v>-62509.416666666664</v>
      </c>
      <c r="E200" s="810">
        <f t="shared" si="39"/>
        <v>14571.487152083337</v>
      </c>
      <c r="F200" s="848">
        <f t="shared" si="36"/>
        <v>-65000</v>
      </c>
      <c r="G200" s="824">
        <f t="shared" si="40"/>
        <v>-2490.5833333333335</v>
      </c>
      <c r="H200" s="811">
        <f t="shared" si="37"/>
        <v>14571.487152083337</v>
      </c>
      <c r="I200" s="840">
        <f t="shared" si="45"/>
        <v>-231.5625</v>
      </c>
      <c r="J200" s="803">
        <f t="shared" si="41"/>
        <v>-39296.562499999971</v>
      </c>
      <c r="K200" s="803">
        <f t="shared" si="44"/>
        <v>-25703.437499999985</v>
      </c>
    </row>
    <row r="201" spans="1:11">
      <c r="A201" s="831">
        <v>41578</v>
      </c>
      <c r="B201" s="824">
        <v>-65000</v>
      </c>
      <c r="C201" s="824">
        <f t="shared" si="42"/>
        <v>2603.791666666667</v>
      </c>
      <c r="D201" s="803">
        <f t="shared" si="38"/>
        <v>-62396.208333333336</v>
      </c>
      <c r="E201" s="810">
        <f t="shared" si="39"/>
        <v>14618.343566666672</v>
      </c>
      <c r="F201" s="848">
        <f t="shared" si="36"/>
        <v>-65000</v>
      </c>
      <c r="G201" s="824">
        <f t="shared" si="40"/>
        <v>-2603.791666666667</v>
      </c>
      <c r="H201" s="811">
        <f t="shared" si="37"/>
        <v>14618.343566666672</v>
      </c>
      <c r="I201" s="840">
        <f t="shared" si="45"/>
        <v>-231.5625</v>
      </c>
      <c r="J201" s="803">
        <f t="shared" si="41"/>
        <v>-39528.124999999971</v>
      </c>
      <c r="K201" s="803">
        <f t="shared" si="44"/>
        <v>-25471.874999999985</v>
      </c>
    </row>
    <row r="202" spans="1:11">
      <c r="A202" s="831">
        <v>41608</v>
      </c>
      <c r="B202" s="824">
        <v>-65000</v>
      </c>
      <c r="C202" s="824">
        <f t="shared" si="42"/>
        <v>2717.0000000000005</v>
      </c>
      <c r="D202" s="803">
        <f t="shared" si="38"/>
        <v>-62283</v>
      </c>
      <c r="E202" s="810">
        <f t="shared" si="39"/>
        <v>14665.199981250005</v>
      </c>
      <c r="F202" s="848">
        <f t="shared" si="36"/>
        <v>-65000</v>
      </c>
      <c r="G202" s="824">
        <f t="shared" si="40"/>
        <v>-2717.0000000000005</v>
      </c>
      <c r="H202" s="811">
        <f t="shared" si="37"/>
        <v>14665.199981250005</v>
      </c>
      <c r="I202" s="840">
        <f t="shared" si="45"/>
        <v>-231.5625</v>
      </c>
      <c r="J202" s="803">
        <f t="shared" si="41"/>
        <v>-39759.687499999971</v>
      </c>
      <c r="K202" s="803">
        <f t="shared" si="44"/>
        <v>-25240.312499999985</v>
      </c>
    </row>
    <row r="203" spans="1:11">
      <c r="A203" s="831">
        <v>41639</v>
      </c>
      <c r="B203" s="824">
        <v>-65000</v>
      </c>
      <c r="C203" s="824">
        <f t="shared" si="42"/>
        <v>2830.2083333333339</v>
      </c>
      <c r="D203" s="803">
        <f t="shared" si="38"/>
        <v>-62169.791666666664</v>
      </c>
      <c r="E203" s="810">
        <f t="shared" si="39"/>
        <v>14712.056395833337</v>
      </c>
      <c r="F203" s="848">
        <f t="shared" si="36"/>
        <v>-65000</v>
      </c>
      <c r="G203" s="824">
        <f t="shared" si="40"/>
        <v>-2830.2083333333339</v>
      </c>
      <c r="H203" s="811">
        <f t="shared" si="37"/>
        <v>14712.056395833337</v>
      </c>
      <c r="I203" s="840">
        <f t="shared" si="45"/>
        <v>-231.5625</v>
      </c>
      <c r="J203" s="803">
        <f t="shared" si="41"/>
        <v>-39991.249999999971</v>
      </c>
      <c r="K203" s="803">
        <f t="shared" si="44"/>
        <v>-25008.749999999985</v>
      </c>
    </row>
    <row r="204" spans="1:11">
      <c r="A204" s="831">
        <v>41670</v>
      </c>
      <c r="B204" s="824">
        <v>-65000</v>
      </c>
      <c r="C204" s="824">
        <f t="shared" si="42"/>
        <v>2943.4166666666674</v>
      </c>
      <c r="D204" s="803">
        <f t="shared" si="38"/>
        <v>-62056.583333333336</v>
      </c>
      <c r="E204" s="810">
        <f t="shared" si="39"/>
        <v>14758.912810416672</v>
      </c>
      <c r="F204" s="848">
        <f t="shared" si="36"/>
        <v>-65000</v>
      </c>
      <c r="G204" s="824">
        <f t="shared" si="40"/>
        <v>-2943.4166666666674</v>
      </c>
      <c r="H204" s="811">
        <f t="shared" si="37"/>
        <v>14758.912810416672</v>
      </c>
      <c r="I204" s="840">
        <f t="shared" si="45"/>
        <v>-231.5625</v>
      </c>
      <c r="J204" s="803">
        <f t="shared" si="41"/>
        <v>-40222.812499999971</v>
      </c>
      <c r="K204" s="803">
        <f t="shared" si="44"/>
        <v>-24777.187499999985</v>
      </c>
    </row>
    <row r="205" spans="1:11">
      <c r="A205" s="831">
        <v>41698</v>
      </c>
      <c r="B205" s="824">
        <v>-65000</v>
      </c>
      <c r="C205" s="824">
        <f t="shared" si="42"/>
        <v>3056.6250000000009</v>
      </c>
      <c r="D205" s="803">
        <f t="shared" si="38"/>
        <v>-61943.375</v>
      </c>
      <c r="E205" s="810">
        <f t="shared" si="39"/>
        <v>14805.769225000005</v>
      </c>
      <c r="F205" s="848">
        <f t="shared" si="36"/>
        <v>-65000</v>
      </c>
      <c r="G205" s="824">
        <f t="shared" si="40"/>
        <v>-3056.6250000000009</v>
      </c>
      <c r="H205" s="811">
        <f t="shared" si="37"/>
        <v>14805.769225000005</v>
      </c>
      <c r="I205" s="840">
        <f t="shared" si="45"/>
        <v>-231.5625</v>
      </c>
      <c r="J205" s="803">
        <f t="shared" si="41"/>
        <v>-40454.374999999971</v>
      </c>
      <c r="K205" s="803">
        <f t="shared" si="44"/>
        <v>-24545.624999999985</v>
      </c>
    </row>
    <row r="206" spans="1:11">
      <c r="A206" s="831">
        <v>41729</v>
      </c>
      <c r="B206" s="824">
        <v>-65000</v>
      </c>
      <c r="C206" s="824">
        <f t="shared" si="42"/>
        <v>3169.8333333333344</v>
      </c>
      <c r="D206" s="803">
        <f t="shared" si="38"/>
        <v>-61830.166666666664</v>
      </c>
      <c r="E206" s="810">
        <f t="shared" si="39"/>
        <v>14852.625639583337</v>
      </c>
      <c r="F206" s="848">
        <f t="shared" si="36"/>
        <v>-65000</v>
      </c>
      <c r="G206" s="824">
        <f t="shared" si="40"/>
        <v>-3169.8333333333344</v>
      </c>
      <c r="H206" s="811">
        <f t="shared" si="37"/>
        <v>14852.625639583337</v>
      </c>
      <c r="I206" s="840">
        <f t="shared" si="45"/>
        <v>-231.5625</v>
      </c>
      <c r="J206" s="803">
        <f t="shared" si="41"/>
        <v>-40685.937499999971</v>
      </c>
      <c r="K206" s="803">
        <f t="shared" si="44"/>
        <v>-24314.062499999985</v>
      </c>
    </row>
    <row r="207" spans="1:11">
      <c r="A207" s="831">
        <v>41759</v>
      </c>
      <c r="B207" s="824">
        <v>-65000</v>
      </c>
      <c r="C207" s="824">
        <f t="shared" si="42"/>
        <v>3283.0416666666679</v>
      </c>
      <c r="D207" s="803">
        <f t="shared" si="38"/>
        <v>-61716.958333333328</v>
      </c>
      <c r="E207" s="810">
        <f t="shared" si="39"/>
        <v>14899.48205416667</v>
      </c>
      <c r="F207" s="848">
        <f t="shared" si="36"/>
        <v>-65000</v>
      </c>
      <c r="G207" s="824">
        <f t="shared" si="40"/>
        <v>-3283.0416666666679</v>
      </c>
      <c r="H207" s="811">
        <f t="shared" si="37"/>
        <v>14899.48205416667</v>
      </c>
      <c r="I207" s="840">
        <f t="shared" si="45"/>
        <v>-231.5625</v>
      </c>
      <c r="J207" s="803">
        <f t="shared" si="41"/>
        <v>-40917.499999999971</v>
      </c>
      <c r="K207" s="803">
        <f t="shared" si="44"/>
        <v>-24082.499999999985</v>
      </c>
    </row>
    <row r="208" spans="1:11">
      <c r="A208" s="831">
        <v>41790</v>
      </c>
      <c r="B208" s="824">
        <v>-65000</v>
      </c>
      <c r="C208" s="824">
        <f t="shared" si="42"/>
        <v>3396.2500000000014</v>
      </c>
      <c r="D208" s="803">
        <f t="shared" si="38"/>
        <v>-61603.75</v>
      </c>
      <c r="E208" s="810">
        <f t="shared" si="39"/>
        <v>14946.338468750006</v>
      </c>
      <c r="F208" s="848">
        <f t="shared" si="36"/>
        <v>-65000</v>
      </c>
      <c r="G208" s="824">
        <f t="shared" si="40"/>
        <v>-3396.2500000000014</v>
      </c>
      <c r="H208" s="811">
        <f t="shared" si="37"/>
        <v>14946.338468750006</v>
      </c>
      <c r="I208" s="840">
        <f t="shared" si="45"/>
        <v>-231.5625</v>
      </c>
      <c r="J208" s="803">
        <f t="shared" si="41"/>
        <v>-41149.062499999971</v>
      </c>
      <c r="K208" s="803">
        <f t="shared" si="44"/>
        <v>-23850.937499999985</v>
      </c>
    </row>
    <row r="209" spans="1:11">
      <c r="A209" s="831">
        <v>41820</v>
      </c>
      <c r="B209" s="824">
        <v>-65000</v>
      </c>
      <c r="C209" s="824">
        <f t="shared" si="42"/>
        <v>3509.4583333333348</v>
      </c>
      <c r="D209" s="803">
        <f t="shared" si="38"/>
        <v>-61490.541666666664</v>
      </c>
      <c r="E209" s="810">
        <f t="shared" si="39"/>
        <v>14993.194883333337</v>
      </c>
      <c r="F209" s="848">
        <f t="shared" si="36"/>
        <v>-65000</v>
      </c>
      <c r="G209" s="824">
        <f t="shared" si="40"/>
        <v>-3509.4583333333348</v>
      </c>
      <c r="H209" s="811">
        <f t="shared" si="37"/>
        <v>14993.194883333337</v>
      </c>
      <c r="I209" s="840">
        <f t="shared" si="45"/>
        <v>-231.5625</v>
      </c>
      <c r="J209" s="803">
        <f t="shared" si="41"/>
        <v>-41380.624999999971</v>
      </c>
      <c r="K209" s="803">
        <f t="shared" si="44"/>
        <v>-23619.374999999985</v>
      </c>
    </row>
    <row r="210" spans="1:11">
      <c r="A210" s="831">
        <v>41851</v>
      </c>
      <c r="B210" s="824">
        <v>-65000</v>
      </c>
      <c r="C210" s="824">
        <f t="shared" si="42"/>
        <v>3622.6666666666683</v>
      </c>
      <c r="D210" s="803">
        <f t="shared" si="38"/>
        <v>-61377.333333333328</v>
      </c>
      <c r="E210" s="810">
        <f t="shared" si="39"/>
        <v>15040.051297916669</v>
      </c>
      <c r="F210" s="848">
        <f t="shared" si="36"/>
        <v>-65000</v>
      </c>
      <c r="G210" s="824">
        <f t="shared" si="40"/>
        <v>-3622.6666666666683</v>
      </c>
      <c r="H210" s="811">
        <f t="shared" si="37"/>
        <v>15040.051297916669</v>
      </c>
      <c r="I210" s="840">
        <f t="shared" si="45"/>
        <v>-231.5625</v>
      </c>
      <c r="J210" s="803">
        <f t="shared" si="41"/>
        <v>-41612.187499999971</v>
      </c>
      <c r="K210" s="803">
        <f t="shared" si="44"/>
        <v>-23387.812499999985</v>
      </c>
    </row>
    <row r="211" spans="1:11">
      <c r="A211" s="831">
        <v>41882</v>
      </c>
      <c r="B211" s="824">
        <v>-65000</v>
      </c>
      <c r="C211" s="824">
        <f t="shared" si="42"/>
        <v>3735.8750000000018</v>
      </c>
      <c r="D211" s="803">
        <f t="shared" si="38"/>
        <v>-61264.125</v>
      </c>
      <c r="E211" s="810">
        <f t="shared" si="39"/>
        <v>15086.907712500004</v>
      </c>
      <c r="F211" s="848">
        <f t="shared" si="36"/>
        <v>-65000</v>
      </c>
      <c r="G211" s="824">
        <f t="shared" si="40"/>
        <v>-3735.8750000000018</v>
      </c>
      <c r="H211" s="811">
        <f t="shared" si="37"/>
        <v>15086.907712500004</v>
      </c>
      <c r="I211" s="840">
        <f t="shared" si="45"/>
        <v>-231.5625</v>
      </c>
      <c r="J211" s="803">
        <f t="shared" si="41"/>
        <v>-41843.749999999971</v>
      </c>
      <c r="K211" s="803">
        <f t="shared" si="44"/>
        <v>-23156.249999999985</v>
      </c>
    </row>
    <row r="212" spans="1:11">
      <c r="A212" s="831">
        <v>41912</v>
      </c>
      <c r="B212" s="824">
        <v>-65000</v>
      </c>
      <c r="C212" s="824">
        <f t="shared" si="42"/>
        <v>3849.0833333333353</v>
      </c>
      <c r="D212" s="803">
        <f t="shared" si="38"/>
        <v>-61150.916666666664</v>
      </c>
      <c r="E212" s="810">
        <f t="shared" si="39"/>
        <v>15133.764127083337</v>
      </c>
      <c r="F212" s="848">
        <f t="shared" si="36"/>
        <v>-65000</v>
      </c>
      <c r="G212" s="824">
        <f t="shared" si="40"/>
        <v>-3849.0833333333353</v>
      </c>
      <c r="H212" s="811">
        <f t="shared" si="37"/>
        <v>15133.764127083337</v>
      </c>
      <c r="I212" s="840">
        <f t="shared" si="45"/>
        <v>-231.5625</v>
      </c>
      <c r="J212" s="803">
        <f t="shared" si="41"/>
        <v>-42075.312499999971</v>
      </c>
      <c r="K212" s="803">
        <f t="shared" si="44"/>
        <v>-22924.687499999985</v>
      </c>
    </row>
    <row r="213" spans="1:11">
      <c r="A213" s="831">
        <v>41943</v>
      </c>
      <c r="B213" s="824">
        <v>-65000</v>
      </c>
      <c r="C213" s="824">
        <f t="shared" si="42"/>
        <v>3962.2916666666688</v>
      </c>
      <c r="D213" s="803">
        <f t="shared" si="38"/>
        <v>-61037.708333333328</v>
      </c>
      <c r="E213" s="810">
        <f t="shared" si="39"/>
        <v>15180.620541666669</v>
      </c>
      <c r="F213" s="848">
        <f t="shared" si="36"/>
        <v>-65000</v>
      </c>
      <c r="G213" s="824">
        <f t="shared" si="40"/>
        <v>-3962.2916666666688</v>
      </c>
      <c r="H213" s="811">
        <f t="shared" si="37"/>
        <v>15180.620541666669</v>
      </c>
      <c r="I213" s="840">
        <f t="shared" si="45"/>
        <v>-231.5625</v>
      </c>
      <c r="J213" s="803">
        <f t="shared" si="41"/>
        <v>-42306.874999999971</v>
      </c>
      <c r="K213" s="803">
        <f t="shared" si="44"/>
        <v>-22693.124999999985</v>
      </c>
    </row>
    <row r="214" spans="1:11" ht="15.6" customHeight="1">
      <c r="A214" s="831">
        <v>41973</v>
      </c>
      <c r="B214" s="824">
        <v>-65000</v>
      </c>
      <c r="C214" s="824">
        <f t="shared" si="42"/>
        <v>4075.5000000000023</v>
      </c>
      <c r="D214" s="803">
        <f t="shared" si="38"/>
        <v>-60924.5</v>
      </c>
      <c r="E214" s="810">
        <f t="shared" si="39"/>
        <v>15227.476956250004</v>
      </c>
      <c r="F214" s="848">
        <f t="shared" si="36"/>
        <v>-65000</v>
      </c>
      <c r="G214" s="824">
        <f t="shared" si="40"/>
        <v>-4075.5000000000023</v>
      </c>
      <c r="H214" s="811">
        <f t="shared" si="37"/>
        <v>15227.476956250004</v>
      </c>
      <c r="I214" s="840">
        <f t="shared" si="45"/>
        <v>-231.5625</v>
      </c>
      <c r="J214" s="803">
        <f t="shared" si="41"/>
        <v>-42538.437499999971</v>
      </c>
      <c r="K214" s="803">
        <f t="shared" si="44"/>
        <v>-22461.562499999985</v>
      </c>
    </row>
    <row r="215" spans="1:11">
      <c r="A215" s="831">
        <v>42004</v>
      </c>
      <c r="B215" s="824">
        <v>-65000</v>
      </c>
      <c r="C215" s="824">
        <f t="shared" si="42"/>
        <v>4188.7083333333358</v>
      </c>
      <c r="D215" s="803">
        <f t="shared" si="38"/>
        <v>-60811.291666666664</v>
      </c>
      <c r="E215" s="810">
        <f t="shared" si="39"/>
        <v>15274.333370833338</v>
      </c>
      <c r="F215" s="848">
        <f t="shared" si="36"/>
        <v>-65000</v>
      </c>
      <c r="G215" s="824">
        <f t="shared" si="40"/>
        <v>-4188.7083333333358</v>
      </c>
      <c r="H215" s="811">
        <f t="shared" si="37"/>
        <v>15274.333370833338</v>
      </c>
      <c r="I215" s="840">
        <f t="shared" si="45"/>
        <v>-231.5625</v>
      </c>
      <c r="J215" s="803">
        <f t="shared" si="41"/>
        <v>-42769.999999999971</v>
      </c>
      <c r="K215" s="803">
        <f t="shared" si="44"/>
        <v>-22229.999999999985</v>
      </c>
    </row>
    <row r="216" spans="1:11">
      <c r="A216" s="831">
        <v>42035</v>
      </c>
      <c r="B216" s="824">
        <v>-65000</v>
      </c>
      <c r="C216" s="824">
        <f t="shared" si="42"/>
        <v>4301.9166666666688</v>
      </c>
      <c r="D216" s="803">
        <f t="shared" si="38"/>
        <v>-60698.083333333328</v>
      </c>
      <c r="E216" s="810">
        <f t="shared" si="39"/>
        <v>15321.189785416669</v>
      </c>
      <c r="F216" s="848">
        <f t="shared" si="36"/>
        <v>-65000</v>
      </c>
      <c r="G216" s="824">
        <f t="shared" si="40"/>
        <v>-4301.9166666666688</v>
      </c>
      <c r="H216" s="811">
        <f t="shared" si="37"/>
        <v>15321.189785416669</v>
      </c>
      <c r="I216" s="840">
        <f t="shared" si="45"/>
        <v>-231.5625</v>
      </c>
      <c r="J216" s="803">
        <f t="shared" si="41"/>
        <v>-43001.562499999971</v>
      </c>
      <c r="K216" s="803">
        <f t="shared" si="44"/>
        <v>-21998.437499999985</v>
      </c>
    </row>
    <row r="217" spans="1:11">
      <c r="A217" s="831">
        <v>42063</v>
      </c>
      <c r="B217" s="824">
        <v>-65000</v>
      </c>
      <c r="C217" s="824">
        <f t="shared" si="42"/>
        <v>4415.1250000000018</v>
      </c>
      <c r="D217" s="803">
        <f t="shared" si="38"/>
        <v>-60584.875</v>
      </c>
      <c r="E217" s="810">
        <f t="shared" si="39"/>
        <v>15368.046200000004</v>
      </c>
      <c r="F217" s="848">
        <f t="shared" si="36"/>
        <v>-65000</v>
      </c>
      <c r="G217" s="824">
        <f t="shared" si="40"/>
        <v>-4415.1250000000018</v>
      </c>
      <c r="H217" s="811">
        <f t="shared" si="37"/>
        <v>15368.046200000004</v>
      </c>
      <c r="I217" s="840">
        <f t="shared" si="45"/>
        <v>-231.5625</v>
      </c>
      <c r="J217" s="803">
        <f t="shared" si="41"/>
        <v>-43233.124999999971</v>
      </c>
      <c r="K217" s="803">
        <f t="shared" si="44"/>
        <v>-21766.874999999985</v>
      </c>
    </row>
    <row r="218" spans="1:11">
      <c r="A218" s="831">
        <v>42094</v>
      </c>
      <c r="B218" s="824">
        <v>-65000</v>
      </c>
      <c r="C218" s="824">
        <f t="shared" si="42"/>
        <v>4528.3333333333348</v>
      </c>
      <c r="D218" s="803">
        <f t="shared" si="38"/>
        <v>-60471.666666666664</v>
      </c>
      <c r="E218" s="810">
        <f t="shared" si="39"/>
        <v>15414.902614583338</v>
      </c>
      <c r="F218" s="848">
        <f t="shared" si="36"/>
        <v>-65000</v>
      </c>
      <c r="G218" s="824">
        <f t="shared" si="40"/>
        <v>-4528.3333333333348</v>
      </c>
      <c r="H218" s="811">
        <f t="shared" si="37"/>
        <v>15414.902614583338</v>
      </c>
      <c r="I218" s="840">
        <f t="shared" si="45"/>
        <v>-231.5625</v>
      </c>
      <c r="J218" s="803">
        <f t="shared" si="41"/>
        <v>-43464.687499999971</v>
      </c>
      <c r="K218" s="803">
        <f t="shared" si="44"/>
        <v>-21535.312499999985</v>
      </c>
    </row>
    <row r="219" spans="1:11">
      <c r="A219" s="831">
        <v>42124</v>
      </c>
      <c r="B219" s="824">
        <v>-65000</v>
      </c>
      <c r="C219" s="824">
        <f t="shared" si="42"/>
        <v>4641.5416666666679</v>
      </c>
      <c r="D219" s="803">
        <f t="shared" si="38"/>
        <v>-60358.458333333328</v>
      </c>
      <c r="E219" s="810">
        <f t="shared" si="39"/>
        <v>15461.759029166669</v>
      </c>
      <c r="F219" s="848">
        <f t="shared" si="36"/>
        <v>-65000</v>
      </c>
      <c r="G219" s="824">
        <f t="shared" si="40"/>
        <v>-4641.5416666666679</v>
      </c>
      <c r="H219" s="811">
        <f t="shared" si="37"/>
        <v>15461.759029166669</v>
      </c>
      <c r="I219" s="840">
        <f t="shared" si="45"/>
        <v>-231.5625</v>
      </c>
      <c r="J219" s="803">
        <f t="shared" si="41"/>
        <v>-43696.249999999971</v>
      </c>
      <c r="K219" s="803">
        <f t="shared" si="44"/>
        <v>-21303.749999999985</v>
      </c>
    </row>
    <row r="220" spans="1:11">
      <c r="A220" s="831">
        <v>42155</v>
      </c>
      <c r="B220" s="824">
        <v>-65000</v>
      </c>
      <c r="C220" s="824">
        <f t="shared" si="42"/>
        <v>4754.7500000000009</v>
      </c>
      <c r="D220" s="803">
        <f t="shared" si="38"/>
        <v>-60245.25</v>
      </c>
      <c r="E220" s="810">
        <f t="shared" si="39"/>
        <v>15508.615443750004</v>
      </c>
      <c r="F220" s="848">
        <f>B220</f>
        <v>-65000</v>
      </c>
      <c r="G220" s="824">
        <f t="shared" si="40"/>
        <v>-4754.7500000000009</v>
      </c>
      <c r="H220" s="811">
        <f t="shared" si="37"/>
        <v>15508.615443750004</v>
      </c>
      <c r="I220" s="840">
        <f t="shared" si="45"/>
        <v>-231.5625</v>
      </c>
      <c r="J220" s="803">
        <f t="shared" si="41"/>
        <v>-43927.812499999971</v>
      </c>
      <c r="K220" s="803">
        <f t="shared" si="44"/>
        <v>-21072.187499999985</v>
      </c>
    </row>
    <row r="221" spans="1:11">
      <c r="A221" s="831">
        <v>42185</v>
      </c>
      <c r="B221" s="824">
        <v>-65000</v>
      </c>
      <c r="C221" s="824">
        <f t="shared" si="42"/>
        <v>4867.9583333333339</v>
      </c>
      <c r="D221" s="803">
        <f t="shared" si="38"/>
        <v>-60132.041666666664</v>
      </c>
      <c r="E221" s="810">
        <f t="shared" si="39"/>
        <v>15555.471858333338</v>
      </c>
      <c r="F221" s="848">
        <f t="shared" si="36"/>
        <v>-65000</v>
      </c>
      <c r="G221" s="824">
        <f t="shared" si="40"/>
        <v>-4867.9583333333339</v>
      </c>
      <c r="H221" s="811">
        <f t="shared" si="37"/>
        <v>15555.471858333338</v>
      </c>
      <c r="I221" s="840">
        <f t="shared" si="45"/>
        <v>-231.5625</v>
      </c>
      <c r="J221" s="803">
        <f t="shared" si="41"/>
        <v>-44159.374999999971</v>
      </c>
      <c r="K221" s="803">
        <f t="shared" si="44"/>
        <v>-20840.624999999985</v>
      </c>
    </row>
    <row r="222" spans="1:11">
      <c r="A222" s="831">
        <v>42216</v>
      </c>
      <c r="B222" s="824">
        <v>-65000</v>
      </c>
      <c r="C222" s="824">
        <f t="shared" si="42"/>
        <v>4981.166666666667</v>
      </c>
      <c r="D222" s="803">
        <f t="shared" si="38"/>
        <v>-60018.833333333336</v>
      </c>
      <c r="E222" s="810">
        <f t="shared" si="39"/>
        <v>15602.328272916673</v>
      </c>
      <c r="F222" s="848">
        <f t="shared" si="36"/>
        <v>-65000</v>
      </c>
      <c r="G222" s="824">
        <f t="shared" si="40"/>
        <v>-4981.166666666667</v>
      </c>
      <c r="H222" s="811">
        <f t="shared" si="37"/>
        <v>15602.328272916673</v>
      </c>
      <c r="I222" s="840">
        <f t="shared" si="45"/>
        <v>-231.5625</v>
      </c>
      <c r="J222" s="803">
        <f t="shared" si="41"/>
        <v>-44390.937499999971</v>
      </c>
      <c r="K222" s="803">
        <f t="shared" si="44"/>
        <v>-20609.062499999985</v>
      </c>
    </row>
    <row r="223" spans="1:11">
      <c r="A223" s="831">
        <v>42247</v>
      </c>
      <c r="B223" s="824">
        <v>-65000</v>
      </c>
      <c r="C223" s="824">
        <f t="shared" si="42"/>
        <v>5094.375</v>
      </c>
      <c r="D223" s="803">
        <f t="shared" si="38"/>
        <v>-59905.625</v>
      </c>
      <c r="E223" s="810">
        <f t="shared" si="39"/>
        <v>15649.184687500005</v>
      </c>
      <c r="F223" s="848">
        <f t="shared" si="36"/>
        <v>-65000</v>
      </c>
      <c r="G223" s="824">
        <f t="shared" si="40"/>
        <v>-5094.375</v>
      </c>
      <c r="H223" s="811">
        <f t="shared" si="37"/>
        <v>15649.184687500005</v>
      </c>
      <c r="I223" s="840">
        <f t="shared" si="45"/>
        <v>-231.5625</v>
      </c>
      <c r="J223" s="803">
        <f t="shared" si="41"/>
        <v>-44622.499999999971</v>
      </c>
      <c r="K223" s="803">
        <f t="shared" si="44"/>
        <v>-20377.499999999985</v>
      </c>
    </row>
    <row r="224" spans="1:11">
      <c r="A224" s="831">
        <v>42277</v>
      </c>
      <c r="B224" s="824">
        <v>-65000</v>
      </c>
      <c r="C224" s="824">
        <f t="shared" si="42"/>
        <v>5207.583333333333</v>
      </c>
      <c r="D224" s="803">
        <f t="shared" si="38"/>
        <v>-59792.416666666664</v>
      </c>
      <c r="E224" s="810">
        <f t="shared" si="39"/>
        <v>15696.041102083336</v>
      </c>
      <c r="F224" s="848">
        <f t="shared" si="36"/>
        <v>-65000</v>
      </c>
      <c r="G224" s="824">
        <f t="shared" si="40"/>
        <v>-5207.583333333333</v>
      </c>
      <c r="H224" s="811">
        <f t="shared" si="37"/>
        <v>15696.041102083336</v>
      </c>
      <c r="I224" s="840">
        <f t="shared" si="45"/>
        <v>-231.5625</v>
      </c>
      <c r="J224" s="803">
        <f t="shared" si="41"/>
        <v>-44854.062499999971</v>
      </c>
      <c r="K224" s="803">
        <f t="shared" si="44"/>
        <v>-20145.937499999985</v>
      </c>
    </row>
    <row r="225" spans="1:11">
      <c r="A225" s="831">
        <v>42308</v>
      </c>
      <c r="B225" s="824">
        <v>-65000</v>
      </c>
      <c r="C225" s="824">
        <f t="shared" si="42"/>
        <v>5320.7916666666661</v>
      </c>
      <c r="D225" s="803">
        <f t="shared" si="38"/>
        <v>-59679.208333333336</v>
      </c>
      <c r="E225" s="810">
        <f t="shared" si="39"/>
        <v>15742.897516666673</v>
      </c>
      <c r="F225" s="848">
        <f t="shared" si="36"/>
        <v>-65000</v>
      </c>
      <c r="G225" s="824">
        <f t="shared" si="40"/>
        <v>-5320.7916666666661</v>
      </c>
      <c r="H225" s="811">
        <f t="shared" si="37"/>
        <v>15742.897516666673</v>
      </c>
      <c r="I225" s="840">
        <f t="shared" si="45"/>
        <v>-231.5625</v>
      </c>
      <c r="J225" s="803">
        <f t="shared" si="41"/>
        <v>-45085.624999999971</v>
      </c>
      <c r="K225" s="803">
        <f t="shared" si="44"/>
        <v>-19914.374999999985</v>
      </c>
    </row>
    <row r="226" spans="1:11">
      <c r="A226" s="831">
        <v>42338</v>
      </c>
      <c r="B226" s="824">
        <v>-65000</v>
      </c>
      <c r="C226" s="824">
        <f t="shared" si="42"/>
        <v>5433.9999999999991</v>
      </c>
      <c r="D226" s="803">
        <f t="shared" si="38"/>
        <v>-59566</v>
      </c>
      <c r="E226" s="810">
        <f t="shared" si="39"/>
        <v>15789.753931250005</v>
      </c>
      <c r="F226" s="848">
        <f t="shared" si="36"/>
        <v>-65000</v>
      </c>
      <c r="G226" s="824">
        <f t="shared" si="40"/>
        <v>-5433.9999999999991</v>
      </c>
      <c r="H226" s="811">
        <f t="shared" si="37"/>
        <v>15789.753931250005</v>
      </c>
      <c r="I226" s="840">
        <f t="shared" si="45"/>
        <v>-231.5625</v>
      </c>
      <c r="J226" s="803">
        <f t="shared" si="41"/>
        <v>-45317.187499999971</v>
      </c>
      <c r="K226" s="803">
        <f t="shared" si="44"/>
        <v>-19682.812499999985</v>
      </c>
    </row>
    <row r="227" spans="1:11">
      <c r="A227" s="831">
        <v>42369</v>
      </c>
      <c r="B227" s="824">
        <v>-65000</v>
      </c>
      <c r="C227" s="824">
        <f t="shared" si="42"/>
        <v>5547.2083333333321</v>
      </c>
      <c r="D227" s="803">
        <f t="shared" si="38"/>
        <v>-59452.791666666672</v>
      </c>
      <c r="E227" s="810">
        <f t="shared" si="39"/>
        <v>15836.61034583334</v>
      </c>
      <c r="F227" s="848">
        <f t="shared" si="36"/>
        <v>-65000</v>
      </c>
      <c r="G227" s="824">
        <f t="shared" si="40"/>
        <v>-5547.2083333333321</v>
      </c>
      <c r="H227" s="811">
        <f t="shared" si="37"/>
        <v>15836.61034583334</v>
      </c>
      <c r="I227" s="840">
        <f t="shared" si="45"/>
        <v>-231.5625</v>
      </c>
      <c r="J227" s="803">
        <f t="shared" si="41"/>
        <v>-45548.749999999971</v>
      </c>
      <c r="K227" s="803">
        <f t="shared" si="44"/>
        <v>-19451.249999999985</v>
      </c>
    </row>
    <row r="228" spans="1:11">
      <c r="A228" s="831">
        <v>42400</v>
      </c>
      <c r="B228" s="824">
        <v>-65000</v>
      </c>
      <c r="C228" s="824">
        <f t="shared" si="42"/>
        <v>5660.4166666666652</v>
      </c>
      <c r="D228" s="803">
        <f t="shared" si="38"/>
        <v>-59339.583333333336</v>
      </c>
      <c r="E228" s="810">
        <f t="shared" si="39"/>
        <v>15883.466760416672</v>
      </c>
      <c r="F228" s="841">
        <f t="shared" si="36"/>
        <v>-65000</v>
      </c>
      <c r="G228" s="842">
        <f t="shared" si="40"/>
        <v>-5660.4166666666652</v>
      </c>
      <c r="H228" s="843">
        <f t="shared" si="37"/>
        <v>15883.466760416672</v>
      </c>
      <c r="I228" s="840">
        <f t="shared" si="45"/>
        <v>-231.5625</v>
      </c>
      <c r="J228" s="803">
        <f t="shared" si="41"/>
        <v>-45780.312499999971</v>
      </c>
      <c r="K228" s="803">
        <f t="shared" si="44"/>
        <v>-19219.687499999985</v>
      </c>
    </row>
    <row r="229" spans="1:11">
      <c r="A229" s="831">
        <v>42429</v>
      </c>
      <c r="B229" s="824">
        <v>-65000</v>
      </c>
      <c r="C229" s="824">
        <f t="shared" si="42"/>
        <v>5773.6249999999982</v>
      </c>
      <c r="D229" s="803">
        <f t="shared" si="38"/>
        <v>-59226.375</v>
      </c>
      <c r="E229" s="810">
        <f t="shared" si="39"/>
        <v>15930.323175000005</v>
      </c>
      <c r="F229" s="841">
        <f t="shared" si="36"/>
        <v>-65000</v>
      </c>
      <c r="G229" s="842">
        <f t="shared" si="40"/>
        <v>-5773.6249999999982</v>
      </c>
      <c r="H229" s="843">
        <f t="shared" si="37"/>
        <v>15930.323175000005</v>
      </c>
      <c r="I229" s="840">
        <f t="shared" si="45"/>
        <v>-231.5625</v>
      </c>
      <c r="J229" s="803">
        <f t="shared" si="41"/>
        <v>-46011.874999999971</v>
      </c>
      <c r="K229" s="803">
        <f t="shared" si="44"/>
        <v>-18988.124999999985</v>
      </c>
    </row>
    <row r="230" spans="1:11">
      <c r="A230" s="831">
        <v>42460</v>
      </c>
      <c r="B230" s="824">
        <v>-65000</v>
      </c>
      <c r="C230" s="824">
        <f t="shared" si="42"/>
        <v>5886.8333333333312</v>
      </c>
      <c r="D230" s="803">
        <f t="shared" si="38"/>
        <v>-59113.166666666672</v>
      </c>
      <c r="E230" s="810">
        <f t="shared" si="39"/>
        <v>15977.17958958334</v>
      </c>
      <c r="F230" s="841">
        <f t="shared" si="36"/>
        <v>-65000</v>
      </c>
      <c r="G230" s="842">
        <f t="shared" si="40"/>
        <v>-5886.8333333333312</v>
      </c>
      <c r="H230" s="843">
        <f t="shared" si="37"/>
        <v>15977.17958958334</v>
      </c>
      <c r="I230" s="840">
        <f t="shared" si="45"/>
        <v>-231.5625</v>
      </c>
      <c r="J230" s="803">
        <f t="shared" si="41"/>
        <v>-46243.437499999971</v>
      </c>
      <c r="K230" s="803">
        <f t="shared" si="44"/>
        <v>-18756.562499999985</v>
      </c>
    </row>
    <row r="231" spans="1:11">
      <c r="A231" s="831">
        <v>42490</v>
      </c>
      <c r="B231" s="824">
        <v>-65000</v>
      </c>
      <c r="C231" s="824">
        <f t="shared" si="42"/>
        <v>6000.0416666666642</v>
      </c>
      <c r="D231" s="803">
        <f t="shared" si="38"/>
        <v>-58999.958333333336</v>
      </c>
      <c r="E231" s="810">
        <f t="shared" si="39"/>
        <v>16024.036004166672</v>
      </c>
      <c r="F231" s="841">
        <f t="shared" si="36"/>
        <v>-65000</v>
      </c>
      <c r="G231" s="842">
        <f t="shared" si="40"/>
        <v>-6000.0416666666642</v>
      </c>
      <c r="H231" s="843">
        <f t="shared" si="37"/>
        <v>16024.036004166672</v>
      </c>
      <c r="I231" s="840">
        <f t="shared" si="45"/>
        <v>-231.5625</v>
      </c>
      <c r="J231" s="803">
        <f t="shared" si="41"/>
        <v>-46474.999999999971</v>
      </c>
      <c r="K231" s="803">
        <f t="shared" si="44"/>
        <v>-18524.999999999985</v>
      </c>
    </row>
    <row r="232" spans="1:11">
      <c r="A232" s="831">
        <v>42521</v>
      </c>
      <c r="B232" s="824">
        <v>-65000</v>
      </c>
      <c r="C232" s="824">
        <f t="shared" si="42"/>
        <v>6113.2499999999973</v>
      </c>
      <c r="D232" s="803">
        <f t="shared" si="38"/>
        <v>-58886.75</v>
      </c>
      <c r="E232" s="810">
        <f t="shared" si="39"/>
        <v>16070.892418750005</v>
      </c>
      <c r="F232" s="841">
        <f t="shared" si="36"/>
        <v>-65000</v>
      </c>
      <c r="G232" s="842">
        <f t="shared" si="40"/>
        <v>-6113.2499999999973</v>
      </c>
      <c r="H232" s="843">
        <f t="shared" si="37"/>
        <v>16070.892418750005</v>
      </c>
      <c r="I232" s="840">
        <f t="shared" si="45"/>
        <v>-231.5625</v>
      </c>
      <c r="J232" s="803">
        <f t="shared" si="41"/>
        <v>-46706.562499999971</v>
      </c>
      <c r="K232" s="803">
        <f t="shared" si="44"/>
        <v>-18293.437499999985</v>
      </c>
    </row>
    <row r="233" spans="1:11">
      <c r="A233" s="831">
        <v>42551</v>
      </c>
      <c r="B233" s="824">
        <v>-65000</v>
      </c>
      <c r="C233" s="824">
        <f t="shared" si="42"/>
        <v>6226.4583333333303</v>
      </c>
      <c r="D233" s="803">
        <f t="shared" si="38"/>
        <v>-58773.541666666672</v>
      </c>
      <c r="E233" s="810">
        <f t="shared" si="39"/>
        <v>16117.74883333334</v>
      </c>
      <c r="F233" s="841">
        <f t="shared" si="36"/>
        <v>-65000</v>
      </c>
      <c r="G233" s="842">
        <f t="shared" si="40"/>
        <v>-6226.4583333333303</v>
      </c>
      <c r="H233" s="843">
        <f t="shared" si="37"/>
        <v>16117.74883333334</v>
      </c>
      <c r="I233" s="840">
        <f t="shared" si="45"/>
        <v>-231.5625</v>
      </c>
      <c r="J233" s="803">
        <f t="shared" si="41"/>
        <v>-46938.124999999971</v>
      </c>
      <c r="K233" s="803">
        <f t="shared" si="44"/>
        <v>-18061.874999999985</v>
      </c>
    </row>
    <row r="234" spans="1:11">
      <c r="A234" s="831">
        <v>42582</v>
      </c>
      <c r="B234" s="824">
        <v>-65000</v>
      </c>
      <c r="C234" s="824">
        <f t="shared" si="42"/>
        <v>6339.6666666666633</v>
      </c>
      <c r="D234" s="803">
        <f t="shared" si="38"/>
        <v>-58660.333333333336</v>
      </c>
      <c r="E234" s="810">
        <f t="shared" si="39"/>
        <v>16164.605247916672</v>
      </c>
      <c r="F234" s="841">
        <f t="shared" si="36"/>
        <v>-65000</v>
      </c>
      <c r="G234" s="842">
        <f t="shared" si="40"/>
        <v>-6339.6666666666633</v>
      </c>
      <c r="H234" s="843">
        <f t="shared" si="37"/>
        <v>16164.605247916672</v>
      </c>
      <c r="I234" s="840">
        <f t="shared" si="45"/>
        <v>-231.5625</v>
      </c>
      <c r="J234" s="803">
        <f t="shared" si="41"/>
        <v>-47169.687499999971</v>
      </c>
      <c r="K234" s="803">
        <f t="shared" si="44"/>
        <v>-17830.312499999985</v>
      </c>
    </row>
    <row r="235" spans="1:11">
      <c r="A235" s="831">
        <v>42613</v>
      </c>
      <c r="B235" s="824">
        <v>-65000</v>
      </c>
      <c r="C235" s="824">
        <f t="shared" si="42"/>
        <v>6452.8749999999964</v>
      </c>
      <c r="D235" s="803">
        <f t="shared" si="38"/>
        <v>-58547.125</v>
      </c>
      <c r="E235" s="810">
        <f t="shared" si="39"/>
        <v>16211.461662500005</v>
      </c>
      <c r="F235" s="841">
        <f t="shared" si="36"/>
        <v>-65000</v>
      </c>
      <c r="G235" s="842">
        <f t="shared" si="40"/>
        <v>-6452.8749999999964</v>
      </c>
      <c r="H235" s="843">
        <f t="shared" si="37"/>
        <v>16211.461662500005</v>
      </c>
      <c r="I235" s="840">
        <f t="shared" si="45"/>
        <v>-231.5625</v>
      </c>
      <c r="J235" s="803">
        <f t="shared" si="41"/>
        <v>-47401.249999999971</v>
      </c>
      <c r="K235" s="803">
        <f t="shared" si="44"/>
        <v>-17598.749999999985</v>
      </c>
    </row>
    <row r="236" spans="1:11">
      <c r="A236" s="831">
        <v>42643</v>
      </c>
      <c r="B236" s="824">
        <v>-65000</v>
      </c>
      <c r="C236" s="824">
        <f t="shared" si="42"/>
        <v>6566.0833333333294</v>
      </c>
      <c r="D236" s="803">
        <f t="shared" si="38"/>
        <v>-58433.916666666672</v>
      </c>
      <c r="E236" s="810">
        <f t="shared" si="39"/>
        <v>16258.318077083341</v>
      </c>
      <c r="F236" s="841">
        <f t="shared" si="36"/>
        <v>-65000</v>
      </c>
      <c r="G236" s="842">
        <f t="shared" si="40"/>
        <v>-6566.0833333333294</v>
      </c>
      <c r="H236" s="843">
        <f t="shared" si="37"/>
        <v>16258.318077083341</v>
      </c>
      <c r="I236" s="840">
        <f t="shared" si="45"/>
        <v>-231.5625</v>
      </c>
      <c r="J236" s="803">
        <f t="shared" si="41"/>
        <v>-47632.812499999971</v>
      </c>
      <c r="K236" s="803">
        <f t="shared" si="44"/>
        <v>-17367.187499999985</v>
      </c>
    </row>
    <row r="237" spans="1:11">
      <c r="A237" s="831">
        <v>42674</v>
      </c>
      <c r="B237" s="824">
        <v>-65000</v>
      </c>
      <c r="C237" s="824">
        <f t="shared" si="42"/>
        <v>6679.2916666666624</v>
      </c>
      <c r="D237" s="803">
        <f t="shared" si="38"/>
        <v>-58320.708333333336</v>
      </c>
      <c r="E237" s="810">
        <f t="shared" si="39"/>
        <v>16305.174491666672</v>
      </c>
      <c r="F237" s="841">
        <f t="shared" si="36"/>
        <v>-65000</v>
      </c>
      <c r="G237" s="842">
        <f t="shared" si="40"/>
        <v>-6679.2916666666624</v>
      </c>
      <c r="H237" s="843">
        <f t="shared" si="37"/>
        <v>16305.174491666672</v>
      </c>
      <c r="I237" s="840">
        <f t="shared" si="45"/>
        <v>-231.5625</v>
      </c>
      <c r="J237" s="803">
        <f t="shared" si="41"/>
        <v>-47864.374999999971</v>
      </c>
      <c r="K237" s="803">
        <f t="shared" si="44"/>
        <v>-17135.624999999985</v>
      </c>
    </row>
    <row r="238" spans="1:11">
      <c r="A238" s="831">
        <v>42704</v>
      </c>
      <c r="B238" s="824">
        <v>-65000</v>
      </c>
      <c r="C238" s="824">
        <f t="shared" si="42"/>
        <v>6792.4999999999955</v>
      </c>
      <c r="D238" s="803">
        <f t="shared" si="38"/>
        <v>-58207.500000000007</v>
      </c>
      <c r="E238" s="810">
        <f t="shared" si="39"/>
        <v>16352.030906250007</v>
      </c>
      <c r="F238" s="841">
        <f t="shared" si="36"/>
        <v>-65000</v>
      </c>
      <c r="G238" s="842">
        <f t="shared" si="40"/>
        <v>-6792.4999999999955</v>
      </c>
      <c r="H238" s="843">
        <f t="shared" si="37"/>
        <v>16352.030906250007</v>
      </c>
      <c r="I238" s="840">
        <f t="shared" si="45"/>
        <v>-231.5625</v>
      </c>
      <c r="J238" s="803">
        <f t="shared" si="41"/>
        <v>-48095.937499999971</v>
      </c>
      <c r="K238" s="803">
        <f t="shared" si="44"/>
        <v>-16904.062499999985</v>
      </c>
    </row>
    <row r="239" spans="1:11" ht="15" thickBot="1">
      <c r="A239" s="831">
        <v>42735</v>
      </c>
      <c r="B239" s="824">
        <v>-65000</v>
      </c>
      <c r="C239" s="824">
        <f t="shared" si="42"/>
        <v>6905.7083333333285</v>
      </c>
      <c r="D239" s="803">
        <f t="shared" si="38"/>
        <v>-58094.291666666672</v>
      </c>
      <c r="E239" s="810">
        <f t="shared" si="39"/>
        <v>16398.887320833339</v>
      </c>
      <c r="F239" s="844">
        <f t="shared" si="36"/>
        <v>-65000</v>
      </c>
      <c r="G239" s="845">
        <f t="shared" si="40"/>
        <v>-6905.7083333333285</v>
      </c>
      <c r="H239" s="846">
        <f t="shared" si="37"/>
        <v>16398.887320833339</v>
      </c>
      <c r="I239" s="840">
        <f t="shared" si="45"/>
        <v>-231.5625</v>
      </c>
      <c r="J239" s="803">
        <f t="shared" si="41"/>
        <v>-48327.499999999971</v>
      </c>
      <c r="K239" s="803">
        <f t="shared" si="44"/>
        <v>-16672.499999999985</v>
      </c>
    </row>
    <row r="240" spans="1:11">
      <c r="B240" s="824"/>
    </row>
    <row r="241" spans="1:3">
      <c r="A241" s="792" t="s">
        <v>1084</v>
      </c>
      <c r="B241" s="824"/>
      <c r="C241" s="859">
        <f>+C116*12+C179*12+C46*12</f>
        <v>49257.289125412513</v>
      </c>
    </row>
  </sheetData>
  <pageMargins left="0.7" right="0.7" top="0.75" bottom="0.75" header="0.3" footer="0.3"/>
  <pageSetup scale="38" fitToHeight="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topLeftCell="A16" zoomScale="60" zoomScaleNormal="100" workbookViewId="0">
      <selection activeCell="H62" sqref="H62"/>
    </sheetView>
  </sheetViews>
  <sheetFormatPr defaultColWidth="9.109375" defaultRowHeight="14.4"/>
  <cols>
    <col min="1" max="1" width="9.109375" style="60"/>
    <col min="2" max="3" width="45.6640625" style="60" customWidth="1"/>
    <col min="4" max="4" width="19" style="60" bestFit="1" customWidth="1"/>
    <col min="5" max="6" width="19.44140625" style="60" bestFit="1" customWidth="1"/>
    <col min="7" max="7" width="18.6640625" style="63" bestFit="1" customWidth="1"/>
    <col min="8" max="8" width="19.44140625" style="60" bestFit="1" customWidth="1"/>
    <col min="9" max="9" width="40.6640625" style="60" customWidth="1"/>
    <col min="10" max="14" width="15.6640625" style="60" customWidth="1"/>
    <col min="15" max="16384" width="9.109375" style="60"/>
  </cols>
  <sheetData>
    <row r="1" spans="1:9">
      <c r="A1" s="59" t="s">
        <v>0</v>
      </c>
    </row>
    <row r="2" spans="1:9">
      <c r="A2" s="59" t="s">
        <v>102</v>
      </c>
    </row>
    <row r="4" spans="1:9" s="121" customFormat="1">
      <c r="B4" s="121" t="s">
        <v>723</v>
      </c>
      <c r="G4" s="63"/>
    </row>
    <row r="5" spans="1:9" s="121" customFormat="1" ht="15" thickBot="1">
      <c r="G5" s="63"/>
    </row>
    <row r="6" spans="1:9" s="62" customFormat="1" ht="28.8">
      <c r="B6" s="70" t="s">
        <v>301</v>
      </c>
      <c r="C6" s="72" t="s">
        <v>352</v>
      </c>
      <c r="D6" s="71">
        <v>42369</v>
      </c>
      <c r="E6" s="71">
        <v>42735</v>
      </c>
      <c r="F6" s="72" t="s">
        <v>305</v>
      </c>
      <c r="G6" s="73" t="s">
        <v>306</v>
      </c>
      <c r="H6" s="72" t="s">
        <v>307</v>
      </c>
      <c r="I6" s="80" t="s">
        <v>5</v>
      </c>
    </row>
    <row r="7" spans="1:9">
      <c r="B7" s="74"/>
      <c r="C7" s="67"/>
      <c r="D7" s="67"/>
      <c r="E7" s="67"/>
      <c r="F7" s="67"/>
      <c r="G7" s="75"/>
      <c r="H7" s="67"/>
      <c r="I7" s="76"/>
    </row>
    <row r="8" spans="1:9">
      <c r="B8" s="123" t="s">
        <v>313</v>
      </c>
      <c r="C8" s="122" t="s">
        <v>1529</v>
      </c>
      <c r="D8" s="819">
        <v>2300622</v>
      </c>
      <c r="E8" s="819">
        <v>1966562</v>
      </c>
      <c r="F8" s="67">
        <f t="shared" ref="F8:F20" si="0">(+E8+D8)/2</f>
        <v>2133592</v>
      </c>
      <c r="G8" s="75">
        <f>+H8/F8</f>
        <v>6.91040697096727E-2</v>
      </c>
      <c r="H8" s="67">
        <f>-'Attachment H-1'!H93*0.3959</f>
        <v>147439.8903</v>
      </c>
      <c r="I8" s="76" t="s">
        <v>326</v>
      </c>
    </row>
    <row r="9" spans="1:9">
      <c r="B9" s="123" t="s">
        <v>314</v>
      </c>
      <c r="C9" s="122" t="s">
        <v>357</v>
      </c>
      <c r="D9" s="819">
        <v>-103579822</v>
      </c>
      <c r="E9" s="819">
        <v>-100715582</v>
      </c>
      <c r="F9" s="67">
        <f t="shared" si="0"/>
        <v>-102147702</v>
      </c>
      <c r="G9" s="75">
        <f>+H9/F9</f>
        <v>0</v>
      </c>
      <c r="H9" s="67">
        <f>-'Attachment H-1'!H84*0.3959</f>
        <v>0</v>
      </c>
      <c r="I9" s="76" t="s">
        <v>326</v>
      </c>
    </row>
    <row r="10" spans="1:9">
      <c r="B10" s="123" t="s">
        <v>315</v>
      </c>
      <c r="C10" s="122" t="s">
        <v>1530</v>
      </c>
      <c r="D10" s="819">
        <v>0</v>
      </c>
      <c r="E10" s="819">
        <v>0</v>
      </c>
      <c r="F10" s="67">
        <f t="shared" si="0"/>
        <v>0</v>
      </c>
      <c r="G10" s="117">
        <v>1</v>
      </c>
      <c r="H10" s="67">
        <f>+F10*G10</f>
        <v>0</v>
      </c>
      <c r="I10" s="76"/>
    </row>
    <row r="11" spans="1:9">
      <c r="B11" s="123" t="s">
        <v>323</v>
      </c>
      <c r="C11" s="122" t="s">
        <v>1531</v>
      </c>
      <c r="D11" s="819">
        <v>21745007</v>
      </c>
      <c r="E11" s="819">
        <v>25251524</v>
      </c>
      <c r="F11" s="67">
        <f t="shared" si="0"/>
        <v>23498265.5</v>
      </c>
      <c r="G11" s="75">
        <f>+'Attachment H-1'!H28</f>
        <v>0.1459</v>
      </c>
      <c r="H11" s="67">
        <f t="shared" ref="H11:H20" si="1">+F11*G11</f>
        <v>3428396.9364499999</v>
      </c>
      <c r="I11" s="76" t="s">
        <v>317</v>
      </c>
    </row>
    <row r="12" spans="1:9">
      <c r="B12" s="123" t="s">
        <v>978</v>
      </c>
      <c r="C12" s="121" t="s">
        <v>358</v>
      </c>
      <c r="D12" s="819">
        <v>9276771</v>
      </c>
      <c r="E12" s="819">
        <v>10104037</v>
      </c>
      <c r="F12" s="67">
        <f t="shared" si="0"/>
        <v>9690404</v>
      </c>
      <c r="G12" s="75">
        <f>+'Attachment H-1'!H28</f>
        <v>0.1459</v>
      </c>
      <c r="H12" s="67">
        <f t="shared" si="1"/>
        <v>1413829.9436000001</v>
      </c>
      <c r="I12" s="76" t="s">
        <v>317</v>
      </c>
    </row>
    <row r="13" spans="1:9" s="121" customFormat="1">
      <c r="B13" s="259" t="s">
        <v>979</v>
      </c>
      <c r="C13" s="260" t="s">
        <v>358</v>
      </c>
      <c r="D13" s="858">
        <v>49431406</v>
      </c>
      <c r="E13" s="858">
        <v>49832294</v>
      </c>
      <c r="F13" s="64">
        <f t="shared" si="0"/>
        <v>49631850</v>
      </c>
      <c r="G13" s="124">
        <v>0</v>
      </c>
      <c r="H13" s="122">
        <f t="shared" si="1"/>
        <v>0</v>
      </c>
      <c r="I13" s="125"/>
    </row>
    <row r="14" spans="1:9" s="121" customFormat="1">
      <c r="B14" s="116" t="s">
        <v>980</v>
      </c>
      <c r="C14" s="126" t="s">
        <v>1595</v>
      </c>
      <c r="D14" s="238">
        <f>SUM(D12:D13)</f>
        <v>58708177</v>
      </c>
      <c r="E14" s="238">
        <f>SUM(E12:E13)</f>
        <v>59936331</v>
      </c>
      <c r="F14" s="122">
        <f t="shared" si="0"/>
        <v>59322254</v>
      </c>
      <c r="G14" s="124"/>
      <c r="H14" s="122"/>
      <c r="I14" s="125"/>
    </row>
    <row r="15" spans="1:9">
      <c r="B15" s="123"/>
      <c r="C15" s="122"/>
      <c r="D15" s="84"/>
      <c r="E15" s="126"/>
      <c r="F15" s="122"/>
      <c r="G15" s="75"/>
      <c r="H15" s="67"/>
      <c r="I15" s="76"/>
    </row>
    <row r="16" spans="1:9">
      <c r="B16" s="123" t="s">
        <v>364</v>
      </c>
      <c r="C16" s="122" t="s">
        <v>358</v>
      </c>
      <c r="D16" s="819">
        <v>110523135.81</v>
      </c>
      <c r="E16" s="819">
        <v>149378926</v>
      </c>
      <c r="F16" s="67">
        <f t="shared" si="0"/>
        <v>129951030.905</v>
      </c>
      <c r="G16" s="75">
        <f>+'Attachment H-1'!H28</f>
        <v>0.1459</v>
      </c>
      <c r="H16" s="67">
        <f t="shared" si="1"/>
        <v>18959855.409039501</v>
      </c>
      <c r="I16" s="76" t="s">
        <v>317</v>
      </c>
    </row>
    <row r="17" spans="2:9">
      <c r="B17" s="85" t="s">
        <v>365</v>
      </c>
      <c r="C17" s="64" t="s">
        <v>358</v>
      </c>
      <c r="D17" s="858">
        <v>37330651</v>
      </c>
      <c r="E17" s="858">
        <v>0</v>
      </c>
      <c r="F17" s="64">
        <f t="shared" si="0"/>
        <v>18665325.5</v>
      </c>
      <c r="G17" s="75">
        <v>0</v>
      </c>
      <c r="H17" s="67">
        <f t="shared" si="1"/>
        <v>0</v>
      </c>
      <c r="I17" s="125"/>
    </row>
    <row r="18" spans="2:9">
      <c r="B18" s="123" t="s">
        <v>363</v>
      </c>
      <c r="C18" s="122" t="s">
        <v>970</v>
      </c>
      <c r="D18" s="84">
        <f>SUM(D16:D17)</f>
        <v>147853786.81</v>
      </c>
      <c r="E18" s="84">
        <f>SUM(E16:E17)</f>
        <v>149378926</v>
      </c>
      <c r="F18" s="67">
        <f t="shared" si="0"/>
        <v>148616356.405</v>
      </c>
      <c r="G18" s="75"/>
      <c r="H18" s="67"/>
      <c r="I18" s="76"/>
    </row>
    <row r="19" spans="2:9">
      <c r="B19" s="123"/>
      <c r="C19" s="67"/>
      <c r="D19" s="84"/>
      <c r="E19" s="84"/>
      <c r="F19" s="67"/>
      <c r="G19" s="75"/>
      <c r="H19" s="67"/>
      <c r="I19" s="76"/>
    </row>
    <row r="20" spans="2:9">
      <c r="B20" s="123" t="s">
        <v>316</v>
      </c>
      <c r="C20" s="67"/>
      <c r="D20" s="706">
        <v>208276793</v>
      </c>
      <c r="E20" s="819">
        <v>189545658</v>
      </c>
      <c r="F20" s="67">
        <f t="shared" si="0"/>
        <v>198911225.5</v>
      </c>
      <c r="G20" s="75">
        <v>0</v>
      </c>
      <c r="H20" s="67">
        <f t="shared" si="1"/>
        <v>0</v>
      </c>
      <c r="I20" s="76"/>
    </row>
    <row r="21" spans="2:9">
      <c r="B21" s="74"/>
      <c r="C21" s="67"/>
      <c r="D21" s="84"/>
      <c r="E21" s="84"/>
      <c r="F21" s="67"/>
      <c r="G21" s="75"/>
      <c r="H21" s="67"/>
      <c r="I21" s="76"/>
    </row>
    <row r="22" spans="2:9" s="59" customFormat="1" ht="15" thickBot="1">
      <c r="B22" s="93" t="s">
        <v>353</v>
      </c>
      <c r="C22" s="94" t="s">
        <v>309</v>
      </c>
      <c r="D22" s="94">
        <f>SUM(D8:D11)+D20+D14+D18</f>
        <v>335304563.81</v>
      </c>
      <c r="E22" s="94">
        <f>SUM(E8:E11)+E20+E14+E18</f>
        <v>325363419</v>
      </c>
      <c r="F22" s="88">
        <f>(+E22+D22)/2</f>
        <v>330333991.40499997</v>
      </c>
      <c r="G22" s="88"/>
      <c r="H22" s="88">
        <f>SUM(H7:H21)</f>
        <v>23949522.179389499</v>
      </c>
      <c r="I22" s="76"/>
    </row>
    <row r="23" spans="2:9" ht="15" thickBot="1">
      <c r="B23" s="98"/>
      <c r="C23" s="98"/>
      <c r="D23" s="103"/>
      <c r="E23" s="103"/>
      <c r="F23" s="98"/>
      <c r="G23" s="99"/>
      <c r="H23" s="98"/>
      <c r="I23" s="90"/>
    </row>
    <row r="24" spans="2:9" ht="28.8">
      <c r="B24" s="86" t="s">
        <v>302</v>
      </c>
      <c r="C24" s="72" t="s">
        <v>352</v>
      </c>
      <c r="D24" s="104">
        <f>D6</f>
        <v>42369</v>
      </c>
      <c r="E24" s="104">
        <f>E6</f>
        <v>42735</v>
      </c>
      <c r="F24" s="72" t="s">
        <v>305</v>
      </c>
      <c r="G24" s="73" t="s">
        <v>306</v>
      </c>
      <c r="H24" s="72" t="s">
        <v>307</v>
      </c>
      <c r="I24" s="80" t="s">
        <v>5</v>
      </c>
    </row>
    <row r="25" spans="2:9">
      <c r="B25" s="74"/>
      <c r="C25" s="67"/>
      <c r="D25" s="84"/>
      <c r="E25" s="84"/>
      <c r="F25" s="67"/>
      <c r="G25" s="75"/>
      <c r="H25" s="67"/>
      <c r="I25" s="76"/>
    </row>
    <row r="26" spans="2:9">
      <c r="B26" s="74" t="s">
        <v>316</v>
      </c>
      <c r="C26" s="67"/>
      <c r="D26" s="706">
        <v>-4269799</v>
      </c>
      <c r="E26" s="819">
        <v>-3870947</v>
      </c>
      <c r="F26" s="67">
        <f>(+E26+D26)/2</f>
        <v>-4070373</v>
      </c>
      <c r="G26" s="75">
        <v>0</v>
      </c>
      <c r="H26" s="67">
        <f>+F26*G26</f>
        <v>0</v>
      </c>
      <c r="I26" s="76"/>
    </row>
    <row r="27" spans="2:9">
      <c r="B27" s="74"/>
      <c r="C27" s="67"/>
      <c r="D27" s="84"/>
      <c r="E27" s="84"/>
      <c r="F27" s="67"/>
      <c r="G27" s="75"/>
      <c r="H27" s="67"/>
      <c r="I27" s="76"/>
    </row>
    <row r="28" spans="2:9" s="59" customFormat="1" ht="15" thickBot="1">
      <c r="B28" s="93" t="s">
        <v>354</v>
      </c>
      <c r="C28" s="94" t="s">
        <v>308</v>
      </c>
      <c r="D28" s="94">
        <f>D26</f>
        <v>-4269799</v>
      </c>
      <c r="E28" s="94">
        <f>E26</f>
        <v>-3870947</v>
      </c>
      <c r="F28" s="88">
        <f>(+E28+D28)/2</f>
        <v>-4070373</v>
      </c>
      <c r="G28" s="88"/>
      <c r="H28" s="88">
        <f>SUM(H26:H27)</f>
        <v>0</v>
      </c>
      <c r="I28" s="90"/>
    </row>
    <row r="29" spans="2:9" ht="15" thickBot="1">
      <c r="B29" s="98"/>
      <c r="C29" s="98"/>
      <c r="D29" s="103"/>
      <c r="E29" s="103"/>
      <c r="F29" s="98"/>
      <c r="G29" s="99"/>
      <c r="H29" s="98"/>
      <c r="I29" s="98"/>
    </row>
    <row r="30" spans="2:9" ht="28.8">
      <c r="B30" s="86" t="s">
        <v>303</v>
      </c>
      <c r="C30" s="72" t="s">
        <v>352</v>
      </c>
      <c r="D30" s="104">
        <f>D6</f>
        <v>42369</v>
      </c>
      <c r="E30" s="104">
        <f>E6</f>
        <v>42735</v>
      </c>
      <c r="F30" s="72" t="s">
        <v>305</v>
      </c>
      <c r="G30" s="73" t="s">
        <v>306</v>
      </c>
      <c r="H30" s="72" t="s">
        <v>307</v>
      </c>
      <c r="I30" s="80" t="s">
        <v>5</v>
      </c>
    </row>
    <row r="31" spans="2:9">
      <c r="B31" s="77"/>
      <c r="C31" s="66"/>
      <c r="D31" s="84"/>
      <c r="E31" s="84"/>
      <c r="F31" s="67"/>
      <c r="G31" s="75"/>
      <c r="H31" s="67"/>
      <c r="I31" s="76"/>
    </row>
    <row r="32" spans="2:9">
      <c r="B32" s="74" t="s">
        <v>319</v>
      </c>
      <c r="C32" s="67" t="s">
        <v>358</v>
      </c>
      <c r="D32" s="706">
        <v>-102988171</v>
      </c>
      <c r="E32" s="819">
        <v>-122755205</v>
      </c>
      <c r="F32" s="67">
        <f>(+E32+D32)/2</f>
        <v>-112871688</v>
      </c>
      <c r="G32" s="75">
        <v>1</v>
      </c>
      <c r="H32" s="67">
        <f>+F32*G32</f>
        <v>-112871688</v>
      </c>
      <c r="I32" s="76"/>
    </row>
    <row r="33" spans="2:9">
      <c r="B33" s="74" t="s">
        <v>318</v>
      </c>
      <c r="C33" s="67" t="s">
        <v>358</v>
      </c>
      <c r="D33" s="819">
        <v>1256410</v>
      </c>
      <c r="E33" s="819">
        <v>1254406</v>
      </c>
      <c r="F33" s="67">
        <f>(+E33+D33)/2</f>
        <v>1255408</v>
      </c>
      <c r="G33" s="75">
        <f>+'Attachment H-1'!H28</f>
        <v>0.1459</v>
      </c>
      <c r="H33" s="67">
        <f>+F33*G33</f>
        <v>183164.02720000001</v>
      </c>
      <c r="I33" s="76" t="s">
        <v>317</v>
      </c>
    </row>
    <row r="34" spans="2:9">
      <c r="B34" s="74" t="s">
        <v>322</v>
      </c>
      <c r="C34" s="67" t="s">
        <v>358</v>
      </c>
      <c r="D34" s="819">
        <v>-22546588</v>
      </c>
      <c r="E34" s="819">
        <v>-24611017</v>
      </c>
      <c r="F34" s="67">
        <f>(+E34+D34)/2</f>
        <v>-23578802.5</v>
      </c>
      <c r="G34" s="75">
        <f>+'Attachment H-1'!H28</f>
        <v>0.1459</v>
      </c>
      <c r="H34" s="67">
        <f>+F34*G34</f>
        <v>-3440147.2847500001</v>
      </c>
      <c r="I34" s="76" t="s">
        <v>317</v>
      </c>
    </row>
    <row r="35" spans="2:9">
      <c r="B35" s="74" t="s">
        <v>321</v>
      </c>
      <c r="C35" s="67" t="s">
        <v>358</v>
      </c>
      <c r="D35" s="819">
        <v>-22138422</v>
      </c>
      <c r="E35" s="819">
        <v>-22138422</v>
      </c>
      <c r="F35" s="67">
        <f>(+E35+D35)/2</f>
        <v>-22138422</v>
      </c>
      <c r="G35" s="75">
        <f>+'Attachment H-1'!H28</f>
        <v>0.1459</v>
      </c>
      <c r="H35" s="67">
        <f>+F35*G35</f>
        <v>-3229995.7697999999</v>
      </c>
      <c r="I35" s="76" t="s">
        <v>317</v>
      </c>
    </row>
    <row r="36" spans="2:9">
      <c r="B36" s="74" t="s">
        <v>316</v>
      </c>
      <c r="C36" s="67"/>
      <c r="D36" s="819">
        <v>-724043716</v>
      </c>
      <c r="E36" s="819">
        <v>-768231118</v>
      </c>
      <c r="F36" s="67">
        <f>(+E36+D36)/2</f>
        <v>-746137417</v>
      </c>
      <c r="G36" s="75">
        <v>0</v>
      </c>
      <c r="H36" s="67">
        <f>+G36*F36</f>
        <v>0</v>
      </c>
      <c r="I36" s="76"/>
    </row>
    <row r="37" spans="2:9">
      <c r="B37" s="85"/>
      <c r="C37" s="64"/>
      <c r="D37" s="64"/>
      <c r="E37" s="64"/>
      <c r="F37" s="64"/>
      <c r="G37" s="65"/>
      <c r="H37" s="64"/>
      <c r="I37" s="76"/>
    </row>
    <row r="38" spans="2:9" s="67" customFormat="1">
      <c r="B38" s="82" t="s">
        <v>355</v>
      </c>
      <c r="C38" s="61" t="s">
        <v>310</v>
      </c>
      <c r="D38" s="84">
        <f>SUM(D32:D36)</f>
        <v>-870460487</v>
      </c>
      <c r="E38" s="126">
        <f>SUM(E32:E36)</f>
        <v>-936481356</v>
      </c>
      <c r="F38" s="67">
        <f>(+E38+D38)/2</f>
        <v>-903470921.5</v>
      </c>
      <c r="H38" s="67">
        <f>SUM(H31:H37)</f>
        <v>-119358667.02735001</v>
      </c>
      <c r="I38" s="76"/>
    </row>
    <row r="39" spans="2:9">
      <c r="B39" s="82"/>
      <c r="C39" s="61"/>
      <c r="D39" s="84"/>
      <c r="E39" s="67"/>
      <c r="F39" s="67"/>
      <c r="G39" s="67"/>
      <c r="H39" s="67"/>
      <c r="I39" s="76"/>
    </row>
    <row r="40" spans="2:9" s="118" customFormat="1">
      <c r="B40" s="116" t="s">
        <v>320</v>
      </c>
      <c r="C40" s="84" t="s">
        <v>358</v>
      </c>
      <c r="D40" s="706">
        <v>-12586840</v>
      </c>
      <c r="E40" s="819">
        <v>-12580649</v>
      </c>
      <c r="F40" s="84">
        <f>(+E40+D40)/2</f>
        <v>-12583744.5</v>
      </c>
      <c r="G40" s="117">
        <f>('Schedule 1A - Svcs Co Plant_Rev'!P28-'Schedule 1A - Svcs Co Plant_Rev'!P32)/('Schedule 1A - Svcs Co Plant_Rev'!P16-'Schedule 1A - Svcs Co Plant_Rev'!P22)</f>
        <v>5.9821530720514708E-2</v>
      </c>
      <c r="H40" s="84">
        <f>+F40*G40</f>
        <v>-752778.858185858</v>
      </c>
      <c r="I40" s="127" t="s">
        <v>532</v>
      </c>
    </row>
    <row r="41" spans="2:9">
      <c r="B41" s="83" t="s">
        <v>359</v>
      </c>
      <c r="C41" s="61"/>
      <c r="D41" s="84"/>
      <c r="E41" s="67"/>
      <c r="F41" s="67"/>
      <c r="G41" s="67"/>
      <c r="H41" s="67"/>
      <c r="I41" s="76"/>
    </row>
    <row r="42" spans="2:9" s="498" customFormat="1">
      <c r="B42" s="116" t="s">
        <v>821</v>
      </c>
      <c r="C42" s="181" t="s">
        <v>617</v>
      </c>
      <c r="D42" s="126">
        <f>-'Schedule 13 Direct Assignment'!M50</f>
        <v>6927462.0987899816</v>
      </c>
      <c r="E42" s="126">
        <f>-'Schedule 13 Direct Assignment'!M51</f>
        <v>7070547.5808699355</v>
      </c>
      <c r="F42" s="126">
        <f>(+E42+D42)/2</f>
        <v>6999004.839829959</v>
      </c>
      <c r="G42" s="117">
        <v>1</v>
      </c>
      <c r="H42" s="126">
        <f>+F42*G42</f>
        <v>6999004.839829959</v>
      </c>
      <c r="I42" s="517"/>
    </row>
    <row r="43" spans="2:9">
      <c r="B43" s="83"/>
      <c r="C43" s="61"/>
      <c r="D43" s="84"/>
      <c r="E43" s="67"/>
      <c r="F43" s="67"/>
      <c r="G43" s="67"/>
      <c r="H43" s="67"/>
      <c r="I43" s="76"/>
    </row>
    <row r="44" spans="2:9" s="59" customFormat="1" ht="15" thickBot="1">
      <c r="B44" s="93" t="s">
        <v>820</v>
      </c>
      <c r="C44" s="94"/>
      <c r="D44" s="94">
        <f>SUM(D38:D43)</f>
        <v>-876119864.90121007</v>
      </c>
      <c r="E44" s="94">
        <f>SUM(E38:E43)</f>
        <v>-941991457.41913009</v>
      </c>
      <c r="F44" s="94">
        <f>SUM(F38:F43)</f>
        <v>-909055661.16017008</v>
      </c>
      <c r="G44" s="88"/>
      <c r="H44" s="94">
        <f>SUM(H38:H43)</f>
        <v>-113112441.04570591</v>
      </c>
      <c r="I44" s="90"/>
    </row>
    <row r="45" spans="2:9" s="59" customFormat="1" ht="15" thickBot="1">
      <c r="B45" s="472"/>
      <c r="C45" s="472"/>
      <c r="D45" s="472"/>
      <c r="E45" s="472"/>
      <c r="F45" s="472"/>
      <c r="G45" s="473"/>
      <c r="H45" s="472"/>
      <c r="I45" s="473"/>
    </row>
    <row r="46" spans="2:9" s="59" customFormat="1">
      <c r="B46" s="474" t="s">
        <v>1264</v>
      </c>
      <c r="C46" s="475"/>
      <c r="D46" s="475"/>
      <c r="E46" s="475"/>
      <c r="F46" s="475"/>
      <c r="G46" s="476"/>
      <c r="H46" s="475"/>
      <c r="I46" s="477"/>
    </row>
    <row r="47" spans="2:9" s="59" customFormat="1">
      <c r="B47" s="82"/>
      <c r="C47" s="181" t="s">
        <v>1266</v>
      </c>
      <c r="D47" s="260">
        <f>+'Schedule 1C - Settlement Adjust'!H32+'Schedule 1C - Settlement Adjust'!H100+'Schedule 1C - Settlement Adjust'!H164+'Schedule 1C - Settlement Adjust'!H227</f>
        <v>1375646.4040275021</v>
      </c>
      <c r="E47" s="260">
        <f>+'Schedule 1C - Settlement Adjust'!H32+'Schedule 1C - Settlement Adjust'!H112+'Schedule 1C - Settlement Adjust'!H176+'Schedule 1C - Settlement Adjust'!H239</f>
        <v>1391934.3555925353</v>
      </c>
      <c r="F47" s="260">
        <f>AVERAGE(D47:E47)</f>
        <v>1383790.3798100187</v>
      </c>
      <c r="G47" s="480">
        <v>1</v>
      </c>
      <c r="H47" s="260">
        <f>+F47*G47</f>
        <v>1383790.3798100187</v>
      </c>
      <c r="I47" s="478"/>
    </row>
    <row r="48" spans="2:9" s="59" customFormat="1" ht="15" thickBot="1">
      <c r="B48" s="479" t="s">
        <v>1265</v>
      </c>
      <c r="C48" s="472"/>
      <c r="D48" s="472">
        <f>+D47</f>
        <v>1375646.4040275021</v>
      </c>
      <c r="E48" s="472">
        <f>+E47</f>
        <v>1391934.3555925353</v>
      </c>
      <c r="F48" s="472">
        <f>+F47</f>
        <v>1383790.3798100187</v>
      </c>
      <c r="G48" s="473"/>
      <c r="H48" s="472">
        <f>+H47</f>
        <v>1383790.3798100187</v>
      </c>
      <c r="I48" s="90"/>
    </row>
    <row r="49" spans="2:9" ht="15" thickBot="1">
      <c r="B49" s="78"/>
      <c r="C49" s="78"/>
      <c r="D49" s="78"/>
      <c r="E49" s="78"/>
      <c r="F49" s="78"/>
      <c r="G49" s="79"/>
      <c r="H49" s="78"/>
      <c r="I49" s="78"/>
    </row>
    <row r="50" spans="2:9" ht="28.8">
      <c r="B50" s="86" t="s">
        <v>304</v>
      </c>
      <c r="C50" s="72" t="s">
        <v>352</v>
      </c>
      <c r="D50" s="71">
        <f>D6</f>
        <v>42369</v>
      </c>
      <c r="E50" s="71">
        <f>E6</f>
        <v>42735</v>
      </c>
      <c r="F50" s="72" t="s">
        <v>305</v>
      </c>
      <c r="G50" s="73" t="s">
        <v>306</v>
      </c>
      <c r="H50" s="72" t="s">
        <v>307</v>
      </c>
      <c r="I50" s="80" t="s">
        <v>5</v>
      </c>
    </row>
    <row r="51" spans="2:9">
      <c r="B51" s="74"/>
      <c r="C51" s="67"/>
      <c r="D51" s="67"/>
      <c r="E51" s="67"/>
      <c r="F51" s="67"/>
      <c r="G51" s="75"/>
      <c r="H51" s="67"/>
      <c r="I51" s="76"/>
    </row>
    <row r="52" spans="2:9">
      <c r="B52" s="74" t="s">
        <v>324</v>
      </c>
      <c r="C52" s="122" t="s">
        <v>971</v>
      </c>
      <c r="D52" s="819">
        <v>-7753954</v>
      </c>
      <c r="E52" s="819">
        <v>-8067622</v>
      </c>
      <c r="F52" s="67">
        <f>(+E52+D52)/2</f>
        <v>-7910788</v>
      </c>
      <c r="G52" s="75">
        <f>+'Attachment H-1'!H28</f>
        <v>0.1459</v>
      </c>
      <c r="H52" s="67">
        <f t="shared" ref="H52:H56" si="2">+F52*G52</f>
        <v>-1154183.9691999999</v>
      </c>
      <c r="I52" s="76" t="s">
        <v>317</v>
      </c>
    </row>
    <row r="53" spans="2:9">
      <c r="B53" s="74" t="s">
        <v>325</v>
      </c>
      <c r="C53" s="122" t="s">
        <v>972</v>
      </c>
      <c r="D53" s="819">
        <v>-3756987</v>
      </c>
      <c r="E53" s="819">
        <v>-3833602</v>
      </c>
      <c r="F53" s="67">
        <f>(+E53+D53)/2</f>
        <v>-3795294.5</v>
      </c>
      <c r="G53" s="75">
        <f>+'Schedule 7 - Working capital'!E64/((+'Schedule 7 - Working capital'!E48+'Schedule 7 - Working capital'!E62)/2)</f>
        <v>5.6236610449791821E-2</v>
      </c>
      <c r="H53" s="67">
        <f t="shared" si="2"/>
        <v>-213434.49833873744</v>
      </c>
      <c r="I53" s="76" t="s">
        <v>327</v>
      </c>
    </row>
    <row r="54" spans="2:9">
      <c r="B54" s="74" t="s">
        <v>139</v>
      </c>
      <c r="C54" s="122" t="s">
        <v>973</v>
      </c>
      <c r="D54" s="819">
        <v>-1004794</v>
      </c>
      <c r="E54" s="819">
        <v>-1736702</v>
      </c>
      <c r="F54" s="67">
        <f>(+E54+D54)/2</f>
        <v>-1370748</v>
      </c>
      <c r="G54" s="75">
        <f>+H54/F54</f>
        <v>0</v>
      </c>
      <c r="H54" s="67">
        <f>-0.3959*(+'Schedule 5 Misc Def Debits'!E10+'Schedule 5 Misc Def Debits'!E30)/2</f>
        <v>0</v>
      </c>
      <c r="I54" s="76" t="s">
        <v>326</v>
      </c>
    </row>
    <row r="55" spans="2:9" s="121" customFormat="1">
      <c r="B55" s="123" t="s">
        <v>533</v>
      </c>
      <c r="C55" s="122" t="s">
        <v>822</v>
      </c>
      <c r="D55" s="819">
        <v>-901702</v>
      </c>
      <c r="E55" s="819">
        <v>-901702</v>
      </c>
      <c r="F55" s="122">
        <f>(+E55+D55)/2</f>
        <v>-901702</v>
      </c>
      <c r="G55" s="124">
        <v>0</v>
      </c>
      <c r="H55" s="122"/>
      <c r="I55" s="125" t="s">
        <v>534</v>
      </c>
    </row>
    <row r="56" spans="2:9">
      <c r="B56" s="74" t="s">
        <v>316</v>
      </c>
      <c r="C56" s="67"/>
      <c r="D56" s="858">
        <v>-71461236</v>
      </c>
      <c r="E56" s="858">
        <v>-59709587</v>
      </c>
      <c r="F56" s="67">
        <f>(+E56+D56)/2</f>
        <v>-65585411.5</v>
      </c>
      <c r="G56" s="75">
        <v>0</v>
      </c>
      <c r="H56" s="67">
        <f t="shared" si="2"/>
        <v>0</v>
      </c>
      <c r="I56" s="76"/>
    </row>
    <row r="57" spans="2:9">
      <c r="B57" s="74"/>
      <c r="C57" s="67"/>
      <c r="D57" s="67"/>
      <c r="E57" s="67"/>
      <c r="F57" s="67"/>
      <c r="G57" s="75"/>
      <c r="H57" s="67"/>
      <c r="I57" s="76"/>
    </row>
    <row r="58" spans="2:9" s="59" customFormat="1" ht="15" thickBot="1">
      <c r="B58" s="93" t="s">
        <v>356</v>
      </c>
      <c r="C58" s="94" t="s">
        <v>311</v>
      </c>
      <c r="D58" s="88">
        <f>SUM(D52:D57)</f>
        <v>-84878673</v>
      </c>
      <c r="E58" s="88">
        <f>SUM(E52:E57)</f>
        <v>-74249215</v>
      </c>
      <c r="F58" s="88">
        <f>(+E58+D58)/2</f>
        <v>-79563944</v>
      </c>
      <c r="G58" s="88"/>
      <c r="H58" s="88">
        <f>SUM(H51:H57)</f>
        <v>-1367618.4675387375</v>
      </c>
      <c r="I58" s="90"/>
    </row>
    <row r="59" spans="2:9" ht="15" thickBot="1">
      <c r="B59" s="96"/>
      <c r="C59" s="96"/>
      <c r="D59" s="98"/>
      <c r="E59" s="98"/>
      <c r="F59" s="98"/>
      <c r="G59" s="98"/>
      <c r="H59" s="98"/>
      <c r="I59" s="98"/>
    </row>
    <row r="60" spans="2:9" s="59" customFormat="1" ht="15" thickBot="1">
      <c r="B60" s="95" t="s">
        <v>312</v>
      </c>
      <c r="C60" s="96"/>
      <c r="D60" s="97">
        <f>+D58+D44+D28+D22+D48</f>
        <v>-628588126.68718266</v>
      </c>
      <c r="E60" s="97">
        <f>+E58+E44+E28+E22+E48</f>
        <v>-693356266.0635376</v>
      </c>
      <c r="F60" s="97">
        <f>+F58+F44+F28+F22+F48</f>
        <v>-660972196.37536013</v>
      </c>
      <c r="G60" s="97">
        <f>+G58+G44+G28+G22+G48</f>
        <v>0</v>
      </c>
      <c r="H60" s="97">
        <f>+H58+H44+H28+H22+H48</f>
        <v>-89146746.954045132</v>
      </c>
      <c r="I60" s="190"/>
    </row>
    <row r="61" spans="2:9">
      <c r="B61" s="60" t="s">
        <v>1814</v>
      </c>
      <c r="H61" s="768">
        <v>5043087.8332661092</v>
      </c>
    </row>
    <row r="62" spans="2:9">
      <c r="D62" s="122"/>
      <c r="E62" s="122"/>
      <c r="H62" s="59">
        <f>SUM(H60:H61)</f>
        <v>-84103659.120779023</v>
      </c>
      <c r="I62" s="60" t="s">
        <v>1815</v>
      </c>
    </row>
    <row r="67" spans="2:3">
      <c r="B67" s="59"/>
      <c r="C67" s="59"/>
    </row>
  </sheetData>
  <pageMargins left="0.7" right="0.7" top="0.5" bottom="0.5" header="0.3" footer="0.3"/>
  <pageSetup scale="51" fitToHeight="0" orientation="landscape" r:id="rId1"/>
  <ignoredErrors>
    <ignoredError sqref="D1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view="pageBreakPreview" zoomScale="60" zoomScaleNormal="100" workbookViewId="0">
      <selection activeCell="H7" sqref="H7"/>
    </sheetView>
  </sheetViews>
  <sheetFormatPr defaultRowHeight="14.4"/>
  <cols>
    <col min="1" max="1" width="9.6640625" customWidth="1"/>
    <col min="2" max="2" width="32.33203125" bestFit="1" customWidth="1"/>
    <col min="3" max="3" width="1" customWidth="1"/>
    <col min="4" max="4" width="25.109375" bestFit="1" customWidth="1"/>
    <col min="5" max="5" width="1" customWidth="1"/>
    <col min="6" max="6" width="11.88671875" bestFit="1" customWidth="1"/>
    <col min="7" max="7" width="1" customWidth="1"/>
    <col min="8" max="8" width="21" bestFit="1" customWidth="1"/>
    <col min="13" max="13" width="30.88671875" bestFit="1" customWidth="1"/>
    <col min="14" max="14" width="33.5546875" bestFit="1" customWidth="1"/>
    <col min="15" max="15" width="42.109375" bestFit="1" customWidth="1"/>
  </cols>
  <sheetData>
    <row r="1" spans="1:20">
      <c r="A1" s="411" t="s">
        <v>0</v>
      </c>
      <c r="B1" s="410"/>
      <c r="C1" s="410"/>
      <c r="D1" s="410"/>
      <c r="E1" s="410"/>
      <c r="F1" s="410"/>
      <c r="G1" s="410"/>
      <c r="H1" s="410"/>
      <c r="I1" s="410"/>
    </row>
    <row r="2" spans="1:20">
      <c r="A2" s="411" t="s">
        <v>1096</v>
      </c>
      <c r="B2" s="410"/>
      <c r="C2" s="410"/>
      <c r="D2" s="410"/>
      <c r="E2" s="410"/>
      <c r="F2" s="410"/>
      <c r="G2" s="410"/>
      <c r="H2" s="410"/>
      <c r="I2" s="410"/>
    </row>
    <row r="6" spans="1:20">
      <c r="A6" s="410"/>
      <c r="B6" s="412" t="s">
        <v>705</v>
      </c>
      <c r="C6" s="413"/>
      <c r="D6" s="414" t="s">
        <v>56</v>
      </c>
      <c r="E6" s="413"/>
      <c r="F6" s="553">
        <f>+'FERC Form 1 Inputs'!L53</f>
        <v>4805137</v>
      </c>
      <c r="G6" s="410"/>
      <c r="H6" s="410"/>
      <c r="I6" s="410"/>
    </row>
    <row r="8" spans="1:20">
      <c r="A8" s="410"/>
      <c r="B8" s="410" t="s">
        <v>1097</v>
      </c>
      <c r="C8" s="410"/>
      <c r="D8" s="410" t="s">
        <v>524</v>
      </c>
      <c r="E8" s="410"/>
      <c r="F8" s="625">
        <v>92877.858334614997</v>
      </c>
      <c r="G8" s="410"/>
      <c r="H8" s="596"/>
      <c r="I8" s="596"/>
      <c r="J8" s="596"/>
    </row>
    <row r="9" spans="1:20">
      <c r="N9" s="410"/>
      <c r="O9" s="410"/>
      <c r="P9" s="410"/>
      <c r="Q9" s="410"/>
      <c r="R9" s="410"/>
      <c r="S9" s="410"/>
      <c r="T9" s="410"/>
    </row>
    <row r="10" spans="1:20" ht="15" thickBot="1">
      <c r="A10" s="410"/>
      <c r="B10" s="410" t="s">
        <v>1098</v>
      </c>
      <c r="C10" s="410"/>
      <c r="D10" s="410"/>
      <c r="E10" s="410"/>
      <c r="F10" s="416">
        <f>+F6-F8</f>
        <v>4712259.1416653851</v>
      </c>
      <c r="G10" s="410"/>
      <c r="H10" s="415" t="s">
        <v>1099</v>
      </c>
      <c r="I10" s="410"/>
    </row>
    <row r="11" spans="1:20" ht="15" thickTop="1">
      <c r="A11" s="410"/>
      <c r="B11" s="410"/>
      <c r="C11" s="410"/>
      <c r="D11" s="410"/>
      <c r="E11" s="410"/>
      <c r="F11" s="410"/>
      <c r="G11" s="410"/>
      <c r="H11" s="410"/>
      <c r="I11" s="410"/>
    </row>
  </sheetData>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Summary</vt:lpstr>
      <vt:lpstr>FERC Form 1 Inputs</vt:lpstr>
      <vt:lpstr>Attachment H-1</vt:lpstr>
      <vt:lpstr>Schedule 1 - Plant</vt:lpstr>
      <vt:lpstr>Schedule 1A - Svcs Co Plant_Rev</vt:lpstr>
      <vt:lpstr>Schedule 1B - Projected Plant</vt:lpstr>
      <vt:lpstr>Schedule 1C - Settlement Adjust</vt:lpstr>
      <vt:lpstr>Schedule 2 - ADIT</vt:lpstr>
      <vt:lpstr>Schedule 3 - Transmission Wages</vt:lpstr>
      <vt:lpstr>Schedule 4 - Regulatory Assets</vt:lpstr>
      <vt:lpstr>Schedule 5 Misc Def Debits</vt:lpstr>
      <vt:lpstr>Schedule 6 (Reserved)</vt:lpstr>
      <vt:lpstr>Schedule 7 - Working capital</vt:lpstr>
      <vt:lpstr>Schedule 8 Other Deferred</vt:lpstr>
      <vt:lpstr>Schedule 9 O&amp;M</vt:lpstr>
      <vt:lpstr>Schedule 10 TOTI</vt:lpstr>
      <vt:lpstr>Schedule 11 Income Tax</vt:lpstr>
      <vt:lpstr>Schedule 12 Revenue Credits</vt:lpstr>
      <vt:lpstr>Schedule12A FERC p328</vt:lpstr>
      <vt:lpstr>Schedule 13 Direct Assignment</vt:lpstr>
      <vt:lpstr>Schedule 13 A - Detail</vt:lpstr>
      <vt:lpstr>Schedule 14 (Reserved)</vt:lpstr>
      <vt:lpstr>Schedule 15 Interest Expense</vt:lpstr>
      <vt:lpstr>Schedule 16 - Rate Design </vt:lpstr>
      <vt:lpstr>Sch 17 - Trans Demand Allocator</vt:lpstr>
      <vt:lpstr>Sch 18 - Imputed WAPA Trans Exp</vt:lpstr>
      <vt:lpstr>Schedule 19 - Third Party Trans</vt:lpstr>
      <vt:lpstr>Sch 20 - Gen Demand Allocator</vt:lpstr>
      <vt:lpstr>'Schedule 10 TOTI'!Print_Area</vt:lpstr>
      <vt:lpstr>'Schedule 16 - Rate Design '!Print_Area</vt:lpstr>
      <vt:lpstr>'Schedule 2 - ADIT'!Print_Area</vt:lpstr>
      <vt:lpstr>'Attachment H-1'!Print_Titles</vt:lpstr>
      <vt:lpstr>'Sch 17 - Trans Demand Allocator'!Print_Titles</vt:lpstr>
      <vt:lpstr>'Sch 18 - Imputed WAPA Trans Exp'!Print_Titles</vt:lpstr>
      <vt:lpstr>'Sch 20 - Gen Demand Allocator'!Print_Titles</vt:lpstr>
      <vt:lpstr>'Schedule 1 - Plant'!Print_Titles</vt:lpstr>
      <vt:lpstr>'Schedule 10 TOTI'!Print_Titles</vt:lpstr>
      <vt:lpstr>'Schedule 11 Income Tax'!Print_Titles</vt:lpstr>
      <vt:lpstr>'Schedule 12 Revenue Credits'!Print_Titles</vt:lpstr>
      <vt:lpstr>'Schedule 13 Direct Assignment'!Print_Titles</vt:lpstr>
      <vt:lpstr>'Schedule 14 (Reserved)'!Print_Titles</vt:lpstr>
      <vt:lpstr>'Schedule 15 Interest Expense'!Print_Titles</vt:lpstr>
      <vt:lpstr>'Schedule 16 - Rate Design '!Print_Titles</vt:lpstr>
      <vt:lpstr>'Schedule 19 - Third Party Trans'!Print_Titles</vt:lpstr>
      <vt:lpstr>'Schedule 1A - Svcs Co Plant_Rev'!Print_Titles</vt:lpstr>
      <vt:lpstr>'Schedule 1B - Projected Plant'!Print_Titles</vt:lpstr>
      <vt:lpstr>'Schedule 2 - ADIT'!Print_Titles</vt:lpstr>
      <vt:lpstr>'Schedule 4 - Regulatory Assets'!Print_Titles</vt:lpstr>
      <vt:lpstr>'Schedule 5 Misc Def Debits'!Print_Titles</vt:lpstr>
      <vt:lpstr>'Schedule 6 (Reserved)'!Print_Titles</vt:lpstr>
      <vt:lpstr>'Schedule 7 - Working capital'!Print_Titles</vt:lpstr>
      <vt:lpstr>'Schedule 8 Other Deferred'!Print_Titles</vt:lpstr>
      <vt:lpstr>'Schedule 9 O&amp;M'!Print_Titles</vt:lpstr>
      <vt:lpstr>'Schedule12A FERC p328'!Print_Titles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Jason</dc:creator>
  <cp:lastModifiedBy>Blackman, Marc</cp:lastModifiedBy>
  <cp:lastPrinted>2017-04-21T21:09:12Z</cp:lastPrinted>
  <dcterms:created xsi:type="dcterms:W3CDTF">2015-02-10T00:13:12Z</dcterms:created>
  <dcterms:modified xsi:type="dcterms:W3CDTF">2017-05-01T19:15:17Z</dcterms:modified>
</cp:coreProperties>
</file>