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57506\"/>
    </mc:Choice>
  </mc:AlternateContent>
  <bookViews>
    <workbookView xWindow="0" yWindow="0" windowWidth="25200" windowHeight="12576" tabRatio="944"/>
  </bookViews>
  <sheets>
    <sheet name="Nonlevelized-EIA 412" sheetId="19" r:id="rId1"/>
    <sheet name="Schedule 2" sheetId="1" r:id="rId2"/>
    <sheet name="Schedule 3" sheetId="4" r:id="rId3"/>
    <sheet name="Schedule 4" sheetId="8" r:id="rId4"/>
    <sheet name="Schedule 5" sheetId="7" r:id="rId5"/>
    <sheet name="Schedule 7" sheetId="5" r:id="rId6"/>
    <sheet name="Salaries" sheetId="18" r:id="rId7"/>
    <sheet name="Detailed Rev. and O&amp;M" sheetId="11" r:id="rId8"/>
    <sheet name="Other Data" sheetId="15" r:id="rId9"/>
    <sheet name="Acct 456.1"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__C_._RIGHT_" localSheetId="6">#REF!</definedName>
    <definedName name="\___C_._RIGHT_">#REF!</definedName>
    <definedName name="\C" localSheetId="6">#REF!</definedName>
    <definedName name="\C">#REF!</definedName>
    <definedName name="\D" localSheetId="6">#REF!</definedName>
    <definedName name="\D">#REF!</definedName>
    <definedName name="\E" localSheetId="6">#REF!</definedName>
    <definedName name="\E">#REF!</definedName>
    <definedName name="\p" localSheetId="8">#REF!</definedName>
    <definedName name="\p" localSheetId="6">#REF!</definedName>
    <definedName name="\p">#REF!</definedName>
    <definedName name="\S" localSheetId="6">#REF!</definedName>
    <definedName name="\S">#REF!</definedName>
    <definedName name="\U" localSheetId="6">#REF!</definedName>
    <definedName name="\U">#REF!</definedName>
    <definedName name="\V" localSheetId="6">#REF!</definedName>
    <definedName name="\V">#REF!</definedName>
    <definedName name="\W" localSheetId="6">#REF!</definedName>
    <definedName name="\W">#REF!</definedName>
    <definedName name="____C_._DOWN_" localSheetId="6">#REF!</definedName>
    <definedName name="____C_._DOWN_">#REF!</definedName>
    <definedName name="__123Graph_A" localSheetId="8" hidden="1">[1]Sheet3!#REF!</definedName>
    <definedName name="__123Graph_A" localSheetId="6" hidden="1">[1]Sheet3!#REF!</definedName>
    <definedName name="__123Graph_A" hidden="1">[1]Sheet3!#REF!</definedName>
    <definedName name="__123Graph_A1991" localSheetId="6" hidden="1">[1]Sheet3!#REF!</definedName>
    <definedName name="__123Graph_A1991" hidden="1">[1]Sheet3!#REF!</definedName>
    <definedName name="__123Graph_A1992" localSheetId="6" hidden="1">[1]Sheet3!#REF!</definedName>
    <definedName name="__123Graph_A1992" hidden="1">[1]Sheet3!#REF!</definedName>
    <definedName name="__123Graph_A1993" localSheetId="6" hidden="1">[1]Sheet3!#REF!</definedName>
    <definedName name="__123Graph_A1993" hidden="1">[1]Sheet3!#REF!</definedName>
    <definedName name="__123Graph_A1994" localSheetId="6" hidden="1">[1]Sheet3!#REF!</definedName>
    <definedName name="__123Graph_A1994" hidden="1">[1]Sheet3!#REF!</definedName>
    <definedName name="__123Graph_A1995" localSheetId="6" hidden="1">[1]Sheet3!#REF!</definedName>
    <definedName name="__123Graph_A1995" hidden="1">[1]Sheet3!#REF!</definedName>
    <definedName name="__123Graph_A1996" localSheetId="6" hidden="1">[1]Sheet3!#REF!</definedName>
    <definedName name="__123Graph_A1996" hidden="1">[1]Sheet3!#REF!</definedName>
    <definedName name="__123Graph_ABAR" localSheetId="6" hidden="1">[1]Sheet3!#REF!</definedName>
    <definedName name="__123Graph_ABAR" hidden="1">[1]Sheet3!#REF!</definedName>
    <definedName name="__123Graph_B" localSheetId="6" hidden="1">[1]Sheet3!#REF!</definedName>
    <definedName name="__123Graph_B" hidden="1">[1]Sheet3!#REF!</definedName>
    <definedName name="__123Graph_B1991" localSheetId="6" hidden="1">[1]Sheet3!#REF!</definedName>
    <definedName name="__123Graph_B1991" hidden="1">[1]Sheet3!#REF!</definedName>
    <definedName name="__123Graph_B1992" localSheetId="6" hidden="1">[1]Sheet3!#REF!</definedName>
    <definedName name="__123Graph_B1992" hidden="1">[1]Sheet3!#REF!</definedName>
    <definedName name="__123Graph_B1993" localSheetId="6" hidden="1">[1]Sheet3!#REF!</definedName>
    <definedName name="__123Graph_B1993" hidden="1">[1]Sheet3!#REF!</definedName>
    <definedName name="__123Graph_B1994" localSheetId="6" hidden="1">[1]Sheet3!#REF!</definedName>
    <definedName name="__123Graph_B1994" hidden="1">[1]Sheet3!#REF!</definedName>
    <definedName name="__123Graph_B1995" localSheetId="6" hidden="1">[1]Sheet3!#REF!</definedName>
    <definedName name="__123Graph_B1995" hidden="1">[1]Sheet3!#REF!</definedName>
    <definedName name="__123Graph_B1996" localSheetId="6" hidden="1">[1]Sheet3!#REF!</definedName>
    <definedName name="__123Graph_B1996" hidden="1">[1]Sheet3!#REF!</definedName>
    <definedName name="__123Graph_BBAR" localSheetId="6" hidden="1">[1]Sheet3!#REF!</definedName>
    <definedName name="__123Graph_BBAR" hidden="1">[1]Sheet3!#REF!</definedName>
    <definedName name="__123Graph_CBAR" localSheetId="6" hidden="1">[1]Sheet3!#REF!</definedName>
    <definedName name="__123Graph_CBAR" hidden="1">[1]Sheet3!#REF!</definedName>
    <definedName name="__123Graph_DBAR" localSheetId="6" hidden="1">[1]Sheet3!#REF!</definedName>
    <definedName name="__123Graph_DBAR" hidden="1">[1]Sheet3!#REF!</definedName>
    <definedName name="__123Graph_EBAR" localSheetId="6" hidden="1">[1]Sheet3!#REF!</definedName>
    <definedName name="__123Graph_EBAR" hidden="1">[1]Sheet3!#REF!</definedName>
    <definedName name="__123Graph_FBAR" localSheetId="6" hidden="1">[1]Sheet3!#REF!</definedName>
    <definedName name="__123Graph_FBAR" hidden="1">[1]Sheet3!#REF!</definedName>
    <definedName name="__123Graph_X" localSheetId="6" hidden="1">[1]Sheet3!#REF!</definedName>
    <definedName name="__123Graph_X" hidden="1">[1]Sheet3!#REF!</definedName>
    <definedName name="__123Graph_X1991" localSheetId="6" hidden="1">[1]Sheet3!#REF!</definedName>
    <definedName name="__123Graph_X1991" hidden="1">[1]Sheet3!#REF!</definedName>
    <definedName name="__123Graph_X1992" localSheetId="6" hidden="1">[1]Sheet3!#REF!</definedName>
    <definedName name="__123Graph_X1992" hidden="1">[1]Sheet3!#REF!</definedName>
    <definedName name="__123Graph_X1993" localSheetId="6" hidden="1">[1]Sheet3!#REF!</definedName>
    <definedName name="__123Graph_X1993" hidden="1">[1]Sheet3!#REF!</definedName>
    <definedName name="__123Graph_X1994" localSheetId="6" hidden="1">[1]Sheet3!#REF!</definedName>
    <definedName name="__123Graph_X1994" hidden="1">[1]Sheet3!#REF!</definedName>
    <definedName name="__123Graph_X1995" localSheetId="6" hidden="1">[1]Sheet3!#REF!</definedName>
    <definedName name="__123Graph_X1995" hidden="1">[1]Sheet3!#REF!</definedName>
    <definedName name="__123Graph_X1996" localSheetId="6" hidden="1">[1]Sheet3!#REF!</definedName>
    <definedName name="__123Graph_X1996" hidden="1">[1]Sheet3!#REF!</definedName>
    <definedName name="_Check_Input" localSheetId="8">#REF!</definedName>
    <definedName name="_Check_Input" localSheetId="6">#REF!</definedName>
    <definedName name="_Check_Input">#REF!</definedName>
    <definedName name="_Checks" localSheetId="6">#REF!</definedName>
    <definedName name="_Checks">#REF!</definedName>
    <definedName name="_CurrCase" localSheetId="8">[2]DANDE!#REF!</definedName>
    <definedName name="_CurrCase" localSheetId="6">[3]DANDE!#REF!</definedName>
    <definedName name="_CurrCase">[3]DANDE!#REF!</definedName>
    <definedName name="_Data_Query" localSheetId="8">#REF!</definedName>
    <definedName name="_Data_Query" localSheetId="6">#REF!</definedName>
    <definedName name="_Data_Query">#REF!</definedName>
    <definedName name="_Data_Query2" localSheetId="8">#REF!</definedName>
    <definedName name="_Data_Query2" localSheetId="6">#REF!</definedName>
    <definedName name="_Data_Query2">#REF!</definedName>
    <definedName name="_DATE_87__?___?" localSheetId="6">#REF!</definedName>
    <definedName name="_DATE_87__?___?">#REF!</definedName>
    <definedName name="_End_Yr" localSheetId="8">#REF!</definedName>
    <definedName name="_End_Yr" localSheetId="6">#REF!</definedName>
    <definedName name="_End_Yr">#REF!</definedName>
    <definedName name="_EndYr2" localSheetId="6">#REF!</definedName>
    <definedName name="_EndYr2">#REF!</definedName>
    <definedName name="_FC_ID" localSheetId="6">#REF!</definedName>
    <definedName name="_FC_ID">#REF!</definedName>
    <definedName name="_FC_Query" localSheetId="6">#REF!</definedName>
    <definedName name="_FC_Query">#REF!</definedName>
    <definedName name="_FC_Table" localSheetId="6">#REF!</definedName>
    <definedName name="_FC_Table">#REF!</definedName>
    <definedName name="_FEB01" localSheetId="8" hidden="1">{#N/A,#N/A,FALSE,"EMPPAY"}</definedName>
    <definedName name="_FEB01" hidden="1">{#N/A,#N/A,FALSE,"EMPPAY"}</definedName>
    <definedName name="_Fill" localSheetId="6" hidden="1">'[4]Exp Detail'!#REF!</definedName>
    <definedName name="_Fill" hidden="1">'[4]Exp Detail'!#REF!</definedName>
    <definedName name="_FS_R" localSheetId="6">#REF!</definedName>
    <definedName name="_FS_R">#REF!</definedName>
    <definedName name="_JAN01" localSheetId="8" hidden="1">{#N/A,#N/A,FALSE,"EMPPAY"}</definedName>
    <definedName name="_JAN01" hidden="1">{#N/A,#N/A,FALSE,"EMPPAY"}</definedName>
    <definedName name="_JAN2001" localSheetId="8" hidden="1">{#N/A,#N/A,FALSE,"EMPPAY"}</definedName>
    <definedName name="_JAN2001" hidden="1">{#N/A,#N/A,FALSE,"EMPPAY"}</definedName>
    <definedName name="_Key1" localSheetId="6" hidden="1">'[4]Exp Detail'!#REF!</definedName>
    <definedName name="_Key1" hidden="1">'[4]Exp Detail'!#REF!</definedName>
    <definedName name="_Meter_Pt" localSheetId="8">#REF!</definedName>
    <definedName name="_Meter_Pt" localSheetId="6">#REF!</definedName>
    <definedName name="_Meter_Pt">#REF!</definedName>
    <definedName name="_Order1" hidden="1">255</definedName>
    <definedName name="_PPR_?__AGAQ" localSheetId="6">#REF!</definedName>
    <definedName name="_PPR_?__AGAQ">#REF!</definedName>
    <definedName name="_Query1a" localSheetId="8">#REF!</definedName>
    <definedName name="_Query1a" localSheetId="6">#REF!</definedName>
    <definedName name="_Query1a">#REF!</definedName>
    <definedName name="_Query1b" localSheetId="8">#REF!</definedName>
    <definedName name="_Query1b" localSheetId="6">#REF!</definedName>
    <definedName name="_Query1b">#REF!</definedName>
    <definedName name="_Query2a" localSheetId="6">#REF!</definedName>
    <definedName name="_Query2a">#REF!</definedName>
    <definedName name="_Query2b" localSheetId="6">#REF!</definedName>
    <definedName name="_Query2b">#REF!</definedName>
    <definedName name="_RE_" localSheetId="6">#REF!</definedName>
    <definedName name="_RE_">#REF!</definedName>
    <definedName name="_RFD1__WCS10_" localSheetId="6">#REF!</definedName>
    <definedName name="_RFD1__WCS10_">#REF!</definedName>
    <definedName name="_RunCase" localSheetId="8">[2]DANDE!#REF!</definedName>
    <definedName name="_RunCase" localSheetId="6">[3]DANDE!#REF!</definedName>
    <definedName name="_RunCase">[3]DANDE!#REF!</definedName>
    <definedName name="_Sort" localSheetId="6" hidden="1">'[4]Exp Detail'!#REF!</definedName>
    <definedName name="_Sort" hidden="1">'[4]Exp Detail'!#REF!</definedName>
    <definedName name="_Split_Mthd" localSheetId="8">#REF!</definedName>
    <definedName name="_Split_Mthd" localSheetId="6">#REF!</definedName>
    <definedName name="_Split_Mthd">#REF!</definedName>
    <definedName name="_Start_Yr" localSheetId="8">#REF!</definedName>
    <definedName name="_Start_Yr" localSheetId="6">#REF!</definedName>
    <definedName name="_Start_Yr">#REF!</definedName>
    <definedName name="_StartYr2" localSheetId="8">#REF!</definedName>
    <definedName name="_StartYr2" localSheetId="6">#REF!</definedName>
    <definedName name="_StartYr2">#REF!</definedName>
    <definedName name="_WCS_?__" localSheetId="6">#REF!</definedName>
    <definedName name="_WCS_?__">#REF!</definedName>
    <definedName name="_WIC_" localSheetId="6">#REF!</definedName>
    <definedName name="_WIC_">#REF!</definedName>
    <definedName name="_WIR_" localSheetId="6">#REF!</definedName>
    <definedName name="_WIR_">#REF!</definedName>
    <definedName name="A" localSheetId="8" hidden="1">{#N/A,#N/A,FALSE,"EMPPAY"}</definedName>
    <definedName name="A" hidden="1">{#N/A,#N/A,FALSE,"EMPPAY"}</definedName>
    <definedName name="Adjusted_KW">[5]CALCULATIONS!$C$29</definedName>
    <definedName name="CIP_Year" localSheetId="8">OFFSET(#REF!,0,0,COUNTA(#REF!)-1,1)</definedName>
    <definedName name="CIP_Year" localSheetId="6">OFFSET(#REF!,0,0,COUNTA(#REF!)-1,1)</definedName>
    <definedName name="CIP_Year">OFFSET(#REF!,0,0,COUNTA(#REF!)-1,1)</definedName>
    <definedName name="Coincidence_Factor" localSheetId="8">[5]CALCULATIONS!#REF!</definedName>
    <definedName name="Coincidence_Factor" localSheetId="6">[5]CALCULATIONS!#REF!</definedName>
    <definedName name="Coincidence_Factor">[5]CALCULATIONS!#REF!</definedName>
    <definedName name="CROD_S" localSheetId="8">'[6]Brewster Purchases'!#REF!</definedName>
    <definedName name="CROD_S" localSheetId="6">'[6]Brewster Purchases'!#REF!</definedName>
    <definedName name="CROD_S">'[6]Brewster Purchases'!#REF!</definedName>
    <definedName name="Current_Year">'[7]Electric Fund Historical'!$D$1</definedName>
    <definedName name="CUSTAR" localSheetId="8">#REF!</definedName>
    <definedName name="CUSTAR" localSheetId="6">#REF!</definedName>
    <definedName name="CUSTAR">#REF!</definedName>
    <definedName name="CUYAHOGA_FALLS" localSheetId="8">#REF!</definedName>
    <definedName name="CUYAHOGA_FALLS" localSheetId="6">#REF!</definedName>
    <definedName name="CUYAHOGA_FALLS">#REF!</definedName>
    <definedName name="_xlnm.Database" localSheetId="8">OFFSET(#REF!,0,0,COUNTA(#REF!),11)</definedName>
    <definedName name="_xlnm.Database" localSheetId="6">OFFSET(#REF!,0,0,COUNTA(#REF!),11)</definedName>
    <definedName name="_xlnm.Database">OFFSET(#REF!,0,0,COUNTA(#REF!),11)</definedName>
    <definedName name="DEC00" localSheetId="8" hidden="1">{#N/A,#N/A,FALSE,"ARREC"}</definedName>
    <definedName name="DEC00" hidden="1">{#N/A,#N/A,FALSE,"ARREC"}</definedName>
    <definedName name="EDGERTON" localSheetId="8">#REF!</definedName>
    <definedName name="EDGERTON" localSheetId="6">#REF!</definedName>
    <definedName name="EDGERTON">#REF!</definedName>
    <definedName name="Ellwood_City" localSheetId="8">#REF!</definedName>
    <definedName name="Ellwood_City" localSheetId="6">#REF!</definedName>
    <definedName name="Ellwood_City">#REF!</definedName>
    <definedName name="ELMORE" localSheetId="8">#REF!</definedName>
    <definedName name="ELMORE" localSheetId="6">#REF!</definedName>
    <definedName name="ELMORE">#REF!</definedName>
    <definedName name="FEB00" localSheetId="8" hidden="1">{#N/A,#N/A,FALSE,"ARREC"}</definedName>
    <definedName name="FEB00" hidden="1">{#N/A,#N/A,FALSE,"ARREC"}</definedName>
    <definedName name="GALION" localSheetId="8">#REF!</definedName>
    <definedName name="GALION" localSheetId="6">#REF!</definedName>
    <definedName name="GALION">#REF!</definedName>
    <definedName name="GENOA" localSheetId="8">#REF!</definedName>
    <definedName name="GENOA" localSheetId="6">#REF!</definedName>
    <definedName name="GENOA">#REF!</definedName>
    <definedName name="GENOA_NORTH" localSheetId="8">#REF!</definedName>
    <definedName name="GENOA_NORTH" localSheetId="6">#REF!</definedName>
    <definedName name="GENOA_NORTH">#REF!</definedName>
    <definedName name="GENOA_SOUTH" localSheetId="6">#REF!</definedName>
    <definedName name="GENOA_SOUTH">#REF!</definedName>
    <definedName name="GRAFTON" localSheetId="6">#REF!</definedName>
    <definedName name="GRAFTON">#REF!</definedName>
    <definedName name="Grove_City" localSheetId="6">#REF!</definedName>
    <definedName name="Grove_City">#REF!</definedName>
    <definedName name="HASKINS" localSheetId="6">#REF!</definedName>
    <definedName name="HASKINS">#REF!</definedName>
    <definedName name="hourending" localSheetId="6">#REF!</definedName>
    <definedName name="hourending">#REF!</definedName>
    <definedName name="Hours">[5]CALCULATIONS!$C$11</definedName>
    <definedName name="HUBBARD" localSheetId="8">#REF!</definedName>
    <definedName name="HUBBARD" localSheetId="6">#REF!</definedName>
    <definedName name="HUBBARD">#REF!</definedName>
    <definedName name="LHMonth" localSheetId="6">#REF!</definedName>
    <definedName name="LHMonth">#REF!</definedName>
    <definedName name="LHYear" localSheetId="6">#REF!</definedName>
    <definedName name="LHYear">#REF!</definedName>
    <definedName name="Load_Factor" localSheetId="6">[5]CALCULATIONS!#REF!</definedName>
    <definedName name="Load_Factor">[5]CALCULATIONS!#REF!</definedName>
    <definedName name="LODI" localSheetId="8">#REF!</definedName>
    <definedName name="LODI" localSheetId="6">#REF!</definedName>
    <definedName name="LODI">#REF!</definedName>
    <definedName name="Loss_KW">[5]CALCULATIONS!$C$40</definedName>
    <definedName name="Loss_kWh">[5]CALCULATIONS!$E$40</definedName>
    <definedName name="Loss_Rate">[5]CALCULATIONS!$B$40</definedName>
    <definedName name="LUCAS" localSheetId="8">#REF!</definedName>
    <definedName name="LUCAS" localSheetId="6">#REF!</definedName>
    <definedName name="LUCAS">#REF!</definedName>
    <definedName name="MAY" localSheetId="8" hidden="1">{#N/A,#N/A,FALSE,"EMPPAY"}</definedName>
    <definedName name="MAY" hidden="1">{#N/A,#N/A,FALSE,"EMPPAY"}</definedName>
    <definedName name="MILAN" localSheetId="8">#REF!</definedName>
    <definedName name="MILAN" localSheetId="6">#REF!</definedName>
    <definedName name="MILAN">#REF!</definedName>
    <definedName name="MONROEVILLE" localSheetId="8">#REF!</definedName>
    <definedName name="MONROEVILLE" localSheetId="6">#REF!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 localSheetId="8">#REF!</definedName>
    <definedName name="NAPOLEON" localSheetId="6">#REF!</definedName>
    <definedName name="NAPOLEON">#REF!</definedName>
    <definedName name="NEASG" localSheetId="8">#REF!</definedName>
    <definedName name="NEASG" localSheetId="6">#REF!</definedName>
    <definedName name="NEASG">#REF!</definedName>
    <definedName name="New_Wilmington" localSheetId="8">#REF!</definedName>
    <definedName name="New_Wilmington" localSheetId="6">#REF!</definedName>
    <definedName name="New_Wilmington">#REF!</definedName>
    <definedName name="NEWTON_FALLS" localSheetId="6">#REF!</definedName>
    <definedName name="NEWTON_FALLS">#REF!</definedName>
    <definedName name="NILES" localSheetId="6">#REF!</definedName>
    <definedName name="NILES">#REF!</definedName>
    <definedName name="NWASG" localSheetId="6">#REF!</definedName>
    <definedName name="NWASG">#REF!</definedName>
    <definedName name="OAK_HARBOR" localSheetId="6">#REF!</definedName>
    <definedName name="OAK_HARBOR">#REF!</definedName>
    <definedName name="OBERLIN" localSheetId="6">#REF!</definedName>
    <definedName name="OBERLIN">#REF!</definedName>
    <definedName name="PEAK" localSheetId="6">[5]TRANSMISSION!#REF!</definedName>
    <definedName name="PEAK">[5]TRANSMISSION!#REF!</definedName>
    <definedName name="PEMBERVILLE" localSheetId="8">#REF!</definedName>
    <definedName name="PEMBERVILLE" localSheetId="6">#REF!</definedName>
    <definedName name="PEMBERVILLE">#REF!</definedName>
    <definedName name="PIONEER" localSheetId="8">#REF!</definedName>
    <definedName name="PIONEER" localSheetId="6">#REF!</definedName>
    <definedName name="PIONEER">#REF!</definedName>
    <definedName name="Previous_Meter_Reading">[5]CALCULATIONS!$C$16</definedName>
    <definedName name="_xlnm.Print_Area" localSheetId="7">'Detailed Rev. and O&amp;M'!$A$5:$F$641</definedName>
    <definedName name="_xlnm.Print_Area" localSheetId="0">'Nonlevelized-EIA 412'!$A$1:$K$316</definedName>
    <definedName name="_xlnm.Print_Area" localSheetId="8">'Other Data'!$A$1:$E$32</definedName>
    <definedName name="_xlnm.Print_Area" localSheetId="6">Salaries!$A$1:$I$57</definedName>
    <definedName name="_xlnm.Print_Area" localSheetId="1">'Schedule 2'!$A$1:$F$56</definedName>
    <definedName name="_xlnm.Print_Area" localSheetId="2">'Schedule 3'!$A$1:$C$31</definedName>
    <definedName name="_xlnm.Print_Area">#REF!</definedName>
    <definedName name="Print_Area_MI" localSheetId="8">#REF!</definedName>
    <definedName name="Print_Area_MI" localSheetId="6">#REF!</definedName>
    <definedName name="Print_Area_MI">#REF!</definedName>
    <definedName name="_xlnm.Print_Titles" localSheetId="7">'Detailed Rev. and O&amp;M'!$A:$E,'Detailed Rev. and O&amp;M'!$1:$4</definedName>
    <definedName name="Print_Titles_MI" localSheetId="8">#REF!</definedName>
    <definedName name="Print_Titles_MI" localSheetId="6">#REF!</definedName>
    <definedName name="Print_Titles_MI">#REF!</definedName>
    <definedName name="PROSPECT" localSheetId="6">#REF!</definedName>
    <definedName name="PROSPECT">#REF!</definedName>
    <definedName name="queryp1" localSheetId="8">[2]DANDE!#REF!</definedName>
    <definedName name="queryp1" localSheetId="6">[3]DANDE!#REF!</definedName>
    <definedName name="queryp1">[3]DANDE!#REF!</definedName>
    <definedName name="Reading_Date">[5]CALCULATIONS!$C$8</definedName>
    <definedName name="revreq" localSheetId="8">#REF!</definedName>
    <definedName name="revreq" localSheetId="6">#REF!</definedName>
    <definedName name="revreq">#REF!</definedName>
    <definedName name="Service_Metered">[5]CALCULATIONS!$C$19</definedName>
    <definedName name="SEVILLE" localSheetId="8">#REF!</definedName>
    <definedName name="SEVILLE" localSheetId="6">#REF!</definedName>
    <definedName name="SEVILLE">#REF!</definedName>
    <definedName name="SOUTH_VIENNA" localSheetId="8">#REF!</definedName>
    <definedName name="SOUTH_VIENNA" localSheetId="6">#REF!</definedName>
    <definedName name="SOUTH_VIENNA">#REF!</definedName>
    <definedName name="TEST" localSheetId="8" hidden="1">{#N/A,#N/A,FALSE,"EMPPAY"}</definedName>
    <definedName name="TEST" hidden="1">{#N/A,#N/A,FALSE,"EMPPAY"}</definedName>
    <definedName name="TOTAL_COLUMBIANA" localSheetId="8">#REF!</definedName>
    <definedName name="TOTAL_COLUMBIANA" localSheetId="6">#REF!</definedName>
    <definedName name="TOTAL_COLUMBIANA">#REF!</definedName>
    <definedName name="Total_Grove_City" localSheetId="8">#REF!</definedName>
    <definedName name="Total_Grove_City" localSheetId="6">#REF!</definedName>
    <definedName name="Total_Grove_City">#REF!</definedName>
    <definedName name="TOTAL_HUDSON" localSheetId="8">#REF!</definedName>
    <definedName name="TOTAL_HUDSON" localSheetId="6">#REF!</definedName>
    <definedName name="TOTAL_HUDSON">#REF!</definedName>
    <definedName name="Total_kWh">[5]CALCULATIONS!$C$21</definedName>
    <definedName name="TOTAL_MONTPELIER" localSheetId="8">#REF!</definedName>
    <definedName name="TOTAL_MONTPELIER" localSheetId="6">#REF!</definedName>
    <definedName name="TOTAL_MONTPELIER">#REF!</definedName>
    <definedName name="TOTAL_WOODVILLE" localSheetId="8">#REF!</definedName>
    <definedName name="TOTAL_WOODVILLE" localSheetId="6">#REF!</definedName>
    <definedName name="TOTAL_WOODVILLE">#REF!</definedName>
    <definedName name="TOTALS" localSheetId="6">#REF!</definedName>
    <definedName name="TOTALS">#REF!</definedName>
    <definedName name="TRANSMISSION_PEAK">[5]TRANSMISSION!$C$15</definedName>
    <definedName name="username" localSheetId="8">[2]DANDE!#REF!</definedName>
    <definedName name="username" localSheetId="6">[3]DANDE!#REF!</definedName>
    <definedName name="username">[3]DANDE!#REF!</definedName>
    <definedName name="WADSWORTH" localSheetId="8">#REF!</definedName>
    <definedName name="WADSWORTH" localSheetId="6">#REF!</definedName>
    <definedName name="WADSWORTH">#REF!</definedName>
    <definedName name="WAPA_CROD" localSheetId="8">[5]CALCULATIONS!#REF!</definedName>
    <definedName name="WAPA_CROD" localSheetId="6">[5]CALCULATIONS!#REF!</definedName>
    <definedName name="WAPA_CROD">[5]CALCULATIONS!#REF!</definedName>
    <definedName name="WAPA_Demand">[5]CALCULATIONS!$C$33</definedName>
    <definedName name="WAPA_Energy">[5]CALCULATIONS!$C$32</definedName>
    <definedName name="WESTERN_DEMAND" localSheetId="8">[5]CALCULATIONS!#REF!</definedName>
    <definedName name="WESTERN_DEMAND" localSheetId="6">[5]CALCULATIONS!#REF!</definedName>
    <definedName name="WESTERN_DEMAND">[5]CALCULATIONS!#REF!</definedName>
    <definedName name="WESTERN_ENERGY" localSheetId="8">[5]CALCULATIONS!#REF!</definedName>
    <definedName name="WESTERN_ENERGY" localSheetId="6">[5]CALCULATIONS!#REF!</definedName>
    <definedName name="WESTERN_ENERGY">[5]CALCULATIONS!#REF!</definedName>
    <definedName name="wrn.ARREC." localSheetId="8" hidden="1">{#N/A,#N/A,FALSE,"ARREC"}</definedName>
    <definedName name="wrn.ARREC." hidden="1">{#N/A,#N/A,FALSE,"ARREC"}</definedName>
    <definedName name="wrn.EMPPAY." localSheetId="8" hidden="1">{#N/A,#N/A,FALSE,"EMPPAY"}</definedName>
    <definedName name="wrn.EMPPAY." hidden="1">{#N/A,#N/A,FALSE,"EMPPAY"}</definedName>
    <definedName name="xx" localSheetId="8" hidden="1">{#N/A,#N/A,FALSE,"EMPPAY"}</definedName>
    <definedName name="xx" hidden="1">{#N/A,#N/A,FALSE,"EMPPAY"}</definedName>
    <definedName name="Year" localSheetId="8">OFFSET(#REF!,0,0,COUNTA(#REF!),1)</definedName>
    <definedName name="Year" localSheetId="6">OFFSET(#REF!,0,0,COUNTA(#REF!),1)</definedName>
    <definedName name="Year">OFFSET(#REF!,0,0,COUNTA(#REF!),1)</definedName>
  </definedNames>
  <calcPr calcId="152511"/>
</workbook>
</file>

<file path=xl/calcChain.xml><?xml version="1.0" encoding="utf-8"?>
<calcChain xmlns="http://schemas.openxmlformats.org/spreadsheetml/2006/main">
  <c r="D149" i="19" l="1"/>
  <c r="D152" i="19" l="1"/>
  <c r="H29" i="5"/>
  <c r="H27" i="5"/>
  <c r="H25" i="5"/>
  <c r="H23" i="5"/>
  <c r="G31" i="5"/>
  <c r="C8" i="7" s="1"/>
  <c r="D168" i="19" s="1"/>
  <c r="D154" i="19" l="1"/>
  <c r="B8" i="17" l="1"/>
  <c r="B14" i="17"/>
  <c r="B13" i="17"/>
  <c r="C22" i="17" l="1"/>
  <c r="B22" i="17"/>
  <c r="D8" i="17"/>
  <c r="B20" i="17"/>
  <c r="B19" i="17"/>
  <c r="B12" i="17"/>
  <c r="B15" i="17"/>
  <c r="B16" i="17"/>
  <c r="B11" i="17"/>
  <c r="B18" i="17"/>
  <c r="B17" i="17"/>
  <c r="B10" i="17"/>
  <c r="B9" i="17"/>
  <c r="P249" i="19"/>
  <c r="Q249" i="19" s="1"/>
  <c r="P248" i="19"/>
  <c r="Q248" i="19" s="1"/>
  <c r="P245" i="19"/>
  <c r="Q245" i="19" s="1"/>
  <c r="P233" i="19"/>
  <c r="P234" i="19"/>
  <c r="P235" i="19"/>
  <c r="Q235" i="19" s="1"/>
  <c r="P232" i="19"/>
  <c r="Q234" i="19"/>
  <c r="Q232" i="19"/>
  <c r="P161" i="19"/>
  <c r="Q161" i="19" s="1"/>
  <c r="P100" i="19"/>
  <c r="Q100" i="19" s="1"/>
  <c r="P92" i="19"/>
  <c r="Q92" i="19" s="1"/>
  <c r="P84" i="19"/>
  <c r="Q84" i="19" s="1"/>
  <c r="D14" i="4" l="1"/>
  <c r="D12" i="4"/>
  <c r="C11" i="1"/>
  <c r="F597" i="11" l="1"/>
  <c r="F569" i="11"/>
  <c r="F555" i="11"/>
  <c r="F537" i="11"/>
  <c r="F519" i="11"/>
  <c r="F462" i="11"/>
  <c r="F455" i="11"/>
  <c r="F440" i="11"/>
  <c r="F421" i="11"/>
  <c r="F404" i="11"/>
  <c r="F385" i="11"/>
  <c r="F368" i="11"/>
  <c r="F277" i="11"/>
  <c r="F271" i="11"/>
  <c r="F240" i="11"/>
  <c r="F238" i="11"/>
  <c r="F200" i="11"/>
  <c r="F160" i="11"/>
  <c r="F66" i="11"/>
  <c r="F65" i="11"/>
  <c r="F47" i="11"/>
  <c r="E55" i="18"/>
  <c r="E53" i="18"/>
  <c r="E52" i="18"/>
  <c r="E51" i="18"/>
  <c r="E50" i="18"/>
  <c r="E47" i="18"/>
  <c r="E45" i="18"/>
  <c r="F41" i="18"/>
  <c r="F39" i="18"/>
  <c r="F35" i="18"/>
  <c r="F34" i="18"/>
  <c r="E31" i="18"/>
  <c r="E29" i="18"/>
  <c r="E26" i="18"/>
  <c r="F16" i="18"/>
  <c r="F15" i="18"/>
  <c r="E12" i="18"/>
  <c r="E10" i="18"/>
  <c r="A4" i="5" l="1"/>
  <c r="D245" i="19"/>
  <c r="D174" i="19"/>
  <c r="D162" i="19"/>
  <c r="D161" i="19"/>
  <c r="D151" i="19"/>
  <c r="D119" i="19"/>
  <c r="D93" i="19"/>
  <c r="D94" i="19"/>
  <c r="D92" i="19"/>
  <c r="D91" i="19"/>
  <c r="D276" i="19" l="1"/>
  <c r="D275" i="19"/>
  <c r="K274" i="19"/>
  <c r="C274" i="19"/>
  <c r="B274" i="19"/>
  <c r="I259" i="19"/>
  <c r="G249" i="19"/>
  <c r="D211" i="19"/>
  <c r="D209" i="19"/>
  <c r="K208" i="19"/>
  <c r="D208" i="19"/>
  <c r="B208" i="19"/>
  <c r="D178" i="19"/>
  <c r="D182" i="19" s="1"/>
  <c r="D186" i="19" s="1"/>
  <c r="D175" i="19"/>
  <c r="F173" i="19"/>
  <c r="F169" i="19"/>
  <c r="D164" i="19"/>
  <c r="B163" i="19"/>
  <c r="B161" i="19"/>
  <c r="I157" i="19"/>
  <c r="F155" i="19"/>
  <c r="F154" i="19"/>
  <c r="F153" i="19"/>
  <c r="I150" i="19"/>
  <c r="D144" i="19"/>
  <c r="D142" i="19"/>
  <c r="K141" i="19"/>
  <c r="D141" i="19"/>
  <c r="B141" i="19"/>
  <c r="F114" i="19"/>
  <c r="D112" i="19"/>
  <c r="F110" i="19"/>
  <c r="D103" i="19"/>
  <c r="B103" i="19"/>
  <c r="B101" i="19"/>
  <c r="B100" i="19"/>
  <c r="D96" i="19"/>
  <c r="F95" i="19"/>
  <c r="B95" i="19"/>
  <c r="F94" i="19"/>
  <c r="B94" i="19"/>
  <c r="B102" i="19" s="1"/>
  <c r="G93" i="19"/>
  <c r="F93" i="19"/>
  <c r="B93" i="19"/>
  <c r="F92" i="19"/>
  <c r="B92" i="19"/>
  <c r="G91" i="19"/>
  <c r="F91" i="19"/>
  <c r="B91" i="19"/>
  <c r="B99" i="19" s="1"/>
  <c r="D78" i="19"/>
  <c r="D76" i="19"/>
  <c r="K75" i="19"/>
  <c r="D75" i="19"/>
  <c r="B75" i="19"/>
  <c r="I46" i="19"/>
  <c r="I45" i="19"/>
  <c r="I34" i="19"/>
  <c r="D36" i="19" s="1"/>
  <c r="I22" i="19"/>
  <c r="F15" i="19"/>
  <c r="D14" i="19"/>
  <c r="D41" i="19" l="1"/>
  <c r="I42" i="19"/>
  <c r="I40" i="19"/>
  <c r="D42" i="19"/>
  <c r="D37" i="19"/>
  <c r="D40" i="19"/>
  <c r="I41" i="19"/>
  <c r="F31" i="11" l="1"/>
  <c r="F28" i="1" l="1"/>
  <c r="D248" i="19" s="1"/>
  <c r="G248" i="19" s="1"/>
  <c r="I265" i="19" l="1"/>
  <c r="D9" i="17" l="1"/>
  <c r="D10" i="17"/>
  <c r="D11" i="17"/>
  <c r="D12" i="17"/>
  <c r="D13" i="17"/>
  <c r="D14" i="17"/>
  <c r="D15" i="17"/>
  <c r="D16" i="17"/>
  <c r="D17" i="17"/>
  <c r="D18" i="17"/>
  <c r="D22" i="17" l="1"/>
  <c r="G55" i="18"/>
  <c r="G54" i="18"/>
  <c r="G53" i="18"/>
  <c r="G52" i="18"/>
  <c r="G51" i="18"/>
  <c r="G50" i="18"/>
  <c r="G47" i="18"/>
  <c r="G46" i="18"/>
  <c r="G45" i="18"/>
  <c r="G44" i="18"/>
  <c r="G41" i="18"/>
  <c r="G40" i="18"/>
  <c r="G39" i="18"/>
  <c r="G38" i="18"/>
  <c r="G37" i="18"/>
  <c r="G36" i="18"/>
  <c r="G35" i="18"/>
  <c r="G34" i="18"/>
  <c r="G32" i="18"/>
  <c r="E57" i="18"/>
  <c r="G30" i="18"/>
  <c r="G29" i="18"/>
  <c r="G28" i="18"/>
  <c r="G27" i="18"/>
  <c r="G26" i="18"/>
  <c r="G22" i="18"/>
  <c r="G21" i="18"/>
  <c r="G18" i="18"/>
  <c r="G17" i="18"/>
  <c r="F57" i="18"/>
  <c r="G15" i="18"/>
  <c r="G13" i="18"/>
  <c r="G12" i="18"/>
  <c r="G11" i="18"/>
  <c r="G10" i="18"/>
  <c r="I22" i="18" l="1"/>
  <c r="D233" i="19" s="1"/>
  <c r="I47" i="18"/>
  <c r="D235" i="19" s="1"/>
  <c r="G235" i="19" s="1"/>
  <c r="G16" i="18"/>
  <c r="I18" i="18" s="1"/>
  <c r="D232" i="19" s="1"/>
  <c r="G31" i="18"/>
  <c r="I41" i="18" s="1"/>
  <c r="D234" i="19" s="1"/>
  <c r="G234" i="19" s="1"/>
  <c r="G232" i="19" l="1"/>
  <c r="D236" i="19"/>
  <c r="G57" i="18"/>
  <c r="H44" i="17"/>
  <c r="H43" i="17"/>
  <c r="A2" i="17" l="1"/>
  <c r="A3" i="15"/>
  <c r="H30" i="17"/>
  <c r="H42" i="17" s="1"/>
  <c r="D20" i="17"/>
  <c r="D19" i="17"/>
  <c r="H29" i="17" l="1"/>
  <c r="H38" i="17" s="1"/>
  <c r="H41" i="17" s="1"/>
  <c r="D28" i="15" l="1"/>
  <c r="I264" i="19"/>
  <c r="I268" i="19" s="1"/>
  <c r="D15" i="19" s="1"/>
  <c r="H45" i="17"/>
  <c r="F343" i="11" l="1"/>
  <c r="F362" i="11" s="1"/>
  <c r="I362" i="11" s="1"/>
  <c r="F137" i="11"/>
  <c r="F153" i="11" s="1"/>
  <c r="D26" i="15" l="1"/>
  <c r="D14" i="15"/>
  <c r="F639" i="11" l="1"/>
  <c r="F608" i="11"/>
  <c r="F603" i="11"/>
  <c r="F589" i="11"/>
  <c r="F563" i="11"/>
  <c r="F547" i="11"/>
  <c r="F532" i="11"/>
  <c r="F524" i="11"/>
  <c r="F502" i="11"/>
  <c r="F493" i="11"/>
  <c r="F487" i="11"/>
  <c r="F475" i="11"/>
  <c r="F458" i="11"/>
  <c r="F445" i="11"/>
  <c r="F434" i="11"/>
  <c r="F424" i="11"/>
  <c r="F414" i="11"/>
  <c r="F407" i="11"/>
  <c r="F397" i="11"/>
  <c r="F390" i="11"/>
  <c r="F378" i="11"/>
  <c r="F369" i="11"/>
  <c r="F296" i="11"/>
  <c r="F282" i="11"/>
  <c r="F272" i="11"/>
  <c r="F263" i="11"/>
  <c r="F234" i="11"/>
  <c r="F223" i="11"/>
  <c r="F212" i="11"/>
  <c r="F207" i="11"/>
  <c r="F194" i="11"/>
  <c r="F185" i="11"/>
  <c r="F168" i="11"/>
  <c r="F93" i="11"/>
  <c r="F61" i="11"/>
  <c r="K61" i="11" s="1"/>
  <c r="F52" i="11"/>
  <c r="F42" i="11"/>
  <c r="F18" i="11"/>
  <c r="F632" i="11" l="1"/>
  <c r="F70" i="11"/>
  <c r="F95" i="11" s="1"/>
  <c r="F33" i="11"/>
  <c r="F584" i="11"/>
  <c r="F447" i="11"/>
  <c r="J447" i="11" s="1"/>
  <c r="F306" i="11"/>
  <c r="F265" i="11"/>
  <c r="I265" i="11" s="1"/>
  <c r="F549" i="11"/>
  <c r="I549" i="11" s="1"/>
  <c r="F610" i="11"/>
  <c r="I610" i="11" s="1"/>
  <c r="K93" i="11" l="1"/>
  <c r="F591" i="11"/>
  <c r="I591" i="11" s="1"/>
  <c r="F308" i="11"/>
  <c r="I308" i="11" s="1"/>
  <c r="F615" i="11" l="1"/>
  <c r="F617" i="11" s="1"/>
  <c r="F634" i="11" l="1"/>
  <c r="F641" i="11" s="1"/>
  <c r="K15" i="8"/>
  <c r="K20" i="8" s="1"/>
  <c r="K25" i="8" s="1"/>
  <c r="K28" i="8" s="1"/>
  <c r="K30" i="8" s="1"/>
  <c r="I15" i="8"/>
  <c r="I20" i="8" l="1"/>
  <c r="I25" i="8" s="1"/>
  <c r="I28" i="8" s="1"/>
  <c r="C46" i="1"/>
  <c r="D19" i="5"/>
  <c r="D31" i="5" s="1"/>
  <c r="E19" i="5"/>
  <c r="E31" i="5" s="1"/>
  <c r="D11" i="4" s="1"/>
  <c r="C19" i="5"/>
  <c r="F18" i="5"/>
  <c r="F16" i="5"/>
  <c r="F13" i="5"/>
  <c r="F11" i="5"/>
  <c r="G9" i="8"/>
  <c r="F16" i="1"/>
  <c r="D249" i="19" s="1"/>
  <c r="D250" i="19" s="1"/>
  <c r="F45" i="1"/>
  <c r="F54" i="1"/>
  <c r="F33" i="1"/>
  <c r="C16" i="1"/>
  <c r="C22" i="1" s="1"/>
  <c r="C30" i="1"/>
  <c r="C54" i="1"/>
  <c r="C15" i="8"/>
  <c r="C20" i="8" s="1"/>
  <c r="D15" i="8"/>
  <c r="D20" i="8" s="1"/>
  <c r="D25" i="8" s="1"/>
  <c r="D28" i="8" s="1"/>
  <c r="E15" i="8"/>
  <c r="E20" i="8" s="1"/>
  <c r="E25" i="8" s="1"/>
  <c r="E28" i="8" s="1"/>
  <c r="F15" i="8"/>
  <c r="F20" i="8" s="1"/>
  <c r="F25" i="8" s="1"/>
  <c r="F28" i="8" s="1"/>
  <c r="G27" i="8"/>
  <c r="G19" i="8"/>
  <c r="D86" i="19" s="1"/>
  <c r="D102" i="19" s="1"/>
  <c r="G17" i="8"/>
  <c r="D84" i="19" s="1"/>
  <c r="G14" i="8"/>
  <c r="D83" i="19" s="1"/>
  <c r="G13" i="8"/>
  <c r="G12" i="8"/>
  <c r="G11" i="8"/>
  <c r="G18" i="8"/>
  <c r="D85" i="19" s="1"/>
  <c r="D101" i="19" s="1"/>
  <c r="A1" i="8"/>
  <c r="A4" i="8"/>
  <c r="A2" i="11" s="1"/>
  <c r="G24" i="8"/>
  <c r="G23" i="8"/>
  <c r="G22" i="8"/>
  <c r="A1" i="4"/>
  <c r="A4" i="4"/>
  <c r="C27" i="4"/>
  <c r="F29" i="5"/>
  <c r="F27" i="5"/>
  <c r="F28" i="5"/>
  <c r="F25" i="5"/>
  <c r="F23" i="5"/>
  <c r="F15" i="5"/>
  <c r="H15" i="5" s="1"/>
  <c r="F10" i="5"/>
  <c r="A1" i="5"/>
  <c r="A2" i="18"/>
  <c r="F21" i="5"/>
  <c r="A1" i="7"/>
  <c r="A4" i="7"/>
  <c r="D10" i="4" l="1"/>
  <c r="D158" i="19"/>
  <c r="D117" i="19" s="1"/>
  <c r="D120" i="19" s="1"/>
  <c r="I223" i="19"/>
  <c r="I225" i="19" s="1"/>
  <c r="I215" i="19"/>
  <c r="D100" i="19"/>
  <c r="D99" i="19"/>
  <c r="D104" i="19" s="1"/>
  <c r="D88" i="19"/>
  <c r="E249" i="19"/>
  <c r="I249" i="19" s="1"/>
  <c r="E248" i="19"/>
  <c r="A1" i="17"/>
  <c r="A1" i="11"/>
  <c r="F19" i="5"/>
  <c r="F31" i="5" s="1"/>
  <c r="C15" i="4"/>
  <c r="C16" i="4" s="1"/>
  <c r="G15" i="8"/>
  <c r="F56" i="1"/>
  <c r="C56" i="1"/>
  <c r="C25" i="8"/>
  <c r="G20" i="8"/>
  <c r="I227" i="19" l="1"/>
  <c r="P225" i="19"/>
  <c r="Q225" i="19" s="1"/>
  <c r="D122" i="19"/>
  <c r="I218" i="19"/>
  <c r="I220" i="19" s="1"/>
  <c r="I248" i="19"/>
  <c r="I250" i="19" s="1"/>
  <c r="E250" i="19"/>
  <c r="F57" i="1"/>
  <c r="G25" i="8"/>
  <c r="C28" i="8"/>
  <c r="G28" i="8" s="1"/>
  <c r="D239" i="19" s="1"/>
  <c r="D242" i="19" s="1"/>
  <c r="G240" i="19" s="1"/>
  <c r="E233" i="19" l="1"/>
  <c r="G233" i="19" s="1"/>
  <c r="G236" i="19" s="1"/>
  <c r="I236" i="19" s="1"/>
  <c r="G14" i="19"/>
  <c r="G84" i="19"/>
  <c r="I228" i="19"/>
  <c r="I229" i="19" s="1"/>
  <c r="I253" i="19"/>
  <c r="D179" i="19"/>
  <c r="D189" i="19"/>
  <c r="C18" i="4"/>
  <c r="I617" i="11" s="1"/>
  <c r="G152" i="19" l="1"/>
  <c r="G153" i="19"/>
  <c r="I153" i="19" s="1"/>
  <c r="I240" i="19"/>
  <c r="K240" i="19" s="1"/>
  <c r="G86" i="19"/>
  <c r="G154" i="19"/>
  <c r="I154" i="19" s="1"/>
  <c r="G149" i="19"/>
  <c r="G118" i="19"/>
  <c r="I118" i="19" s="1"/>
  <c r="G92" i="19"/>
  <c r="I84" i="19"/>
  <c r="I14" i="19"/>
  <c r="G15" i="19"/>
  <c r="I15" i="19" s="1"/>
  <c r="P15" i="19" s="1"/>
  <c r="Q15" i="19" s="1"/>
  <c r="G17" i="19"/>
  <c r="I17" i="19" s="1"/>
  <c r="G16" i="19"/>
  <c r="I16" i="19" s="1"/>
  <c r="D185" i="19"/>
  <c r="D187" i="19" s="1"/>
  <c r="D192" i="19" s="1"/>
  <c r="D201" i="19" s="1"/>
  <c r="C23" i="4"/>
  <c r="I152" i="19" l="1"/>
  <c r="G162" i="19"/>
  <c r="G114" i="19"/>
  <c r="I92" i="19"/>
  <c r="I100" i="19" s="1"/>
  <c r="I86" i="19"/>
  <c r="G94" i="19"/>
  <c r="I94" i="19" s="1"/>
  <c r="G87" i="19"/>
  <c r="G156" i="19"/>
  <c r="I18" i="19"/>
  <c r="I149" i="19"/>
  <c r="P149" i="19" s="1"/>
  <c r="Q149" i="19" s="1"/>
  <c r="G151" i="19"/>
  <c r="I151" i="19" s="1"/>
  <c r="P151" i="19" s="1"/>
  <c r="Q151" i="19" s="1"/>
  <c r="G155" i="19"/>
  <c r="I155" i="19" s="1"/>
  <c r="C28" i="4"/>
  <c r="G163" i="19" l="1"/>
  <c r="I163" i="19" s="1"/>
  <c r="I156" i="19"/>
  <c r="I158" i="19" s="1"/>
  <c r="G95" i="19"/>
  <c r="I95" i="19" s="1"/>
  <c r="I96" i="19" s="1"/>
  <c r="P96" i="19" s="1"/>
  <c r="Q96" i="19" s="1"/>
  <c r="I87" i="19"/>
  <c r="I114" i="19"/>
  <c r="G161" i="19"/>
  <c r="I161" i="19" s="1"/>
  <c r="G168" i="19"/>
  <c r="I162" i="19"/>
  <c r="I102" i="19"/>
  <c r="C31" i="4"/>
  <c r="I117" i="19" l="1"/>
  <c r="P117" i="19" s="1"/>
  <c r="Q117" i="19" s="1"/>
  <c r="P158" i="19"/>
  <c r="Q158" i="19" s="1"/>
  <c r="I164" i="19"/>
  <c r="P164" i="19" s="1"/>
  <c r="Q164" i="19" s="1"/>
  <c r="I103" i="19"/>
  <c r="I104" i="19" s="1"/>
  <c r="I88" i="19"/>
  <c r="G169" i="19"/>
  <c r="I169" i="19" s="1"/>
  <c r="I168" i="19"/>
  <c r="G88" i="19" l="1"/>
  <c r="G119" i="19" s="1"/>
  <c r="I119" i="19" s="1"/>
  <c r="P88" i="19"/>
  <c r="Q88" i="19" s="1"/>
  <c r="G104" i="19"/>
  <c r="P104" i="19"/>
  <c r="Q104" i="19" s="1"/>
  <c r="G186" i="19"/>
  <c r="I186" i="19" s="1"/>
  <c r="G108" i="19"/>
  <c r="I120" i="19" l="1"/>
  <c r="P119" i="19"/>
  <c r="Q119" i="19" s="1"/>
  <c r="G171" i="19"/>
  <c r="G173" i="19"/>
  <c r="I171" i="19"/>
  <c r="I108" i="19"/>
  <c r="G109" i="19"/>
  <c r="I173" i="19" l="1"/>
  <c r="G174" i="19"/>
  <c r="I174" i="19" s="1"/>
  <c r="G110" i="19"/>
  <c r="I110" i="19" s="1"/>
  <c r="G111" i="19"/>
  <c r="I111" i="19" s="1"/>
  <c r="I109" i="19"/>
  <c r="I112" i="19" l="1"/>
  <c r="I122" i="19" s="1"/>
  <c r="I175" i="19"/>
  <c r="P175" i="19" s="1"/>
  <c r="Q175" i="19" s="1"/>
  <c r="I189" i="19" l="1"/>
  <c r="P189" i="19" s="1"/>
  <c r="Q189" i="19" s="1"/>
  <c r="P122" i="19"/>
  <c r="Q122" i="19" s="1"/>
  <c r="I185" i="19" l="1"/>
  <c r="I187" i="19" s="1"/>
  <c r="I192" i="19" s="1"/>
  <c r="I201" i="19" l="1"/>
  <c r="P192" i="19"/>
  <c r="Q192" i="19" s="1"/>
  <c r="I11" i="19" l="1"/>
  <c r="P201" i="19"/>
  <c r="Q201" i="19" s="1"/>
  <c r="I24" i="19" l="1"/>
  <c r="P24" i="19" s="1"/>
  <c r="Q24" i="19" s="1"/>
  <c r="P11" i="19"/>
  <c r="Q11" i="19" s="1"/>
</calcChain>
</file>

<file path=xl/comments1.xml><?xml version="1.0" encoding="utf-8"?>
<comments xmlns="http://schemas.openxmlformats.org/spreadsheetml/2006/main">
  <authors>
    <author>Karen Weeden</author>
  </authors>
  <commentList>
    <comment ref="F44" authorId="0" shapeId="0">
      <text>
        <r>
          <rPr>
            <sz val="9"/>
            <color indexed="81"/>
            <rFont val="Tahoma"/>
            <family val="2"/>
          </rPr>
          <t>Accrued Payroll</t>
        </r>
      </text>
    </comment>
  </commentList>
</comments>
</file>

<file path=xl/comments2.xml><?xml version="1.0" encoding="utf-8"?>
<comments xmlns="http://schemas.openxmlformats.org/spreadsheetml/2006/main">
  <authors>
    <author>karen</author>
  </authors>
  <commentList>
    <comment ref="C25" authorId="0" shapeId="0">
      <text>
        <r>
          <rPr>
            <sz val="10"/>
            <color indexed="81"/>
            <rFont val="Tahoma"/>
            <family val="2"/>
          </rPr>
          <t>Fiscal agent fees, credit for Amortized premium on bonds</t>
        </r>
      </text>
    </comment>
  </commentList>
</comments>
</file>

<file path=xl/sharedStrings.xml><?xml version="1.0" encoding="utf-8"?>
<sst xmlns="http://schemas.openxmlformats.org/spreadsheetml/2006/main" count="1359" uniqueCount="913">
  <si>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</si>
  <si>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</si>
  <si>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</si>
  <si>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</si>
  <si>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</si>
  <si>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</si>
  <si>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</si>
  <si>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</si>
  <si>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</si>
  <si>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</si>
  <si>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</si>
  <si>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</si>
  <si>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</si>
  <si>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</si>
  <si>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</si>
  <si>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</si>
  <si>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</si>
  <si>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</si>
  <si>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</si>
  <si>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</si>
  <si>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</si>
  <si>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</si>
  <si>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</si>
  <si>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</si>
  <si>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</si>
  <si>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</si>
  <si>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</si>
  <si>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</si>
  <si>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</si>
  <si>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</si>
  <si>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</si>
  <si>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</si>
  <si>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</si>
  <si>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</si>
  <si>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</si>
  <si>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</si>
  <si>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</si>
  <si>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</si>
  <si>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</si>
  <si>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</si>
  <si>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</si>
  <si>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</si>
  <si>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</si>
  <si>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</si>
  <si>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</si>
  <si>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</si>
  <si>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</si>
  <si>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</si>
  <si>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</si>
  <si>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</si>
  <si>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</si>
  <si>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</si>
  <si>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</si>
  <si>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</si>
  <si>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</si>
  <si>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</si>
  <si>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</si>
  <si>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</si>
  <si>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</si>
  <si>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</si>
  <si>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</si>
  <si>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</si>
  <si>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</si>
  <si>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</si>
  <si>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</si>
  <si>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</si>
  <si>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</si>
  <si>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</si>
  <si>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</si>
  <si>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</si>
  <si>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</si>
  <si>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</si>
  <si>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</si>
  <si>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</si>
  <si>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</si>
  <si>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</si>
  <si>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</si>
  <si>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</si>
  <si>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</si>
  <si>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</si>
  <si>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</si>
  <si>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</si>
  <si>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</si>
  <si>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</si>
  <si>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</si>
  <si>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</si>
  <si>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</si>
  <si>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</si>
  <si>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</si>
  <si>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</si>
  <si>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</si>
  <si>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</si>
  <si>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</si>
  <si>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</si>
  <si>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</si>
  <si>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</si>
  <si>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</si>
  <si>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</si>
  <si>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</si>
  <si>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</si>
  <si>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</si>
  <si>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</si>
  <si>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</si>
  <si>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</si>
  <si>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</si>
  <si>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</si>
  <si>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</si>
  <si>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</si>
  <si>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</si>
  <si>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</si>
  <si>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</si>
  <si>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</si>
  <si>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</si>
  <si>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</si>
  <si>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</si>
  <si>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</si>
  <si>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</si>
  <si>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</si>
  <si>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</si>
  <si>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</si>
  <si>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</si>
  <si>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</si>
  <si>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</si>
  <si>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</si>
  <si>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</si>
  <si>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</si>
  <si>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</si>
  <si>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</si>
  <si>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</si>
  <si>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</si>
  <si>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</si>
  <si>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</si>
  <si>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</si>
  <si>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</si>
  <si>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</si>
  <si>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</si>
  <si>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</si>
  <si>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</si>
  <si>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</si>
  <si>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</si>
  <si>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</si>
  <si>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</si>
  <si>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</si>
  <si>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</si>
  <si>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</si>
  <si>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</si>
  <si>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</si>
  <si>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</si>
  <si>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</si>
  <si>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</si>
  <si>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</si>
  <si>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</si>
  <si>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</si>
  <si>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</si>
  <si>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</si>
  <si>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</si>
  <si>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</si>
  <si>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</si>
  <si>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</si>
  <si>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</si>
  <si>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</si>
  <si>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</si>
  <si>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</si>
  <si>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</si>
  <si>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</si>
  <si>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</si>
  <si>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</si>
  <si>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</si>
  <si>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</si>
  <si>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</si>
  <si>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</si>
  <si>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</si>
  <si>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</si>
  <si>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</si>
  <si>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</si>
  <si>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</si>
  <si>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</si>
  <si>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</si>
  <si>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</si>
  <si>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Attachment O-EIA Non-Levelized Generic</t>
  </si>
  <si>
    <t>Page 1 of 5</t>
  </si>
  <si>
    <t xml:space="preserve">Formula Rate - Non-Levelized </t>
  </si>
  <si>
    <t xml:space="preserve">   Rate Formula Template</t>
  </si>
  <si>
    <t>Utilizing EIA Form 412 Data</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</si>
  <si>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</si>
  <si>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</si>
  <si>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</si>
  <si>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</si>
  <si>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</si>
  <si>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</si>
  <si>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</si>
  <si>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</si>
  <si>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</si>
  <si>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</si>
  <si>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</si>
  <si>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</si>
  <si>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</si>
  <si>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</si>
  <si>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</si>
  <si>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</si>
  <si>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</si>
  <si>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</si>
  <si>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</si>
  <si>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</si>
  <si>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</si>
  <si>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</si>
  <si>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</si>
  <si>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</si>
  <si>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</si>
  <si>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</si>
  <si>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</si>
  <si>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</si>
  <si>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</si>
  <si>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</si>
  <si>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</si>
  <si>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</si>
  <si>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</si>
  <si>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</si>
  <si>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</si>
  <si>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</si>
  <si>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</si>
  <si>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</si>
  <si>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</si>
  <si>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</si>
  <si>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</si>
  <si>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</si>
  <si>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</si>
  <si>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</si>
  <si>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</si>
  <si>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</si>
  <si>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</si>
  <si>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</si>
  <si>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</si>
  <si>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</si>
  <si>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</si>
  <si>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</si>
  <si>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</si>
  <si>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</si>
  <si>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</si>
  <si>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</si>
  <si>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</si>
  <si>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</si>
  <si>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</si>
  <si>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</si>
  <si>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</si>
  <si>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</si>
  <si>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</si>
  <si>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</si>
  <si>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</si>
  <si>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</si>
  <si>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</si>
  <si>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</si>
  <si>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</si>
  <si>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</si>
  <si>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</si>
  <si>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</si>
  <si>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</si>
  <si>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</si>
  <si>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</si>
  <si>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</si>
  <si>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</si>
  <si>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</si>
  <si>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</si>
  <si>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</si>
  <si>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</si>
  <si>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</si>
  <si>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</si>
  <si>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</si>
  <si>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</si>
  <si>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</si>
  <si>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</si>
  <si>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</si>
  <si>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</si>
  <si>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</si>
  <si>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</si>
  <si>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</si>
  <si>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</si>
  <si>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</si>
  <si>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</si>
  <si>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</si>
  <si>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</si>
  <si>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</si>
  <si>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</si>
  <si>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</si>
  <si>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</si>
  <si>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</si>
  <si>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</si>
  <si>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</si>
  <si>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</si>
  <si>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</si>
  <si>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</si>
  <si>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</si>
  <si>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</si>
  <si>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</si>
  <si>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</si>
  <si>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</si>
  <si>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</si>
  <si>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</si>
  <si>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</si>
  <si>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</si>
  <si>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</si>
  <si>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</si>
  <si>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</si>
  <si>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</si>
  <si>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</si>
  <si>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</si>
  <si>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</si>
  <si>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</si>
  <si>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</si>
  <si>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</si>
  <si>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</si>
  <si>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</si>
  <si>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</si>
  <si>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</si>
  <si>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</si>
  <si>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</si>
  <si>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</si>
  <si>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</si>
  <si>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</si>
  <si>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</si>
  <si>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</si>
  <si>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</si>
  <si>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</si>
  <si>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</si>
  <si>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</si>
  <si>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</si>
  <si>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</si>
  <si>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</si>
  <si>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</si>
  <si>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</si>
  <si>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</si>
  <si>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</si>
  <si>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</si>
  <si>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</si>
  <si>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</si>
  <si>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</si>
  <si>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</si>
  <si>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</si>
  <si>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</si>
  <si>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</si>
  <si>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</si>
  <si>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</si>
  <si>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</si>
  <si>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</si>
  <si>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</si>
  <si>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</si>
  <si>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</si>
  <si>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</si>
  <si>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</si>
  <si>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</si>
  <si>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</si>
  <si>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</si>
  <si>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</si>
  <si>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</si>
  <si>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</si>
  <si>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</si>
  <si>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</si>
  <si>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</si>
  <si>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</si>
  <si>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</si>
  <si>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</si>
  <si>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</si>
  <si>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</si>
  <si>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</si>
  <si>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</si>
  <si>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</si>
  <si>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</si>
  <si>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</si>
  <si>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</si>
  <si>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</si>
  <si>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</si>
  <si>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</si>
  <si>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</si>
  <si>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</si>
  <si>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</si>
  <si>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</si>
  <si>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</si>
  <si>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</si>
  <si>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</si>
  <si>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</si>
  <si>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</si>
  <si>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</si>
  <si>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</si>
  <si>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</si>
  <si>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</si>
  <si>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</si>
  <si>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</si>
  <si>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</si>
  <si>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</si>
  <si>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</si>
  <si>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</si>
  <si>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</si>
  <si>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</si>
  <si>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</si>
  <si>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</si>
  <si>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</si>
  <si>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</si>
  <si>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</si>
  <si>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</si>
  <si>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</si>
  <si>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</si>
  <si>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</si>
  <si>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</si>
  <si>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</si>
  <si>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</si>
  <si>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</si>
  <si>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</si>
  <si>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</si>
  <si>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</si>
  <si>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</si>
  <si>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</si>
  <si>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</si>
  <si>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</si>
  <si>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</si>
  <si>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</si>
  <si>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</si>
  <si>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</si>
  <si>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</si>
  <si>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</si>
  <si>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</si>
  <si>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</si>
  <si>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</si>
  <si>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</si>
  <si>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</si>
  <si>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The FERC's annual charges for the year assessed the Transmission Owner for service under this tariff, if any.</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</si>
  <si>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</si>
  <si>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</si>
  <si>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</si>
  <si>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</si>
  <si>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</si>
  <si>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</si>
  <si>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</si>
  <si>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</si>
  <si>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</si>
  <si>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</si>
  <si>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</si>
  <si>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</si>
  <si>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</si>
  <si>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</si>
  <si>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</si>
  <si>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</si>
  <si>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</si>
  <si>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</si>
  <si>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</si>
  <si>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</si>
  <si>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</si>
  <si>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Removes transmission plant determined  to be state-jurisdictional by Commission order according to the seven-factor test (until EIA 412 balances are adjusted to reflect 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</si>
  <si>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</si>
  <si>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</si>
  <si>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</si>
  <si>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</si>
  <si>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</si>
  <si>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</si>
  <si>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</si>
  <si>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</si>
  <si>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</si>
  <si>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</si>
  <si>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</si>
  <si>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</si>
  <si>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</si>
  <si>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</si>
  <si>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</si>
  <si>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</si>
  <si>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</si>
  <si>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</si>
  <si>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Pursuant to Attachment GG of the Midwest ISO Tariff, removes dollar amount of revenue requirements calculated pursuant to Attachment GG.</t>
  </si>
  <si>
    <t>X</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</si>
  <si>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</si>
  <si>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Y</t>
  </si>
  <si>
    <t>Pursuant to Attachment MM of the Midwest ISO Tariff, removes dollar amount of revenue requirements calculated pursuant to Attachment MM.</t>
  </si>
  <si>
    <t>Z</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</si>
  <si>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</si>
  <si>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</si>
  <si>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</si>
  <si>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</si>
  <si>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</si>
  <si>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Worthington (Minnesota) Public Utilities</t>
  </si>
  <si>
    <t>Line 11: Includes the Street Lighting Fund transfer in from the City of Worthington</t>
  </si>
  <si>
    <t>Accumulated</t>
  </si>
  <si>
    <t>Depreciation</t>
  </si>
  <si>
    <t>Expense</t>
  </si>
  <si>
    <t>Notes:</t>
  </si>
  <si>
    <t xml:space="preserve">Salaries and Benefits - Supplemental Data for Att O's Wages &amp; Salary Allocator </t>
  </si>
  <si>
    <t>Salaries</t>
  </si>
  <si>
    <t>Accounts</t>
  </si>
  <si>
    <t>Benefits</t>
  </si>
  <si>
    <t>Production</t>
  </si>
  <si>
    <t>Operations</t>
  </si>
  <si>
    <t>Supervision &amp; Engineering - 546</t>
  </si>
  <si>
    <t>Fuel - 547</t>
  </si>
  <si>
    <t>Generation - 548</t>
  </si>
  <si>
    <t>Miscellaneous - 549</t>
  </si>
  <si>
    <t>Supervision &amp; Engineering - 551</t>
  </si>
  <si>
    <t>Structures - 552</t>
  </si>
  <si>
    <t>Equipment - 553</t>
  </si>
  <si>
    <t>Miscellaneous - 554</t>
  </si>
  <si>
    <t>Transmission - 560</t>
  </si>
  <si>
    <t>Distribution:</t>
  </si>
  <si>
    <t>Supervision &amp; Engineering - 580</t>
  </si>
  <si>
    <t>Station Expense - 582</t>
  </si>
  <si>
    <t>Overhead Line Expense - 583</t>
  </si>
  <si>
    <t>Underground Line Expense - 584</t>
  </si>
  <si>
    <t>Meter Expense - 586</t>
  </si>
  <si>
    <t>Other Expense - 588</t>
  </si>
  <si>
    <t>Customer Installation - 587</t>
  </si>
  <si>
    <t>Supervision &amp; Engineering - 590</t>
  </si>
  <si>
    <t>Station Equipment - 592</t>
  </si>
  <si>
    <t>Overhead Line Expense - 593</t>
  </si>
  <si>
    <t>Underground Lines - 594</t>
  </si>
  <si>
    <t>Line Tranformers - 595</t>
  </si>
  <si>
    <t>Street Lighting &amp; Signals - 596</t>
  </si>
  <si>
    <t>Meter Expense - 597</t>
  </si>
  <si>
    <t>Distribution</t>
  </si>
  <si>
    <t>Miscellaneous - 598</t>
  </si>
  <si>
    <t>Customer Accounts</t>
  </si>
  <si>
    <t>Meter Reading - 902</t>
  </si>
  <si>
    <t>Records &amp; Collection Expense - 903</t>
  </si>
  <si>
    <t>Uncollectilve Accounts - 904</t>
  </si>
  <si>
    <t>Other Salaries</t>
  </si>
  <si>
    <t>Customer Services/Assistance - 908</t>
  </si>
  <si>
    <t>Administrative &amp; General</t>
  </si>
  <si>
    <t>General Administration - 920</t>
  </si>
  <si>
    <t>Office Supplies &amp; Expense - 921</t>
  </si>
  <si>
    <t>Professional Services - 923</t>
  </si>
  <si>
    <t>Employee Pension &amp; Benefits - 926</t>
  </si>
  <si>
    <t>Regulatory Expense - 928</t>
  </si>
  <si>
    <t>Miscellaneous Expense - 930</t>
  </si>
  <si>
    <t xml:space="preserve">The transfer covers the street lighting costs.  </t>
  </si>
  <si>
    <t>OPERATING REVENUES</t>
  </si>
  <si>
    <t>Charges for Services</t>
  </si>
  <si>
    <t>Residential</t>
  </si>
  <si>
    <t>Commercial</t>
  </si>
  <si>
    <t>Medium General Service</t>
  </si>
  <si>
    <t>Industrial</t>
  </si>
  <si>
    <t>Secondary Service</t>
  </si>
  <si>
    <t>Primary Service</t>
  </si>
  <si>
    <t>Public Street &amp; Highway Lighting</t>
  </si>
  <si>
    <t>Sales for Resale - Brewster</t>
  </si>
  <si>
    <t>Interdepartmental (Station Power)</t>
  </si>
  <si>
    <t>Total Charges for Services</t>
  </si>
  <si>
    <t>Other Operating Revenues</t>
  </si>
  <si>
    <t>Other Operating Revenue</t>
  </si>
  <si>
    <t>Total Other Operating Revenues</t>
  </si>
  <si>
    <t>TOTAL OPERATING REVENUES</t>
  </si>
  <si>
    <t>OPERATING EXPENSES</t>
  </si>
  <si>
    <t>Power Supply</t>
  </si>
  <si>
    <t>WAPA</t>
  </si>
  <si>
    <t xml:space="preserve">MRES </t>
  </si>
  <si>
    <t>SplitRock Transmission</t>
  </si>
  <si>
    <t>Total Purchased Power</t>
  </si>
  <si>
    <t>Op Productions Supervision &amp; Engineering</t>
  </si>
  <si>
    <t xml:space="preserve">Personal Services </t>
  </si>
  <si>
    <t>Electric Superintendent</t>
  </si>
  <si>
    <t>Supplies</t>
  </si>
  <si>
    <t>Misc. Office Supplies</t>
  </si>
  <si>
    <t>Other Services &amp; Charges</t>
  </si>
  <si>
    <t>Telephone</t>
  </si>
  <si>
    <t xml:space="preserve">  % Change</t>
  </si>
  <si>
    <t>Op Production Fuel</t>
  </si>
  <si>
    <t>Personal Services</t>
  </si>
  <si>
    <t>Full-Time Employees</t>
  </si>
  <si>
    <t>Motor Fuels</t>
  </si>
  <si>
    <t>Gas Utilites</t>
  </si>
  <si>
    <t xml:space="preserve">Op Production General </t>
  </si>
  <si>
    <t>Full-Time (3% Operations Salaries)</t>
  </si>
  <si>
    <t>Lubricants &amp; Additives</t>
  </si>
  <si>
    <t>Misc. Operating Supplies</t>
  </si>
  <si>
    <t>Op Production Misc Expense</t>
  </si>
  <si>
    <t>Full-Time (2% Operations Salaries)</t>
  </si>
  <si>
    <t>Cleaning Supplies</t>
  </si>
  <si>
    <t>Small Tools</t>
  </si>
  <si>
    <t>Engineering Fees</t>
  </si>
  <si>
    <t>Misc. Professional Services</t>
  </si>
  <si>
    <t>Property Insurance</t>
  </si>
  <si>
    <t>Electric Utilities</t>
  </si>
  <si>
    <t>Water Utilities</t>
  </si>
  <si>
    <t>Refuse Disposal</t>
  </si>
  <si>
    <t>Sewer Utilities</t>
  </si>
  <si>
    <t>Stormwater Utilities</t>
  </si>
  <si>
    <t>Misc. Utilities</t>
  </si>
  <si>
    <t>Permits</t>
  </si>
  <si>
    <t>Licenses &amp; Taxes</t>
  </si>
  <si>
    <t>Miscellaneous</t>
  </si>
  <si>
    <t>Total Power Supply &amp; Transmission</t>
  </si>
  <si>
    <t>Transmission Operation</t>
  </si>
  <si>
    <t>Transmission Supervision &amp; Engineering</t>
  </si>
  <si>
    <t>Full-Time (Elec. Superintendent)</t>
  </si>
  <si>
    <t>Overtime</t>
  </si>
  <si>
    <t>Equipment Parts</t>
  </si>
  <si>
    <t>Travel, Conference, Schools</t>
  </si>
  <si>
    <t>Mach &amp; Equip. - Repair &amp; Maint.</t>
  </si>
  <si>
    <t>Transmission Station Expense</t>
  </si>
  <si>
    <t>Full-Time (Utility Technician)</t>
  </si>
  <si>
    <t>Misc Professional Services (SCADA $3,500/yr</t>
  </si>
  <si>
    <t xml:space="preserve">  Eng Fees, &amp; Reg. Commission Exp)</t>
  </si>
  <si>
    <t>Electric Utilities - Station Power</t>
  </si>
  <si>
    <t>Licenses and Taxes</t>
  </si>
  <si>
    <t>Transmission Overhead Lines</t>
  </si>
  <si>
    <t>Full-Time (Transmission Line)</t>
  </si>
  <si>
    <t>Mach &amp; Equip - Repair &amp; Maint</t>
  </si>
  <si>
    <t>Transmisison Underground Lines</t>
  </si>
  <si>
    <t>Full-Time</t>
  </si>
  <si>
    <t>Part-Time - Locating Services</t>
  </si>
  <si>
    <t>Motor Fuels - All Fuel for Trucks</t>
  </si>
  <si>
    <t xml:space="preserve">Equipment Parts - 6 Trucks </t>
  </si>
  <si>
    <t>Misc Professional Services</t>
  </si>
  <si>
    <t>Total Transmission Operations</t>
  </si>
  <si>
    <t>Distribution Operation</t>
  </si>
  <si>
    <t>Distribution Supervision &amp; Engineering</t>
  </si>
  <si>
    <t>Distribution Station Expense</t>
  </si>
  <si>
    <t>Distribution Overhead Lines</t>
  </si>
  <si>
    <t>Distribution Underground Lines</t>
  </si>
  <si>
    <t>Full-Time (6% Operations Salaries)</t>
  </si>
  <si>
    <t>Distribution Rents</t>
  </si>
  <si>
    <t>Misc Rents - 24% of Office Rent and Misc.</t>
  </si>
  <si>
    <t>Distribution Meters</t>
  </si>
  <si>
    <t>Full-Time (0% Operations Salaries)</t>
  </si>
  <si>
    <t>Utility System Maintenance Supplies</t>
  </si>
  <si>
    <t>Licenses and Taxes - Metering Software Support</t>
  </si>
  <si>
    <t xml:space="preserve">Distribution Customer Installation </t>
  </si>
  <si>
    <t>Misc Professional Services - Service Wiring &amp; Inspection</t>
  </si>
  <si>
    <t>Miscellaneous - IRP, MN Cons Programs</t>
  </si>
  <si>
    <t>Distribution Miscellaneous</t>
  </si>
  <si>
    <t>Full-Time (84% Operations Salaries)</t>
  </si>
  <si>
    <t>Part-Time (Drafting and Misc)</t>
  </si>
  <si>
    <t>Drafting Supplies</t>
  </si>
  <si>
    <t>Misc Operating Supplies</t>
  </si>
  <si>
    <t>Misc Professional Services - MMUA training, GIS Mapping</t>
  </si>
  <si>
    <t>Telephone - On-call Cellular Phone</t>
  </si>
  <si>
    <t>Misc Communication - L.E.C Dispatch Services</t>
  </si>
  <si>
    <t>Travel, Conferences, &amp; Schools</t>
  </si>
  <si>
    <t>Subsistence of Persons - Safety Equip., Drug Testing</t>
  </si>
  <si>
    <t>Gas Utilities - Warehouse</t>
  </si>
  <si>
    <t>Custodial</t>
  </si>
  <si>
    <t>Misc Repairs &amp; Maint - 2 Way Radio Repair, Glove Testing</t>
  </si>
  <si>
    <t>License &amp; Taxes - Vehicle, CDL's</t>
  </si>
  <si>
    <t>Misc - Gopher State One Call</t>
  </si>
  <si>
    <t>Total Distribution Operations</t>
  </si>
  <si>
    <t>Production Maintenance</t>
  </si>
  <si>
    <t>Production Supervision &amp; Eng</t>
  </si>
  <si>
    <t>Full-Time (Elec Superintendent)</t>
  </si>
  <si>
    <t>Production Structures</t>
  </si>
  <si>
    <t>Full-Time (0% Maint Salaries)</t>
  </si>
  <si>
    <t>Building Repair Supplies</t>
  </si>
  <si>
    <t>Building Repair &amp; Maint</t>
  </si>
  <si>
    <t>Production Equipment</t>
  </si>
  <si>
    <t>Utility System Maint Supplies</t>
  </si>
  <si>
    <t>Machinery &amp; Equip - Repair &amp; Maint</t>
  </si>
  <si>
    <t>Maintenance Agreement</t>
  </si>
  <si>
    <t>Production Miscellaneous</t>
  </si>
  <si>
    <t>Total Production Equipment Maintenance</t>
  </si>
  <si>
    <t>Transmission Maintenance</t>
  </si>
  <si>
    <t>Transmission Supervision &amp; Eng</t>
  </si>
  <si>
    <t>Transmission Structures</t>
  </si>
  <si>
    <t>Transmission Station Equipment</t>
  </si>
  <si>
    <t>Part-Time</t>
  </si>
  <si>
    <t>Utility System Maint Supplies - Transmission Line</t>
  </si>
  <si>
    <t>Transmission Underground Lines</t>
  </si>
  <si>
    <t>Transmission Line Transformers</t>
  </si>
  <si>
    <t>Other Charges &amp; Services</t>
  </si>
  <si>
    <t>Total Transmission Maintenance</t>
  </si>
  <si>
    <t>Distribution Maintenance</t>
  </si>
  <si>
    <t>Distribution Supervision &amp; Eng</t>
  </si>
  <si>
    <t>Full-Time (5% Maintenance Salaries)</t>
  </si>
  <si>
    <t>Distribution Structures</t>
  </si>
  <si>
    <t>Distribution Station Equipment</t>
  </si>
  <si>
    <t>Full-Time (5% Maint Salaries)</t>
  </si>
  <si>
    <t>Full-Time (50% Maint Salaries)</t>
  </si>
  <si>
    <t>Distribution Line Transformers</t>
  </si>
  <si>
    <t>Distribution Street Lights &amp; Signals</t>
  </si>
  <si>
    <t>Full-Time (20% Maint Salaries)</t>
  </si>
  <si>
    <t xml:space="preserve">  Subtotal - Distr. Street Lights &amp; Signals</t>
  </si>
  <si>
    <t>Full-Time (2% Maint Salaries)</t>
  </si>
  <si>
    <t xml:space="preserve">  Subtotal - Distr. Meters</t>
  </si>
  <si>
    <t>Distribution Plant Misc</t>
  </si>
  <si>
    <t>Full-Time (18% Maint Salaries)</t>
  </si>
  <si>
    <t>Part-Time/Temp Employees</t>
  </si>
  <si>
    <t>Machinery &amp; Equip - Repair &amp; Maint (Trencher, Boring Machine)</t>
  </si>
  <si>
    <t xml:space="preserve">  Subtotal - Distr. Plant Misc</t>
  </si>
  <si>
    <t>Total Distribution Maintenance</t>
  </si>
  <si>
    <t>Administrative and General Expenses</t>
  </si>
  <si>
    <t>General Administration</t>
  </si>
  <si>
    <t>(General Manager, Admin Sec, Allocated on Oper Rev</t>
  </si>
  <si>
    <t xml:space="preserve">  of Elec, Wtr, and WW)</t>
  </si>
  <si>
    <t>Auditing and Accounting Services</t>
  </si>
  <si>
    <t xml:space="preserve">  Subtotal - General Administration</t>
  </si>
  <si>
    <t>Administrative Office Supplies</t>
  </si>
  <si>
    <t>Misc Office Supplies</t>
  </si>
  <si>
    <t>Misc Equip, Funiture, or Fixtures</t>
  </si>
  <si>
    <t>Postage</t>
  </si>
  <si>
    <t>Subsistenance of Persons</t>
  </si>
  <si>
    <t>Misc Transportation &amp; Subsidies</t>
  </si>
  <si>
    <t>Legal Notices Publishing</t>
  </si>
  <si>
    <t>Maintenance Agreement - Computer Equipment</t>
  </si>
  <si>
    <t>Dues &amp; Subscriptions</t>
  </si>
  <si>
    <t xml:space="preserve">  Subtotal - Administrative Office Supplies</t>
  </si>
  <si>
    <t>Professional Services</t>
  </si>
  <si>
    <t>Part-Time - Cleaning Services</t>
  </si>
  <si>
    <t>Engineering Fees (Charged to Projects where appropriate)</t>
  </si>
  <si>
    <t>Legal Fees (Service Territory)</t>
  </si>
  <si>
    <t>Management Fees</t>
  </si>
  <si>
    <t>Custodial - Admin Offices Janitorial Services (50%)</t>
  </si>
  <si>
    <t>Miscellaneous Insurance and Bonds</t>
  </si>
  <si>
    <t xml:space="preserve">  Subtotal - Property Insurance</t>
  </si>
  <si>
    <t>Injuries &amp; Damages</t>
  </si>
  <si>
    <t>Insurance Premiums - Work Comp</t>
  </si>
  <si>
    <t>General Liability Insurance (Umbrella Liability)</t>
  </si>
  <si>
    <t>Automotive Insurance (Liability)</t>
  </si>
  <si>
    <t>Misc Insurance and Bonds (Errors and Ommissions)</t>
  </si>
  <si>
    <t xml:space="preserve">  Subtotal - Injuries &amp; Damage</t>
  </si>
  <si>
    <t>Employee Pension &amp; Benefits</t>
  </si>
  <si>
    <t xml:space="preserve">Vacation </t>
  </si>
  <si>
    <t>PERA Contributions (6.5% of payroll)</t>
  </si>
  <si>
    <t>FICA Contributions (7.65% of payroll)</t>
  </si>
  <si>
    <t>Health</t>
  </si>
  <si>
    <t>MBA Insurance</t>
  </si>
  <si>
    <t>Life Insurance</t>
  </si>
  <si>
    <t>Disability</t>
  </si>
  <si>
    <t>Deferred Compensation</t>
  </si>
  <si>
    <t>Insurance Premium - Reserve</t>
  </si>
  <si>
    <t>Misc - Unemployment Compensation</t>
  </si>
  <si>
    <t xml:space="preserve">  Subtotal - Employee Pension &amp; Benefits</t>
  </si>
  <si>
    <t>Administrative Rents</t>
  </si>
  <si>
    <t>Building Rental</t>
  </si>
  <si>
    <t xml:space="preserve">  Subtotal - Administrative Rents</t>
  </si>
  <si>
    <t>Regulatory Commission</t>
  </si>
  <si>
    <t xml:space="preserve">  (DOC Alternative Energy Fee, Energy Facility Permitting</t>
  </si>
  <si>
    <t xml:space="preserve">    Fee, Elec. Energy Task Force Assessment)</t>
  </si>
  <si>
    <t xml:space="preserve">  Subtotal - Regulatory Commission</t>
  </si>
  <si>
    <t>Administrative Miscellaneous</t>
  </si>
  <si>
    <t>Part-Time Employees (Water &amp; Light Commission)</t>
  </si>
  <si>
    <t>Travel, Conferences, Schools</t>
  </si>
  <si>
    <t>Dues and Subscriptions</t>
  </si>
  <si>
    <t xml:space="preserve">  (MRES, MECA, MMUA, Chamber of Commerce)</t>
  </si>
  <si>
    <t xml:space="preserve">  Subtotal - Administrative Miscellaneous</t>
  </si>
  <si>
    <t>Total Administrative and General</t>
  </si>
  <si>
    <t>Meter Reading</t>
  </si>
  <si>
    <t>Full-Time (Utility Service Worker 67%)</t>
  </si>
  <si>
    <t>Misc Repair and Maint Supplies</t>
  </si>
  <si>
    <t xml:space="preserve">  Subtotal - Meter Reading</t>
  </si>
  <si>
    <t>Records and Collections</t>
  </si>
  <si>
    <t>Misc Equip, Furniture, &amp; Fixtures</t>
  </si>
  <si>
    <t>EDP, Software, &amp; Design Services</t>
  </si>
  <si>
    <t xml:space="preserve">Misc Professional Services </t>
  </si>
  <si>
    <t xml:space="preserve">  (Computer and Mailling Equp Maint Contracts)</t>
  </si>
  <si>
    <t>Misc Repairs &amp; Maintenance</t>
  </si>
  <si>
    <t>Cash Short (Over)</t>
  </si>
  <si>
    <t>Uncollectible &amp; Other Check Charges</t>
  </si>
  <si>
    <t>Misc Interest Expense - Utility Deposits</t>
  </si>
  <si>
    <t xml:space="preserve">  Subtotal - Records and Collections</t>
  </si>
  <si>
    <t>Uncollectible Accounts</t>
  </si>
  <si>
    <t xml:space="preserve">  Subtotal - Uncollectible Accounts</t>
  </si>
  <si>
    <t>Total Customer Accounts Expense</t>
  </si>
  <si>
    <t>Customer Service and Information Expense</t>
  </si>
  <si>
    <t>Customer Assistance Expenses</t>
  </si>
  <si>
    <t>Full-Time (Energy Cons Program, Key Accts)</t>
  </si>
  <si>
    <t>Economic Development Mgmt (Wgtn Regional Econ Dev Corp)</t>
  </si>
  <si>
    <t>Misc (DOC CIP Other Costs)</t>
  </si>
  <si>
    <t xml:space="preserve">  Subtotal - Customer Assistance</t>
  </si>
  <si>
    <t>Information and Instructional</t>
  </si>
  <si>
    <t>Enterprises Advertising</t>
  </si>
  <si>
    <t>(Cons. Prog., APPA, Newsletter)</t>
  </si>
  <si>
    <t>Total Customer Service &amp; Info Expense</t>
  </si>
  <si>
    <t>Depreciation Expense</t>
  </si>
  <si>
    <t>TOTAL OPERATING EXPENSES</t>
  </si>
  <si>
    <t>NET OPERATING REVENUE (LOSS)</t>
  </si>
  <si>
    <t>NONOPERATING INCOME/(EXPENSE)</t>
  </si>
  <si>
    <t>Interest Earnings</t>
  </si>
  <si>
    <t>Bond Interest Expense</t>
  </si>
  <si>
    <t>Amortized Discount on Bonds</t>
  </si>
  <si>
    <t>Amortized Premium on Bonds</t>
  </si>
  <si>
    <t>Fiscal Agents Fee</t>
  </si>
  <si>
    <t>Sale of Scrap and Surplus</t>
  </si>
  <si>
    <t>Other Non-Operating</t>
  </si>
  <si>
    <t>Refunds and Reimbursements - CY</t>
  </si>
  <si>
    <t>Refunds and Reimbursements - PY</t>
  </si>
  <si>
    <t>Gain on Disposal of Assets</t>
  </si>
  <si>
    <t>Loss on Disposal of Assets</t>
  </si>
  <si>
    <t>State Grants</t>
  </si>
  <si>
    <t>TOTAL NONOPERATING INCOME/(EXPENSE)</t>
  </si>
  <si>
    <t>INCOME BEFORE PAYMENTS IN LIEU OF TAXES</t>
  </si>
  <si>
    <t>Transfers Out</t>
  </si>
  <si>
    <t>Transfers In</t>
  </si>
  <si>
    <t>Total Transfers</t>
  </si>
  <si>
    <t>NET INCOME (LOSS)</t>
  </si>
  <si>
    <t>January</t>
  </si>
  <si>
    <t>February</t>
  </si>
  <si>
    <t>March</t>
  </si>
  <si>
    <t>April</t>
  </si>
  <si>
    <t>May</t>
  </si>
  <si>
    <t>June</t>
  </si>
  <si>
    <t>July</t>
  </si>
  <si>
    <t>August</t>
  </si>
  <si>
    <t>September</t>
  </si>
  <si>
    <t>October</t>
  </si>
  <si>
    <t>November</t>
  </si>
  <si>
    <t>December</t>
  </si>
  <si>
    <t>Per Worthington, the advertising expense is Non-safety.</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</si>
  <si>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</si>
  <si>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</si>
  <si>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</si>
  <si>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</si>
  <si>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</si>
  <si>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</si>
  <si>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</si>
  <si>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</si>
  <si>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</si>
  <si>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</si>
  <si>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</si>
  <si>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</si>
  <si>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</si>
  <si>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</si>
  <si>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</si>
  <si>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</si>
  <si>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</si>
  <si>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Charges for all Transmission Transactions</t>
  </si>
  <si>
    <t xml:space="preserve">  FERC Acct 456.1</t>
  </si>
  <si>
    <t>Transmission Land Held for Future Use</t>
  </si>
  <si>
    <t xml:space="preserve">  FERC Acct 105</t>
  </si>
  <si>
    <t>ITC Payments for Worthington Joint Pricing Zone</t>
  </si>
  <si>
    <t>Sched 7 &amp; 8</t>
  </si>
  <si>
    <t>Sched 9</t>
  </si>
  <si>
    <t>Misc. Utility Operations</t>
  </si>
  <si>
    <t>The transfer is equal to $0.003 per kWh sold</t>
  </si>
  <si>
    <t xml:space="preserve">In 2012, the City of Worthington began making a transfer to WPU for the cost of installing and maintaining the street lighting infrastructure.  </t>
  </si>
  <si>
    <t>$0.003 per kWh sold transfer to the City of Worthington</t>
  </si>
  <si>
    <r>
      <t xml:space="preserve">  </t>
    </r>
    <r>
      <rPr>
        <b/>
        <sz val="11"/>
        <rFont val="Calibri"/>
        <family val="2"/>
        <scheme val="minor"/>
      </rPr>
      <t>Subtotal</t>
    </r>
    <r>
      <rPr>
        <sz val="11"/>
        <rFont val="Calibri"/>
        <family val="2"/>
        <scheme val="minor"/>
      </rPr>
      <t xml:space="preserve"> - Op. Prod. Supervision &amp; Eng.</t>
    </r>
  </si>
  <si>
    <r>
      <t xml:space="preserve">  </t>
    </r>
    <r>
      <rPr>
        <b/>
        <sz val="11"/>
        <rFont val="Calibri"/>
        <family val="2"/>
        <scheme val="minor"/>
      </rPr>
      <t>Subtotal</t>
    </r>
    <r>
      <rPr>
        <sz val="11"/>
        <rFont val="Calibri"/>
        <family val="2"/>
        <scheme val="minor"/>
      </rPr>
      <t xml:space="preserve"> - Distr. Station Expense</t>
    </r>
  </si>
  <si>
    <r>
      <t xml:space="preserve">  </t>
    </r>
    <r>
      <rPr>
        <b/>
        <sz val="11"/>
        <rFont val="Calibri"/>
        <family val="2"/>
        <scheme val="minor"/>
      </rPr>
      <t xml:space="preserve">Subtotal </t>
    </r>
    <r>
      <rPr>
        <sz val="11"/>
        <rFont val="Calibri"/>
        <family val="2"/>
        <scheme val="minor"/>
      </rPr>
      <t>- Op Production General</t>
    </r>
  </si>
  <si>
    <r>
      <t xml:space="preserve">  </t>
    </r>
    <r>
      <rPr>
        <b/>
        <sz val="11"/>
        <rFont val="Calibri"/>
        <family val="2"/>
        <scheme val="minor"/>
      </rPr>
      <t xml:space="preserve">Subtotal </t>
    </r>
    <r>
      <rPr>
        <sz val="11"/>
        <rFont val="Calibri"/>
        <family val="2"/>
        <scheme val="minor"/>
      </rPr>
      <t>- Op Productions Misc. Exp.</t>
    </r>
  </si>
  <si>
    <r>
      <t xml:space="preserve">  </t>
    </r>
    <r>
      <rPr>
        <b/>
        <sz val="11"/>
        <rFont val="Calibri"/>
        <family val="2"/>
        <scheme val="minor"/>
      </rPr>
      <t>Subtotal</t>
    </r>
    <r>
      <rPr>
        <sz val="11"/>
        <rFont val="Calibri"/>
        <family val="2"/>
        <scheme val="minor"/>
      </rPr>
      <t xml:space="preserve"> - Trans. Sup. &amp; Eng.</t>
    </r>
  </si>
  <si>
    <r>
      <t xml:space="preserve">  </t>
    </r>
    <r>
      <rPr>
        <b/>
        <sz val="11"/>
        <rFont val="Calibri"/>
        <family val="2"/>
        <scheme val="minor"/>
      </rPr>
      <t>Subtotal</t>
    </r>
    <r>
      <rPr>
        <sz val="11"/>
        <rFont val="Calibri"/>
        <family val="2"/>
        <scheme val="minor"/>
      </rPr>
      <t xml:space="preserve"> - Trans. Station</t>
    </r>
  </si>
  <si>
    <r>
      <t xml:space="preserve">  </t>
    </r>
    <r>
      <rPr>
        <b/>
        <sz val="11"/>
        <rFont val="Calibri"/>
        <family val="2"/>
        <scheme val="minor"/>
      </rPr>
      <t xml:space="preserve">Subtotal </t>
    </r>
    <r>
      <rPr>
        <sz val="11"/>
        <rFont val="Calibri"/>
        <family val="2"/>
        <scheme val="minor"/>
      </rPr>
      <t>- Trans Overhead Lines</t>
    </r>
  </si>
  <si>
    <r>
      <t xml:space="preserve">  </t>
    </r>
    <r>
      <rPr>
        <b/>
        <sz val="11"/>
        <rFont val="Calibri"/>
        <family val="2"/>
        <scheme val="minor"/>
      </rPr>
      <t xml:space="preserve">Subtotal </t>
    </r>
    <r>
      <rPr>
        <sz val="11"/>
        <rFont val="Calibri"/>
        <family val="2"/>
        <scheme val="minor"/>
      </rPr>
      <t>- Trans. Underground Lines</t>
    </r>
  </si>
  <si>
    <r>
      <t xml:space="preserve">  </t>
    </r>
    <r>
      <rPr>
        <b/>
        <sz val="11"/>
        <rFont val="Calibri"/>
        <family val="2"/>
        <scheme val="minor"/>
      </rPr>
      <t>Subtotal</t>
    </r>
    <r>
      <rPr>
        <sz val="11"/>
        <rFont val="Calibri"/>
        <family val="2"/>
        <scheme val="minor"/>
      </rPr>
      <t xml:space="preserve"> - Distr. Sup. &amp; Eng.</t>
    </r>
  </si>
  <si>
    <r>
      <t xml:space="preserve">  </t>
    </r>
    <r>
      <rPr>
        <b/>
        <sz val="11"/>
        <rFont val="Calibri"/>
        <family val="2"/>
        <scheme val="minor"/>
      </rPr>
      <t>Subtotal</t>
    </r>
    <r>
      <rPr>
        <sz val="11"/>
        <rFont val="Calibri"/>
        <family val="2"/>
        <scheme val="minor"/>
      </rPr>
      <t xml:space="preserve"> - Distr. Station</t>
    </r>
  </si>
  <si>
    <r>
      <t xml:space="preserve">  </t>
    </r>
    <r>
      <rPr>
        <b/>
        <sz val="11"/>
        <rFont val="Calibri"/>
        <family val="2"/>
        <scheme val="minor"/>
      </rPr>
      <t xml:space="preserve">Subtotal </t>
    </r>
    <r>
      <rPr>
        <sz val="11"/>
        <rFont val="Calibri"/>
        <family val="2"/>
        <scheme val="minor"/>
      </rPr>
      <t>- Distr Overhead Lines</t>
    </r>
  </si>
  <si>
    <r>
      <t xml:space="preserve">  </t>
    </r>
    <r>
      <rPr>
        <b/>
        <sz val="11"/>
        <rFont val="Calibri"/>
        <family val="2"/>
        <scheme val="minor"/>
      </rPr>
      <t xml:space="preserve">Subtotal </t>
    </r>
    <r>
      <rPr>
        <sz val="11"/>
        <rFont val="Calibri"/>
        <family val="2"/>
        <scheme val="minor"/>
      </rPr>
      <t>- Distr. Underground Lines</t>
    </r>
  </si>
  <si>
    <r>
      <t xml:space="preserve">  </t>
    </r>
    <r>
      <rPr>
        <b/>
        <sz val="11"/>
        <rFont val="Calibri"/>
        <family val="2"/>
        <scheme val="minor"/>
      </rPr>
      <t xml:space="preserve">Subtotal </t>
    </r>
    <r>
      <rPr>
        <sz val="11"/>
        <rFont val="Calibri"/>
        <family val="2"/>
        <scheme val="minor"/>
      </rPr>
      <t>- Distr. Rents</t>
    </r>
  </si>
  <si>
    <r>
      <t xml:space="preserve">  </t>
    </r>
    <r>
      <rPr>
        <b/>
        <sz val="11"/>
        <rFont val="Calibri"/>
        <family val="2"/>
        <scheme val="minor"/>
      </rPr>
      <t xml:space="preserve">Subtotal </t>
    </r>
    <r>
      <rPr>
        <sz val="11"/>
        <rFont val="Calibri"/>
        <family val="2"/>
        <scheme val="minor"/>
      </rPr>
      <t>- Distr. Meters</t>
    </r>
  </si>
  <si>
    <r>
      <t xml:space="preserve">  </t>
    </r>
    <r>
      <rPr>
        <b/>
        <sz val="11"/>
        <rFont val="Calibri"/>
        <family val="2"/>
        <scheme val="minor"/>
      </rPr>
      <t xml:space="preserve">Subtotal </t>
    </r>
    <r>
      <rPr>
        <sz val="11"/>
        <rFont val="Calibri"/>
        <family val="2"/>
        <scheme val="minor"/>
      </rPr>
      <t>- Distr. Customer Installation</t>
    </r>
  </si>
  <si>
    <r>
      <t xml:space="preserve">  </t>
    </r>
    <r>
      <rPr>
        <b/>
        <sz val="11"/>
        <rFont val="Calibri"/>
        <family val="2"/>
        <scheme val="minor"/>
      </rPr>
      <t xml:space="preserve">Subtotal - </t>
    </r>
    <r>
      <rPr>
        <sz val="11"/>
        <rFont val="Calibri"/>
        <family val="2"/>
        <scheme val="minor"/>
      </rPr>
      <t>Distr. Miscellaneous</t>
    </r>
  </si>
  <si>
    <r>
      <t xml:space="preserve">  </t>
    </r>
    <r>
      <rPr>
        <b/>
        <sz val="11"/>
        <rFont val="Calibri"/>
        <family val="2"/>
        <scheme val="minor"/>
      </rPr>
      <t xml:space="preserve">Subtotal </t>
    </r>
    <r>
      <rPr>
        <sz val="11"/>
        <rFont val="Calibri"/>
        <family val="2"/>
        <scheme val="minor"/>
      </rPr>
      <t>- Prod Supervision &amp; Eng</t>
    </r>
  </si>
  <si>
    <r>
      <t xml:space="preserve">  </t>
    </r>
    <r>
      <rPr>
        <b/>
        <sz val="11"/>
        <rFont val="Calibri"/>
        <family val="2"/>
        <scheme val="minor"/>
      </rPr>
      <t xml:space="preserve">Subtotal </t>
    </r>
    <r>
      <rPr>
        <sz val="11"/>
        <rFont val="Calibri"/>
        <family val="2"/>
        <scheme val="minor"/>
      </rPr>
      <t>- Production Structures</t>
    </r>
  </si>
  <si>
    <r>
      <t xml:space="preserve">  </t>
    </r>
    <r>
      <rPr>
        <b/>
        <sz val="11"/>
        <rFont val="Calibri"/>
        <family val="2"/>
        <scheme val="minor"/>
      </rPr>
      <t xml:space="preserve">Subtotal </t>
    </r>
    <r>
      <rPr>
        <sz val="11"/>
        <rFont val="Calibri"/>
        <family val="2"/>
        <scheme val="minor"/>
      </rPr>
      <t>- Production Equipment</t>
    </r>
  </si>
  <si>
    <r>
      <t xml:space="preserve">  </t>
    </r>
    <r>
      <rPr>
        <b/>
        <sz val="11"/>
        <rFont val="Calibri"/>
        <family val="2"/>
        <scheme val="minor"/>
      </rPr>
      <t xml:space="preserve">Subtotal </t>
    </r>
    <r>
      <rPr>
        <sz val="11"/>
        <rFont val="Calibri"/>
        <family val="2"/>
        <scheme val="minor"/>
      </rPr>
      <t>- Production Misc</t>
    </r>
  </si>
  <si>
    <r>
      <t xml:space="preserve">  </t>
    </r>
    <r>
      <rPr>
        <b/>
        <sz val="11"/>
        <rFont val="Calibri"/>
        <family val="2"/>
        <scheme val="minor"/>
      </rPr>
      <t xml:space="preserve">Subtotal </t>
    </r>
    <r>
      <rPr>
        <sz val="11"/>
        <rFont val="Calibri"/>
        <family val="2"/>
        <scheme val="minor"/>
      </rPr>
      <t>- Distr. Supervision &amp; Eng</t>
    </r>
  </si>
  <si>
    <r>
      <t xml:space="preserve">  Subtotal</t>
    </r>
    <r>
      <rPr>
        <sz val="11"/>
        <rFont val="Calibri"/>
        <family val="2"/>
        <scheme val="minor"/>
      </rPr>
      <t xml:space="preserve"> - Trans. Structures</t>
    </r>
  </si>
  <si>
    <r>
      <t xml:space="preserve">  Subtotal - </t>
    </r>
    <r>
      <rPr>
        <sz val="11"/>
        <rFont val="Calibri"/>
        <family val="2"/>
        <scheme val="minor"/>
      </rPr>
      <t>Trans. Station Equip</t>
    </r>
  </si>
  <si>
    <r>
      <t xml:space="preserve">  Subtotal - </t>
    </r>
    <r>
      <rPr>
        <sz val="11"/>
        <rFont val="Calibri"/>
        <family val="2"/>
        <scheme val="minor"/>
      </rPr>
      <t>Trans. Overhead Lines</t>
    </r>
  </si>
  <si>
    <r>
      <t xml:space="preserve">  Subtotal - </t>
    </r>
    <r>
      <rPr>
        <sz val="11"/>
        <rFont val="Calibri"/>
        <family val="2"/>
        <scheme val="minor"/>
      </rPr>
      <t>Trans. Underground Lines</t>
    </r>
  </si>
  <si>
    <r>
      <t xml:space="preserve">  Subtotal - </t>
    </r>
    <r>
      <rPr>
        <sz val="11"/>
        <rFont val="Calibri"/>
        <family val="2"/>
        <scheme val="minor"/>
      </rPr>
      <t>Trans. Line Transformers</t>
    </r>
  </si>
  <si>
    <r>
      <t xml:space="preserve">  Subtotal</t>
    </r>
    <r>
      <rPr>
        <sz val="11"/>
        <rFont val="Calibri"/>
        <family val="2"/>
        <scheme val="minor"/>
      </rPr>
      <t xml:space="preserve"> - Distr Structures</t>
    </r>
  </si>
  <si>
    <r>
      <t xml:space="preserve">  Subtotal - </t>
    </r>
    <r>
      <rPr>
        <sz val="11"/>
        <rFont val="Calibri"/>
        <family val="2"/>
        <scheme val="minor"/>
      </rPr>
      <t>Distr. Station Equip</t>
    </r>
  </si>
  <si>
    <r>
      <t xml:space="preserve">  Subtotal - </t>
    </r>
    <r>
      <rPr>
        <sz val="11"/>
        <rFont val="Calibri"/>
        <family val="2"/>
        <scheme val="minor"/>
      </rPr>
      <t>Distr. Overhead Lines</t>
    </r>
  </si>
  <si>
    <r>
      <t xml:space="preserve">  Subtotal - </t>
    </r>
    <r>
      <rPr>
        <sz val="11"/>
        <rFont val="Calibri"/>
        <family val="2"/>
        <scheme val="minor"/>
      </rPr>
      <t>Distr. Underground Lines</t>
    </r>
  </si>
  <si>
    <r>
      <t xml:space="preserve">  Subtotal - </t>
    </r>
    <r>
      <rPr>
        <sz val="11"/>
        <rFont val="Calibri"/>
        <family val="2"/>
        <scheme val="minor"/>
      </rPr>
      <t>Distr. Line Transformers</t>
    </r>
  </si>
  <si>
    <r>
      <t xml:space="preserve">  </t>
    </r>
    <r>
      <rPr>
        <b/>
        <sz val="11"/>
        <rFont val="Calibri"/>
        <family val="2"/>
        <scheme val="minor"/>
      </rPr>
      <t xml:space="preserve">Subtotal </t>
    </r>
    <r>
      <rPr>
        <sz val="11"/>
        <rFont val="Calibri"/>
        <family val="2"/>
        <scheme val="minor"/>
      </rPr>
      <t>- Information and Instructional</t>
    </r>
  </si>
  <si>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</si>
  <si>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</si>
  <si>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</si>
  <si>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</si>
  <si>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</si>
  <si>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</si>
  <si>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</si>
  <si>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</si>
  <si>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</si>
  <si>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</si>
  <si>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</si>
  <si>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</si>
  <si>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See 456.1 Acct tab</t>
  </si>
  <si>
    <t>Detailed Operating Revenues and Expenses</t>
  </si>
  <si>
    <t>6a</t>
  </si>
  <si>
    <t>Adjustments to Net Revenue Requirement (Note CC)</t>
  </si>
  <si>
    <t>6b</t>
  </si>
  <si>
    <t>Interest on Adjustments (Note DD)</t>
  </si>
  <si>
    <t>6c</t>
  </si>
  <si>
    <t>Total Adjustment (line 6a + line 6b)</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</si>
  <si>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</si>
  <si>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</si>
  <si>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</si>
  <si>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</si>
  <si>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</si>
  <si>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</si>
  <si>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</si>
  <si>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</si>
  <si>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Forfeited Discounts</t>
  </si>
  <si>
    <t>Misc Services</t>
  </si>
  <si>
    <t>Rents from Electric Property</t>
  </si>
  <si>
    <t>Interfund Services</t>
  </si>
  <si>
    <t>Other Revenues</t>
  </si>
  <si>
    <t>MISO Revenues</t>
  </si>
  <si>
    <t>Reserve Capacity Fixed Payments</t>
  </si>
  <si>
    <t>Reserve Capacity Energy Payments</t>
  </si>
  <si>
    <t xml:space="preserve">See Acct 456.1 Tab, Includes Acct 454 Rent revenue </t>
  </si>
  <si>
    <t xml:space="preserve">ROE Determination </t>
  </si>
  <si>
    <t>ROE per EL14-12, Effective 9-28-2016</t>
  </si>
  <si>
    <t>RTO Adder per ER15-1067, Effective June 16, 2015</t>
  </si>
  <si>
    <t>For the 12 months ended 12/31/15</t>
  </si>
  <si>
    <t>For the Year Ended December 31, 2015</t>
  </si>
  <si>
    <t>2015 Depreciation</t>
  </si>
  <si>
    <t>Payroll taxes</t>
  </si>
  <si>
    <t>2016 Filing</t>
  </si>
  <si>
    <t>2014 Audit</t>
  </si>
  <si>
    <t>Difference</t>
  </si>
  <si>
    <t>Decrease in principal balance due to annual payments</t>
  </si>
  <si>
    <t>Decrease is due to prior period adjustment due to GASB 68</t>
  </si>
  <si>
    <t>December '14</t>
  </si>
  <si>
    <t>December 14 revenue was booked in 2015</t>
  </si>
  <si>
    <t>reduction in plant and ROE</t>
  </si>
  <si>
    <t>decrease in ROE</t>
  </si>
  <si>
    <t>Payroll Taxes</t>
  </si>
  <si>
    <t>Revised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</si>
</sst>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0"/>
    <numFmt numFmtId="167" formatCode="#,##0.000"/>
    <numFmt numFmtId="168" formatCode="&quot;$&quot;#,##0.000"/>
    <numFmt numFmtId="169" formatCode="#,##0.00000"/>
    <numFmt numFmtId="170" formatCode="0.000%"/>
    <numFmt numFmtId="171" formatCode="0.0000"/>
    <numFmt numFmtId="172" formatCode="#,##0.0000"/>
    <numFmt numFmtId="173" formatCode="&quot;$&quot;#,##0"/>
    <numFmt numFmtId="174" formatCode="&quot;$&quot;#,##0.00"/>
    <numFmt numFmtId="175" formatCode="0.0%"/>
    <numFmt numFmtId="176" formatCode="#,###,##0.00;\(#,###,##0.00\)"/>
    <numFmt numFmtId="177" formatCode="#,##0.0"/>
    <numFmt numFmtId="178" formatCode="0.00_)"/>
  </numFmts>
  <fonts count="8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name val="Arial"/>
      <family val="2"/>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10"/>
      <color indexed="81"/>
      <name val="Tahoma"/>
      <family val="2"/>
    </font>
    <font>
      <sz val="12"/>
      <name val="CG Times"/>
      <family val="1"/>
    </font>
    <font>
      <sz val="10"/>
      <color indexed="0"/>
      <name val="Arial"/>
      <family val="2"/>
    </font>
    <font>
      <sz val="10"/>
      <name val="Times New Roman"/>
      <family val="1"/>
    </font>
    <font>
      <sz val="12"/>
      <name val="Arial MT"/>
    </font>
    <font>
      <sz val="11"/>
      <color indexed="8"/>
      <name val="Calibri"/>
      <family val="2"/>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0"/>
      <color indexed="8"/>
      <name val="Arial"/>
      <family val="2"/>
    </font>
    <font>
      <b/>
      <sz val="10"/>
      <color indexed="8"/>
      <name val="Arial"/>
      <family val="2"/>
    </font>
    <font>
      <b/>
      <i/>
      <sz val="10"/>
      <color indexed="8"/>
      <name val="Arial"/>
      <family val="2"/>
    </font>
    <font>
      <sz val="11"/>
      <name val="Calibri"/>
      <family val="2"/>
      <scheme val="minor"/>
    </font>
    <font>
      <b/>
      <sz val="12"/>
      <name val="Calibri"/>
      <family val="2"/>
      <scheme val="minor"/>
    </font>
    <font>
      <sz val="12"/>
      <name val="Calibri"/>
      <family val="2"/>
      <scheme val="minor"/>
    </font>
    <font>
      <sz val="11"/>
      <color theme="0"/>
      <name val="Calibri"/>
      <family val="2"/>
      <scheme val="minor"/>
    </font>
    <font>
      <sz val="8"/>
      <name val="Tms Rmn"/>
    </font>
    <font>
      <u/>
      <sz val="11"/>
      <color theme="1"/>
      <name val="Calibri"/>
      <family val="2"/>
      <scheme val="minor"/>
    </font>
    <font>
      <sz val="11"/>
      <name val="Calibri"/>
      <family val="2"/>
    </font>
    <font>
      <b/>
      <sz val="10"/>
      <name val="Calibri"/>
      <family val="2"/>
      <scheme val="minor"/>
    </font>
    <font>
      <sz val="10"/>
      <name val="Calibri"/>
      <family val="2"/>
      <scheme val="minor"/>
    </font>
    <font>
      <b/>
      <sz val="11"/>
      <name val="Calibri"/>
      <family val="2"/>
      <scheme val="minor"/>
    </font>
    <font>
      <b/>
      <u/>
      <sz val="11"/>
      <name val="Calibri"/>
      <family val="2"/>
      <scheme val="minor"/>
    </font>
    <font>
      <b/>
      <sz val="11"/>
      <color indexed="12"/>
      <name val="Calibri"/>
      <family val="2"/>
      <scheme val="minor"/>
    </font>
    <font>
      <sz val="9"/>
      <color indexed="81"/>
      <name val="Tahoma"/>
      <family val="2"/>
    </font>
    <font>
      <b/>
      <u/>
      <sz val="11"/>
      <color theme="1"/>
      <name val="Calibri"/>
      <family val="2"/>
      <scheme val="minor"/>
    </font>
    <font>
      <b/>
      <sz val="11"/>
      <color theme="1"/>
      <name val="Calibri"/>
      <family val="2"/>
      <scheme val="minor"/>
    </font>
    <font>
      <b/>
      <sz val="12"/>
      <color indexed="12"/>
      <name val="Calibri"/>
      <family val="2"/>
      <scheme val="minor"/>
    </font>
    <font>
      <sz val="10"/>
      <color indexed="12"/>
      <name val="Calibri"/>
      <family val="2"/>
      <scheme val="minor"/>
    </font>
    <font>
      <sz val="12"/>
      <color indexed="12"/>
      <name val="Calibri"/>
      <family val="2"/>
      <scheme val="minor"/>
    </font>
    <font>
      <sz val="12"/>
      <color rgb="FFFF0000"/>
      <name val="Calibri"/>
      <family val="2"/>
      <scheme val="minor"/>
    </font>
    <font>
      <b/>
      <u/>
      <sz val="10"/>
      <name val="Calibri"/>
      <family val="2"/>
      <scheme val="minor"/>
    </font>
    <font>
      <sz val="12"/>
      <color rgb="FFFF0000"/>
      <name val="Times New Roman"/>
      <family val="1"/>
    </font>
    <font>
      <sz val="12"/>
      <color rgb="FF0070C0"/>
      <name val="Times New Roman"/>
      <family val="1"/>
    </font>
    <font>
      <sz val="10"/>
      <name val="Arial"/>
      <family val="2"/>
    </font>
    <font>
      <u val="singleAccounting"/>
      <sz val="12"/>
      <name val="Times New Roman"/>
      <family val="1"/>
    </font>
    <font>
      <u val="singleAccounting"/>
      <sz val="12"/>
      <name val="Calibri"/>
      <family val="2"/>
      <scheme val="minor"/>
    </font>
    <font>
      <u/>
      <sz val="12"/>
      <name val="Calibri"/>
      <family val="2"/>
      <scheme val="minor"/>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7"/>
      </patternFill>
    </fill>
    <fill>
      <patternFill patternType="solid">
        <fgColor rgb="FFFFFF00"/>
        <bgColor indexed="64"/>
      </patternFill>
    </fill>
  </fills>
  <borders count="3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style="medium">
        <color indexed="64"/>
      </bottom>
      <diagonal/>
    </border>
  </borders>
  <cellStyleXfs count="222">
    <xf numFmtId="0" fontId="0" fillId="0" borderId="0"/>
    <xf numFmtId="43"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13" fillId="0" borderId="0"/>
    <xf numFmtId="9" fontId="9" fillId="0" borderId="0" applyFont="0" applyFill="0" applyBorder="0" applyAlignment="0" applyProtection="0"/>
    <xf numFmtId="0" fontId="11" fillId="0" borderId="0"/>
    <xf numFmtId="43" fontId="2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176" fontId="24" fillId="0" borderId="0"/>
    <xf numFmtId="0" fontId="9" fillId="0" borderId="0"/>
    <xf numFmtId="0" fontId="25" fillId="0" borderId="0"/>
    <xf numFmtId="0" fontId="8" fillId="0" borderId="0"/>
    <xf numFmtId="9" fontId="25"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0" fontId="8" fillId="0" borderId="0"/>
    <xf numFmtId="174" fontId="26" fillId="0" borderId="0" applyProtection="0"/>
    <xf numFmtId="174" fontId="28" fillId="0" borderId="0" applyFill="0"/>
    <xf numFmtId="174" fontId="28" fillId="0" borderId="0">
      <alignment horizontal="center"/>
    </xf>
    <xf numFmtId="0" fontId="28" fillId="0" borderId="0" applyFill="0">
      <alignment horizontal="center"/>
    </xf>
    <xf numFmtId="174" fontId="29" fillId="0" borderId="31" applyFill="0"/>
    <xf numFmtId="0" fontId="9" fillId="0" borderId="0" applyFont="0" applyAlignment="0"/>
    <xf numFmtId="0" fontId="30" fillId="0" borderId="0" applyFill="0">
      <alignment vertical="top"/>
    </xf>
    <xf numFmtId="0" fontId="29" fillId="0" borderId="0" applyFill="0">
      <alignment horizontal="left" vertical="top"/>
    </xf>
    <xf numFmtId="174" fontId="31" fillId="0" borderId="19" applyFill="0"/>
    <xf numFmtId="0" fontId="9" fillId="0" borderId="0" applyNumberFormat="0" applyFont="0" applyAlignment="0"/>
    <xf numFmtId="0" fontId="30" fillId="0" borderId="0" applyFill="0">
      <alignment wrapText="1"/>
    </xf>
    <xf numFmtId="0" fontId="29" fillId="0" borderId="0" applyFill="0">
      <alignment horizontal="left" vertical="top" wrapText="1"/>
    </xf>
    <xf numFmtId="174" fontId="12" fillId="0" borderId="0" applyFill="0"/>
    <xf numFmtId="0" fontId="32" fillId="0" borderId="0" applyNumberFormat="0" applyFont="0" applyAlignment="0">
      <alignment horizontal="center"/>
    </xf>
    <xf numFmtId="0" fontId="33" fillId="0" borderId="0" applyFill="0">
      <alignment vertical="top" wrapText="1"/>
    </xf>
    <xf numFmtId="0" fontId="31" fillId="0" borderId="0" applyFill="0">
      <alignment horizontal="left" vertical="top" wrapText="1"/>
    </xf>
    <xf numFmtId="174" fontId="9" fillId="0" borderId="0" applyFill="0"/>
    <xf numFmtId="0" fontId="32" fillId="0" borderId="0" applyNumberFormat="0" applyFont="0" applyAlignment="0">
      <alignment horizontal="center"/>
    </xf>
    <xf numFmtId="0" fontId="34" fillId="0" borderId="0" applyFill="0">
      <alignment vertical="center" wrapText="1"/>
    </xf>
    <xf numFmtId="0" fontId="11" fillId="0" borderId="0">
      <alignment horizontal="left" vertical="center" wrapText="1"/>
    </xf>
    <xf numFmtId="174" fontId="35" fillId="0" borderId="0" applyFill="0"/>
    <xf numFmtId="0" fontId="32" fillId="0" borderId="0" applyNumberFormat="0" applyFont="0" applyAlignment="0">
      <alignment horizontal="center"/>
    </xf>
    <xf numFmtId="0" fontId="36" fillId="0" borderId="0" applyFill="0">
      <alignment horizontal="center" vertical="center" wrapText="1"/>
    </xf>
    <xf numFmtId="0" fontId="9" fillId="0" borderId="0" applyFill="0">
      <alignment horizontal="center" vertical="center" wrapText="1"/>
    </xf>
    <xf numFmtId="174" fontId="37" fillId="0" borderId="0" applyFill="0"/>
    <xf numFmtId="0" fontId="32"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4" fontId="40" fillId="0" borderId="0" applyFill="0"/>
    <xf numFmtId="0" fontId="32" fillId="0" borderId="0" applyNumberFormat="0" applyFont="0" applyAlignment="0">
      <alignment horizontal="center"/>
    </xf>
    <xf numFmtId="0" fontId="41" fillId="0" borderId="0">
      <alignment horizontal="center" wrapText="1"/>
    </xf>
    <xf numFmtId="0" fontId="37" fillId="0" borderId="0" applyFill="0">
      <alignment horizontal="center" wrapText="1"/>
    </xf>
    <xf numFmtId="39" fontId="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7" fontId="9"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0" fontId="4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9" fillId="0" borderId="0" applyFont="0" applyFill="0" applyBorder="0" applyAlignment="0" applyProtection="0"/>
    <xf numFmtId="7" fontId="9" fillId="0" borderId="0" applyFont="0" applyFill="0" applyBorder="0" applyAlignment="0" applyProtection="0"/>
    <xf numFmtId="44" fontId="9"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38" fontId="28" fillId="4" borderId="0" applyNumberFormat="0" applyBorder="0" applyAlignment="0" applyProtection="0"/>
    <xf numFmtId="0" fontId="43" fillId="0" borderId="27"/>
    <xf numFmtId="0" fontId="44" fillId="0" borderId="0"/>
    <xf numFmtId="10" fontId="28" fillId="5" borderId="5" applyNumberFormat="0" applyBorder="0" applyAlignment="0" applyProtection="0"/>
    <xf numFmtId="178" fontId="45" fillId="0" borderId="0"/>
    <xf numFmtId="0" fontId="27" fillId="0" borderId="0"/>
    <xf numFmtId="0" fontId="27" fillId="0" borderId="0"/>
    <xf numFmtId="0" fontId="27" fillId="0" borderId="0"/>
    <xf numFmtId="0" fontId="9" fillId="0" borderId="0"/>
    <xf numFmtId="0" fontId="8" fillId="0" borderId="0"/>
    <xf numFmtId="0" fontId="8" fillId="0" borderId="0"/>
    <xf numFmtId="0" fontId="26" fillId="0" borderId="0"/>
    <xf numFmtId="10"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9" fillId="0" borderId="0">
      <alignment horizontal="left" vertical="top"/>
    </xf>
    <xf numFmtId="0" fontId="46" fillId="0" borderId="27">
      <alignment horizontal="center"/>
    </xf>
    <xf numFmtId="3" fontId="42" fillId="0" borderId="0" applyFont="0" applyFill="0" applyBorder="0" applyAlignment="0" applyProtection="0"/>
    <xf numFmtId="0" fontId="42" fillId="6" borderId="0" applyNumberFormat="0" applyFont="0" applyBorder="0" applyAlignment="0" applyProtection="0"/>
    <xf numFmtId="3" fontId="9" fillId="0" borderId="0">
      <alignment horizontal="right" vertical="top"/>
    </xf>
    <xf numFmtId="41" fontId="11" fillId="4" borderId="3" applyFill="0"/>
    <xf numFmtId="0" fontId="47" fillId="0" borderId="0">
      <alignment horizontal="left" indent="7"/>
    </xf>
    <xf numFmtId="41" fontId="11" fillId="0" borderId="3" applyFill="0">
      <alignment horizontal="left" indent="2"/>
    </xf>
    <xf numFmtId="174" fontId="48" fillId="0" borderId="1" applyFill="0">
      <alignment horizontal="right"/>
    </xf>
    <xf numFmtId="0" fontId="10" fillId="0" borderId="5" applyNumberFormat="0" applyFont="0" applyBorder="0">
      <alignment horizontal="right"/>
    </xf>
    <xf numFmtId="0" fontId="49" fillId="0" borderId="0" applyFill="0"/>
    <xf numFmtId="0" fontId="31" fillId="0" borderId="0" applyFill="0"/>
    <xf numFmtId="4" fontId="48" fillId="0" borderId="1" applyFill="0"/>
    <xf numFmtId="0" fontId="9" fillId="0" borderId="0" applyNumberFormat="0" applyFont="0" applyBorder="0" applyAlignment="0"/>
    <xf numFmtId="0" fontId="33" fillId="0" borderId="0" applyFill="0">
      <alignment horizontal="left" indent="1"/>
    </xf>
    <xf numFmtId="0" fontId="50" fillId="0" borderId="0" applyFill="0">
      <alignment horizontal="left" indent="1"/>
    </xf>
    <xf numFmtId="4" fontId="35" fillId="0" borderId="0" applyFill="0"/>
    <xf numFmtId="0" fontId="9" fillId="0" borderId="0" applyNumberFormat="0" applyFont="0" applyFill="0" applyBorder="0" applyAlignment="0"/>
    <xf numFmtId="0" fontId="33" fillId="0" borderId="0" applyFill="0">
      <alignment horizontal="left" indent="2"/>
    </xf>
    <xf numFmtId="0" fontId="31" fillId="0" borderId="0" applyFill="0">
      <alignment horizontal="left" indent="2"/>
    </xf>
    <xf numFmtId="4" fontId="35" fillId="0" borderId="0" applyFill="0"/>
    <xf numFmtId="0" fontId="9" fillId="0" borderId="0" applyNumberFormat="0" applyFont="0" applyBorder="0" applyAlignment="0"/>
    <xf numFmtId="0" fontId="51" fillId="0" borderId="0">
      <alignment horizontal="left" indent="3"/>
    </xf>
    <xf numFmtId="0" fontId="52" fillId="0" borderId="0" applyFill="0">
      <alignment horizontal="left" indent="3"/>
    </xf>
    <xf numFmtId="4" fontId="35" fillId="0" borderId="0" applyFill="0"/>
    <xf numFmtId="0" fontId="9" fillId="0" borderId="0" applyNumberFormat="0" applyFont="0" applyBorder="0" applyAlignment="0"/>
    <xf numFmtId="0" fontId="36" fillId="0" borderId="0">
      <alignment horizontal="left" indent="4"/>
    </xf>
    <xf numFmtId="0" fontId="9" fillId="0" borderId="0" applyFill="0">
      <alignment horizontal="left" indent="4"/>
    </xf>
    <xf numFmtId="4" fontId="37" fillId="0" borderId="0" applyFill="0"/>
    <xf numFmtId="0" fontId="9"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9"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53" fillId="0" borderId="0" applyNumberFormat="0" applyBorder="0" applyAlignment="0"/>
    <xf numFmtId="0" fontId="54" fillId="0" borderId="0" applyNumberFormat="0" applyBorder="0" applyAlignment="0"/>
    <xf numFmtId="0" fontId="55" fillId="0" borderId="0" applyNumberFormat="0" applyBorder="0" applyAlignment="0"/>
    <xf numFmtId="0" fontId="53" fillId="0" borderId="0" applyNumberFormat="0" applyBorder="0" applyAlignment="0"/>
    <xf numFmtId="0" fontId="9" fillId="0" borderId="0"/>
    <xf numFmtId="0" fontId="6" fillId="0" borderId="0"/>
    <xf numFmtId="43" fontId="26" fillId="0" borderId="0" applyFont="0" applyFill="0" applyBorder="0" applyAlignment="0" applyProtection="0"/>
    <xf numFmtId="44" fontId="26" fillId="0" borderId="0" applyFont="0" applyFill="0" applyBorder="0" applyAlignment="0" applyProtection="0"/>
    <xf numFmtId="0" fontId="59" fillId="7" borderId="0" applyNumberFormat="0" applyBorder="0" applyAlignment="0" applyProtection="0"/>
    <xf numFmtId="43" fontId="9"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174" fontId="26" fillId="0" borderId="0" applyProtection="0"/>
    <xf numFmtId="0" fontId="60" fillId="0" borderId="0"/>
    <xf numFmtId="0" fontId="7" fillId="0" borderId="0"/>
    <xf numFmtId="0" fontId="26" fillId="0" borderId="0"/>
    <xf numFmtId="9" fontId="9" fillId="0" borderId="0" applyFont="0" applyFill="0" applyBorder="0" applyAlignment="0" applyProtection="0"/>
    <xf numFmtId="0" fontId="5" fillId="0" borderId="0"/>
    <xf numFmtId="0" fontId="4" fillId="0" borderId="0"/>
    <xf numFmtId="0" fontId="4" fillId="0" borderId="0"/>
    <xf numFmtId="44" fontId="4" fillId="0" borderId="0" applyFont="0" applyFill="0" applyBorder="0" applyAlignment="0" applyProtection="0"/>
    <xf numFmtId="9" fontId="78" fillId="0" borderId="0" applyFont="0" applyFill="0" applyBorder="0" applyAlignment="0" applyProtection="0"/>
  </cellStyleXfs>
  <cellXfs count="492">
    <xf numFmtId="0" fontId="0" fillId="0" borderId="0" xfId="0"/>
    <xf numFmtId="174" fontId="58" fillId="0" borderId="0" xfId="19" applyFont="1" applyAlignment="1"/>
    <xf numFmtId="0" fontId="7" fillId="0" borderId="0" xfId="202" applyFont="1" applyAlignment="1">
      <alignment horizontal="center"/>
    </xf>
    <xf numFmtId="0" fontId="58" fillId="0" borderId="0" xfId="203" applyNumberFormat="1" applyFont="1" applyAlignment="1">
      <alignment horizontal="center"/>
    </xf>
    <xf numFmtId="0" fontId="58" fillId="0" borderId="0" xfId="19" applyNumberFormat="1" applyFont="1" applyAlignment="1"/>
    <xf numFmtId="0" fontId="5" fillId="0" borderId="0" xfId="217"/>
    <xf numFmtId="0" fontId="61" fillId="0" borderId="0" xfId="217" quotePrefix="1" applyFont="1"/>
    <xf numFmtId="0" fontId="61" fillId="0" borderId="0" xfId="217" applyFont="1" applyAlignment="1">
      <alignment horizontal="right"/>
    </xf>
    <xf numFmtId="4" fontId="5" fillId="0" borderId="0" xfId="217" applyNumberFormat="1"/>
    <xf numFmtId="165" fontId="58" fillId="0" borderId="0" xfId="2" applyNumberFormat="1" applyFont="1" applyFill="1" applyAlignment="1"/>
    <xf numFmtId="165" fontId="56" fillId="0" borderId="0" xfId="2" applyNumberFormat="1" applyFont="1" applyFill="1" applyAlignment="1"/>
    <xf numFmtId="165" fontId="56" fillId="0" borderId="12" xfId="2" applyNumberFormat="1" applyFont="1" applyFill="1" applyBorder="1" applyAlignment="1"/>
    <xf numFmtId="165" fontId="5" fillId="0" borderId="0" xfId="2" applyNumberFormat="1" applyFont="1"/>
    <xf numFmtId="165" fontId="5" fillId="0" borderId="12" xfId="2" applyNumberFormat="1" applyFont="1" applyBorder="1"/>
    <xf numFmtId="0" fontId="65" fillId="0" borderId="0" xfId="0" applyFont="1" applyFill="1"/>
    <xf numFmtId="0" fontId="56" fillId="0" borderId="0" xfId="0" applyFont="1" applyFill="1"/>
    <xf numFmtId="0" fontId="56" fillId="0" borderId="0" xfId="0" applyFont="1" applyFill="1" applyAlignment="1">
      <alignment horizontal="left"/>
    </xf>
    <xf numFmtId="0" fontId="66" fillId="0" borderId="0" xfId="0" applyFont="1" applyFill="1"/>
    <xf numFmtId="164" fontId="56" fillId="0" borderId="0" xfId="1" quotePrefix="1" applyNumberFormat="1" applyFont="1" applyFill="1"/>
    <xf numFmtId="164" fontId="56" fillId="0" borderId="0" xfId="1" applyNumberFormat="1" applyFont="1" applyFill="1"/>
    <xf numFmtId="0" fontId="65" fillId="0" borderId="0" xfId="0" applyFont="1" applyFill="1" applyAlignment="1">
      <alignment horizontal="left"/>
    </xf>
    <xf numFmtId="164" fontId="56" fillId="0" borderId="12" xfId="1" applyNumberFormat="1" applyFont="1" applyFill="1" applyBorder="1"/>
    <xf numFmtId="164" fontId="56" fillId="0" borderId="0" xfId="1" applyNumberFormat="1" applyFont="1" applyFill="1" applyBorder="1"/>
    <xf numFmtId="0" fontId="56" fillId="0" borderId="0" xfId="0" applyFont="1" applyFill="1" applyBorder="1"/>
    <xf numFmtId="0" fontId="56" fillId="0" borderId="0" xfId="0" applyFont="1" applyFill="1" applyBorder="1" applyAlignment="1">
      <alignment horizontal="left"/>
    </xf>
    <xf numFmtId="164" fontId="65" fillId="0" borderId="12" xfId="1" applyNumberFormat="1" applyFont="1" applyFill="1" applyBorder="1"/>
    <xf numFmtId="0" fontId="56" fillId="0" borderId="0" xfId="0" applyFont="1" applyFill="1" applyAlignment="1">
      <alignment horizontal="center"/>
    </xf>
    <xf numFmtId="0" fontId="66" fillId="0" borderId="0" xfId="0" applyFont="1" applyFill="1" applyAlignment="1">
      <alignment horizontal="left"/>
    </xf>
    <xf numFmtId="175" fontId="56" fillId="0" borderId="0" xfId="6" applyNumberFormat="1" applyFont="1" applyFill="1" applyBorder="1"/>
    <xf numFmtId="0" fontId="56" fillId="0" borderId="0" xfId="0" applyFont="1" applyFill="1" applyAlignment="1">
      <alignment wrapText="1"/>
    </xf>
    <xf numFmtId="0" fontId="67" fillId="0" borderId="0" xfId="0" applyFont="1" applyFill="1"/>
    <xf numFmtId="164" fontId="67" fillId="0" borderId="12" xfId="1" applyNumberFormat="1" applyFont="1" applyFill="1" applyBorder="1"/>
    <xf numFmtId="0" fontId="67" fillId="0" borderId="0" xfId="0" applyFont="1" applyFill="1" applyAlignment="1">
      <alignment horizontal="left"/>
    </xf>
    <xf numFmtId="41" fontId="56" fillId="0" borderId="0" xfId="7" applyNumberFormat="1" applyFont="1" applyFill="1" applyBorder="1" applyAlignment="1"/>
    <xf numFmtId="41" fontId="56" fillId="0" borderId="0" xfId="7" applyNumberFormat="1" applyFont="1" applyFill="1" applyBorder="1"/>
    <xf numFmtId="164" fontId="56" fillId="0" borderId="0" xfId="0" applyNumberFormat="1" applyFont="1" applyFill="1"/>
    <xf numFmtId="0" fontId="65" fillId="0" borderId="0" xfId="0" applyFont="1" applyFill="1" applyBorder="1"/>
    <xf numFmtId="164" fontId="65" fillId="0" borderId="0" xfId="1" applyNumberFormat="1" applyFont="1" applyFill="1" applyBorder="1"/>
    <xf numFmtId="0" fontId="65" fillId="0" borderId="0" xfId="0" applyFont="1" applyFill="1" applyBorder="1" applyAlignment="1">
      <alignment horizontal="left"/>
    </xf>
    <xf numFmtId="165" fontId="65" fillId="0" borderId="30" xfId="2" applyNumberFormat="1" applyFont="1" applyFill="1" applyBorder="1"/>
    <xf numFmtId="0" fontId="64" fillId="0" borderId="0" xfId="0" applyFont="1" applyAlignment="1">
      <alignment horizontal="left"/>
    </xf>
    <xf numFmtId="165" fontId="64" fillId="0" borderId="0" xfId="3" applyNumberFormat="1" applyFont="1" applyFill="1" applyBorder="1"/>
    <xf numFmtId="37" fontId="64" fillId="0" borderId="0" xfId="0" applyNumberFormat="1" applyFont="1"/>
    <xf numFmtId="0" fontId="64" fillId="0" borderId="0" xfId="0" applyFont="1"/>
    <xf numFmtId="0" fontId="4" fillId="0" borderId="0" xfId="218"/>
    <xf numFmtId="0" fontId="69" fillId="0" borderId="0" xfId="219" quotePrefix="1" applyFont="1" applyAlignment="1"/>
    <xf numFmtId="4" fontId="4" fillId="0" borderId="0" xfId="218" applyNumberFormat="1"/>
    <xf numFmtId="0" fontId="4" fillId="0" borderId="0" xfId="219" applyFont="1" applyAlignment="1"/>
    <xf numFmtId="0" fontId="4" fillId="0" borderId="0" xfId="218" applyFont="1"/>
    <xf numFmtId="4" fontId="4" fillId="0" borderId="0" xfId="218" applyNumberFormat="1" applyFont="1"/>
    <xf numFmtId="0" fontId="56" fillId="0" borderId="0" xfId="219" applyNumberFormat="1" applyFont="1" applyAlignment="1" applyProtection="1">
      <protection locked="0"/>
    </xf>
    <xf numFmtId="0" fontId="56" fillId="0" borderId="0" xfId="219" applyNumberFormat="1" applyFont="1" applyBorder="1" applyAlignment="1" applyProtection="1">
      <protection locked="0"/>
    </xf>
    <xf numFmtId="0" fontId="56" fillId="0" borderId="0" xfId="219" applyNumberFormat="1" applyFont="1" applyFill="1" applyBorder="1" applyAlignment="1" applyProtection="1">
      <protection locked="0"/>
    </xf>
    <xf numFmtId="165" fontId="65" fillId="0" borderId="0" xfId="2" quotePrefix="1" applyNumberFormat="1" applyFont="1" applyAlignment="1"/>
    <xf numFmtId="165" fontId="56" fillId="0" borderId="12" xfId="2" applyNumberFormat="1" applyFont="1" applyBorder="1" applyAlignment="1"/>
    <xf numFmtId="165" fontId="56" fillId="0" borderId="0" xfId="2" applyNumberFormat="1" applyFont="1" applyBorder="1" applyAlignment="1"/>
    <xf numFmtId="165" fontId="56" fillId="0" borderId="0" xfId="2" applyNumberFormat="1" applyFont="1" applyAlignment="1"/>
    <xf numFmtId="165" fontId="56" fillId="0" borderId="19" xfId="2" applyNumberFormat="1" applyFont="1" applyBorder="1" applyAlignment="1"/>
    <xf numFmtId="165" fontId="4" fillId="0" borderId="0" xfId="2" applyNumberFormat="1" applyFont="1"/>
    <xf numFmtId="0" fontId="64" fillId="0" borderId="6" xfId="0" applyFont="1" applyBorder="1" applyAlignment="1">
      <alignment horizontal="center"/>
    </xf>
    <xf numFmtId="0" fontId="64" fillId="0" borderId="4" xfId="0" applyFont="1" applyBorder="1" applyAlignment="1">
      <alignment horizontal="center"/>
    </xf>
    <xf numFmtId="0" fontId="64" fillId="0" borderId="8" xfId="0" applyFont="1" applyBorder="1" applyAlignment="1">
      <alignment horizontal="center"/>
    </xf>
    <xf numFmtId="0" fontId="64" fillId="0" borderId="5" xfId="0" applyFont="1" applyBorder="1" applyAlignment="1">
      <alignment horizontal="center"/>
    </xf>
    <xf numFmtId="0" fontId="64" fillId="0" borderId="5" xfId="0" applyFont="1" applyBorder="1"/>
    <xf numFmtId="164" fontId="64" fillId="0" borderId="6" xfId="1" applyNumberFormat="1" applyFont="1" applyBorder="1"/>
    <xf numFmtId="0" fontId="63" fillId="0" borderId="15" xfId="0" applyFont="1" applyBorder="1"/>
    <xf numFmtId="164" fontId="64" fillId="0" borderId="5" xfId="1" applyNumberFormat="1" applyFont="1" applyBorder="1"/>
    <xf numFmtId="0" fontId="58" fillId="0" borderId="0" xfId="0" applyFont="1"/>
    <xf numFmtId="0" fontId="58" fillId="0" borderId="6" xfId="0" applyFont="1" applyBorder="1" applyAlignment="1">
      <alignment horizontal="center"/>
    </xf>
    <xf numFmtId="0" fontId="58" fillId="0" borderId="7" xfId="0" applyFont="1" applyBorder="1"/>
    <xf numFmtId="0" fontId="58" fillId="0" borderId="7" xfId="0" applyFont="1" applyBorder="1" applyAlignment="1">
      <alignment horizontal="center"/>
    </xf>
    <xf numFmtId="0" fontId="58" fillId="0" borderId="4" xfId="0" applyFont="1" applyBorder="1" applyAlignment="1">
      <alignment horizontal="center"/>
    </xf>
    <xf numFmtId="0" fontId="58" fillId="0" borderId="8" xfId="0" applyFont="1" applyBorder="1" applyAlignment="1">
      <alignment horizontal="center"/>
    </xf>
    <xf numFmtId="0" fontId="58" fillId="0" borderId="3" xfId="0" applyFont="1" applyBorder="1" applyAlignment="1">
      <alignment horizontal="center"/>
    </xf>
    <xf numFmtId="0" fontId="57" fillId="0" borderId="6" xfId="0" applyFont="1" applyBorder="1" applyAlignment="1">
      <alignment horizontal="center"/>
    </xf>
    <xf numFmtId="43" fontId="58" fillId="0" borderId="6" xfId="1" applyFont="1" applyBorder="1"/>
    <xf numFmtId="0" fontId="58" fillId="0" borderId="3" xfId="0" applyFont="1" applyBorder="1"/>
    <xf numFmtId="0" fontId="58" fillId="0" borderId="4" xfId="0" applyFont="1" applyBorder="1" applyAlignment="1">
      <alignment horizontal="left" indent="1"/>
    </xf>
    <xf numFmtId="0" fontId="58" fillId="0" borderId="4" xfId="0" applyFont="1" applyBorder="1"/>
    <xf numFmtId="0" fontId="58" fillId="0" borderId="5" xfId="0" applyFont="1" applyBorder="1" applyAlignment="1">
      <alignment horizontal="center"/>
    </xf>
    <xf numFmtId="0" fontId="58" fillId="0" borderId="5" xfId="0" applyFont="1" applyBorder="1"/>
    <xf numFmtId="37" fontId="58" fillId="0" borderId="5" xfId="4" applyNumberFormat="1" applyFont="1" applyFill="1" applyBorder="1"/>
    <xf numFmtId="0" fontId="58" fillId="0" borderId="5" xfId="0" applyFont="1" applyFill="1" applyBorder="1"/>
    <xf numFmtId="37" fontId="58" fillId="0" borderId="3" xfId="4" applyNumberFormat="1" applyFont="1" applyFill="1" applyBorder="1"/>
    <xf numFmtId="0" fontId="58" fillId="0" borderId="3" xfId="0" applyFont="1" applyBorder="1" applyAlignment="1">
      <alignment horizontal="left" indent="1"/>
    </xf>
    <xf numFmtId="0" fontId="57" fillId="0" borderId="18" xfId="0" applyFont="1" applyFill="1" applyBorder="1"/>
    <xf numFmtId="0" fontId="58" fillId="0" borderId="11" xfId="0" applyFont="1" applyFill="1" applyBorder="1" applyAlignment="1">
      <alignment horizontal="center"/>
    </xf>
    <xf numFmtId="0" fontId="57" fillId="0" borderId="15" xfId="0" applyFont="1" applyFill="1" applyBorder="1"/>
    <xf numFmtId="0" fontId="58" fillId="0" borderId="6" xfId="0" applyFont="1" applyFill="1" applyBorder="1" applyAlignment="1">
      <alignment horizontal="center"/>
    </xf>
    <xf numFmtId="0" fontId="58" fillId="0" borderId="3" xfId="0" applyFont="1" applyFill="1" applyBorder="1"/>
    <xf numFmtId="0" fontId="57" fillId="0" borderId="3" xfId="0" applyFont="1" applyFill="1" applyBorder="1" applyAlignment="1">
      <alignment horizontal="center"/>
    </xf>
    <xf numFmtId="0" fontId="58" fillId="0" borderId="3" xfId="0" applyFont="1" applyFill="1" applyBorder="1" applyAlignment="1">
      <alignment horizontal="center"/>
    </xf>
    <xf numFmtId="0" fontId="58" fillId="0" borderId="17" xfId="0" applyFont="1" applyBorder="1"/>
    <xf numFmtId="0" fontId="58" fillId="0" borderId="19" xfId="0" applyFont="1" applyBorder="1" applyAlignment="1">
      <alignment horizontal="center"/>
    </xf>
    <xf numFmtId="0" fontId="57" fillId="0" borderId="6" xfId="0" applyFont="1" applyBorder="1"/>
    <xf numFmtId="0" fontId="57" fillId="0" borderId="20" xfId="0" applyFont="1" applyBorder="1"/>
    <xf numFmtId="0" fontId="57" fillId="0" borderId="3" xfId="0" applyFont="1" applyBorder="1" applyAlignment="1">
      <alignment horizontal="center"/>
    </xf>
    <xf numFmtId="164" fontId="58" fillId="0" borderId="4" xfId="1" applyNumberFormat="1" applyFont="1" applyBorder="1"/>
    <xf numFmtId="0" fontId="58" fillId="0" borderId="4" xfId="0" applyFont="1" applyFill="1" applyBorder="1" applyAlignment="1">
      <alignment horizontal="left" indent="1"/>
    </xf>
    <xf numFmtId="164" fontId="58" fillId="0" borderId="3" xfId="1" applyNumberFormat="1" applyFont="1" applyBorder="1"/>
    <xf numFmtId="0" fontId="57" fillId="0" borderId="2" xfId="0" applyFont="1" applyFill="1" applyBorder="1"/>
    <xf numFmtId="164" fontId="57" fillId="0" borderId="16" xfId="1" applyNumberFormat="1" applyFont="1" applyBorder="1"/>
    <xf numFmtId="0" fontId="57" fillId="0" borderId="15" xfId="0" applyFont="1" applyBorder="1"/>
    <xf numFmtId="0" fontId="57" fillId="0" borderId="2" xfId="0" applyFont="1" applyBorder="1"/>
    <xf numFmtId="164" fontId="58" fillId="0" borderId="3" xfId="4" applyNumberFormat="1" applyFont="1" applyFill="1" applyBorder="1"/>
    <xf numFmtId="164" fontId="58" fillId="0" borderId="4" xfId="4" applyNumberFormat="1" applyFont="1" applyFill="1" applyBorder="1"/>
    <xf numFmtId="164" fontId="58" fillId="0" borderId="5" xfId="4" applyNumberFormat="1" applyFont="1" applyFill="1" applyBorder="1"/>
    <xf numFmtId="0" fontId="58" fillId="0" borderId="5" xfId="0" applyFont="1" applyFill="1" applyBorder="1" applyAlignment="1">
      <alignment horizontal="center"/>
    </xf>
    <xf numFmtId="0" fontId="58" fillId="0" borderId="4" xfId="0" applyFont="1" applyFill="1" applyBorder="1" applyAlignment="1">
      <alignment horizontal="center"/>
    </xf>
    <xf numFmtId="0" fontId="58" fillId="0" borderId="4" xfId="0" quotePrefix="1" applyFont="1" applyBorder="1" applyAlignment="1">
      <alignment horizontal="left" indent="1"/>
    </xf>
    <xf numFmtId="0" fontId="57" fillId="0" borderId="3" xfId="0" applyFont="1" applyBorder="1"/>
    <xf numFmtId="164" fontId="57" fillId="0" borderId="3" xfId="1" applyNumberFormat="1" applyFont="1" applyBorder="1"/>
    <xf numFmtId="0" fontId="58" fillId="0" borderId="9" xfId="0" applyFont="1" applyBorder="1" applyAlignment="1">
      <alignment horizontal="center"/>
    </xf>
    <xf numFmtId="0" fontId="57" fillId="0" borderId="21" xfId="0" applyFont="1" applyBorder="1"/>
    <xf numFmtId="165" fontId="57" fillId="0" borderId="16" xfId="2" applyNumberFormat="1" applyFont="1" applyBorder="1"/>
    <xf numFmtId="0" fontId="58" fillId="0" borderId="22" xfId="0" applyFont="1" applyBorder="1" applyAlignment="1">
      <alignment horizontal="center"/>
    </xf>
    <xf numFmtId="0" fontId="58" fillId="0" borderId="0" xfId="0" applyFont="1" applyBorder="1"/>
    <xf numFmtId="37" fontId="58" fillId="0" borderId="0" xfId="1" applyNumberFormat="1" applyFont="1" applyBorder="1"/>
    <xf numFmtId="43" fontId="58" fillId="0" borderId="0" xfId="1" applyFont="1" applyBorder="1"/>
    <xf numFmtId="37" fontId="58" fillId="0" borderId="0" xfId="0" applyNumberFormat="1" applyFont="1" applyBorder="1"/>
    <xf numFmtId="0" fontId="71" fillId="0" borderId="0" xfId="0" applyFont="1" applyAlignment="1">
      <alignment horizontal="center"/>
    </xf>
    <xf numFmtId="0" fontId="58" fillId="0" borderId="0" xfId="0" applyFont="1" applyAlignment="1">
      <alignment horizontal="left"/>
    </xf>
    <xf numFmtId="0" fontId="58" fillId="0" borderId="0" xfId="0" applyFont="1" applyAlignment="1">
      <alignment horizontal="center"/>
    </xf>
    <xf numFmtId="14" fontId="71" fillId="0" borderId="0" xfId="0" applyNumberFormat="1" applyFont="1" applyAlignment="1">
      <alignment horizontal="center"/>
    </xf>
    <xf numFmtId="14" fontId="58" fillId="0" borderId="0" xfId="0" applyNumberFormat="1" applyFont="1" applyAlignment="1">
      <alignment horizontal="left"/>
    </xf>
    <xf numFmtId="0" fontId="64" fillId="0" borderId="10" xfId="0" applyFont="1" applyBorder="1" applyAlignment="1">
      <alignment horizontal="center"/>
    </xf>
    <xf numFmtId="0" fontId="57" fillId="0" borderId="0" xfId="0" applyFont="1" applyBorder="1" applyAlignment="1">
      <alignment horizontal="center"/>
    </xf>
    <xf numFmtId="0" fontId="57" fillId="0" borderId="0" xfId="0" applyFont="1" applyBorder="1" applyAlignment="1">
      <alignment horizontal="left"/>
    </xf>
    <xf numFmtId="0" fontId="58" fillId="0" borderId="6" xfId="0" applyFont="1" applyBorder="1"/>
    <xf numFmtId="0" fontId="58" fillId="0" borderId="10" xfId="0" applyFont="1" applyBorder="1"/>
    <xf numFmtId="0" fontId="58" fillId="0" borderId="0" xfId="0" applyFont="1" applyBorder="1" applyAlignment="1">
      <alignment horizontal="center"/>
    </xf>
    <xf numFmtId="0" fontId="58" fillId="0" borderId="8" xfId="0" applyFont="1" applyBorder="1"/>
    <xf numFmtId="165" fontId="73" fillId="0" borderId="0" xfId="3" applyNumberFormat="1" applyFont="1" applyFill="1" applyBorder="1"/>
    <xf numFmtId="164" fontId="73" fillId="0" borderId="0" xfId="4" applyNumberFormat="1" applyFont="1" applyFill="1" applyBorder="1"/>
    <xf numFmtId="164" fontId="58" fillId="0" borderId="0" xfId="0" applyNumberFormat="1" applyFont="1"/>
    <xf numFmtId="0" fontId="58" fillId="0" borderId="11" xfId="0" applyFont="1" applyBorder="1"/>
    <xf numFmtId="0" fontId="58" fillId="0" borderId="14" xfId="0" applyFont="1" applyBorder="1" applyAlignment="1">
      <alignment horizontal="center"/>
    </xf>
    <xf numFmtId="0" fontId="58" fillId="0" borderId="13" xfId="0" applyFont="1" applyBorder="1"/>
    <xf numFmtId="164" fontId="57" fillId="0" borderId="0" xfId="1" applyNumberFormat="1" applyFont="1" applyBorder="1"/>
    <xf numFmtId="0" fontId="57" fillId="0" borderId="13" xfId="0" applyFont="1" applyBorder="1"/>
    <xf numFmtId="164" fontId="73" fillId="0" borderId="0" xfId="1" applyNumberFormat="1" applyFont="1" applyBorder="1"/>
    <xf numFmtId="0" fontId="58" fillId="0" borderId="0" xfId="5" applyFont="1"/>
    <xf numFmtId="165" fontId="57" fillId="0" borderId="0" xfId="2" applyNumberFormat="1" applyFont="1" applyBorder="1"/>
    <xf numFmtId="0" fontId="74" fillId="0" borderId="0" xfId="0" applyFont="1" applyFill="1" applyBorder="1"/>
    <xf numFmtId="37" fontId="58" fillId="0" borderId="0" xfId="0" applyNumberFormat="1" applyFont="1"/>
    <xf numFmtId="164" fontId="58" fillId="0" borderId="8" xfId="4" applyNumberFormat="1" applyFont="1" applyFill="1" applyBorder="1"/>
    <xf numFmtId="164" fontId="58" fillId="0" borderId="11" xfId="4" applyNumberFormat="1" applyFont="1" applyFill="1" applyBorder="1"/>
    <xf numFmtId="164" fontId="58" fillId="0" borderId="7" xfId="4" applyNumberFormat="1" applyFont="1" applyFill="1" applyBorder="1"/>
    <xf numFmtId="164" fontId="58" fillId="0" borderId="7" xfId="1" applyNumberFormat="1" applyFont="1" applyBorder="1"/>
    <xf numFmtId="164" fontId="58" fillId="0" borderId="8" xfId="1" applyNumberFormat="1" applyFont="1" applyBorder="1"/>
    <xf numFmtId="0" fontId="64" fillId="0" borderId="0" xfId="5" applyFont="1"/>
    <xf numFmtId="0" fontId="64" fillId="0" borderId="6" xfId="5" applyFont="1" applyBorder="1" applyAlignment="1">
      <alignment horizontal="center"/>
    </xf>
    <xf numFmtId="0" fontId="64" fillId="0" borderId="3" xfId="5" applyFont="1" applyFill="1" applyBorder="1" applyAlignment="1">
      <alignment horizontal="center"/>
    </xf>
    <xf numFmtId="0" fontId="75" fillId="0" borderId="0" xfId="5" applyFont="1"/>
    <xf numFmtId="165" fontId="72" fillId="0" borderId="5" xfId="2" applyNumberFormat="1" applyFont="1" applyBorder="1"/>
    <xf numFmtId="165" fontId="63" fillId="0" borderId="5" xfId="2" applyNumberFormat="1" applyFont="1" applyBorder="1"/>
    <xf numFmtId="165" fontId="64" fillId="0" borderId="5" xfId="3" applyNumberFormat="1" applyFont="1" applyBorder="1"/>
    <xf numFmtId="165" fontId="64" fillId="0" borderId="5" xfId="2" applyNumberFormat="1" applyFont="1" applyBorder="1"/>
    <xf numFmtId="164" fontId="72" fillId="0" borderId="5" xfId="1" applyNumberFormat="1" applyFont="1" applyBorder="1"/>
    <xf numFmtId="164" fontId="63" fillId="0" borderId="5" xfId="1" applyNumberFormat="1" applyFont="1" applyBorder="1"/>
    <xf numFmtId="165" fontId="64" fillId="0" borderId="5" xfId="3" applyNumberFormat="1" applyFont="1" applyFill="1" applyBorder="1"/>
    <xf numFmtId="0" fontId="64" fillId="0" borderId="0" xfId="5" applyFont="1" applyFill="1"/>
    <xf numFmtId="164" fontId="64" fillId="0" borderId="6" xfId="4" applyNumberFormat="1" applyFont="1" applyBorder="1"/>
    <xf numFmtId="165" fontId="64" fillId="0" borderId="6" xfId="3" applyNumberFormat="1" applyFont="1" applyFill="1" applyBorder="1"/>
    <xf numFmtId="0" fontId="64" fillId="0" borderId="0" xfId="5" applyFont="1" applyFill="1" applyBorder="1"/>
    <xf numFmtId="165" fontId="63" fillId="0" borderId="25" xfId="2" applyNumberFormat="1" applyFont="1" applyBorder="1"/>
    <xf numFmtId="165" fontId="63" fillId="0" borderId="16" xfId="3" applyNumberFormat="1" applyFont="1" applyFill="1" applyBorder="1"/>
    <xf numFmtId="165" fontId="64" fillId="0" borderId="0" xfId="0" applyNumberFormat="1" applyFont="1"/>
    <xf numFmtId="0" fontId="63" fillId="0" borderId="5" xfId="0" applyFont="1" applyBorder="1"/>
    <xf numFmtId="165" fontId="63" fillId="0" borderId="4" xfId="2" applyNumberFormat="1" applyFont="1" applyBorder="1"/>
    <xf numFmtId="164" fontId="64" fillId="0" borderId="5" xfId="4" applyNumberFormat="1" applyFont="1" applyBorder="1"/>
    <xf numFmtId="0" fontId="64" fillId="0" borderId="1" xfId="5" applyFont="1" applyFill="1" applyBorder="1"/>
    <xf numFmtId="165" fontId="63" fillId="0" borderId="29" xfId="3" applyNumberFormat="1" applyFont="1" applyFill="1" applyBorder="1"/>
    <xf numFmtId="165" fontId="64" fillId="0" borderId="4" xfId="3" applyNumberFormat="1" applyFont="1" applyFill="1" applyBorder="1"/>
    <xf numFmtId="165" fontId="64" fillId="0" borderId="0" xfId="5" applyNumberFormat="1" applyFont="1"/>
    <xf numFmtId="37" fontId="63" fillId="0" borderId="4" xfId="0" applyNumberFormat="1" applyFont="1" applyBorder="1"/>
    <xf numFmtId="165" fontId="64" fillId="0" borderId="0" xfId="2" applyNumberFormat="1" applyFont="1"/>
    <xf numFmtId="165" fontId="64" fillId="0" borderId="0" xfId="2" applyNumberFormat="1" applyFont="1" applyBorder="1"/>
    <xf numFmtId="0" fontId="64" fillId="0" borderId="0" xfId="5" applyFont="1" applyBorder="1"/>
    <xf numFmtId="37" fontId="58" fillId="0" borderId="6" xfId="0" applyNumberFormat="1" applyFont="1" applyBorder="1"/>
    <xf numFmtId="37" fontId="58" fillId="0" borderId="7" xfId="0" applyNumberFormat="1" applyFont="1" applyBorder="1"/>
    <xf numFmtId="0" fontId="58" fillId="0" borderId="1" xfId="0" applyFont="1" applyBorder="1"/>
    <xf numFmtId="165" fontId="58" fillId="0" borderId="4" xfId="2" applyNumberFormat="1" applyFont="1" applyBorder="1"/>
    <xf numFmtId="165" fontId="58" fillId="0" borderId="8" xfId="2" applyNumberFormat="1" applyFont="1" applyBorder="1"/>
    <xf numFmtId="0" fontId="58" fillId="0" borderId="1" xfId="0" applyFont="1" applyBorder="1" applyAlignment="1">
      <alignment horizontal="left" indent="1"/>
    </xf>
    <xf numFmtId="0" fontId="58" fillId="0" borderId="0" xfId="0" applyFont="1" applyFill="1" applyBorder="1"/>
    <xf numFmtId="0" fontId="58" fillId="0" borderId="1" xfId="0" applyFont="1" applyFill="1" applyBorder="1" applyAlignment="1">
      <alignment horizontal="left" indent="1"/>
    </xf>
    <xf numFmtId="0" fontId="58" fillId="0" borderId="12" xfId="0" applyFont="1" applyFill="1" applyBorder="1"/>
    <xf numFmtId="164" fontId="58" fillId="0" borderId="11" xfId="1" applyNumberFormat="1" applyFont="1" applyBorder="1"/>
    <xf numFmtId="165" fontId="57" fillId="0" borderId="23" xfId="2" applyNumberFormat="1" applyFont="1" applyBorder="1"/>
    <xf numFmtId="37" fontId="58" fillId="0" borderId="0" xfId="0" applyNumberFormat="1" applyFont="1" applyFill="1"/>
    <xf numFmtId="0" fontId="57" fillId="0" borderId="0" xfId="5" applyFont="1" applyAlignment="1">
      <alignment horizontal="center"/>
    </xf>
    <xf numFmtId="14" fontId="57" fillId="0" borderId="0" xfId="5" applyNumberFormat="1" applyFont="1" applyAlignment="1">
      <alignment horizontal="center"/>
    </xf>
    <xf numFmtId="0" fontId="58" fillId="0" borderId="26" xfId="5" applyFont="1" applyBorder="1"/>
    <xf numFmtId="0" fontId="58" fillId="0" borderId="19" xfId="5" applyFont="1" applyBorder="1"/>
    <xf numFmtId="0" fontId="58" fillId="0" borderId="10" xfId="5" applyFont="1" applyBorder="1"/>
    <xf numFmtId="0" fontId="58" fillId="0" borderId="0" xfId="5" applyFont="1" applyBorder="1"/>
    <xf numFmtId="0" fontId="58" fillId="0" borderId="0" xfId="5" applyFont="1" applyBorder="1" applyAlignment="1">
      <alignment horizontal="center"/>
    </xf>
    <xf numFmtId="0" fontId="58" fillId="0" borderId="0" xfId="5" applyFont="1" applyBorder="1" applyAlignment="1">
      <alignment horizontal="left"/>
    </xf>
    <xf numFmtId="165" fontId="58" fillId="0" borderId="0" xfId="3" applyNumberFormat="1" applyFont="1"/>
    <xf numFmtId="165" fontId="58" fillId="0" borderId="0" xfId="3" applyNumberFormat="1" applyFont="1" applyBorder="1"/>
    <xf numFmtId="165" fontId="58" fillId="0" borderId="30" xfId="3" applyNumberFormat="1" applyFont="1" applyBorder="1"/>
    <xf numFmtId="0" fontId="3" fillId="0" borderId="0" xfId="217" quotePrefix="1" applyFont="1"/>
    <xf numFmtId="0" fontId="61" fillId="0" borderId="0" xfId="217" quotePrefix="1" applyFont="1" applyAlignment="1">
      <alignment horizontal="center"/>
    </xf>
    <xf numFmtId="0" fontId="65" fillId="0" borderId="0" xfId="1" applyNumberFormat="1" applyFont="1" applyFill="1" applyBorder="1" applyAlignment="1">
      <alignment horizontal="center"/>
    </xf>
    <xf numFmtId="0" fontId="58" fillId="0" borderId="4" xfId="0" applyFont="1" applyFill="1" applyBorder="1"/>
    <xf numFmtId="37" fontId="57" fillId="0" borderId="16" xfId="1" applyNumberFormat="1" applyFont="1" applyFill="1" applyBorder="1"/>
    <xf numFmtId="37" fontId="58" fillId="0" borderId="7" xfId="1" applyNumberFormat="1" applyFont="1" applyFill="1" applyBorder="1"/>
    <xf numFmtId="37" fontId="58" fillId="0" borderId="3" xfId="1" applyNumberFormat="1" applyFont="1" applyFill="1" applyBorder="1"/>
    <xf numFmtId="0" fontId="58" fillId="0" borderId="7" xfId="0" applyFont="1" applyFill="1" applyBorder="1" applyAlignment="1">
      <alignment horizontal="center"/>
    </xf>
    <xf numFmtId="37" fontId="57" fillId="0" borderId="6" xfId="1" applyNumberFormat="1" applyFont="1" applyFill="1" applyBorder="1"/>
    <xf numFmtId="0" fontId="58" fillId="0" borderId="8" xfId="0" applyFont="1" applyFill="1" applyBorder="1" applyAlignment="1">
      <alignment horizontal="center"/>
    </xf>
    <xf numFmtId="37" fontId="58" fillId="0" borderId="4" xfId="1" applyNumberFormat="1" applyFont="1" applyFill="1" applyBorder="1"/>
    <xf numFmtId="164" fontId="58" fillId="0" borderId="4" xfId="1" applyNumberFormat="1" applyFont="1" applyFill="1" applyBorder="1"/>
    <xf numFmtId="164" fontId="58" fillId="0" borderId="3" xfId="1" applyNumberFormat="1" applyFont="1" applyFill="1" applyBorder="1"/>
    <xf numFmtId="164" fontId="57" fillId="0" borderId="16" xfId="1" applyNumberFormat="1" applyFont="1" applyFill="1" applyBorder="1"/>
    <xf numFmtId="164" fontId="58" fillId="0" borderId="6" xfId="1" applyNumberFormat="1" applyFont="1" applyFill="1" applyBorder="1"/>
    <xf numFmtId="0" fontId="57" fillId="0" borderId="4" xfId="0" applyFont="1" applyFill="1" applyBorder="1" applyAlignment="1">
      <alignment horizontal="center"/>
    </xf>
    <xf numFmtId="164" fontId="58" fillId="0" borderId="5" xfId="1" applyNumberFormat="1" applyFont="1" applyFill="1" applyBorder="1"/>
    <xf numFmtId="0" fontId="58" fillId="0" borderId="0" xfId="0" applyFont="1" applyFill="1" applyAlignment="1">
      <alignment horizontal="left"/>
    </xf>
    <xf numFmtId="0" fontId="58" fillId="0" borderId="10" xfId="0" applyFont="1" applyFill="1" applyBorder="1" applyAlignment="1">
      <alignment horizontal="center"/>
    </xf>
    <xf numFmtId="165" fontId="58" fillId="0" borderId="8" xfId="3" applyNumberFormat="1" applyFont="1" applyFill="1" applyBorder="1"/>
    <xf numFmtId="164" fontId="57" fillId="0" borderId="23" xfId="1" applyNumberFormat="1" applyFont="1" applyFill="1" applyBorder="1"/>
    <xf numFmtId="164" fontId="58" fillId="0" borderId="7" xfId="1" applyNumberFormat="1" applyFont="1" applyFill="1" applyBorder="1"/>
    <xf numFmtId="164" fontId="58" fillId="0" borderId="8" xfId="1" applyNumberFormat="1" applyFont="1" applyFill="1" applyBorder="1"/>
    <xf numFmtId="165" fontId="57" fillId="0" borderId="24" xfId="2" applyNumberFormat="1" applyFont="1" applyFill="1" applyBorder="1"/>
    <xf numFmtId="37" fontId="58" fillId="0" borderId="0" xfId="0" applyNumberFormat="1" applyFont="1" applyFill="1" applyBorder="1"/>
    <xf numFmtId="0" fontId="58" fillId="0" borderId="0" xfId="0" applyFont="1" applyFill="1"/>
    <xf numFmtId="164" fontId="64" fillId="0" borderId="5" xfId="1" applyNumberFormat="1" applyFont="1" applyFill="1" applyBorder="1"/>
    <xf numFmtId="164" fontId="63" fillId="0" borderId="5" xfId="1" applyNumberFormat="1" applyFont="1" applyFill="1" applyBorder="1"/>
    <xf numFmtId="0" fontId="64" fillId="0" borderId="0" xfId="0" applyFont="1" applyFill="1"/>
    <xf numFmtId="164" fontId="64" fillId="0" borderId="6" xfId="4" applyNumberFormat="1" applyFont="1" applyFill="1" applyBorder="1"/>
    <xf numFmtId="164" fontId="64" fillId="0" borderId="6" xfId="1" applyNumberFormat="1" applyFont="1" applyFill="1" applyBorder="1"/>
    <xf numFmtId="164" fontId="63" fillId="0" borderId="6" xfId="1" applyNumberFormat="1" applyFont="1" applyFill="1" applyBorder="1"/>
    <xf numFmtId="165" fontId="63" fillId="0" borderId="14" xfId="2" applyNumberFormat="1" applyFont="1" applyFill="1" applyBorder="1"/>
    <xf numFmtId="165" fontId="63" fillId="0" borderId="24" xfId="2" applyNumberFormat="1" applyFont="1" applyFill="1" applyBorder="1"/>
    <xf numFmtId="165" fontId="63" fillId="0" borderId="4" xfId="2" applyNumberFormat="1" applyFont="1" applyFill="1" applyBorder="1"/>
    <xf numFmtId="164" fontId="64" fillId="0" borderId="5" xfId="4" applyNumberFormat="1" applyFont="1" applyFill="1" applyBorder="1"/>
    <xf numFmtId="37" fontId="63" fillId="0" borderId="4" xfId="0" applyNumberFormat="1" applyFont="1" applyFill="1" applyBorder="1"/>
    <xf numFmtId="37" fontId="64" fillId="0" borderId="0" xfId="0" applyNumberFormat="1" applyFont="1" applyFill="1"/>
    <xf numFmtId="165" fontId="58" fillId="0" borderId="0" xfId="3" applyNumberFormat="1" applyFont="1" applyFill="1"/>
    <xf numFmtId="165" fontId="57" fillId="0" borderId="25" xfId="2" applyNumberFormat="1" applyFont="1" applyFill="1" applyBorder="1"/>
    <xf numFmtId="165" fontId="57" fillId="0" borderId="13" xfId="2" applyNumberFormat="1" applyFont="1" applyFill="1" applyBorder="1"/>
    <xf numFmtId="0" fontId="58" fillId="0" borderId="7" xfId="0" applyFont="1" applyFill="1" applyBorder="1"/>
    <xf numFmtId="37" fontId="58" fillId="0" borderId="7" xfId="0" applyNumberFormat="1" applyFont="1" applyFill="1" applyBorder="1"/>
    <xf numFmtId="0" fontId="58" fillId="0" borderId="8" xfId="0" applyFont="1" applyFill="1" applyBorder="1" applyAlignment="1">
      <alignment horizontal="left" indent="1"/>
    </xf>
    <xf numFmtId="164" fontId="58" fillId="0" borderId="8" xfId="1" applyNumberFormat="1" applyFont="1" applyFill="1" applyBorder="1" applyAlignment="1">
      <alignment horizontal="right"/>
    </xf>
    <xf numFmtId="164" fontId="58" fillId="0" borderId="7" xfId="1" applyNumberFormat="1" applyFont="1" applyFill="1" applyBorder="1" applyAlignment="1">
      <alignment horizontal="right"/>
    </xf>
    <xf numFmtId="0" fontId="58" fillId="0" borderId="11" xfId="0" applyFont="1" applyFill="1" applyBorder="1"/>
    <xf numFmtId="164" fontId="58" fillId="0" borderId="11" xfId="1" applyNumberFormat="1" applyFont="1" applyFill="1" applyBorder="1" applyAlignment="1">
      <alignment horizontal="right"/>
    </xf>
    <xf numFmtId="37" fontId="58" fillId="0" borderId="7" xfId="0" applyNumberFormat="1" applyFont="1" applyFill="1" applyBorder="1" applyAlignment="1">
      <alignment horizontal="right"/>
    </xf>
    <xf numFmtId="37" fontId="58" fillId="0" borderId="10" xfId="0" applyNumberFormat="1" applyFont="1" applyFill="1" applyBorder="1"/>
    <xf numFmtId="0" fontId="58" fillId="0" borderId="2" xfId="0" applyFont="1" applyFill="1" applyBorder="1"/>
    <xf numFmtId="37" fontId="58" fillId="0" borderId="1" xfId="0" applyNumberFormat="1" applyFont="1" applyFill="1" applyBorder="1"/>
    <xf numFmtId="37" fontId="58" fillId="0" borderId="8" xfId="0" applyNumberFormat="1" applyFont="1" applyFill="1" applyBorder="1"/>
    <xf numFmtId="44" fontId="2" fillId="0" borderId="0" xfId="2" applyFont="1" applyFill="1" applyAlignment="1">
      <alignment horizontal="right"/>
    </xf>
    <xf numFmtId="44" fontId="5" fillId="0" borderId="0" xfId="2" applyFont="1" applyFill="1"/>
    <xf numFmtId="0" fontId="56" fillId="0" borderId="0" xfId="217" applyFont="1"/>
    <xf numFmtId="0" fontId="58" fillId="0" borderId="6" xfId="5" applyFont="1" applyFill="1" applyBorder="1" applyAlignment="1">
      <alignment horizontal="center"/>
    </xf>
    <xf numFmtId="0" fontId="58" fillId="0" borderId="5" xfId="5" applyFont="1" applyFill="1" applyBorder="1" applyAlignment="1">
      <alignment horizontal="center"/>
    </xf>
    <xf numFmtId="0" fontId="58" fillId="0" borderId="4" xfId="5" applyFont="1" applyFill="1" applyBorder="1" applyAlignment="1">
      <alignment horizontal="center"/>
    </xf>
    <xf numFmtId="0" fontId="58" fillId="0" borderId="0" xfId="5" applyFont="1" applyFill="1"/>
    <xf numFmtId="165" fontId="58" fillId="0" borderId="30" xfId="3" applyNumberFormat="1" applyFont="1" applyFill="1" applyBorder="1"/>
    <xf numFmtId="0" fontId="57" fillId="0" borderId="0" xfId="0" applyFont="1"/>
    <xf numFmtId="164" fontId="67" fillId="0" borderId="0" xfId="0" applyNumberFormat="1" applyFont="1" applyFill="1"/>
    <xf numFmtId="0" fontId="57" fillId="0" borderId="0" xfId="0" applyFont="1" applyFill="1" applyAlignment="1">
      <alignment horizontal="left"/>
    </xf>
    <xf numFmtId="0" fontId="57" fillId="0" borderId="0" xfId="5" applyFont="1" applyFill="1"/>
    <xf numFmtId="165" fontId="64" fillId="0" borderId="0" xfId="5" applyNumberFormat="1" applyFont="1" applyBorder="1"/>
    <xf numFmtId="0" fontId="64" fillId="0" borderId="0" xfId="5" applyFont="1" applyFill="1" applyAlignment="1">
      <alignment wrapText="1"/>
    </xf>
    <xf numFmtId="165" fontId="62" fillId="0" borderId="12" xfId="2" applyNumberFormat="1" applyFont="1" applyFill="1" applyBorder="1" applyAlignment="1"/>
    <xf numFmtId="165" fontId="62" fillId="0" borderId="0" xfId="2" applyNumberFormat="1" applyFont="1" applyFill="1" applyAlignment="1"/>
    <xf numFmtId="0" fontId="57" fillId="0" borderId="0" xfId="0" applyFont="1" applyFill="1"/>
    <xf numFmtId="37" fontId="58" fillId="0" borderId="4" xfId="4" applyNumberFormat="1" applyFont="1" applyFill="1" applyBorder="1"/>
    <xf numFmtId="0" fontId="61" fillId="0" borderId="0" xfId="217" applyFont="1" applyAlignment="1">
      <alignment horizontal="center"/>
    </xf>
    <xf numFmtId="0" fontId="14" fillId="0" borderId="0" xfId="0" applyFont="1" applyAlignment="1" applyProtection="1"/>
    <xf numFmtId="0" fontId="14" fillId="0" borderId="0" xfId="0" applyFont="1" applyAlignment="1" applyProtection="1">
      <alignment horizontal="right"/>
    </xf>
    <xf numFmtId="0" fontId="76" fillId="0" borderId="0" xfId="0" applyFont="1" applyBorder="1" applyAlignment="1" applyProtection="1">
      <alignment wrapText="1"/>
    </xf>
    <xf numFmtId="0" fontId="14" fillId="0" borderId="0" xfId="0" applyNumberFormat="1" applyFont="1" applyAlignment="1" applyProtection="1"/>
    <xf numFmtId="0" fontId="14" fillId="0" borderId="0" xfId="0" applyNumberFormat="1" applyFont="1" applyAlignment="1" applyProtection="1">
      <alignment horizontal="left"/>
    </xf>
    <xf numFmtId="0" fontId="14" fillId="0" borderId="0" xfId="0" applyNumberFormat="1" applyFont="1" applyProtection="1"/>
    <xf numFmtId="0" fontId="14" fillId="0" borderId="0" xfId="0" applyNumberFormat="1" applyFont="1" applyAlignment="1" applyProtection="1">
      <alignment horizontal="right"/>
    </xf>
    <xf numFmtId="0" fontId="14" fillId="0" borderId="0" xfId="0" applyNumberFormat="1" applyFont="1" applyAlignment="1" applyProtection="1">
      <alignment horizontal="center"/>
    </xf>
    <xf numFmtId="0" fontId="14" fillId="2" borderId="0" xfId="0" applyNumberFormat="1" applyFont="1" applyFill="1" applyProtection="1"/>
    <xf numFmtId="0" fontId="14" fillId="2" borderId="0" xfId="0" applyFont="1" applyFill="1" applyAlignment="1" applyProtection="1"/>
    <xf numFmtId="0" fontId="14" fillId="2" borderId="0" xfId="0" applyNumberFormat="1" applyFont="1" applyFill="1" applyAlignment="1" applyProtection="1">
      <alignment horizontal="right"/>
    </xf>
    <xf numFmtId="3" fontId="14" fillId="0" borderId="0" xfId="0" applyNumberFormat="1" applyFont="1" applyAlignment="1" applyProtection="1"/>
    <xf numFmtId="0" fontId="14" fillId="0" borderId="0" xfId="0" applyNumberFormat="1" applyFont="1" applyBorder="1" applyProtection="1"/>
    <xf numFmtId="0" fontId="14" fillId="0" borderId="0" xfId="0" applyFont="1" applyBorder="1" applyAlignment="1" applyProtection="1"/>
    <xf numFmtId="0" fontId="77" fillId="0" borderId="0" xfId="0" applyFont="1" applyBorder="1" applyAlignment="1" applyProtection="1">
      <alignment wrapText="1"/>
    </xf>
    <xf numFmtId="49" fontId="14" fillId="2" borderId="0" xfId="0" applyNumberFormat="1" applyFont="1" applyFill="1" applyProtection="1"/>
    <xf numFmtId="49" fontId="14" fillId="0" borderId="0" xfId="0" applyNumberFormat="1" applyFont="1" applyProtection="1"/>
    <xf numFmtId="0" fontId="14" fillId="0" borderId="27" xfId="0" applyNumberFormat="1" applyFont="1" applyBorder="1" applyAlignment="1" applyProtection="1">
      <alignment horizontal="center"/>
    </xf>
    <xf numFmtId="3" fontId="14" fillId="0" borderId="0" xfId="0" applyNumberFormat="1" applyFont="1" applyProtection="1"/>
    <xf numFmtId="42" fontId="14" fillId="0" borderId="0" xfId="0" applyNumberFormat="1" applyFont="1" applyProtection="1"/>
    <xf numFmtId="0" fontId="14" fillId="0" borderId="27" xfId="0" applyNumberFormat="1" applyFont="1" applyBorder="1" applyAlignment="1" applyProtection="1">
      <alignment horizontal="centerContinuous"/>
    </xf>
    <xf numFmtId="166" fontId="14" fillId="0" borderId="0" xfId="0" applyNumberFormat="1" applyFont="1" applyAlignment="1" applyProtection="1"/>
    <xf numFmtId="3" fontId="14" fillId="2" borderId="0" xfId="0" applyNumberFormat="1" applyFont="1" applyFill="1" applyProtection="1"/>
    <xf numFmtId="0" fontId="15" fillId="0" borderId="0" xfId="0" applyNumberFormat="1" applyFont="1" applyProtection="1"/>
    <xf numFmtId="3" fontId="14" fillId="0" borderId="27" xfId="0" applyNumberFormat="1" applyFont="1" applyBorder="1" applyAlignment="1" applyProtection="1"/>
    <xf numFmtId="3" fontId="14" fillId="0" borderId="0" xfId="0" applyNumberFormat="1" applyFont="1" applyAlignment="1" applyProtection="1">
      <alignment horizontal="fill"/>
    </xf>
    <xf numFmtId="3" fontId="14" fillId="3" borderId="0" xfId="0" applyNumberFormat="1" applyFont="1" applyFill="1" applyAlignment="1" applyProtection="1"/>
    <xf numFmtId="3" fontId="14" fillId="0" borderId="32" xfId="0" applyNumberFormat="1" applyFont="1" applyBorder="1" applyAlignment="1" applyProtection="1"/>
    <xf numFmtId="42" fontId="14" fillId="0" borderId="28" xfId="0" applyNumberFormat="1" applyFont="1" applyBorder="1" applyAlignment="1" applyProtection="1">
      <alignment horizontal="right"/>
    </xf>
    <xf numFmtId="0" fontId="15" fillId="0" borderId="0" xfId="0" applyFont="1" applyAlignment="1" applyProtection="1"/>
    <xf numFmtId="3" fontId="14" fillId="0" borderId="0" xfId="0" applyNumberFormat="1" applyFont="1" applyFill="1" applyBorder="1" applyProtection="1"/>
    <xf numFmtId="3" fontId="14" fillId="2" borderId="0" xfId="0" applyNumberFormat="1" applyFont="1" applyFill="1" applyBorder="1" applyProtection="1"/>
    <xf numFmtId="3" fontId="14" fillId="2" borderId="27" xfId="0" applyNumberFormat="1" applyFont="1" applyFill="1" applyBorder="1" applyProtection="1"/>
    <xf numFmtId="167" fontId="14" fillId="0" borderId="0" xfId="0" applyNumberFormat="1" applyFont="1" applyProtection="1"/>
    <xf numFmtId="167" fontId="14" fillId="0" borderId="0" xfId="0" applyNumberFormat="1" applyFont="1" applyAlignment="1" applyProtection="1">
      <alignment horizontal="center"/>
    </xf>
    <xf numFmtId="0" fontId="14" fillId="0" borderId="0" xfId="0" applyFont="1" applyAlignment="1" applyProtection="1">
      <alignment horizontal="center"/>
    </xf>
    <xf numFmtId="168" fontId="14" fillId="0" borderId="0" xfId="0" applyNumberFormat="1" applyFont="1" applyAlignment="1" applyProtection="1"/>
    <xf numFmtId="168" fontId="14" fillId="2" borderId="0" xfId="0" applyNumberFormat="1" applyFont="1" applyFill="1" applyProtection="1"/>
    <xf numFmtId="168" fontId="14" fillId="0" borderId="0" xfId="0" applyNumberFormat="1" applyFont="1" applyProtection="1"/>
    <xf numFmtId="49" fontId="14" fillId="0" borderId="0" xfId="0" applyNumberFormat="1" applyFont="1" applyAlignment="1" applyProtection="1">
      <alignment horizontal="left"/>
    </xf>
    <xf numFmtId="49" fontId="14" fillId="0" borderId="0" xfId="0" applyNumberFormat="1" applyFont="1" applyAlignment="1" applyProtection="1">
      <alignment horizontal="center"/>
    </xf>
    <xf numFmtId="3" fontId="16" fillId="0" borderId="0" xfId="0" applyNumberFormat="1" applyFont="1" applyAlignment="1" applyProtection="1">
      <alignment horizontal="center"/>
    </xf>
    <xf numFmtId="0" fontId="16" fillId="0" borderId="0" xfId="0" applyNumberFormat="1" applyFont="1" applyAlignment="1" applyProtection="1">
      <alignment horizontal="center"/>
    </xf>
    <xf numFmtId="0" fontId="16" fillId="0" borderId="0" xfId="0" applyNumberFormat="1" applyFont="1" applyAlignment="1" applyProtection="1"/>
    <xf numFmtId="0" fontId="16" fillId="0" borderId="0" xfId="0" applyFont="1" applyAlignment="1" applyProtection="1">
      <alignment horizontal="center"/>
    </xf>
    <xf numFmtId="3" fontId="16" fillId="0" borderId="0" xfId="0" applyNumberFormat="1" applyFont="1" applyAlignment="1" applyProtection="1"/>
    <xf numFmtId="3" fontId="14" fillId="2" borderId="0" xfId="0" applyNumberFormat="1" applyFont="1" applyFill="1" applyBorder="1" applyAlignment="1" applyProtection="1"/>
    <xf numFmtId="169" fontId="14" fillId="0" borderId="0" xfId="0" applyNumberFormat="1" applyFont="1" applyAlignment="1" applyProtection="1"/>
    <xf numFmtId="3" fontId="14" fillId="2" borderId="27" xfId="0" applyNumberFormat="1" applyFont="1" applyFill="1" applyBorder="1" applyAlignment="1" applyProtection="1"/>
    <xf numFmtId="170" fontId="14" fillId="0" borderId="0" xfId="0" applyNumberFormat="1" applyFont="1" applyAlignment="1" applyProtection="1">
      <alignment horizontal="center"/>
    </xf>
    <xf numFmtId="3" fontId="14" fillId="2" borderId="0" xfId="0" applyNumberFormat="1" applyFont="1" applyFill="1" applyAlignment="1" applyProtection="1"/>
    <xf numFmtId="0" fontId="14" fillId="0" borderId="0" xfId="0" applyNumberFormat="1" applyFont="1" applyAlignment="1" applyProtection="1">
      <alignment horizontal="fill"/>
    </xf>
    <xf numFmtId="169" fontId="14" fillId="0" borderId="0" xfId="0" applyNumberFormat="1" applyFont="1" applyAlignment="1" applyProtection="1">
      <alignment horizontal="right"/>
    </xf>
    <xf numFmtId="3" fontId="14" fillId="0" borderId="0" xfId="0" applyNumberFormat="1" applyFont="1" applyAlignment="1" applyProtection="1">
      <alignment horizontal="center"/>
    </xf>
    <xf numFmtId="0" fontId="14" fillId="0" borderId="27" xfId="0" applyFont="1" applyBorder="1" applyAlignment="1" applyProtection="1"/>
    <xf numFmtId="3" fontId="14" fillId="0" borderId="28" xfId="0" applyNumberFormat="1" applyFont="1" applyBorder="1" applyAlignment="1" applyProtection="1"/>
    <xf numFmtId="3" fontId="14" fillId="0" borderId="0" xfId="0" applyNumberFormat="1" applyFont="1" applyAlignment="1" applyProtection="1">
      <alignment horizontal="right"/>
    </xf>
    <xf numFmtId="0" fontId="14" fillId="0" borderId="0" xfId="0" applyNumberFormat="1" applyFont="1" applyFill="1" applyAlignment="1" applyProtection="1">
      <alignment horizontal="center"/>
    </xf>
    <xf numFmtId="0" fontId="14" fillId="0" borderId="0" xfId="0" applyNumberFormat="1" applyFont="1" applyFill="1" applyAlignment="1" applyProtection="1"/>
    <xf numFmtId="0" fontId="14" fillId="0" borderId="0" xfId="0" applyFont="1" applyFill="1" applyAlignment="1" applyProtection="1"/>
    <xf numFmtId="3" fontId="17" fillId="0" borderId="0" xfId="0" applyNumberFormat="1" applyFont="1" applyAlignment="1" applyProtection="1"/>
    <xf numFmtId="3" fontId="14" fillId="0" borderId="0" xfId="0" applyNumberFormat="1" applyFont="1" applyFill="1" applyAlignment="1" applyProtection="1"/>
    <xf numFmtId="0" fontId="14" fillId="0" borderId="0" xfId="0" applyNumberFormat="1" applyFont="1" applyFill="1" applyAlignment="1" applyProtection="1">
      <alignment horizontal="fill"/>
    </xf>
    <xf numFmtId="166" fontId="14" fillId="0" borderId="0" xfId="0" applyNumberFormat="1" applyFont="1" applyAlignment="1" applyProtection="1">
      <alignment horizontal="right"/>
    </xf>
    <xf numFmtId="10" fontId="14" fillId="0" borderId="0" xfId="0" applyNumberFormat="1" applyFont="1" applyAlignment="1" applyProtection="1">
      <alignment horizontal="left"/>
    </xf>
    <xf numFmtId="166" fontId="14" fillId="0" borderId="0" xfId="0" applyNumberFormat="1" applyFont="1" applyAlignment="1" applyProtection="1">
      <alignment horizontal="center"/>
    </xf>
    <xf numFmtId="170" fontId="14" fillId="0" borderId="0" xfId="0" applyNumberFormat="1" applyFont="1" applyAlignment="1" applyProtection="1">
      <alignment horizontal="left"/>
    </xf>
    <xf numFmtId="10" fontId="14" fillId="0" borderId="0" xfId="0" applyNumberFormat="1" applyFont="1" applyFill="1" applyAlignment="1" applyProtection="1">
      <alignment horizontal="right"/>
    </xf>
    <xf numFmtId="171" fontId="14" fillId="0" borderId="0" xfId="0" applyNumberFormat="1" applyFont="1" applyFill="1" applyAlignment="1" applyProtection="1">
      <alignment horizontal="right"/>
    </xf>
    <xf numFmtId="3" fontId="14" fillId="0" borderId="0" xfId="0" applyNumberFormat="1" applyFont="1" applyFill="1" applyAlignment="1" applyProtection="1">
      <alignment horizontal="right"/>
    </xf>
    <xf numFmtId="172" fontId="14" fillId="0" borderId="0" xfId="0" applyNumberFormat="1" applyFont="1" applyAlignment="1" applyProtection="1"/>
    <xf numFmtId="3" fontId="14" fillId="0" borderId="0" xfId="0" applyNumberFormat="1" applyFont="1" applyBorder="1" applyAlignment="1" applyProtection="1"/>
    <xf numFmtId="0" fontId="14" fillId="2" borderId="0" xfId="0" applyNumberFormat="1" applyFont="1" applyFill="1" applyBorder="1" applyAlignment="1" applyProtection="1"/>
    <xf numFmtId="0" fontId="14" fillId="2" borderId="27" xfId="0" applyNumberFormat="1" applyFont="1" applyFill="1" applyBorder="1" applyAlignment="1" applyProtection="1"/>
    <xf numFmtId="3" fontId="14" fillId="0" borderId="28" xfId="0" applyNumberFormat="1" applyFont="1" applyFill="1" applyBorder="1" applyAlignment="1" applyProtection="1"/>
    <xf numFmtId="0" fontId="14" fillId="0" borderId="0" xfId="0" applyNumberFormat="1" applyFont="1" applyFill="1" applyProtection="1"/>
    <xf numFmtId="0" fontId="18" fillId="0" borderId="0" xfId="0" applyNumberFormat="1" applyFont="1" applyAlignment="1" applyProtection="1">
      <alignment horizontal="center"/>
    </xf>
    <xf numFmtId="0" fontId="18" fillId="0" borderId="0" xfId="0" applyFont="1" applyAlignment="1" applyProtection="1"/>
    <xf numFmtId="3" fontId="18" fillId="0" borderId="0" xfId="0" applyNumberFormat="1" applyFont="1" applyAlignment="1" applyProtection="1"/>
    <xf numFmtId="0" fontId="18" fillId="0" borderId="0" xfId="0" applyNumberFormat="1" applyFont="1" applyProtection="1"/>
    <xf numFmtId="0" fontId="19" fillId="0" borderId="0" xfId="0" applyNumberFormat="1" applyFont="1" applyProtection="1"/>
    <xf numFmtId="0" fontId="14" fillId="0" borderId="27" xfId="0" applyNumberFormat="1" applyFont="1" applyBorder="1" applyProtection="1"/>
    <xf numFmtId="49" fontId="14" fillId="0" borderId="0" xfId="0" applyNumberFormat="1" applyFont="1" applyAlignment="1" applyProtection="1"/>
    <xf numFmtId="0" fontId="14" fillId="0" borderId="0" xfId="0" applyFont="1" applyFill="1" applyBorder="1" applyAlignment="1" applyProtection="1"/>
    <xf numFmtId="0" fontId="20" fillId="0" borderId="0" xfId="0" applyFont="1" applyFill="1" applyBorder="1" applyAlignment="1" applyProtection="1"/>
    <xf numFmtId="173" fontId="14" fillId="0" borderId="0" xfId="0" applyNumberFormat="1" applyFont="1" applyFill="1" applyBorder="1" applyAlignment="1" applyProtection="1"/>
    <xf numFmtId="3" fontId="15" fillId="0" borderId="0" xfId="0" applyNumberFormat="1" applyFont="1" applyFill="1" applyBorder="1" applyAlignment="1" applyProtection="1"/>
    <xf numFmtId="0" fontId="14" fillId="0" borderId="0" xfId="0" applyNumberFormat="1" applyFont="1" applyFill="1" applyBorder="1" applyProtection="1"/>
    <xf numFmtId="3" fontId="14" fillId="0" borderId="0" xfId="0" applyNumberFormat="1" applyFont="1" applyFill="1" applyBorder="1" applyAlignment="1" applyProtection="1"/>
    <xf numFmtId="0" fontId="14" fillId="0" borderId="0" xfId="0" applyNumberFormat="1" applyFont="1" applyFill="1" applyBorder="1" applyAlignment="1" applyProtection="1"/>
    <xf numFmtId="0" fontId="15" fillId="0" borderId="0" xfId="0" applyFont="1" applyFill="1" applyBorder="1" applyAlignment="1" applyProtection="1"/>
    <xf numFmtId="0" fontId="14" fillId="0" borderId="0" xfId="0" applyNumberFormat="1" applyFont="1" applyFill="1" applyBorder="1" applyAlignment="1" applyProtection="1">
      <alignment horizontal="center"/>
    </xf>
    <xf numFmtId="0" fontId="21" fillId="0" borderId="0" xfId="0" applyFont="1" applyFill="1" applyBorder="1" applyProtection="1"/>
    <xf numFmtId="169" fontId="14" fillId="0" borderId="0" xfId="0" applyNumberFormat="1" applyFont="1" applyProtection="1"/>
    <xf numFmtId="0" fontId="15" fillId="0" borderId="0" xfId="0" applyFont="1" applyFill="1" applyBorder="1" applyProtection="1"/>
    <xf numFmtId="166" fontId="14" fillId="0" borderId="0" xfId="0" applyNumberFormat="1" applyFont="1" applyProtection="1"/>
    <xf numFmtId="3" fontId="14" fillId="0" borderId="27" xfId="0" applyNumberFormat="1" applyFont="1" applyBorder="1" applyAlignment="1" applyProtection="1">
      <alignment horizontal="center"/>
    </xf>
    <xf numFmtId="4" fontId="14" fillId="0" borderId="0" xfId="0" applyNumberFormat="1" applyFont="1" applyAlignment="1" applyProtection="1"/>
    <xf numFmtId="3" fontId="14" fillId="0" borderId="0" xfId="0" applyNumberFormat="1" applyFont="1" applyBorder="1" applyAlignment="1" applyProtection="1">
      <alignment horizontal="center"/>
    </xf>
    <xf numFmtId="0" fontId="14" fillId="0" borderId="27" xfId="0" applyNumberFormat="1" applyFont="1" applyBorder="1" applyAlignment="1" applyProtection="1"/>
    <xf numFmtId="173" fontId="14" fillId="2" borderId="0" xfId="0" applyNumberFormat="1" applyFont="1" applyFill="1" applyAlignment="1" applyProtection="1"/>
    <xf numFmtId="9" fontId="14" fillId="0" borderId="0" xfId="0" applyNumberFormat="1" applyFont="1" applyAlignment="1" applyProtection="1"/>
    <xf numFmtId="171" fontId="14" fillId="0" borderId="0" xfId="0" applyNumberFormat="1" applyFont="1" applyAlignment="1" applyProtection="1"/>
    <xf numFmtId="10" fontId="14" fillId="0" borderId="0" xfId="0" applyNumberFormat="1" applyFont="1" applyAlignment="1" applyProtection="1"/>
    <xf numFmtId="3" fontId="14" fillId="0" borderId="0" xfId="0" quotePrefix="1" applyNumberFormat="1" applyFont="1" applyAlignment="1" applyProtection="1"/>
    <xf numFmtId="9" fontId="14" fillId="0" borderId="27" xfId="0" applyNumberFormat="1" applyFont="1" applyBorder="1" applyAlignment="1" applyProtection="1"/>
    <xf numFmtId="171" fontId="14" fillId="0" borderId="27" xfId="0" applyNumberFormat="1" applyFont="1" applyBorder="1" applyAlignment="1" applyProtection="1"/>
    <xf numFmtId="9" fontId="14" fillId="0" borderId="0" xfId="0" applyNumberFormat="1" applyFont="1" applyFill="1" applyAlignment="1" applyProtection="1"/>
    <xf numFmtId="0" fontId="14" fillId="0" borderId="26" xfId="0" applyFont="1" applyBorder="1" applyAlignment="1" applyProtection="1"/>
    <xf numFmtId="0" fontId="14" fillId="0" borderId="10" xfId="0" applyFont="1" applyBorder="1" applyAlignment="1" applyProtection="1"/>
    <xf numFmtId="10" fontId="14" fillId="2" borderId="0" xfId="0" applyNumberFormat="1" applyFont="1" applyFill="1" applyAlignment="1" applyProtection="1"/>
    <xf numFmtId="0" fontId="14" fillId="0" borderId="17" xfId="0" applyFont="1" applyBorder="1" applyAlignment="1" applyProtection="1"/>
    <xf numFmtId="0" fontId="14" fillId="0" borderId="7" xfId="0" applyFont="1" applyBorder="1" applyAlignment="1" applyProtection="1"/>
    <xf numFmtId="10" fontId="77" fillId="8" borderId="7" xfId="157" applyNumberFormat="1" applyFont="1" applyFill="1" applyBorder="1" applyAlignment="1" applyProtection="1"/>
    <xf numFmtId="0" fontId="14" fillId="0" borderId="2" xfId="0" applyFont="1" applyBorder="1" applyAlignment="1" applyProtection="1"/>
    <xf numFmtId="0" fontId="14" fillId="0" borderId="8" xfId="0" applyFont="1" applyBorder="1" applyAlignment="1" applyProtection="1"/>
    <xf numFmtId="168" fontId="14" fillId="0" borderId="0" xfId="0" applyNumberFormat="1" applyFont="1" applyBorder="1" applyProtection="1"/>
    <xf numFmtId="173" fontId="14" fillId="0" borderId="0" xfId="0" applyNumberFormat="1" applyFont="1" applyFill="1" applyBorder="1" applyProtection="1"/>
    <xf numFmtId="173" fontId="14" fillId="2" borderId="0" xfId="0" applyNumberFormat="1" applyFont="1" applyFill="1" applyBorder="1" applyProtection="1"/>
    <xf numFmtId="173" fontId="14" fillId="2" borderId="0" xfId="0" applyNumberFormat="1" applyFont="1" applyFill="1" applyBorder="1" applyAlignment="1" applyProtection="1"/>
    <xf numFmtId="3" fontId="15" fillId="0" borderId="0" xfId="0" applyNumberFormat="1" applyFont="1" applyAlignment="1" applyProtection="1">
      <alignment horizontal="left"/>
    </xf>
    <xf numFmtId="0" fontId="14" fillId="0" borderId="0" xfId="0" applyNumberFormat="1" applyFont="1" applyBorder="1" applyAlignment="1" applyProtection="1"/>
    <xf numFmtId="0" fontId="14" fillId="0" borderId="27" xfId="0" applyNumberFormat="1" applyFont="1" applyFill="1" applyBorder="1" applyAlignment="1" applyProtection="1"/>
    <xf numFmtId="0" fontId="14" fillId="0" borderId="27" xfId="0" applyNumberFormat="1" applyFont="1" applyFill="1" applyBorder="1" applyProtection="1"/>
    <xf numFmtId="173" fontId="14" fillId="2" borderId="27" xfId="0" applyNumberFormat="1" applyFont="1" applyFill="1" applyBorder="1" applyAlignment="1" applyProtection="1"/>
    <xf numFmtId="174" fontId="14" fillId="0" borderId="0" xfId="0" applyNumberFormat="1" applyFont="1" applyAlignment="1" applyProtection="1"/>
    <xf numFmtId="0" fontId="18" fillId="0" borderId="0" xfId="0" applyNumberFormat="1" applyFont="1" applyAlignment="1" applyProtection="1"/>
    <xf numFmtId="173" fontId="14" fillId="0" borderId="0" xfId="0" applyNumberFormat="1" applyFont="1" applyAlignment="1" applyProtection="1">
      <alignment horizontal="right"/>
    </xf>
    <xf numFmtId="173" fontId="14" fillId="0" borderId="0" xfId="0" applyNumberFormat="1" applyFont="1" applyProtection="1"/>
    <xf numFmtId="0" fontId="14" fillId="0" borderId="0" xfId="0" applyNumberFormat="1" applyFont="1" applyAlignment="1" applyProtection="1">
      <alignment horizontal="left" indent="8"/>
    </xf>
    <xf numFmtId="0" fontId="14" fillId="0" borderId="0" xfId="0" applyNumberFormat="1" applyFont="1" applyAlignment="1" applyProtection="1">
      <alignment horizontal="center" vertical="top" wrapText="1"/>
    </xf>
    <xf numFmtId="0" fontId="14" fillId="0" borderId="0" xfId="0" applyNumberFormat="1" applyFont="1" applyFill="1" applyAlignment="1" applyProtection="1">
      <alignment horizontal="left" vertical="top" wrapText="1" indent="8"/>
    </xf>
    <xf numFmtId="0" fontId="14" fillId="0" borderId="0" xfId="0" applyNumberFormat="1" applyFont="1" applyFill="1" applyAlignment="1" applyProtection="1">
      <alignment vertical="top" wrapText="1"/>
    </xf>
    <xf numFmtId="10" fontId="14" fillId="2" borderId="0" xfId="0" applyNumberFormat="1" applyFont="1" applyFill="1" applyAlignment="1" applyProtection="1">
      <alignment vertical="top" wrapText="1"/>
    </xf>
    <xf numFmtId="3" fontId="14" fillId="0" borderId="0" xfId="0" applyNumberFormat="1" applyFont="1" applyAlignment="1" applyProtection="1">
      <alignment vertical="top" wrapText="1"/>
    </xf>
    <xf numFmtId="0" fontId="14" fillId="0" borderId="0" xfId="0" applyNumberFormat="1" applyFont="1" applyAlignment="1" applyProtection="1">
      <alignment vertical="top" wrapText="1"/>
    </xf>
    <xf numFmtId="0" fontId="15" fillId="0" borderId="0" xfId="0" applyNumberFormat="1" applyFont="1" applyFill="1" applyAlignment="1" applyProtection="1">
      <alignment horizontal="left"/>
    </xf>
    <xf numFmtId="0" fontId="14" fillId="0" borderId="0" xfId="0" applyFont="1" applyAlignment="1" applyProtection="1">
      <alignment horizontal="center" vertical="top" wrapText="1"/>
    </xf>
    <xf numFmtId="0" fontId="14" fillId="0" borderId="0" xfId="0" applyFont="1" applyFill="1" applyAlignment="1" applyProtection="1">
      <alignment horizontal="center" vertical="top" wrapText="1"/>
    </xf>
    <xf numFmtId="0" fontId="14" fillId="0" borderId="0" xfId="0" applyNumberFormat="1" applyFont="1" applyFill="1" applyAlignment="1" applyProtection="1">
      <alignment horizontal="left" vertical="top"/>
    </xf>
    <xf numFmtId="0" fontId="18" fillId="0" borderId="0" xfId="0" applyNumberFormat="1" applyFont="1" applyAlignment="1" applyProtection="1">
      <alignment vertical="top" wrapText="1"/>
    </xf>
    <xf numFmtId="0" fontId="14" fillId="0" borderId="0" xfId="0" applyNumberFormat="1" applyFont="1" applyFill="1" applyAlignment="1" applyProtection="1">
      <alignment vertical="top"/>
    </xf>
    <xf numFmtId="0" fontId="0" fillId="0" borderId="0" xfId="0" applyFont="1" applyAlignment="1" applyProtection="1">
      <alignment horizontal="center"/>
    </xf>
    <xf numFmtId="0" fontId="14" fillId="0" borderId="0" xfId="0" applyNumberFormat="1" applyFont="1" applyAlignment="1" applyProtection="1">
      <alignment horizontal="center" wrapText="1"/>
    </xf>
    <xf numFmtId="174" fontId="57" fillId="0" borderId="0" xfId="19" applyFont="1" applyAlignment="1"/>
    <xf numFmtId="165" fontId="70" fillId="0" borderId="0" xfId="2" applyNumberFormat="1" applyFont="1"/>
    <xf numFmtId="0" fontId="65" fillId="0" borderId="0" xfId="0" applyFont="1" applyFill="1" applyAlignment="1">
      <alignment horizontal="center"/>
    </xf>
    <xf numFmtId="165" fontId="58" fillId="0" borderId="0" xfId="0" applyNumberFormat="1" applyFont="1"/>
    <xf numFmtId="0" fontId="63" fillId="0" borderId="0" xfId="5" applyFont="1"/>
    <xf numFmtId="164" fontId="14" fillId="0" borderId="0" xfId="1" applyNumberFormat="1" applyFont="1"/>
    <xf numFmtId="164" fontId="79" fillId="0" borderId="0" xfId="1" applyNumberFormat="1" applyFont="1"/>
    <xf numFmtId="164" fontId="76" fillId="0" borderId="0" xfId="1" applyNumberFormat="1" applyFont="1" applyBorder="1" applyAlignment="1" applyProtection="1">
      <alignment wrapText="1"/>
    </xf>
    <xf numFmtId="164" fontId="14" fillId="0" borderId="0" xfId="1" applyNumberFormat="1" applyFont="1" applyBorder="1" applyProtection="1"/>
    <xf numFmtId="164" fontId="77" fillId="0" borderId="0" xfId="1" applyNumberFormat="1" applyFont="1" applyBorder="1" applyAlignment="1" applyProtection="1">
      <alignment wrapText="1"/>
    </xf>
    <xf numFmtId="164" fontId="14" fillId="0" borderId="0" xfId="1" applyNumberFormat="1" applyFont="1" applyAlignment="1" applyProtection="1"/>
    <xf numFmtId="164" fontId="14" fillId="0" borderId="0" xfId="1" applyNumberFormat="1" applyFont="1" applyProtection="1"/>
    <xf numFmtId="164" fontId="14" fillId="0" borderId="0" xfId="1" applyNumberFormat="1" applyFont="1" applyAlignment="1" applyProtection="1">
      <alignment horizontal="center"/>
    </xf>
    <xf numFmtId="164" fontId="14" fillId="0" borderId="0" xfId="1" applyNumberFormat="1" applyFont="1" applyAlignment="1" applyProtection="1">
      <alignment horizontal="left"/>
    </xf>
    <xf numFmtId="164" fontId="18" fillId="0" borderId="0" xfId="1" applyNumberFormat="1" applyFont="1" applyAlignment="1" applyProtection="1">
      <alignment horizontal="center"/>
    </xf>
    <xf numFmtId="164" fontId="18" fillId="0" borderId="0" xfId="1" applyNumberFormat="1" applyFont="1" applyAlignment="1" applyProtection="1"/>
    <xf numFmtId="164" fontId="14" fillId="0" borderId="0" xfId="1" applyNumberFormat="1" applyFont="1" applyFill="1" applyBorder="1" applyAlignment="1" applyProtection="1"/>
    <xf numFmtId="164" fontId="14" fillId="0" borderId="0" xfId="1" applyNumberFormat="1" applyFont="1" applyFill="1" applyBorder="1" applyAlignment="1" applyProtection="1">
      <alignment horizontal="center"/>
    </xf>
    <xf numFmtId="164" fontId="14" fillId="0" borderId="19" xfId="1" applyNumberFormat="1" applyFont="1" applyBorder="1" applyAlignment="1" applyProtection="1"/>
    <xf numFmtId="164" fontId="14" fillId="0" borderId="0" xfId="1" applyNumberFormat="1" applyFont="1" applyBorder="1" applyAlignment="1" applyProtection="1"/>
    <xf numFmtId="164" fontId="14" fillId="0" borderId="1" xfId="1" applyNumberFormat="1" applyFont="1" applyBorder="1" applyAlignment="1" applyProtection="1"/>
    <xf numFmtId="164" fontId="18" fillId="0" borderId="0" xfId="1" applyNumberFormat="1" applyFont="1" applyProtection="1"/>
    <xf numFmtId="164" fontId="14" fillId="0" borderId="0" xfId="1" applyNumberFormat="1" applyFont="1" applyFill="1" applyProtection="1"/>
    <xf numFmtId="175" fontId="76" fillId="0" borderId="0" xfId="221" applyNumberFormat="1" applyFont="1" applyBorder="1" applyAlignment="1" applyProtection="1">
      <alignment wrapText="1"/>
    </xf>
    <xf numFmtId="175" fontId="14" fillId="0" borderId="0" xfId="221" applyNumberFormat="1" applyFont="1" applyBorder="1" applyAlignment="1" applyProtection="1"/>
    <xf numFmtId="175" fontId="77" fillId="0" borderId="0" xfId="221" applyNumberFormat="1" applyFont="1" applyBorder="1" applyAlignment="1" applyProtection="1">
      <alignment wrapText="1"/>
    </xf>
    <xf numFmtId="175" fontId="14" fillId="0" borderId="0" xfId="221" applyNumberFormat="1" applyFont="1" applyAlignment="1" applyProtection="1"/>
    <xf numFmtId="175" fontId="18" fillId="0" borderId="0" xfId="221" applyNumberFormat="1" applyFont="1" applyAlignment="1" applyProtection="1"/>
    <xf numFmtId="175" fontId="14" fillId="0" borderId="0" xfId="221" applyNumberFormat="1" applyFont="1" applyFill="1" applyBorder="1" applyAlignment="1" applyProtection="1"/>
    <xf numFmtId="175" fontId="14" fillId="0" borderId="0" xfId="221" applyNumberFormat="1" applyFont="1" applyFill="1" applyBorder="1" applyAlignment="1" applyProtection="1">
      <alignment horizontal="center"/>
    </xf>
    <xf numFmtId="175" fontId="14" fillId="0" borderId="19" xfId="221" applyNumberFormat="1" applyFont="1" applyBorder="1" applyAlignment="1" applyProtection="1"/>
    <xf numFmtId="175" fontId="14" fillId="0" borderId="1" xfId="221" applyNumberFormat="1" applyFont="1" applyBorder="1" applyAlignment="1" applyProtection="1"/>
    <xf numFmtId="175" fontId="14" fillId="0" borderId="0" xfId="221" applyNumberFormat="1" applyFont="1" applyFill="1" applyAlignment="1" applyProtection="1"/>
    <xf numFmtId="0" fontId="1" fillId="0" borderId="0" xfId="217" quotePrefix="1" applyFont="1"/>
    <xf numFmtId="165" fontId="5" fillId="0" borderId="0" xfId="217" applyNumberFormat="1"/>
    <xf numFmtId="0" fontId="16" fillId="0" borderId="0" xfId="0" applyNumberFormat="1" applyFont="1" applyFill="1" applyProtection="1"/>
    <xf numFmtId="174" fontId="57" fillId="0" borderId="0" xfId="19" applyFont="1" applyFill="1" applyAlignment="1"/>
    <xf numFmtId="174" fontId="58" fillId="0" borderId="0" xfId="19" applyFont="1" applyFill="1" applyAlignment="1"/>
    <xf numFmtId="164" fontId="58" fillId="0" borderId="0" xfId="1" applyNumberFormat="1" applyFont="1" applyAlignment="1">
      <alignment horizontal="center"/>
    </xf>
    <xf numFmtId="164" fontId="58" fillId="0" borderId="0" xfId="1" applyNumberFormat="1" applyFont="1"/>
    <xf numFmtId="164" fontId="80" fillId="0" borderId="0" xfId="1" applyNumberFormat="1" applyFont="1"/>
    <xf numFmtId="164" fontId="14" fillId="0" borderId="0" xfId="1" applyNumberFormat="1" applyFont="1" applyFill="1" applyAlignment="1" applyProtection="1">
      <alignment horizontal="center"/>
    </xf>
    <xf numFmtId="164" fontId="14" fillId="0" borderId="0" xfId="1" applyNumberFormat="1" applyFont="1" applyFill="1" applyAlignment="1" applyProtection="1"/>
    <xf numFmtId="165" fontId="58" fillId="0" borderId="4" xfId="3" applyNumberFormat="1" applyFont="1" applyFill="1" applyBorder="1"/>
    <xf numFmtId="165" fontId="63" fillId="0" borderId="0" xfId="5" applyNumberFormat="1" applyFont="1" applyFill="1"/>
    <xf numFmtId="165" fontId="58" fillId="0" borderId="0" xfId="2" applyNumberFormat="1" applyFont="1" applyFill="1"/>
    <xf numFmtId="164" fontId="81" fillId="0" borderId="0" xfId="1" applyNumberFormat="1" applyFont="1"/>
    <xf numFmtId="0" fontId="81" fillId="0" borderId="0" xfId="0" applyFont="1"/>
    <xf numFmtId="0" fontId="14" fillId="0" borderId="0" xfId="0" applyNumberFormat="1" applyFont="1" applyFill="1" applyAlignment="1" applyProtection="1">
      <alignment vertical="top" wrapText="1"/>
    </xf>
    <xf numFmtId="0" fontId="14" fillId="0" borderId="0" xfId="0" applyNumberFormat="1" applyFont="1" applyAlignment="1" applyProtection="1">
      <alignment vertical="top" wrapText="1"/>
    </xf>
    <xf numFmtId="0" fontId="14" fillId="0" borderId="0" xfId="0" applyNumberFormat="1" applyFont="1" applyFill="1" applyBorder="1" applyAlignment="1" applyProtection="1">
      <alignment horizontal="center"/>
    </xf>
    <xf numFmtId="3" fontId="14" fillId="0" borderId="0" xfId="0" applyNumberFormat="1" applyFont="1" applyAlignment="1" applyProtection="1">
      <alignment horizontal="right"/>
    </xf>
    <xf numFmtId="3" fontId="57" fillId="0" borderId="0" xfId="0" applyNumberFormat="1" applyFont="1" applyAlignment="1">
      <alignment horizontal="center"/>
    </xf>
    <xf numFmtId="0" fontId="57" fillId="0" borderId="0" xfId="0" applyFont="1" applyAlignment="1">
      <alignment horizontal="center"/>
    </xf>
    <xf numFmtId="14" fontId="57" fillId="0" borderId="0" xfId="0" applyNumberFormat="1" applyFont="1" applyAlignment="1">
      <alignment horizontal="center"/>
    </xf>
    <xf numFmtId="0" fontId="57" fillId="0" borderId="1" xfId="0" applyFont="1" applyBorder="1" applyAlignment="1">
      <alignment horizontal="center"/>
    </xf>
    <xf numFmtId="0" fontId="65" fillId="0" borderId="1" xfId="0" applyFont="1" applyBorder="1" applyAlignment="1">
      <alignment horizontal="center"/>
    </xf>
    <xf numFmtId="0" fontId="58" fillId="0" borderId="26" xfId="0" applyFont="1" applyFill="1" applyBorder="1" applyAlignment="1">
      <alignment horizontal="left"/>
    </xf>
    <xf numFmtId="0" fontId="58" fillId="0" borderId="19" xfId="0" applyFont="1" applyFill="1" applyBorder="1" applyAlignment="1">
      <alignment horizontal="left"/>
    </xf>
    <xf numFmtId="0" fontId="58" fillId="0" borderId="2" xfId="5" applyFont="1" applyBorder="1" applyAlignment="1">
      <alignment horizontal="left"/>
    </xf>
    <xf numFmtId="0" fontId="58" fillId="0" borderId="1" xfId="5" applyFont="1" applyBorder="1" applyAlignment="1">
      <alignment horizontal="left"/>
    </xf>
    <xf numFmtId="0" fontId="58" fillId="0" borderId="8" xfId="5" applyFont="1" applyBorder="1" applyAlignment="1">
      <alignment horizontal="left"/>
    </xf>
    <xf numFmtId="0" fontId="57" fillId="0" borderId="0" xfId="5" applyFont="1" applyAlignment="1">
      <alignment horizontal="center"/>
    </xf>
    <xf numFmtId="14" fontId="57" fillId="0" borderId="0" xfId="5" applyNumberFormat="1" applyFont="1" applyAlignment="1">
      <alignment horizontal="center"/>
    </xf>
    <xf numFmtId="0" fontId="58" fillId="0" borderId="5" xfId="5" applyFont="1" applyFill="1" applyBorder="1" applyAlignment="1">
      <alignment horizontal="center"/>
    </xf>
    <xf numFmtId="0" fontId="65" fillId="0" borderId="0" xfId="0" applyFont="1" applyFill="1" applyAlignment="1">
      <alignment horizontal="center"/>
    </xf>
    <xf numFmtId="14" fontId="65" fillId="0" borderId="0" xfId="0" applyNumberFormat="1" applyFont="1" applyFill="1" applyAlignment="1">
      <alignment horizontal="center"/>
    </xf>
    <xf numFmtId="0" fontId="56" fillId="0" borderId="0" xfId="0" applyFont="1" applyAlignment="1">
      <alignment horizontal="left" wrapText="1"/>
    </xf>
    <xf numFmtId="49" fontId="57" fillId="0" borderId="0" xfId="201" applyNumberFormat="1" applyFont="1" applyAlignment="1">
      <alignment horizontal="center"/>
    </xf>
    <xf numFmtId="0" fontId="57" fillId="0" borderId="0" xfId="201" applyFont="1" applyAlignment="1">
      <alignment horizontal="center"/>
    </xf>
    <xf numFmtId="14" fontId="57" fillId="0" borderId="0" xfId="201" applyNumberFormat="1" applyFont="1" applyAlignment="1">
      <alignment horizontal="center"/>
    </xf>
    <xf numFmtId="0" fontId="58" fillId="0" borderId="0" xfId="19" applyNumberFormat="1" applyFont="1" applyAlignment="1">
      <alignment horizontal="center"/>
    </xf>
    <xf numFmtId="0" fontId="70" fillId="0" borderId="0" xfId="217" applyFont="1" applyAlignment="1">
      <alignment horizontal="center"/>
    </xf>
    <xf numFmtId="14" fontId="70" fillId="0" borderId="0" xfId="217" applyNumberFormat="1" applyFont="1" applyAlignment="1">
      <alignment horizontal="center"/>
    </xf>
  </cellXfs>
  <cellStyles count="222">
    <cellStyle name="Accent4 2" xfId="205"/>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6A" xfId="43"/>
    <cellStyle name="C06B" xfId="44"/>
    <cellStyle name="C06H" xfId="45"/>
    <cellStyle name="C06L" xfId="46"/>
    <cellStyle name="C07A" xfId="47"/>
    <cellStyle name="C07B" xfId="48"/>
    <cellStyle name="C07H" xfId="49"/>
    <cellStyle name="C07L" xfId="50"/>
    <cellStyle name="Comma" xfId="1" builtinId="3"/>
    <cellStyle name="Comma [2]" xfId="51"/>
    <cellStyle name="Comma 10" xfId="52"/>
    <cellStyle name="Comma 11" xfId="53"/>
    <cellStyle name="Comma 12" xfId="54"/>
    <cellStyle name="Comma 13" xfId="55"/>
    <cellStyle name="Comma 14" xfId="56"/>
    <cellStyle name="Comma 15" xfId="57"/>
    <cellStyle name="Comma 16" xfId="58"/>
    <cellStyle name="Comma 17" xfId="59"/>
    <cellStyle name="Comma 18" xfId="60"/>
    <cellStyle name="Comma 19" xfId="61"/>
    <cellStyle name="Comma 2" xfId="4"/>
    <cellStyle name="Comma 2 2" xfId="8"/>
    <cellStyle name="Comma 20" xfId="62"/>
    <cellStyle name="Comma 21" xfId="63"/>
    <cellStyle name="Comma 22" xfId="64"/>
    <cellStyle name="Comma 23" xfId="65"/>
    <cellStyle name="Comma 24" xfId="66"/>
    <cellStyle name="Comma 25" xfId="67"/>
    <cellStyle name="Comma 26" xfId="68"/>
    <cellStyle name="Comma 27" xfId="69"/>
    <cellStyle name="Comma 28" xfId="70"/>
    <cellStyle name="Comma 29" xfId="71"/>
    <cellStyle name="Comma 3" xfId="9"/>
    <cellStyle name="Comma 3 2" xfId="203"/>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206"/>
    <cellStyle name="Comma 9" xfId="134"/>
    <cellStyle name="Comma0" xfId="135"/>
    <cellStyle name="Currency" xfId="2" builtinId="4"/>
    <cellStyle name="Currency [2]" xfId="136"/>
    <cellStyle name="Currency 2" xfId="3"/>
    <cellStyle name="Currency 3" xfId="10"/>
    <cellStyle name="Currency 3 2" xfId="137"/>
    <cellStyle name="Currency 3 3" xfId="204"/>
    <cellStyle name="Currency 4" xfId="138"/>
    <cellStyle name="Currency 4 2" xfId="207"/>
    <cellStyle name="Currency 5" xfId="139"/>
    <cellStyle name="Currency 6" xfId="208"/>
    <cellStyle name="Currency 7" xfId="209"/>
    <cellStyle name="Currency 7 2" xfId="220"/>
    <cellStyle name="Currency0" xfId="140"/>
    <cellStyle name="Date" xfId="141"/>
    <cellStyle name="Fixed" xfId="142"/>
    <cellStyle name="FRxAmtStyle" xfId="11"/>
    <cellStyle name="Grey" xfId="143"/>
    <cellStyle name="Heading1" xfId="144"/>
    <cellStyle name="Heading2" xfId="145"/>
    <cellStyle name="Input [yellow]" xfId="146"/>
    <cellStyle name="Normal" xfId="0" builtinId="0"/>
    <cellStyle name="Normal - Style1" xfId="147"/>
    <cellStyle name="Normal 10" xfId="202"/>
    <cellStyle name="Normal 10 2" xfId="219"/>
    <cellStyle name="Normal 11" xfId="148"/>
    <cellStyle name="Normal 12" xfId="217"/>
    <cellStyle name="Normal 13" xfId="218"/>
    <cellStyle name="Normal 2" xfId="5"/>
    <cellStyle name="Normal 2 2" xfId="19"/>
    <cellStyle name="Normal 2 3" xfId="201"/>
    <cellStyle name="Normal 3" xfId="12"/>
    <cellStyle name="Normal 3 2" xfId="210"/>
    <cellStyle name="Normal 3 3" xfId="211"/>
    <cellStyle name="Normal 33" xfId="149"/>
    <cellStyle name="Normal 34" xfId="150"/>
    <cellStyle name="Normal 4" xfId="13"/>
    <cellStyle name="Normal 4 2" xfId="151"/>
    <cellStyle name="Normal 4 3" xfId="212"/>
    <cellStyle name="Normal 4 4" xfId="213"/>
    <cellStyle name="Normal 5" xfId="14"/>
    <cellStyle name="Normal 6" xfId="18"/>
    <cellStyle name="Normal 6 2" xfId="152"/>
    <cellStyle name="Normal 6 3" xfId="214"/>
    <cellStyle name="Normal 7" xfId="153"/>
    <cellStyle name="Normal 8" xfId="154"/>
    <cellStyle name="Normal 9" xfId="215"/>
    <cellStyle name="Normal_BPU_INC" xfId="7"/>
    <cellStyle name="Percent" xfId="221" builtinId="5"/>
    <cellStyle name="Percent [2]" xfId="155"/>
    <cellStyle name="Percent 2" xfId="6"/>
    <cellStyle name="Percent 2 2" xfId="216"/>
    <cellStyle name="Percent 3" xfId="15"/>
    <cellStyle name="Percent 3 2" xfId="156"/>
    <cellStyle name="Percent 4" xfId="16"/>
    <cellStyle name="Percent 5" xfId="17"/>
    <cellStyle name="Percent 6" xfId="157"/>
    <cellStyle name="PSChar" xfId="158"/>
    <cellStyle name="PSDate" xfId="159"/>
    <cellStyle name="PSDec" xfId="160"/>
    <cellStyle name="PSdesc" xfId="161"/>
    <cellStyle name="PSHeading" xfId="162"/>
    <cellStyle name="PSInt" xfId="163"/>
    <cellStyle name="PSSpacer" xfId="164"/>
    <cellStyle name="PStest" xfId="165"/>
    <cellStyle name="R00A" xfId="166"/>
    <cellStyle name="R00B" xfId="167"/>
    <cellStyle name="R00L" xfId="168"/>
    <cellStyle name="R01A" xfId="169"/>
    <cellStyle name="R01B" xfId="170"/>
    <cellStyle name="R01H" xfId="171"/>
    <cellStyle name="R01L" xfId="172"/>
    <cellStyle name="R02A" xfId="173"/>
    <cellStyle name="R02B" xfId="174"/>
    <cellStyle name="R02H" xfId="175"/>
    <cellStyle name="R02L" xfId="176"/>
    <cellStyle name="R03A" xfId="177"/>
    <cellStyle name="R03B" xfId="178"/>
    <cellStyle name="R03H" xfId="179"/>
    <cellStyle name="R03L" xfId="180"/>
    <cellStyle name="R04A" xfId="181"/>
    <cellStyle name="R04B" xfId="182"/>
    <cellStyle name="R04H" xfId="183"/>
    <cellStyle name="R04L" xfId="184"/>
    <cellStyle name="R05A" xfId="185"/>
    <cellStyle name="R05B" xfId="186"/>
    <cellStyle name="R05H" xfId="187"/>
    <cellStyle name="R05L" xfId="188"/>
    <cellStyle name="R06A" xfId="189"/>
    <cellStyle name="R06B" xfId="190"/>
    <cellStyle name="R06H" xfId="191"/>
    <cellStyle name="R06L" xfId="192"/>
    <cellStyle name="R07A" xfId="193"/>
    <cellStyle name="R07B" xfId="194"/>
    <cellStyle name="R07H" xfId="195"/>
    <cellStyle name="R07L" xfId="196"/>
    <cellStyle name="STYLE1" xfId="197"/>
    <cellStyle name="STYLE2" xfId="198"/>
    <cellStyle name="STYLE3" xfId="199"/>
    <cellStyle name="STYLE4" xfId="200"/>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nde%202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0Financing%20Model%20Slower%20Pace03-03-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 val="TG 9-21"/>
      <sheetName val="lmu"/>
      <sheetName val="M002_010"/>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5_003"/>
      <sheetName val="M01_057"/>
      <sheetName val="M01_056"/>
      <sheetName val="M01_055"/>
      <sheetName val="M01_054"/>
      <sheetName val="M01_053"/>
      <sheetName val="M01_052"/>
      <sheetName val="M01_051"/>
      <sheetName val="M01_050"/>
      <sheetName val="M01_049"/>
      <sheetName val="M01_048"/>
      <sheetName val="M01_047"/>
      <sheetName val="M01_046"/>
      <sheetName val="M01_045"/>
      <sheetName val="M00_001"/>
      <sheetName val="DANDE"/>
      <sheetName val="M01_044"/>
      <sheetName val="M01_043"/>
      <sheetName val="M01_042"/>
      <sheetName val="M01_041"/>
      <sheetName val="M01_040"/>
      <sheetName val="M01_039"/>
      <sheetName val="M01_038"/>
      <sheetName val="M01_037"/>
      <sheetName val="M01_036"/>
      <sheetName val="M01_035"/>
      <sheetName val="M01_034"/>
      <sheetName val="M01_033"/>
      <sheetName val="M01_032"/>
      <sheetName val="M01_031"/>
      <sheetName val="M01_030"/>
      <sheetName val="M01_029"/>
      <sheetName val="M01_028"/>
      <sheetName val="M01_027"/>
      <sheetName val="M01_026"/>
      <sheetName val="M01_025"/>
      <sheetName val="M01_024"/>
      <sheetName val="M01_023"/>
      <sheetName val="M01_022"/>
      <sheetName val="M01_021"/>
      <sheetName val="M01_020"/>
      <sheetName val="M01_019"/>
      <sheetName val="M01_018"/>
      <sheetName val="M01_017"/>
      <sheetName val="M01_016"/>
      <sheetName val="M01_015"/>
      <sheetName val="M01_014"/>
      <sheetName val="M01_013"/>
      <sheetName val="M01_012"/>
      <sheetName val="M01_011"/>
      <sheetName val="M01_010"/>
      <sheetName val="M01_009"/>
      <sheetName val="M01_008"/>
      <sheetName val="M01_007"/>
      <sheetName val="M01_006"/>
      <sheetName val="M01_005"/>
      <sheetName val="M01_004"/>
      <sheetName val="M01_003"/>
      <sheetName val="M01_002"/>
      <sheetName val="M01_001"/>
      <sheetName val="M01_058"/>
      <sheetName val="Sioux Center - outlet"/>
      <sheetName val="Sioux Center - towngate"/>
      <sheetName val="M00_002"/>
      <sheetName val="M00_003"/>
      <sheetName val="el"/>
      <sheetName val="M00_004"/>
      <sheetName val="M00_005"/>
      <sheetName val="M00_006"/>
      <sheetName val="M00_057"/>
      <sheetName val="M00_056"/>
      <sheetName val="M00_055"/>
      <sheetName val="M00_054"/>
      <sheetName val="M00_053"/>
      <sheetName val="M00_052"/>
      <sheetName val="M00_051"/>
      <sheetName val="M00_050"/>
      <sheetName val="M00_049"/>
      <sheetName val="M00_048"/>
      <sheetName val="M00_047"/>
      <sheetName val="M00_046"/>
      <sheetName val="M00_045"/>
      <sheetName val="M00_044"/>
      <sheetName val="M00_043"/>
      <sheetName val="M00_042"/>
      <sheetName val="M00_041"/>
      <sheetName val="M00_040"/>
      <sheetName val="M00_039"/>
      <sheetName val="M00_038"/>
      <sheetName val="M00_037"/>
      <sheetName val="M00_036"/>
      <sheetName val="M00_035"/>
      <sheetName val="M00_034"/>
      <sheetName val="M00_033"/>
      <sheetName val="M00_032"/>
      <sheetName val="M00_031"/>
      <sheetName val="M00_030"/>
      <sheetName val="M00_029"/>
      <sheetName val="M00_028"/>
      <sheetName val="M00_027"/>
      <sheetName val="M00_026"/>
      <sheetName val="M00_025"/>
      <sheetName val="M00_024"/>
      <sheetName val="M00_023"/>
      <sheetName val="M00_022"/>
      <sheetName val="M00_021"/>
      <sheetName val="M00_020"/>
      <sheetName val="M00_019"/>
      <sheetName val="M00_018"/>
      <sheetName val="M00_017"/>
      <sheetName val="M00_016"/>
      <sheetName val="M00_015"/>
      <sheetName val="M00_014"/>
      <sheetName val="M00_013"/>
      <sheetName val="M00_012"/>
      <sheetName val="M00_011"/>
      <sheetName val="M00_010"/>
      <sheetName val="M00_009"/>
      <sheetName val="M00_008"/>
      <sheetName val="M00_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tabSelected="1" zoomScale="80" zoomScaleNormal="80" zoomScaleSheetLayoutView="85" workbookViewId="0">
      <selection activeCell="D168" sqref="D168"/>
    </sheetView>
  </sheetViews>
  <sheetFormatPr defaultColWidth="10.88671875" defaultRowHeight="15.6"/>
  <cols>
    <col min="1" max="1" width="7.33203125" style="274" customWidth="1"/>
    <col min="2" max="2" width="34.6640625" style="274" customWidth="1"/>
    <col min="3" max="3" width="39.6640625" style="274" customWidth="1"/>
    <col min="4" max="4" width="21.44140625" style="274" customWidth="1"/>
    <col min="5" max="5" width="6.88671875" style="274" customWidth="1"/>
    <col min="6" max="6" width="5.6640625" style="274" customWidth="1"/>
    <col min="7" max="7" width="11.44140625" style="274" customWidth="1"/>
    <col min="8" max="8" width="4.6640625" style="274" customWidth="1"/>
    <col min="9" max="9" width="18.33203125" style="274" customWidth="1"/>
    <col min="10" max="10" width="2.5546875" style="274" customWidth="1"/>
    <col min="11" max="11" width="14.109375" style="274" customWidth="1"/>
    <col min="12" max="13" width="10.88671875" style="274"/>
    <col min="14" max="14" width="20.5546875" style="274" customWidth="1"/>
    <col min="15" max="15" width="12.88671875" style="428" bestFit="1" customWidth="1"/>
    <col min="16" max="16" width="12.21875" style="428" bestFit="1" customWidth="1"/>
    <col min="17" max="17" width="10.88671875" style="444"/>
    <col min="18" max="16384" width="10.88671875" style="274"/>
  </cols>
  <sheetData>
    <row r="1" spans="1:18">
      <c r="K1" s="275" t="s">
        <v>179</v>
      </c>
      <c r="N1" s="276"/>
      <c r="O1" s="425"/>
      <c r="P1" s="425"/>
      <c r="Q1" s="441"/>
      <c r="R1" s="276"/>
    </row>
    <row r="2" spans="1:18">
      <c r="B2" s="277"/>
      <c r="C2" s="277"/>
      <c r="D2" s="278"/>
      <c r="E2" s="277"/>
      <c r="F2" s="277"/>
      <c r="G2" s="277"/>
      <c r="H2" s="279"/>
      <c r="I2" s="279"/>
      <c r="K2" s="280" t="s">
        <v>180</v>
      </c>
      <c r="L2" s="279"/>
      <c r="N2" s="276"/>
      <c r="O2" s="425"/>
      <c r="P2" s="425"/>
      <c r="Q2" s="441"/>
      <c r="R2" s="276"/>
    </row>
    <row r="3" spans="1:18">
      <c r="B3" s="277"/>
      <c r="C3" s="277"/>
      <c r="D3" s="278"/>
      <c r="E3" s="277"/>
      <c r="F3" s="277"/>
      <c r="G3" s="277"/>
      <c r="H3" s="279"/>
      <c r="I3" s="279"/>
      <c r="J3" s="279"/>
      <c r="K3" s="281"/>
      <c r="L3" s="279"/>
      <c r="N3" s="276"/>
      <c r="O3" s="425"/>
      <c r="P3" s="425"/>
      <c r="Q3" s="441"/>
      <c r="R3" s="276"/>
    </row>
    <row r="4" spans="1:18">
      <c r="B4" s="277" t="s">
        <v>181</v>
      </c>
      <c r="C4" s="277"/>
      <c r="D4" s="278" t="s">
        <v>182</v>
      </c>
      <c r="E4" s="277"/>
      <c r="F4" s="277"/>
      <c r="G4" s="277"/>
      <c r="H4" s="282"/>
      <c r="I4" s="283"/>
      <c r="J4" s="282"/>
      <c r="K4" s="284" t="s">
        <v>898</v>
      </c>
      <c r="L4" s="279"/>
      <c r="N4" s="276"/>
      <c r="O4" s="425"/>
      <c r="P4" s="425"/>
      <c r="Q4" s="441"/>
      <c r="R4" s="276"/>
    </row>
    <row r="5" spans="1:18">
      <c r="B5" s="277"/>
      <c r="C5" s="285" t="s">
        <v>171</v>
      </c>
      <c r="D5" s="285" t="s">
        <v>183</v>
      </c>
      <c r="E5" s="285"/>
      <c r="F5" s="285"/>
      <c r="G5" s="285"/>
      <c r="H5" s="279"/>
      <c r="I5" s="279"/>
      <c r="J5" s="279"/>
      <c r="K5" s="279"/>
      <c r="L5" s="279"/>
      <c r="N5" s="286"/>
      <c r="O5" s="426"/>
      <c r="P5" s="426"/>
      <c r="Q5" s="442"/>
      <c r="R5" s="287"/>
    </row>
    <row r="6" spans="1:18">
      <c r="B6" s="279"/>
      <c r="C6" s="279"/>
      <c r="D6" s="279"/>
      <c r="E6" s="279"/>
      <c r="F6" s="279"/>
      <c r="G6" s="279"/>
      <c r="H6" s="279"/>
      <c r="I6" s="279"/>
      <c r="J6" s="279"/>
      <c r="K6" s="279"/>
      <c r="L6" s="279"/>
      <c r="N6" s="288"/>
      <c r="O6" s="427"/>
      <c r="P6" s="427"/>
      <c r="Q6" s="443"/>
      <c r="R6" s="288"/>
    </row>
    <row r="7" spans="1:18">
      <c r="A7" s="281"/>
      <c r="B7" s="279"/>
      <c r="C7" s="279"/>
      <c r="D7" s="289" t="s">
        <v>476</v>
      </c>
      <c r="E7" s="282"/>
      <c r="F7" s="279"/>
      <c r="G7" s="279"/>
      <c r="H7" s="279"/>
      <c r="I7" s="279"/>
      <c r="J7" s="279"/>
      <c r="K7" s="279"/>
      <c r="L7" s="279"/>
      <c r="N7" s="288"/>
      <c r="O7" s="427"/>
      <c r="P7" s="427"/>
      <c r="Q7" s="443"/>
      <c r="R7" s="288"/>
    </row>
    <row r="8" spans="1:18">
      <c r="A8" s="281"/>
      <c r="B8" s="279"/>
      <c r="C8" s="279"/>
      <c r="D8" s="290"/>
      <c r="E8" s="279"/>
      <c r="F8" s="279"/>
      <c r="G8" s="279"/>
      <c r="H8" s="279"/>
      <c r="I8" s="279"/>
      <c r="J8" s="279"/>
      <c r="K8" s="279"/>
      <c r="L8" s="279"/>
    </row>
    <row r="9" spans="1:18">
      <c r="A9" s="281" t="s">
        <v>1</v>
      </c>
      <c r="B9" s="279"/>
      <c r="C9" s="279"/>
      <c r="D9" s="290"/>
      <c r="E9" s="279"/>
      <c r="F9" s="279"/>
      <c r="G9" s="279"/>
      <c r="H9" s="279"/>
      <c r="I9" s="281" t="s">
        <v>184</v>
      </c>
      <c r="J9" s="279"/>
      <c r="K9" s="279"/>
      <c r="L9" s="279"/>
      <c r="O9" s="423" t="s">
        <v>902</v>
      </c>
      <c r="P9" s="423"/>
    </row>
    <row r="10" spans="1:18" ht="18" thickBot="1">
      <c r="A10" s="291" t="s">
        <v>2</v>
      </c>
      <c r="B10" s="279"/>
      <c r="C10" s="279"/>
      <c r="D10" s="279"/>
      <c r="E10" s="279"/>
      <c r="F10" s="279"/>
      <c r="G10" s="279"/>
      <c r="H10" s="279"/>
      <c r="I10" s="291" t="s">
        <v>93</v>
      </c>
      <c r="J10" s="279"/>
      <c r="K10" s="279"/>
      <c r="L10" s="279"/>
      <c r="O10" s="424" t="s">
        <v>903</v>
      </c>
      <c r="P10" s="424" t="s">
        <v>904</v>
      </c>
    </row>
    <row r="11" spans="1:18">
      <c r="A11" s="281">
        <v>1</v>
      </c>
      <c r="B11" s="279" t="s">
        <v>185</v>
      </c>
      <c r="C11" s="279"/>
      <c r="D11" s="292"/>
      <c r="E11" s="279"/>
      <c r="F11" s="279"/>
      <c r="G11" s="279"/>
      <c r="H11" s="279"/>
      <c r="I11" s="293">
        <f>+I201</f>
        <v>432474.36515741388</v>
      </c>
      <c r="J11" s="279"/>
      <c r="K11" s="279"/>
      <c r="L11" s="279"/>
      <c r="N11" s="279"/>
      <c r="O11" s="429">
        <v>500020</v>
      </c>
      <c r="P11" s="429">
        <f>+I11-O11</f>
        <v>-67545.634842586122</v>
      </c>
      <c r="Q11" s="444">
        <f>+P11/O11</f>
        <v>-0.13508586625052221</v>
      </c>
      <c r="R11" s="274" t="s">
        <v>909</v>
      </c>
    </row>
    <row r="12" spans="1:18">
      <c r="A12" s="281"/>
      <c r="B12" s="279"/>
      <c r="C12" s="279"/>
      <c r="D12" s="279"/>
      <c r="E12" s="279"/>
      <c r="F12" s="279"/>
      <c r="G12" s="279"/>
      <c r="H12" s="279"/>
      <c r="I12" s="292"/>
      <c r="J12" s="279"/>
      <c r="K12" s="279"/>
      <c r="L12" s="279"/>
      <c r="N12" s="279"/>
      <c r="O12" s="429"/>
      <c r="P12" s="429"/>
    </row>
    <row r="13" spans="1:18" ht="16.2" thickBot="1">
      <c r="A13" s="281" t="s">
        <v>171</v>
      </c>
      <c r="B13" s="277" t="s">
        <v>186</v>
      </c>
      <c r="C13" s="285" t="s">
        <v>187</v>
      </c>
      <c r="D13" s="291" t="s">
        <v>144</v>
      </c>
      <c r="E13" s="285"/>
      <c r="F13" s="294" t="s">
        <v>188</v>
      </c>
      <c r="G13" s="294"/>
      <c r="H13" s="279"/>
      <c r="I13" s="292"/>
      <c r="J13" s="279"/>
      <c r="K13" s="279"/>
      <c r="L13" s="279"/>
      <c r="N13" s="279"/>
      <c r="O13" s="429"/>
      <c r="P13" s="429"/>
    </row>
    <row r="14" spans="1:18">
      <c r="A14" s="281">
        <v>2</v>
      </c>
      <c r="B14" s="277" t="s">
        <v>189</v>
      </c>
      <c r="C14" s="285" t="s">
        <v>190</v>
      </c>
      <c r="D14" s="285">
        <f>I261</f>
        <v>0</v>
      </c>
      <c r="E14" s="285"/>
      <c r="F14" s="285" t="s">
        <v>191</v>
      </c>
      <c r="G14" s="295">
        <f>I220</f>
        <v>1</v>
      </c>
      <c r="H14" s="285"/>
      <c r="I14" s="285">
        <f>+G14*D14</f>
        <v>0</v>
      </c>
      <c r="J14" s="279"/>
      <c r="K14" s="279"/>
      <c r="L14" s="279"/>
      <c r="N14" s="279"/>
      <c r="O14" s="429"/>
      <c r="P14" s="429"/>
    </row>
    <row r="15" spans="1:18">
      <c r="A15" s="281">
        <v>3</v>
      </c>
      <c r="B15" s="277" t="s">
        <v>192</v>
      </c>
      <c r="C15" s="285" t="s">
        <v>193</v>
      </c>
      <c r="D15" s="285">
        <f>I268</f>
        <v>8692.9500000000116</v>
      </c>
      <c r="E15" s="285"/>
      <c r="F15" s="285" t="str">
        <f>+F14</f>
        <v>TP</v>
      </c>
      <c r="G15" s="295">
        <f>+G14</f>
        <v>1</v>
      </c>
      <c r="H15" s="285"/>
      <c r="I15" s="285">
        <f>+G15*D15</f>
        <v>8692.9500000000116</v>
      </c>
      <c r="J15" s="279"/>
      <c r="K15" s="279"/>
      <c r="N15" s="279"/>
      <c r="O15" s="429">
        <v>7385</v>
      </c>
      <c r="P15" s="429">
        <f>+I15-O15</f>
        <v>1307.9500000000116</v>
      </c>
      <c r="Q15" s="444">
        <f>+P15/O15</f>
        <v>0.17710900473933808</v>
      </c>
    </row>
    <row r="16" spans="1:18">
      <c r="A16" s="281">
        <v>4</v>
      </c>
      <c r="B16" s="277" t="s">
        <v>194</v>
      </c>
      <c r="C16" s="285"/>
      <c r="D16" s="296">
        <v>0</v>
      </c>
      <c r="E16" s="285"/>
      <c r="F16" s="285" t="s">
        <v>191</v>
      </c>
      <c r="G16" s="295">
        <f>+G14</f>
        <v>1</v>
      </c>
      <c r="H16" s="285"/>
      <c r="I16" s="285">
        <f>+G16*D16</f>
        <v>0</v>
      </c>
      <c r="J16" s="279"/>
      <c r="K16" s="279"/>
      <c r="L16" s="297"/>
      <c r="N16" s="279"/>
      <c r="O16" s="429"/>
      <c r="P16" s="429"/>
    </row>
    <row r="17" spans="1:17" ht="16.2" thickBot="1">
      <c r="A17" s="281">
        <v>5</v>
      </c>
      <c r="B17" s="277" t="s">
        <v>195</v>
      </c>
      <c r="C17" s="285"/>
      <c r="D17" s="296">
        <v>0</v>
      </c>
      <c r="E17" s="285"/>
      <c r="F17" s="285" t="s">
        <v>191</v>
      </c>
      <c r="G17" s="295">
        <f>+G14</f>
        <v>1</v>
      </c>
      <c r="H17" s="285"/>
      <c r="I17" s="298">
        <f>+G17*D17</f>
        <v>0</v>
      </c>
      <c r="J17" s="279"/>
      <c r="K17" s="279"/>
      <c r="L17" s="297"/>
      <c r="N17" s="279"/>
      <c r="O17" s="429"/>
      <c r="P17" s="429"/>
    </row>
    <row r="18" spans="1:17">
      <c r="A18" s="281">
        <v>6</v>
      </c>
      <c r="B18" s="277" t="s">
        <v>196</v>
      </c>
      <c r="C18" s="279"/>
      <c r="D18" s="299" t="s">
        <v>171</v>
      </c>
      <c r="E18" s="285"/>
      <c r="F18" s="285"/>
      <c r="G18" s="295"/>
      <c r="H18" s="285"/>
      <c r="I18" s="285">
        <f>SUM(I14:I17)</f>
        <v>8692.9500000000116</v>
      </c>
      <c r="J18" s="279"/>
      <c r="K18" s="279"/>
      <c r="L18" s="279"/>
      <c r="N18" s="279"/>
      <c r="O18" s="429"/>
      <c r="P18" s="429"/>
    </row>
    <row r="19" spans="1:17">
      <c r="A19" s="281"/>
      <c r="B19" s="277"/>
      <c r="C19" s="279"/>
      <c r="I19" s="285"/>
      <c r="J19" s="279"/>
      <c r="K19" s="279"/>
      <c r="L19" s="279"/>
      <c r="N19" s="279"/>
      <c r="O19" s="429"/>
      <c r="P19" s="429"/>
    </row>
    <row r="20" spans="1:17">
      <c r="A20" s="281" t="s">
        <v>872</v>
      </c>
      <c r="B20" s="277" t="s">
        <v>873</v>
      </c>
      <c r="I20" s="300">
        <v>0</v>
      </c>
      <c r="J20" s="279"/>
      <c r="K20" s="279"/>
      <c r="L20" s="279"/>
      <c r="N20" s="279"/>
      <c r="O20" s="429"/>
      <c r="P20" s="429"/>
    </row>
    <row r="21" spans="1:17">
      <c r="A21" s="281" t="s">
        <v>874</v>
      </c>
      <c r="B21" s="277" t="s">
        <v>875</v>
      </c>
      <c r="I21" s="300">
        <v>0</v>
      </c>
      <c r="J21" s="279"/>
      <c r="K21" s="279"/>
      <c r="L21" s="279"/>
      <c r="N21" s="279"/>
      <c r="O21" s="429"/>
      <c r="P21" s="429"/>
    </row>
    <row r="22" spans="1:17" ht="16.2" thickBot="1">
      <c r="A22" s="281" t="s">
        <v>876</v>
      </c>
      <c r="B22" s="277" t="s">
        <v>877</v>
      </c>
      <c r="I22" s="301">
        <f>I20+I21</f>
        <v>0</v>
      </c>
      <c r="J22" s="279"/>
      <c r="K22" s="279"/>
      <c r="L22" s="279"/>
      <c r="N22" s="279"/>
      <c r="O22" s="429"/>
      <c r="P22" s="429"/>
    </row>
    <row r="23" spans="1:17">
      <c r="A23" s="281"/>
      <c r="B23" s="277"/>
      <c r="C23" s="279"/>
      <c r="I23" s="285"/>
      <c r="J23" s="279"/>
      <c r="K23" s="279"/>
      <c r="L23" s="279"/>
      <c r="N23" s="279"/>
      <c r="O23" s="429"/>
      <c r="P23" s="429"/>
    </row>
    <row r="24" spans="1:17" ht="16.2" thickBot="1">
      <c r="A24" s="281">
        <v>7</v>
      </c>
      <c r="B24" s="277" t="s">
        <v>197</v>
      </c>
      <c r="C24" s="279" t="s">
        <v>878</v>
      </c>
      <c r="D24" s="299" t="s">
        <v>171</v>
      </c>
      <c r="E24" s="285"/>
      <c r="F24" s="285"/>
      <c r="G24" s="285"/>
      <c r="H24" s="285"/>
      <c r="I24" s="302">
        <f>+I11-I18+I22</f>
        <v>423781.41515741387</v>
      </c>
      <c r="J24" s="279"/>
      <c r="K24" s="279"/>
      <c r="L24" s="279"/>
      <c r="N24" s="279"/>
      <c r="O24" s="429">
        <v>492634</v>
      </c>
      <c r="P24" s="429">
        <f>+I24-O24</f>
        <v>-68852.584842586133</v>
      </c>
      <c r="Q24" s="444">
        <f>+P24/O24</f>
        <v>-0.13976417551891696</v>
      </c>
    </row>
    <row r="25" spans="1:17" ht="16.2" thickTop="1">
      <c r="A25" s="281"/>
      <c r="B25" s="277"/>
      <c r="C25" s="285"/>
      <c r="I25" s="285"/>
      <c r="J25" s="279"/>
      <c r="K25" s="279"/>
      <c r="L25" s="279"/>
      <c r="N25" s="279"/>
      <c r="O25" s="429"/>
      <c r="P25" s="429"/>
    </row>
    <row r="26" spans="1:17">
      <c r="A26" s="281" t="s">
        <v>171</v>
      </c>
      <c r="B26" s="277" t="s">
        <v>198</v>
      </c>
      <c r="C26" s="279"/>
      <c r="D26" s="292"/>
      <c r="E26" s="279"/>
      <c r="F26" s="279"/>
      <c r="G26" s="279"/>
      <c r="H26" s="279"/>
      <c r="I26" s="292"/>
      <c r="J26" s="279"/>
      <c r="K26" s="279"/>
      <c r="L26" s="279"/>
      <c r="N26" s="279"/>
      <c r="O26" s="429"/>
      <c r="P26" s="429"/>
    </row>
    <row r="27" spans="1:17">
      <c r="A27" s="281">
        <v>8</v>
      </c>
      <c r="B27" s="277" t="s">
        <v>199</v>
      </c>
      <c r="D27" s="292"/>
      <c r="E27" s="279"/>
      <c r="F27" s="279"/>
      <c r="G27" s="279" t="s">
        <v>200</v>
      </c>
      <c r="H27" s="279"/>
      <c r="I27" s="296">
        <v>0</v>
      </c>
      <c r="J27" s="279"/>
      <c r="K27" s="279"/>
      <c r="L27" s="303"/>
      <c r="O27" s="429"/>
      <c r="P27" s="429"/>
    </row>
    <row r="28" spans="1:17">
      <c r="A28" s="281">
        <v>9</v>
      </c>
      <c r="B28" s="277" t="s">
        <v>201</v>
      </c>
      <c r="C28" s="285"/>
      <c r="D28" s="285"/>
      <c r="E28" s="285"/>
      <c r="F28" s="285"/>
      <c r="G28" s="285" t="s">
        <v>202</v>
      </c>
      <c r="H28" s="285"/>
      <c r="I28" s="296">
        <v>0</v>
      </c>
      <c r="J28" s="279"/>
      <c r="K28" s="279"/>
      <c r="L28" s="349"/>
      <c r="M28" s="333"/>
      <c r="N28" s="333"/>
      <c r="O28" s="440"/>
      <c r="P28" s="429"/>
    </row>
    <row r="29" spans="1:17">
      <c r="A29" s="281">
        <v>10</v>
      </c>
      <c r="B29" s="277" t="s">
        <v>203</v>
      </c>
      <c r="C29" s="279"/>
      <c r="D29" s="279"/>
      <c r="E29" s="279"/>
      <c r="F29" s="279"/>
      <c r="G29" s="279" t="s">
        <v>204</v>
      </c>
      <c r="H29" s="279"/>
      <c r="I29" s="296">
        <v>0</v>
      </c>
      <c r="J29" s="279"/>
      <c r="K29" s="279"/>
      <c r="L29" s="453"/>
      <c r="M29" s="333"/>
      <c r="N29" s="333"/>
      <c r="O29" s="440"/>
      <c r="P29" s="429"/>
    </row>
    <row r="30" spans="1:17">
      <c r="A30" s="281">
        <v>11</v>
      </c>
      <c r="B30" s="304" t="s">
        <v>205</v>
      </c>
      <c r="C30" s="279"/>
      <c r="D30" s="279"/>
      <c r="E30" s="279"/>
      <c r="F30" s="279"/>
      <c r="G30" s="279" t="s">
        <v>206</v>
      </c>
      <c r="H30" s="279"/>
      <c r="I30" s="296">
        <v>0</v>
      </c>
      <c r="J30" s="279"/>
      <c r="K30" s="279"/>
      <c r="L30" s="349"/>
      <c r="M30" s="333"/>
      <c r="N30" s="333"/>
      <c r="O30" s="440"/>
      <c r="P30" s="429"/>
    </row>
    <row r="31" spans="1:17">
      <c r="A31" s="281">
        <v>12</v>
      </c>
      <c r="B31" s="304" t="s">
        <v>207</v>
      </c>
      <c r="C31" s="279"/>
      <c r="D31" s="279"/>
      <c r="E31" s="279"/>
      <c r="F31" s="279"/>
      <c r="G31" s="279"/>
      <c r="H31" s="279"/>
      <c r="I31" s="296">
        <v>0</v>
      </c>
      <c r="J31" s="279"/>
      <c r="K31" s="279"/>
      <c r="L31" s="349"/>
      <c r="M31" s="333"/>
      <c r="N31" s="333"/>
      <c r="O31" s="440"/>
      <c r="P31" s="429"/>
    </row>
    <row r="32" spans="1:17">
      <c r="A32" s="281">
        <v>13</v>
      </c>
      <c r="B32" s="304" t="s">
        <v>208</v>
      </c>
      <c r="C32" s="279"/>
      <c r="D32" s="279"/>
      <c r="E32" s="279"/>
      <c r="F32" s="279"/>
      <c r="G32" s="279"/>
      <c r="H32" s="279"/>
      <c r="I32" s="305">
        <v>0</v>
      </c>
      <c r="J32" s="279"/>
      <c r="K32" s="279"/>
      <c r="L32" s="279"/>
      <c r="O32" s="429"/>
      <c r="P32" s="429"/>
    </row>
    <row r="33" spans="1:16" ht="16.2" thickBot="1">
      <c r="A33" s="281">
        <v>14</v>
      </c>
      <c r="B33" s="277" t="s">
        <v>209</v>
      </c>
      <c r="C33" s="279"/>
      <c r="D33" s="279"/>
      <c r="E33" s="279"/>
      <c r="F33" s="279"/>
      <c r="G33" s="279"/>
      <c r="H33" s="279"/>
      <c r="I33" s="306">
        <v>0</v>
      </c>
      <c r="J33" s="279"/>
      <c r="K33" s="279"/>
      <c r="L33" s="279"/>
      <c r="O33" s="429"/>
      <c r="P33" s="429"/>
    </row>
    <row r="34" spans="1:16">
      <c r="A34" s="281">
        <v>15</v>
      </c>
      <c r="B34" s="277" t="s">
        <v>210</v>
      </c>
      <c r="C34" s="279"/>
      <c r="D34" s="279"/>
      <c r="E34" s="279"/>
      <c r="F34" s="279"/>
      <c r="G34" s="279"/>
      <c r="H34" s="279"/>
      <c r="I34" s="292">
        <f>SUM(I27:I33)</f>
        <v>0</v>
      </c>
      <c r="J34" s="279"/>
      <c r="K34" s="279"/>
      <c r="L34" s="279"/>
      <c r="O34" s="429"/>
      <c r="P34" s="429"/>
    </row>
    <row r="35" spans="1:16">
      <c r="A35" s="281"/>
      <c r="B35" s="277"/>
      <c r="C35" s="279"/>
      <c r="D35" s="279"/>
      <c r="E35" s="279"/>
      <c r="F35" s="279"/>
      <c r="G35" s="279"/>
      <c r="H35" s="279"/>
      <c r="I35" s="292"/>
      <c r="J35" s="279"/>
      <c r="K35" s="279"/>
      <c r="L35" s="279"/>
      <c r="N35" s="279"/>
      <c r="O35" s="429"/>
      <c r="P35" s="429"/>
    </row>
    <row r="36" spans="1:16">
      <c r="A36" s="281">
        <v>16</v>
      </c>
      <c r="B36" s="277" t="s">
        <v>211</v>
      </c>
      <c r="C36" s="279" t="s">
        <v>212</v>
      </c>
      <c r="D36" s="307">
        <f>IF(I34&gt;0,I24/I34,0)</f>
        <v>0</v>
      </c>
      <c r="E36" s="279"/>
      <c r="F36" s="279"/>
      <c r="G36" s="279"/>
      <c r="H36" s="279"/>
      <c r="J36" s="279"/>
      <c r="K36" s="279"/>
      <c r="L36" s="279"/>
      <c r="N36" s="279"/>
      <c r="O36" s="429"/>
      <c r="P36" s="429"/>
    </row>
    <row r="37" spans="1:16">
      <c r="A37" s="281">
        <v>17</v>
      </c>
      <c r="B37" s="277" t="s">
        <v>213</v>
      </c>
      <c r="C37" s="279"/>
      <c r="D37" s="307">
        <f>+D36/12</f>
        <v>0</v>
      </c>
      <c r="E37" s="279"/>
      <c r="F37" s="279"/>
      <c r="G37" s="279"/>
      <c r="H37" s="279"/>
      <c r="J37" s="279"/>
      <c r="K37" s="279"/>
      <c r="L37" s="279"/>
      <c r="N37" s="279"/>
      <c r="O37" s="429"/>
      <c r="P37" s="429"/>
    </row>
    <row r="38" spans="1:16">
      <c r="A38" s="281"/>
      <c r="B38" s="277"/>
      <c r="C38" s="279"/>
      <c r="D38" s="307"/>
      <c r="E38" s="279"/>
      <c r="F38" s="279"/>
      <c r="G38" s="279"/>
      <c r="H38" s="279"/>
      <c r="J38" s="279"/>
      <c r="K38" s="279"/>
      <c r="L38" s="279"/>
      <c r="N38" s="279"/>
      <c r="O38" s="429"/>
      <c r="P38" s="429"/>
    </row>
    <row r="39" spans="1:16">
      <c r="A39" s="281"/>
      <c r="B39" s="277"/>
      <c r="C39" s="279"/>
      <c r="D39" s="308" t="s">
        <v>214</v>
      </c>
      <c r="E39" s="279"/>
      <c r="F39" s="279"/>
      <c r="G39" s="279"/>
      <c r="H39" s="279"/>
      <c r="I39" s="309" t="s">
        <v>215</v>
      </c>
      <c r="J39" s="279"/>
      <c r="K39" s="279"/>
      <c r="L39" s="279"/>
      <c r="N39" s="279"/>
      <c r="O39" s="429"/>
      <c r="P39" s="429"/>
    </row>
    <row r="40" spans="1:16">
      <c r="A40" s="281">
        <v>18</v>
      </c>
      <c r="B40" s="277" t="s">
        <v>216</v>
      </c>
      <c r="C40" s="279" t="s">
        <v>217</v>
      </c>
      <c r="D40" s="307">
        <f>+D36/52</f>
        <v>0</v>
      </c>
      <c r="E40" s="279"/>
      <c r="F40" s="279"/>
      <c r="G40" s="279"/>
      <c r="H40" s="279"/>
      <c r="I40" s="310">
        <f>+D36/52</f>
        <v>0</v>
      </c>
      <c r="J40" s="279"/>
      <c r="K40" s="279"/>
      <c r="L40" s="279"/>
      <c r="N40" s="279"/>
      <c r="O40" s="429"/>
      <c r="P40" s="429"/>
    </row>
    <row r="41" spans="1:16">
      <c r="A41" s="281">
        <v>19</v>
      </c>
      <c r="B41" s="277" t="s">
        <v>218</v>
      </c>
      <c r="C41" s="279" t="s">
        <v>219</v>
      </c>
      <c r="D41" s="307">
        <f>+D36/260</f>
        <v>0</v>
      </c>
      <c r="E41" s="279" t="s">
        <v>220</v>
      </c>
      <c r="G41" s="279"/>
      <c r="H41" s="279"/>
      <c r="I41" s="310">
        <f>+D36/365</f>
        <v>0</v>
      </c>
      <c r="J41" s="279"/>
      <c r="K41" s="279"/>
      <c r="L41" s="279"/>
      <c r="N41" s="279"/>
      <c r="O41" s="429"/>
      <c r="P41" s="429"/>
    </row>
    <row r="42" spans="1:16">
      <c r="A42" s="281">
        <v>20</v>
      </c>
      <c r="B42" s="277" t="s">
        <v>221</v>
      </c>
      <c r="C42" s="279" t="s">
        <v>222</v>
      </c>
      <c r="D42" s="307">
        <f>+D36/4160*1000</f>
        <v>0</v>
      </c>
      <c r="E42" s="279" t="s">
        <v>223</v>
      </c>
      <c r="G42" s="279"/>
      <c r="H42" s="279"/>
      <c r="I42" s="310">
        <f>+D36/8760*1000</f>
        <v>0</v>
      </c>
      <c r="J42" s="279"/>
      <c r="K42" s="279" t="s">
        <v>171</v>
      </c>
      <c r="L42" s="279"/>
      <c r="N42" s="279"/>
      <c r="O42" s="429"/>
      <c r="P42" s="429"/>
    </row>
    <row r="43" spans="1:16">
      <c r="A43" s="281"/>
      <c r="B43" s="277"/>
      <c r="C43" s="279" t="s">
        <v>224</v>
      </c>
      <c r="D43" s="279"/>
      <c r="E43" s="279" t="s">
        <v>225</v>
      </c>
      <c r="G43" s="279"/>
      <c r="H43" s="279"/>
      <c r="J43" s="279"/>
      <c r="K43" s="279" t="s">
        <v>171</v>
      </c>
      <c r="L43" s="279"/>
      <c r="N43" s="279"/>
      <c r="O43" s="429"/>
      <c r="P43" s="429"/>
    </row>
    <row r="44" spans="1:16">
      <c r="A44" s="281"/>
      <c r="B44" s="277"/>
      <c r="C44" s="279"/>
      <c r="D44" s="279"/>
      <c r="E44" s="279"/>
      <c r="G44" s="279"/>
      <c r="H44" s="279"/>
      <c r="J44" s="279"/>
      <c r="K44" s="279" t="s">
        <v>171</v>
      </c>
      <c r="L44" s="279"/>
      <c r="N44" s="279"/>
      <c r="O44" s="429"/>
      <c r="P44" s="429"/>
    </row>
    <row r="45" spans="1:16">
      <c r="A45" s="281">
        <v>21</v>
      </c>
      <c r="B45" s="277" t="s">
        <v>226</v>
      </c>
      <c r="C45" s="279" t="s">
        <v>227</v>
      </c>
      <c r="D45" s="311">
        <v>0</v>
      </c>
      <c r="E45" s="312" t="s">
        <v>228</v>
      </c>
      <c r="F45" s="312"/>
      <c r="G45" s="312"/>
      <c r="H45" s="312"/>
      <c r="I45" s="312">
        <f>D45</f>
        <v>0</v>
      </c>
      <c r="J45" s="312" t="s">
        <v>228</v>
      </c>
      <c r="K45" s="279"/>
      <c r="L45" s="279"/>
      <c r="N45" s="279"/>
      <c r="O45" s="429"/>
      <c r="P45" s="429"/>
    </row>
    <row r="46" spans="1:16">
      <c r="A46" s="281">
        <v>22</v>
      </c>
      <c r="B46" s="277"/>
      <c r="C46" s="279"/>
      <c r="D46" s="311">
        <v>0</v>
      </c>
      <c r="E46" s="312" t="s">
        <v>229</v>
      </c>
      <c r="F46" s="312"/>
      <c r="G46" s="312"/>
      <c r="H46" s="312"/>
      <c r="I46" s="312">
        <f>D46</f>
        <v>0</v>
      </c>
      <c r="J46" s="312" t="s">
        <v>229</v>
      </c>
      <c r="K46" s="279"/>
      <c r="L46" s="279"/>
      <c r="N46" s="279"/>
      <c r="O46" s="429"/>
      <c r="P46" s="429"/>
    </row>
    <row r="47" spans="1:16">
      <c r="J47" s="279"/>
      <c r="K47" s="279"/>
      <c r="L47" s="279"/>
      <c r="N47" s="279"/>
      <c r="O47" s="429"/>
      <c r="P47" s="429"/>
    </row>
    <row r="48" spans="1:16">
      <c r="J48" s="279"/>
      <c r="K48" s="279"/>
      <c r="L48" s="279"/>
      <c r="N48" s="279"/>
      <c r="O48" s="429"/>
      <c r="P48" s="429"/>
    </row>
    <row r="49" spans="10:16">
      <c r="J49" s="279"/>
      <c r="K49" s="279"/>
      <c r="L49" s="279"/>
      <c r="N49" s="279"/>
      <c r="O49" s="429"/>
      <c r="P49" s="429"/>
    </row>
    <row r="50" spans="10:16">
      <c r="J50" s="279"/>
      <c r="K50" s="279"/>
      <c r="L50" s="279"/>
      <c r="N50" s="279"/>
      <c r="O50" s="429"/>
      <c r="P50" s="429"/>
    </row>
    <row r="51" spans="10:16">
      <c r="J51" s="279"/>
      <c r="K51" s="279"/>
      <c r="L51" s="279"/>
      <c r="N51" s="279"/>
      <c r="O51" s="429"/>
      <c r="P51" s="429"/>
    </row>
    <row r="52" spans="10:16">
      <c r="J52" s="279"/>
      <c r="K52" s="279"/>
      <c r="L52" s="279"/>
      <c r="N52" s="279"/>
      <c r="O52" s="429"/>
      <c r="P52" s="429"/>
    </row>
    <row r="53" spans="10:16">
      <c r="J53" s="279"/>
      <c r="K53" s="279"/>
      <c r="L53" s="279"/>
      <c r="N53" s="279"/>
      <c r="O53" s="429"/>
      <c r="P53" s="429"/>
    </row>
    <row r="54" spans="10:16">
      <c r="J54" s="279"/>
      <c r="K54" s="279"/>
      <c r="L54" s="279"/>
      <c r="N54" s="279"/>
      <c r="O54" s="429"/>
      <c r="P54" s="429"/>
    </row>
    <row r="55" spans="10:16">
      <c r="J55" s="279"/>
      <c r="K55" s="279"/>
      <c r="L55" s="279"/>
      <c r="N55" s="279"/>
      <c r="O55" s="429"/>
      <c r="P55" s="429"/>
    </row>
    <row r="56" spans="10:16">
      <c r="J56" s="279"/>
      <c r="K56" s="279"/>
      <c r="L56" s="279"/>
      <c r="N56" s="279"/>
      <c r="O56" s="429"/>
      <c r="P56" s="429"/>
    </row>
    <row r="57" spans="10:16">
      <c r="J57" s="279"/>
      <c r="K57" s="279"/>
      <c r="L57" s="279"/>
      <c r="N57" s="279"/>
      <c r="O57" s="429"/>
      <c r="P57" s="429"/>
    </row>
    <row r="58" spans="10:16">
      <c r="J58" s="279"/>
      <c r="K58" s="279"/>
      <c r="L58" s="279"/>
      <c r="N58" s="279"/>
      <c r="O58" s="429"/>
      <c r="P58" s="429"/>
    </row>
    <row r="59" spans="10:16">
      <c r="J59" s="279"/>
      <c r="K59" s="279"/>
      <c r="L59" s="279"/>
      <c r="N59" s="279"/>
      <c r="O59" s="429"/>
      <c r="P59" s="429"/>
    </row>
    <row r="60" spans="10:16">
      <c r="J60" s="279"/>
      <c r="K60" s="279"/>
      <c r="L60" s="279"/>
      <c r="N60" s="279"/>
      <c r="O60" s="429"/>
      <c r="P60" s="429"/>
    </row>
    <row r="61" spans="10:16">
      <c r="J61" s="279"/>
      <c r="K61" s="279"/>
      <c r="L61" s="279"/>
      <c r="N61" s="279"/>
      <c r="O61" s="429"/>
      <c r="P61" s="429"/>
    </row>
    <row r="62" spans="10:16">
      <c r="J62" s="279"/>
      <c r="K62" s="279"/>
      <c r="L62" s="279"/>
      <c r="N62" s="279"/>
      <c r="O62" s="429"/>
      <c r="P62" s="429"/>
    </row>
    <row r="63" spans="10:16">
      <c r="J63" s="279"/>
      <c r="K63" s="279"/>
      <c r="L63" s="279"/>
      <c r="N63" s="279"/>
      <c r="O63" s="429"/>
      <c r="P63" s="429"/>
    </row>
    <row r="64" spans="10:16">
      <c r="J64" s="279"/>
      <c r="K64" s="279"/>
      <c r="L64" s="279"/>
      <c r="N64" s="279"/>
      <c r="O64" s="429"/>
      <c r="P64" s="429"/>
    </row>
    <row r="65" spans="1:16">
      <c r="J65" s="279"/>
      <c r="K65" s="279"/>
      <c r="L65" s="279"/>
      <c r="N65" s="279"/>
      <c r="O65" s="429"/>
      <c r="P65" s="429"/>
    </row>
    <row r="66" spans="1:16">
      <c r="J66" s="279"/>
      <c r="K66" s="279"/>
      <c r="L66" s="279"/>
      <c r="N66" s="279"/>
      <c r="O66" s="429"/>
      <c r="P66" s="429"/>
    </row>
    <row r="67" spans="1:16">
      <c r="J67" s="279"/>
      <c r="K67" s="279"/>
      <c r="L67" s="279"/>
      <c r="N67" s="279"/>
      <c r="O67" s="429"/>
      <c r="P67" s="429"/>
    </row>
    <row r="68" spans="1:16">
      <c r="J68" s="279"/>
      <c r="K68" s="279"/>
      <c r="L68" s="279"/>
      <c r="N68" s="279"/>
      <c r="O68" s="429"/>
      <c r="P68" s="429"/>
    </row>
    <row r="69" spans="1:16">
      <c r="J69" s="279"/>
      <c r="K69" s="279"/>
      <c r="L69" s="279"/>
      <c r="N69" s="279"/>
      <c r="O69" s="429"/>
      <c r="P69" s="429"/>
    </row>
    <row r="70" spans="1:16">
      <c r="J70" s="279"/>
      <c r="K70" s="279"/>
      <c r="L70" s="279"/>
      <c r="N70" s="279"/>
      <c r="O70" s="429"/>
      <c r="P70" s="429"/>
    </row>
    <row r="71" spans="1:16">
      <c r="J71" s="279"/>
      <c r="K71" s="279"/>
      <c r="L71" s="279"/>
      <c r="N71" s="279"/>
      <c r="O71" s="429"/>
      <c r="P71" s="429"/>
    </row>
    <row r="72" spans="1:16">
      <c r="J72" s="279"/>
      <c r="K72" s="275" t="s">
        <v>179</v>
      </c>
      <c r="L72" s="279"/>
      <c r="N72" s="279"/>
      <c r="O72" s="429"/>
      <c r="P72" s="429"/>
    </row>
    <row r="73" spans="1:16">
      <c r="B73" s="277"/>
      <c r="C73" s="277"/>
      <c r="D73" s="278"/>
      <c r="E73" s="277"/>
      <c r="F73" s="277"/>
      <c r="G73" s="277"/>
      <c r="H73" s="279"/>
      <c r="I73" s="279"/>
      <c r="K73" s="280" t="s">
        <v>230</v>
      </c>
      <c r="L73" s="280"/>
      <c r="N73" s="279"/>
      <c r="O73" s="429"/>
      <c r="P73" s="429"/>
    </row>
    <row r="74" spans="1:16">
      <c r="B74" s="279"/>
      <c r="C74" s="279"/>
      <c r="D74" s="279"/>
      <c r="E74" s="279"/>
      <c r="F74" s="279"/>
      <c r="G74" s="279"/>
      <c r="H74" s="279"/>
      <c r="I74" s="279"/>
      <c r="J74" s="279"/>
      <c r="K74" s="279"/>
      <c r="L74" s="279"/>
      <c r="N74" s="279"/>
      <c r="O74" s="429"/>
      <c r="P74" s="429"/>
    </row>
    <row r="75" spans="1:16">
      <c r="B75" s="277" t="str">
        <f>B4</f>
        <v xml:space="preserve">Formula Rate - Non-Levelized </v>
      </c>
      <c r="C75" s="277"/>
      <c r="D75" s="278" t="str">
        <f>D4</f>
        <v xml:space="preserve">   Rate Formula Template</v>
      </c>
      <c r="E75" s="277"/>
      <c r="F75" s="277"/>
      <c r="G75" s="277"/>
      <c r="H75" s="277"/>
      <c r="J75" s="277"/>
      <c r="K75" s="280" t="str">
        <f>K4</f>
        <v>For the 12 months ended 12/31/15</v>
      </c>
      <c r="L75" s="279"/>
      <c r="N75" s="277"/>
    </row>
    <row r="76" spans="1:16">
      <c r="B76" s="277"/>
      <c r="C76" s="285" t="s">
        <v>171</v>
      </c>
      <c r="D76" s="285" t="str">
        <f>D5</f>
        <v>Utilizing EIA Form 412 Data</v>
      </c>
      <c r="E76" s="285"/>
      <c r="F76" s="285"/>
      <c r="G76" s="285"/>
      <c r="H76" s="285"/>
      <c r="I76" s="285"/>
      <c r="J76" s="285"/>
      <c r="K76" s="285"/>
      <c r="L76" s="279"/>
      <c r="N76" s="279"/>
    </row>
    <row r="77" spans="1:16">
      <c r="B77" s="277"/>
      <c r="C77" s="285" t="s">
        <v>171</v>
      </c>
      <c r="D77" s="285" t="s">
        <v>171</v>
      </c>
      <c r="E77" s="285"/>
      <c r="F77" s="285"/>
      <c r="G77" s="285" t="s">
        <v>171</v>
      </c>
      <c r="H77" s="285"/>
      <c r="I77" s="285"/>
      <c r="J77" s="285"/>
      <c r="K77" s="285"/>
      <c r="L77" s="277"/>
      <c r="N77" s="285"/>
    </row>
    <row r="78" spans="1:16">
      <c r="B78" s="277"/>
      <c r="C78" s="279"/>
      <c r="D78" s="285" t="str">
        <f>D7</f>
        <v>Worthington (Minnesota) Public Utilities</v>
      </c>
      <c r="E78" s="285"/>
      <c r="F78" s="285"/>
      <c r="G78" s="285"/>
      <c r="H78" s="285"/>
      <c r="I78" s="285"/>
      <c r="J78" s="285"/>
      <c r="K78" s="285"/>
      <c r="L78" s="277"/>
      <c r="N78" s="285"/>
    </row>
    <row r="79" spans="1:16">
      <c r="B79" s="281" t="s">
        <v>231</v>
      </c>
      <c r="C79" s="281" t="s">
        <v>232</v>
      </c>
      <c r="D79" s="281" t="s">
        <v>233</v>
      </c>
      <c r="E79" s="285" t="s">
        <v>171</v>
      </c>
      <c r="F79" s="285"/>
      <c r="G79" s="313" t="s">
        <v>234</v>
      </c>
      <c r="H79" s="285"/>
      <c r="I79" s="314" t="s">
        <v>235</v>
      </c>
      <c r="J79" s="285"/>
      <c r="K79" s="281"/>
      <c r="L79" s="277"/>
      <c r="N79" s="281"/>
    </row>
    <row r="80" spans="1:16">
      <c r="A80" s="281" t="s">
        <v>1</v>
      </c>
      <c r="B80" s="277"/>
      <c r="C80" s="315" t="s">
        <v>236</v>
      </c>
      <c r="D80" s="285"/>
      <c r="E80" s="285"/>
      <c r="F80" s="285"/>
      <c r="G80" s="281"/>
      <c r="H80" s="285"/>
      <c r="I80" s="316" t="s">
        <v>237</v>
      </c>
      <c r="J80" s="285"/>
      <c r="K80" s="281"/>
      <c r="L80" s="277"/>
      <c r="N80" s="281"/>
      <c r="O80" s="423" t="s">
        <v>902</v>
      </c>
      <c r="P80" s="423"/>
    </row>
    <row r="81" spans="1:17" ht="18" thickBot="1">
      <c r="A81" s="291" t="s">
        <v>2</v>
      </c>
      <c r="B81" s="317" t="s">
        <v>238</v>
      </c>
      <c r="C81" s="318" t="s">
        <v>239</v>
      </c>
      <c r="D81" s="316" t="s">
        <v>240</v>
      </c>
      <c r="E81" s="319"/>
      <c r="F81" s="316" t="s">
        <v>241</v>
      </c>
      <c r="H81" s="319"/>
      <c r="I81" s="281" t="s">
        <v>242</v>
      </c>
      <c r="J81" s="285"/>
      <c r="K81" s="281"/>
      <c r="L81" s="277"/>
      <c r="N81" s="281"/>
      <c r="O81" s="424" t="s">
        <v>903</v>
      </c>
      <c r="P81" s="424" t="s">
        <v>904</v>
      </c>
    </row>
    <row r="82" spans="1:17">
      <c r="A82" s="281"/>
      <c r="B82" s="277" t="s">
        <v>243</v>
      </c>
      <c r="C82" s="285"/>
      <c r="D82" s="285"/>
      <c r="E82" s="285"/>
      <c r="F82" s="285"/>
      <c r="G82" s="285"/>
      <c r="H82" s="285"/>
      <c r="I82" s="285"/>
      <c r="J82" s="285"/>
      <c r="K82" s="285"/>
      <c r="L82" s="277"/>
      <c r="N82" s="285"/>
      <c r="O82" s="429"/>
      <c r="P82" s="429"/>
    </row>
    <row r="83" spans="1:17">
      <c r="A83" s="281">
        <v>1</v>
      </c>
      <c r="B83" s="277" t="s">
        <v>244</v>
      </c>
      <c r="C83" s="285" t="s">
        <v>245</v>
      </c>
      <c r="D83" s="320">
        <f>+'Schedule 4'!G14</f>
        <v>6095900</v>
      </c>
      <c r="E83" s="285"/>
      <c r="F83" s="285" t="s">
        <v>246</v>
      </c>
      <c r="G83" s="321" t="s">
        <v>171</v>
      </c>
      <c r="H83" s="285"/>
      <c r="I83" s="285" t="s">
        <v>171</v>
      </c>
      <c r="J83" s="285"/>
      <c r="K83" s="285"/>
      <c r="L83" s="277"/>
    </row>
    <row r="84" spans="1:17">
      <c r="A84" s="281">
        <v>2</v>
      </c>
      <c r="B84" s="277" t="s">
        <v>247</v>
      </c>
      <c r="C84" s="285" t="s">
        <v>248</v>
      </c>
      <c r="D84" s="320">
        <f>+'Schedule 4'!G17</f>
        <v>3149451</v>
      </c>
      <c r="E84" s="285"/>
      <c r="F84" s="285" t="s">
        <v>191</v>
      </c>
      <c r="G84" s="321">
        <f>I220</f>
        <v>1</v>
      </c>
      <c r="H84" s="285"/>
      <c r="I84" s="285">
        <f>+G84*D84</f>
        <v>3149451</v>
      </c>
      <c r="J84" s="285"/>
      <c r="K84" s="285"/>
      <c r="L84" s="277"/>
      <c r="O84" s="429">
        <v>3149451</v>
      </c>
      <c r="P84" s="429">
        <f>+I84-O84</f>
        <v>0</v>
      </c>
      <c r="Q84" s="444">
        <f>+P84/O84</f>
        <v>0</v>
      </c>
    </row>
    <row r="85" spans="1:17">
      <c r="A85" s="281">
        <v>3</v>
      </c>
      <c r="B85" s="277" t="s">
        <v>249</v>
      </c>
      <c r="C85" s="285" t="s">
        <v>250</v>
      </c>
      <c r="D85" s="320">
        <f>+'Schedule 4'!G18</f>
        <v>19764722</v>
      </c>
      <c r="E85" s="285"/>
      <c r="F85" s="285" t="s">
        <v>246</v>
      </c>
      <c r="G85" s="321" t="s">
        <v>171</v>
      </c>
      <c r="H85" s="285"/>
      <c r="I85" s="285" t="s">
        <v>171</v>
      </c>
      <c r="J85" s="285"/>
      <c r="K85" s="285"/>
      <c r="L85" s="277"/>
    </row>
    <row r="86" spans="1:17">
      <c r="A86" s="281">
        <v>4</v>
      </c>
      <c r="B86" s="277" t="s">
        <v>251</v>
      </c>
      <c r="C86" s="285" t="s">
        <v>252</v>
      </c>
      <c r="D86" s="320">
        <f>+'Schedule 4'!G19</f>
        <v>1344313</v>
      </c>
      <c r="E86" s="285"/>
      <c r="F86" s="285" t="s">
        <v>253</v>
      </c>
      <c r="G86" s="321">
        <f>I236</f>
        <v>0</v>
      </c>
      <c r="H86" s="285"/>
      <c r="I86" s="285">
        <f>+G86*D86</f>
        <v>0</v>
      </c>
      <c r="J86" s="285"/>
      <c r="K86" s="285"/>
      <c r="L86" s="277"/>
      <c r="O86" s="430"/>
    </row>
    <row r="87" spans="1:17" ht="16.2" thickBot="1">
      <c r="A87" s="281">
        <v>5</v>
      </c>
      <c r="B87" s="277" t="s">
        <v>254</v>
      </c>
      <c r="C87" s="285"/>
      <c r="D87" s="322">
        <v>0</v>
      </c>
      <c r="E87" s="285"/>
      <c r="F87" s="285" t="s">
        <v>255</v>
      </c>
      <c r="G87" s="321">
        <f>K240</f>
        <v>0</v>
      </c>
      <c r="H87" s="285"/>
      <c r="I87" s="298">
        <f>+G87*D87</f>
        <v>0</v>
      </c>
      <c r="J87" s="285"/>
      <c r="K87" s="285"/>
      <c r="L87" s="277"/>
      <c r="O87" s="430"/>
    </row>
    <row r="88" spans="1:17">
      <c r="A88" s="281">
        <v>6</v>
      </c>
      <c r="B88" s="277" t="s">
        <v>256</v>
      </c>
      <c r="C88" s="285"/>
      <c r="D88" s="285">
        <f>SUM(D83:D87)</f>
        <v>30354386</v>
      </c>
      <c r="E88" s="285"/>
      <c r="F88" s="285" t="s">
        <v>257</v>
      </c>
      <c r="G88" s="323">
        <f>IF(I88&gt;0,I88/D88,0)</f>
        <v>0.10375604369002885</v>
      </c>
      <c r="H88" s="285"/>
      <c r="I88" s="285">
        <f>SUM(I83:I87)</f>
        <v>3149451</v>
      </c>
      <c r="J88" s="285"/>
      <c r="K88" s="323"/>
      <c r="L88" s="277"/>
      <c r="N88" s="285"/>
      <c r="O88" s="429">
        <v>3149451</v>
      </c>
      <c r="P88" s="429">
        <f>+I88-O88</f>
        <v>0</v>
      </c>
      <c r="Q88" s="444">
        <f>+P88/O88</f>
        <v>0</v>
      </c>
    </row>
    <row r="89" spans="1:17">
      <c r="B89" s="277"/>
      <c r="C89" s="285"/>
      <c r="D89" s="285"/>
      <c r="E89" s="285"/>
      <c r="F89" s="285"/>
      <c r="G89" s="323"/>
      <c r="H89" s="285"/>
      <c r="I89" s="285"/>
      <c r="J89" s="285"/>
      <c r="K89" s="323"/>
      <c r="L89" s="277"/>
      <c r="N89" s="285"/>
    </row>
    <row r="90" spans="1:17">
      <c r="B90" s="277" t="s">
        <v>258</v>
      </c>
      <c r="C90" s="285"/>
      <c r="D90" s="285"/>
      <c r="E90" s="285"/>
      <c r="F90" s="285"/>
      <c r="G90" s="285"/>
      <c r="H90" s="285"/>
      <c r="I90" s="285"/>
      <c r="J90" s="285"/>
      <c r="K90" s="285"/>
      <c r="L90" s="277"/>
      <c r="N90" s="285"/>
    </row>
    <row r="91" spans="1:17">
      <c r="A91" s="281">
        <v>7</v>
      </c>
      <c r="B91" s="277" t="str">
        <f>+B83</f>
        <v xml:space="preserve">  Production</v>
      </c>
      <c r="D91" s="324">
        <f>+'Schedule 4'!I14</f>
        <v>2065465</v>
      </c>
      <c r="E91" s="285"/>
      <c r="F91" s="285" t="str">
        <f t="shared" ref="F91:G95" si="0">+F83</f>
        <v>NA</v>
      </c>
      <c r="G91" s="321" t="str">
        <f t="shared" si="0"/>
        <v xml:space="preserve"> </v>
      </c>
      <c r="H91" s="285"/>
      <c r="I91" s="285" t="s">
        <v>171</v>
      </c>
      <c r="J91" s="285"/>
      <c r="K91" s="285"/>
      <c r="L91" s="277"/>
      <c r="N91" s="285"/>
    </row>
    <row r="92" spans="1:17">
      <c r="A92" s="281">
        <v>8</v>
      </c>
      <c r="B92" s="277" t="str">
        <f>+B84</f>
        <v xml:space="preserve">  Transmission</v>
      </c>
      <c r="D92" s="324">
        <f>+'Schedule 4'!I17</f>
        <v>588726</v>
      </c>
      <c r="E92" s="285"/>
      <c r="F92" s="285" t="str">
        <f t="shared" si="0"/>
        <v>TP</v>
      </c>
      <c r="G92" s="321">
        <f t="shared" si="0"/>
        <v>1</v>
      </c>
      <c r="H92" s="285"/>
      <c r="I92" s="285">
        <f>+G92*D92</f>
        <v>588726</v>
      </c>
      <c r="J92" s="285"/>
      <c r="K92" s="285"/>
      <c r="L92" s="277"/>
      <c r="N92" s="285"/>
      <c r="O92" s="429">
        <v>485686</v>
      </c>
      <c r="P92" s="429">
        <f>+I92-O92</f>
        <v>103040</v>
      </c>
      <c r="Q92" s="444">
        <f>+P92/O92</f>
        <v>0.21215353129388123</v>
      </c>
    </row>
    <row r="93" spans="1:17">
      <c r="A93" s="281">
        <v>9</v>
      </c>
      <c r="B93" s="277" t="str">
        <f>+B85</f>
        <v xml:space="preserve">  Distribution</v>
      </c>
      <c r="D93" s="324">
        <f>+'Schedule 4'!I18</f>
        <v>10365495</v>
      </c>
      <c r="E93" s="285"/>
      <c r="F93" s="285" t="str">
        <f t="shared" si="0"/>
        <v>NA</v>
      </c>
      <c r="G93" s="321" t="str">
        <f t="shared" si="0"/>
        <v xml:space="preserve"> </v>
      </c>
      <c r="H93" s="285"/>
      <c r="I93" s="285" t="s">
        <v>171</v>
      </c>
      <c r="J93" s="285"/>
      <c r="K93" s="285"/>
      <c r="L93" s="277"/>
      <c r="N93" s="285"/>
    </row>
    <row r="94" spans="1:17">
      <c r="A94" s="281">
        <v>10</v>
      </c>
      <c r="B94" s="277" t="str">
        <f>+B86</f>
        <v xml:space="preserve">  General &amp; Intangible</v>
      </c>
      <c r="D94" s="324">
        <f>+'Schedule 4'!I19</f>
        <v>850035</v>
      </c>
      <c r="E94" s="285"/>
      <c r="F94" s="285" t="str">
        <f t="shared" si="0"/>
        <v>W/S</v>
      </c>
      <c r="G94" s="321">
        <f t="shared" si="0"/>
        <v>0</v>
      </c>
      <c r="H94" s="285"/>
      <c r="I94" s="285">
        <f>+G94*D94</f>
        <v>0</v>
      </c>
      <c r="J94" s="285"/>
      <c r="K94" s="285"/>
      <c r="L94" s="277"/>
      <c r="N94" s="285"/>
      <c r="O94" s="430"/>
    </row>
    <row r="95" spans="1:17" ht="16.2" thickBot="1">
      <c r="A95" s="281">
        <v>11</v>
      </c>
      <c r="B95" s="277" t="str">
        <f>+B87</f>
        <v xml:space="preserve">  Common</v>
      </c>
      <c r="C95" s="285"/>
      <c r="D95" s="322">
        <v>0</v>
      </c>
      <c r="E95" s="285"/>
      <c r="F95" s="285" t="str">
        <f t="shared" si="0"/>
        <v>CE</v>
      </c>
      <c r="G95" s="321">
        <f t="shared" si="0"/>
        <v>0</v>
      </c>
      <c r="H95" s="285"/>
      <c r="I95" s="298">
        <f>+G95*D95</f>
        <v>0</v>
      </c>
      <c r="J95" s="285"/>
      <c r="K95" s="285"/>
      <c r="L95" s="277"/>
      <c r="N95" s="285"/>
      <c r="O95" s="430"/>
    </row>
    <row r="96" spans="1:17">
      <c r="A96" s="281">
        <v>12</v>
      </c>
      <c r="B96" s="277" t="s">
        <v>259</v>
      </c>
      <c r="C96" s="285"/>
      <c r="D96" s="285">
        <f>SUM(D91:D95)</f>
        <v>13869721</v>
      </c>
      <c r="E96" s="285"/>
      <c r="F96" s="285"/>
      <c r="G96" s="285"/>
      <c r="H96" s="285"/>
      <c r="I96" s="285">
        <f>SUM(I91:I95)</f>
        <v>588726</v>
      </c>
      <c r="J96" s="285"/>
      <c r="K96" s="285"/>
      <c r="L96" s="277"/>
      <c r="N96" s="325"/>
      <c r="O96" s="429">
        <v>485686</v>
      </c>
      <c r="P96" s="429">
        <f>+I96-O96</f>
        <v>103040</v>
      </c>
      <c r="Q96" s="444">
        <f>+P96/O96</f>
        <v>0.21215353129388123</v>
      </c>
    </row>
    <row r="97" spans="1:17">
      <c r="A97" s="281"/>
      <c r="C97" s="285" t="s">
        <v>171</v>
      </c>
      <c r="E97" s="285"/>
      <c r="F97" s="285"/>
      <c r="G97" s="323"/>
      <c r="H97" s="285"/>
      <c r="J97" s="285"/>
      <c r="K97" s="323"/>
      <c r="L97" s="277"/>
      <c r="N97" s="285"/>
    </row>
    <row r="98" spans="1:17">
      <c r="A98" s="281"/>
      <c r="B98" s="277" t="s">
        <v>260</v>
      </c>
      <c r="C98" s="285"/>
      <c r="D98" s="285"/>
      <c r="E98" s="285"/>
      <c r="F98" s="285"/>
      <c r="G98" s="285"/>
      <c r="H98" s="285"/>
      <c r="I98" s="285"/>
      <c r="J98" s="285"/>
      <c r="K98" s="285"/>
      <c r="L98" s="277"/>
      <c r="N98" s="285"/>
    </row>
    <row r="99" spans="1:17">
      <c r="A99" s="281">
        <v>13</v>
      </c>
      <c r="B99" s="277" t="str">
        <f>+B91</f>
        <v xml:space="preserve">  Production</v>
      </c>
      <c r="C99" s="285" t="s">
        <v>261</v>
      </c>
      <c r="D99" s="285">
        <f>D83-D91</f>
        <v>4030435</v>
      </c>
      <c r="E99" s="285"/>
      <c r="F99" s="285"/>
      <c r="G99" s="323"/>
      <c r="H99" s="285"/>
      <c r="I99" s="285" t="s">
        <v>171</v>
      </c>
      <c r="J99" s="285"/>
      <c r="K99" s="323"/>
      <c r="L99" s="277"/>
      <c r="N99" s="285"/>
    </row>
    <row r="100" spans="1:17">
      <c r="A100" s="281">
        <v>14</v>
      </c>
      <c r="B100" s="277" t="str">
        <f>+B92</f>
        <v xml:space="preserve">  Transmission</v>
      </c>
      <c r="C100" s="285" t="s">
        <v>262</v>
      </c>
      <c r="D100" s="285">
        <f>D84-D92</f>
        <v>2560725</v>
      </c>
      <c r="E100" s="285"/>
      <c r="F100" s="285"/>
      <c r="G100" s="321"/>
      <c r="H100" s="285"/>
      <c r="I100" s="285">
        <f>I84-I92</f>
        <v>2560725</v>
      </c>
      <c r="J100" s="285"/>
      <c r="K100" s="323"/>
      <c r="L100" s="277"/>
      <c r="N100" s="285"/>
      <c r="O100" s="429">
        <v>2663765</v>
      </c>
      <c r="P100" s="429">
        <f>+I100-O100</f>
        <v>-103040</v>
      </c>
      <c r="Q100" s="444">
        <f>+P100/O100</f>
        <v>-3.86820909502152E-2</v>
      </c>
    </row>
    <row r="101" spans="1:17">
      <c r="A101" s="281">
        <v>15</v>
      </c>
      <c r="B101" s="277" t="str">
        <f>+B93</f>
        <v xml:space="preserve">  Distribution</v>
      </c>
      <c r="C101" s="285" t="s">
        <v>263</v>
      </c>
      <c r="D101" s="285">
        <f>D85-D93</f>
        <v>9399227</v>
      </c>
      <c r="E101" s="285"/>
      <c r="F101" s="285"/>
      <c r="G101" s="323"/>
      <c r="H101" s="285"/>
      <c r="I101" s="285" t="s">
        <v>171</v>
      </c>
      <c r="J101" s="285"/>
      <c r="K101" s="323"/>
      <c r="L101" s="277"/>
      <c r="N101" s="285"/>
    </row>
    <row r="102" spans="1:17">
      <c r="A102" s="281">
        <v>16</v>
      </c>
      <c r="B102" s="277" t="str">
        <f>+B94</f>
        <v xml:space="preserve">  General &amp; Intangible</v>
      </c>
      <c r="C102" s="285" t="s">
        <v>264</v>
      </c>
      <c r="D102" s="285">
        <f>D86-D94</f>
        <v>494278</v>
      </c>
      <c r="E102" s="285"/>
      <c r="F102" s="285"/>
      <c r="G102" s="323"/>
      <c r="H102" s="285"/>
      <c r="I102" s="285">
        <f>I86-I94</f>
        <v>0</v>
      </c>
      <c r="J102" s="285"/>
      <c r="K102" s="323"/>
      <c r="L102" s="277"/>
      <c r="N102" s="285"/>
      <c r="O102" s="430"/>
    </row>
    <row r="103" spans="1:17" ht="16.2" thickBot="1">
      <c r="A103" s="281">
        <v>17</v>
      </c>
      <c r="B103" s="277" t="str">
        <f>+B95</f>
        <v xml:space="preserve">  Common</v>
      </c>
      <c r="C103" s="285" t="s">
        <v>265</v>
      </c>
      <c r="D103" s="298">
        <f>D87-D95</f>
        <v>0</v>
      </c>
      <c r="E103" s="285"/>
      <c r="F103" s="285"/>
      <c r="G103" s="323"/>
      <c r="H103" s="285"/>
      <c r="I103" s="298">
        <f>I87-I95</f>
        <v>0</v>
      </c>
      <c r="J103" s="285"/>
      <c r="K103" s="323"/>
      <c r="L103" s="277"/>
      <c r="N103" s="285"/>
      <c r="O103" s="430"/>
    </row>
    <row r="104" spans="1:17">
      <c r="A104" s="281">
        <v>18</v>
      </c>
      <c r="B104" s="277" t="s">
        <v>266</v>
      </c>
      <c r="C104" s="285"/>
      <c r="D104" s="285">
        <f>SUM(D99:D103)</f>
        <v>16484665</v>
      </c>
      <c r="E104" s="285"/>
      <c r="F104" s="285" t="s">
        <v>267</v>
      </c>
      <c r="G104" s="323">
        <f>IF(I104&gt;0,I104/D104,0)</f>
        <v>0.15533982643869318</v>
      </c>
      <c r="H104" s="285"/>
      <c r="I104" s="285">
        <f>SUM(I99:I103)</f>
        <v>2560725</v>
      </c>
      <c r="J104" s="285"/>
      <c r="K104" s="285"/>
      <c r="L104" s="277"/>
      <c r="N104" s="299"/>
      <c r="O104" s="429">
        <v>2663765</v>
      </c>
      <c r="P104" s="429">
        <f>+I104-O104</f>
        <v>-103040</v>
      </c>
      <c r="Q104" s="444">
        <f>+P104/O104</f>
        <v>-3.86820909502152E-2</v>
      </c>
    </row>
    <row r="105" spans="1:17">
      <c r="A105" s="281"/>
      <c r="C105" s="285"/>
      <c r="E105" s="285"/>
      <c r="H105" s="285"/>
      <c r="J105" s="285"/>
      <c r="K105" s="323"/>
      <c r="L105" s="277"/>
      <c r="N105" s="285"/>
    </row>
    <row r="106" spans="1:17">
      <c r="A106" s="281"/>
      <c r="B106" s="277" t="s">
        <v>268</v>
      </c>
      <c r="C106" s="285"/>
      <c r="D106" s="285"/>
      <c r="E106" s="285"/>
      <c r="F106" s="285"/>
      <c r="G106" s="285"/>
      <c r="H106" s="285"/>
      <c r="I106" s="285"/>
      <c r="J106" s="285"/>
      <c r="K106" s="285"/>
      <c r="L106" s="277"/>
      <c r="N106" s="285" t="s">
        <v>171</v>
      </c>
    </row>
    <row r="107" spans="1:17">
      <c r="A107" s="281">
        <v>19</v>
      </c>
      <c r="B107" s="277" t="s">
        <v>269</v>
      </c>
      <c r="C107" s="285"/>
      <c r="D107" s="324">
        <v>0</v>
      </c>
      <c r="E107" s="285"/>
      <c r="F107" s="285"/>
      <c r="G107" s="326" t="s">
        <v>270</v>
      </c>
      <c r="H107" s="285"/>
      <c r="I107" s="285">
        <v>0</v>
      </c>
      <c r="J107" s="285"/>
      <c r="K107" s="323"/>
      <c r="L107" s="277"/>
      <c r="N107" s="323"/>
      <c r="O107" s="430"/>
    </row>
    <row r="108" spans="1:17">
      <c r="A108" s="281">
        <v>20</v>
      </c>
      <c r="B108" s="277" t="s">
        <v>271</v>
      </c>
      <c r="C108" s="285"/>
      <c r="D108" s="324">
        <v>0</v>
      </c>
      <c r="E108" s="285"/>
      <c r="F108" s="285" t="s">
        <v>272</v>
      </c>
      <c r="G108" s="321">
        <f>+G104</f>
        <v>0.15533982643869318</v>
      </c>
      <c r="H108" s="285"/>
      <c r="I108" s="285">
        <f>D108*G108</f>
        <v>0</v>
      </c>
      <c r="J108" s="285"/>
      <c r="K108" s="323"/>
      <c r="L108" s="277"/>
      <c r="N108" s="323"/>
      <c r="O108" s="430"/>
    </row>
    <row r="109" spans="1:17">
      <c r="A109" s="281">
        <v>21</v>
      </c>
      <c r="B109" s="277" t="s">
        <v>273</v>
      </c>
      <c r="C109" s="285"/>
      <c r="D109" s="320">
        <v>0</v>
      </c>
      <c r="E109" s="285"/>
      <c r="F109" s="285" t="s">
        <v>272</v>
      </c>
      <c r="G109" s="321">
        <f>+G108</f>
        <v>0.15533982643869318</v>
      </c>
      <c r="H109" s="285"/>
      <c r="I109" s="285">
        <f>D109*G109</f>
        <v>0</v>
      </c>
      <c r="J109" s="285"/>
      <c r="K109" s="323"/>
      <c r="L109" s="277"/>
      <c r="N109" s="323"/>
      <c r="O109" s="430"/>
    </row>
    <row r="110" spans="1:17">
      <c r="A110" s="281">
        <v>22</v>
      </c>
      <c r="B110" s="277" t="s">
        <v>274</v>
      </c>
      <c r="C110" s="285"/>
      <c r="D110" s="320">
        <v>0</v>
      </c>
      <c r="E110" s="285"/>
      <c r="F110" s="285" t="str">
        <f>+F109</f>
        <v>NP</v>
      </c>
      <c r="G110" s="321">
        <f>+G109</f>
        <v>0.15533982643869318</v>
      </c>
      <c r="H110" s="285"/>
      <c r="I110" s="285">
        <f>D110*G110</f>
        <v>0</v>
      </c>
      <c r="J110" s="285"/>
      <c r="K110" s="323"/>
      <c r="L110" s="277"/>
      <c r="N110" s="323"/>
      <c r="O110" s="430"/>
    </row>
    <row r="111" spans="1:17" ht="16.2" thickBot="1">
      <c r="A111" s="281">
        <v>23</v>
      </c>
      <c r="B111" s="274" t="s">
        <v>275</v>
      </c>
      <c r="D111" s="322">
        <v>0</v>
      </c>
      <c r="E111" s="285"/>
      <c r="F111" s="285" t="s">
        <v>272</v>
      </c>
      <c r="G111" s="321">
        <f>+G109</f>
        <v>0.15533982643869318</v>
      </c>
      <c r="H111" s="285"/>
      <c r="I111" s="298">
        <f>D111*G111</f>
        <v>0</v>
      </c>
      <c r="J111" s="285"/>
      <c r="K111" s="285"/>
      <c r="L111" s="277"/>
      <c r="N111" s="325"/>
    </row>
    <row r="112" spans="1:17">
      <c r="A112" s="281">
        <v>24</v>
      </c>
      <c r="B112" s="277" t="s">
        <v>276</v>
      </c>
      <c r="C112" s="285"/>
      <c r="D112" s="285">
        <f>SUM(D107:D111)</f>
        <v>0</v>
      </c>
      <c r="E112" s="285"/>
      <c r="F112" s="285"/>
      <c r="G112" s="285"/>
      <c r="H112" s="285"/>
      <c r="I112" s="285">
        <f>SUM(I107:I111)</f>
        <v>0</v>
      </c>
      <c r="J112" s="285"/>
      <c r="K112" s="323"/>
      <c r="L112" s="277"/>
      <c r="N112" s="285"/>
    </row>
    <row r="113" spans="1:17">
      <c r="A113" s="281"/>
      <c r="B113" s="277"/>
      <c r="C113" s="285"/>
      <c r="D113" s="285"/>
      <c r="E113" s="285"/>
      <c r="F113" s="285"/>
      <c r="G113" s="285"/>
      <c r="H113" s="285"/>
      <c r="I113" s="285"/>
      <c r="J113" s="285"/>
      <c r="K113" s="323"/>
      <c r="L113" s="277"/>
      <c r="N113" s="285"/>
    </row>
    <row r="114" spans="1:17">
      <c r="A114" s="281">
        <v>25</v>
      </c>
      <c r="B114" s="277" t="s">
        <v>277</v>
      </c>
      <c r="C114" s="285" t="s">
        <v>278</v>
      </c>
      <c r="D114" s="324">
        <v>0</v>
      </c>
      <c r="E114" s="285"/>
      <c r="F114" s="285" t="str">
        <f>+F92</f>
        <v>TP</v>
      </c>
      <c r="G114" s="321">
        <f>+G92</f>
        <v>1</v>
      </c>
      <c r="H114" s="285"/>
      <c r="I114" s="285">
        <f>+G114*D114</f>
        <v>0</v>
      </c>
      <c r="J114" s="285"/>
      <c r="K114" s="285"/>
      <c r="L114" s="277"/>
      <c r="N114" s="285"/>
    </row>
    <row r="115" spans="1:17">
      <c r="A115" s="281"/>
      <c r="B115" s="277"/>
      <c r="C115" s="285"/>
      <c r="D115" s="285"/>
      <c r="E115" s="285"/>
      <c r="F115" s="285"/>
      <c r="G115" s="285"/>
      <c r="H115" s="285"/>
      <c r="I115" s="285"/>
      <c r="J115" s="285"/>
      <c r="K115" s="285"/>
      <c r="L115" s="277"/>
      <c r="N115" s="285"/>
    </row>
    <row r="116" spans="1:17">
      <c r="A116" s="281"/>
      <c r="B116" s="277" t="s">
        <v>279</v>
      </c>
      <c r="C116" s="285" t="s">
        <v>280</v>
      </c>
      <c r="D116" s="285"/>
      <c r="E116" s="285"/>
      <c r="F116" s="285"/>
      <c r="G116" s="285"/>
      <c r="H116" s="285"/>
      <c r="I116" s="285"/>
      <c r="J116" s="285"/>
      <c r="K116" s="285"/>
      <c r="L116" s="277"/>
      <c r="N116" s="285"/>
    </row>
    <row r="117" spans="1:17">
      <c r="A117" s="281">
        <v>26</v>
      </c>
      <c r="B117" s="277" t="s">
        <v>281</v>
      </c>
      <c r="D117" s="285">
        <f>D158/8</f>
        <v>52054.25</v>
      </c>
      <c r="E117" s="285"/>
      <c r="F117" s="285"/>
      <c r="G117" s="323"/>
      <c r="H117" s="285"/>
      <c r="I117" s="285">
        <f>I158/8</f>
        <v>0</v>
      </c>
      <c r="J117" s="279"/>
      <c r="K117" s="323"/>
      <c r="L117" s="277"/>
      <c r="N117" s="327"/>
      <c r="O117" s="429">
        <v>704</v>
      </c>
      <c r="P117" s="429">
        <f>+I117-O117</f>
        <v>-704</v>
      </c>
      <c r="Q117" s="444">
        <f>+P117/O117</f>
        <v>-1</v>
      </c>
    </row>
    <row r="118" spans="1:17">
      <c r="A118" s="281">
        <v>27</v>
      </c>
      <c r="B118" s="277" t="s">
        <v>282</v>
      </c>
      <c r="C118" s="274" t="s">
        <v>283</v>
      </c>
      <c r="D118" s="324">
        <v>0</v>
      </c>
      <c r="E118" s="285"/>
      <c r="F118" s="285" t="s">
        <v>284</v>
      </c>
      <c r="G118" s="321">
        <f>I229</f>
        <v>1</v>
      </c>
      <c r="H118" s="285"/>
      <c r="I118" s="285">
        <f>G118*D118</f>
        <v>0</v>
      </c>
      <c r="J118" s="285" t="s">
        <v>171</v>
      </c>
      <c r="K118" s="323"/>
      <c r="L118" s="277"/>
      <c r="N118" s="327"/>
      <c r="O118" s="430"/>
    </row>
    <row r="119" spans="1:17" ht="16.2" thickBot="1">
      <c r="A119" s="281">
        <v>28</v>
      </c>
      <c r="B119" s="277" t="s">
        <v>285</v>
      </c>
      <c r="C119" s="274" t="s">
        <v>286</v>
      </c>
      <c r="D119" s="322">
        <f>+'Schedule 2'!C43</f>
        <v>28840</v>
      </c>
      <c r="E119" s="285"/>
      <c r="F119" s="285" t="s">
        <v>287</v>
      </c>
      <c r="G119" s="321">
        <f>+G88</f>
        <v>0.10375604369002885</v>
      </c>
      <c r="H119" s="285"/>
      <c r="I119" s="298">
        <f>+G119*D119</f>
        <v>2992.324300020432</v>
      </c>
      <c r="J119" s="285"/>
      <c r="K119" s="323"/>
      <c r="L119" s="277"/>
      <c r="N119" s="327"/>
      <c r="O119" s="429">
        <v>3390</v>
      </c>
      <c r="P119" s="429">
        <f>+I119-O119</f>
        <v>-397.67569997956798</v>
      </c>
      <c r="Q119" s="444">
        <f>+P119/O119</f>
        <v>-0.11730846607066903</v>
      </c>
    </row>
    <row r="120" spans="1:17">
      <c r="A120" s="281">
        <v>29</v>
      </c>
      <c r="B120" s="277" t="s">
        <v>288</v>
      </c>
      <c r="C120" s="279"/>
      <c r="D120" s="285">
        <f>D117+D118+D119</f>
        <v>80894.25</v>
      </c>
      <c r="E120" s="279"/>
      <c r="F120" s="279"/>
      <c r="G120" s="279"/>
      <c r="H120" s="279"/>
      <c r="I120" s="285">
        <f>I117+I118+I119</f>
        <v>2992.324300020432</v>
      </c>
      <c r="J120" s="279"/>
      <c r="K120" s="279"/>
      <c r="L120" s="277"/>
      <c r="N120" s="325"/>
    </row>
    <row r="121" spans="1:17" ht="16.2" thickBot="1">
      <c r="C121" s="285"/>
      <c r="D121" s="328"/>
      <c r="E121" s="285"/>
      <c r="F121" s="285"/>
      <c r="G121" s="285"/>
      <c r="H121" s="285"/>
      <c r="I121" s="328"/>
      <c r="J121" s="285"/>
      <c r="K121" s="285"/>
      <c r="L121" s="277"/>
      <c r="N121" s="285"/>
    </row>
    <row r="122" spans="1:17" ht="16.2" thickBot="1">
      <c r="A122" s="281">
        <v>30</v>
      </c>
      <c r="B122" s="277" t="s">
        <v>289</v>
      </c>
      <c r="C122" s="285"/>
      <c r="D122" s="329">
        <f>+D120+D114+D112+D104</f>
        <v>16565559.25</v>
      </c>
      <c r="E122" s="285"/>
      <c r="F122" s="285"/>
      <c r="G122" s="323"/>
      <c r="H122" s="285"/>
      <c r="I122" s="329">
        <f>+I120+I114+I112+I104</f>
        <v>2563717.3243000205</v>
      </c>
      <c r="J122" s="285"/>
      <c r="K122" s="323"/>
      <c r="L122" s="277"/>
      <c r="N122" s="285"/>
      <c r="O122" s="429">
        <v>2667859</v>
      </c>
      <c r="P122" s="429">
        <f>+I122-O122</f>
        <v>-104141.67569997953</v>
      </c>
      <c r="Q122" s="444">
        <f>+P122/O122</f>
        <v>-3.9035674561504009E-2</v>
      </c>
    </row>
    <row r="123" spans="1:17" ht="16.2" thickTop="1">
      <c r="A123" s="281"/>
      <c r="B123" s="277"/>
      <c r="C123" s="285"/>
      <c r="D123" s="285"/>
      <c r="E123" s="285"/>
      <c r="F123" s="285"/>
      <c r="G123" s="285"/>
      <c r="H123" s="285"/>
      <c r="I123" s="285"/>
      <c r="J123" s="285"/>
      <c r="K123" s="285"/>
      <c r="L123" s="279"/>
      <c r="N123" s="285"/>
    </row>
    <row r="124" spans="1:17">
      <c r="A124" s="281"/>
      <c r="B124" s="277"/>
      <c r="C124" s="285"/>
      <c r="D124" s="285"/>
      <c r="E124" s="285"/>
      <c r="F124" s="285"/>
      <c r="G124" s="285"/>
      <c r="H124" s="285"/>
      <c r="I124" s="285"/>
      <c r="J124" s="285"/>
      <c r="K124" s="285"/>
      <c r="L124" s="279"/>
      <c r="N124" s="285"/>
    </row>
    <row r="125" spans="1:17">
      <c r="A125" s="281"/>
      <c r="B125" s="277"/>
      <c r="C125" s="285"/>
      <c r="D125" s="285"/>
      <c r="E125" s="285"/>
      <c r="F125" s="285"/>
      <c r="G125" s="285"/>
      <c r="H125" s="285"/>
      <c r="I125" s="285"/>
      <c r="J125" s="285"/>
      <c r="K125" s="285"/>
      <c r="L125" s="279"/>
      <c r="N125" s="285"/>
    </row>
    <row r="126" spans="1:17">
      <c r="A126" s="281"/>
      <c r="B126" s="277"/>
      <c r="C126" s="285"/>
      <c r="D126" s="285"/>
      <c r="E126" s="285"/>
      <c r="F126" s="285"/>
      <c r="G126" s="285"/>
      <c r="H126" s="285"/>
      <c r="I126" s="285"/>
      <c r="J126" s="285"/>
      <c r="K126" s="285"/>
      <c r="L126" s="279"/>
      <c r="N126" s="285"/>
    </row>
    <row r="127" spans="1:17">
      <c r="A127" s="281"/>
      <c r="B127" s="277"/>
      <c r="C127" s="285"/>
      <c r="D127" s="285"/>
      <c r="E127" s="285"/>
      <c r="F127" s="285"/>
      <c r="G127" s="285"/>
      <c r="H127" s="285"/>
      <c r="I127" s="285"/>
      <c r="J127" s="285"/>
      <c r="K127" s="285"/>
      <c r="L127" s="279"/>
      <c r="N127" s="285"/>
    </row>
    <row r="128" spans="1:17">
      <c r="A128" s="281"/>
      <c r="B128" s="277"/>
      <c r="C128" s="285"/>
      <c r="D128" s="285"/>
      <c r="E128" s="285"/>
      <c r="F128" s="285"/>
      <c r="G128" s="285"/>
      <c r="H128" s="285"/>
      <c r="I128" s="285"/>
      <c r="J128" s="285"/>
      <c r="K128" s="285"/>
      <c r="L128" s="279"/>
      <c r="N128" s="285"/>
    </row>
    <row r="129" spans="1:16">
      <c r="A129" s="281"/>
      <c r="B129" s="277"/>
      <c r="C129" s="285"/>
      <c r="D129" s="285"/>
      <c r="E129" s="285"/>
      <c r="F129" s="285"/>
      <c r="G129" s="285"/>
      <c r="H129" s="285"/>
      <c r="I129" s="285"/>
      <c r="J129" s="285"/>
      <c r="K129" s="285"/>
      <c r="L129" s="279"/>
      <c r="N129" s="285"/>
    </row>
    <row r="130" spans="1:16">
      <c r="A130" s="281"/>
      <c r="B130" s="277"/>
      <c r="C130" s="285"/>
      <c r="D130" s="285"/>
      <c r="E130" s="285"/>
      <c r="F130" s="285"/>
      <c r="G130" s="285"/>
      <c r="H130" s="285"/>
      <c r="I130" s="285"/>
      <c r="J130" s="285"/>
      <c r="K130" s="285"/>
      <c r="L130" s="279"/>
      <c r="N130" s="285"/>
    </row>
    <row r="131" spans="1:16">
      <c r="A131" s="281"/>
      <c r="B131" s="277"/>
      <c r="C131" s="285"/>
      <c r="D131" s="285"/>
      <c r="E131" s="285"/>
      <c r="F131" s="285"/>
      <c r="G131" s="285"/>
      <c r="H131" s="285"/>
      <c r="I131" s="285"/>
      <c r="J131" s="285"/>
      <c r="K131" s="285"/>
      <c r="L131" s="279"/>
      <c r="N131" s="285"/>
    </row>
    <row r="132" spans="1:16">
      <c r="A132" s="281"/>
      <c r="B132" s="277"/>
      <c r="C132" s="285"/>
      <c r="D132" s="285"/>
      <c r="E132" s="285"/>
      <c r="F132" s="285"/>
      <c r="G132" s="285"/>
      <c r="H132" s="285"/>
      <c r="I132" s="285"/>
      <c r="J132" s="285"/>
      <c r="K132" s="285"/>
      <c r="L132" s="279"/>
      <c r="N132" s="285"/>
    </row>
    <row r="133" spans="1:16">
      <c r="A133" s="281"/>
      <c r="B133" s="277"/>
      <c r="C133" s="285"/>
      <c r="D133" s="285"/>
      <c r="E133" s="285"/>
      <c r="F133" s="285"/>
      <c r="G133" s="285"/>
      <c r="H133" s="285"/>
      <c r="I133" s="285"/>
      <c r="J133" s="285"/>
      <c r="K133" s="285"/>
      <c r="L133" s="279"/>
      <c r="N133" s="285"/>
    </row>
    <row r="134" spans="1:16">
      <c r="A134" s="281"/>
      <c r="B134" s="277"/>
      <c r="C134" s="285"/>
      <c r="D134" s="285"/>
      <c r="E134" s="285"/>
      <c r="F134" s="285"/>
      <c r="G134" s="285"/>
      <c r="H134" s="285"/>
      <c r="I134" s="285"/>
      <c r="J134" s="285"/>
      <c r="K134" s="285"/>
      <c r="L134" s="279"/>
      <c r="N134" s="285"/>
    </row>
    <row r="135" spans="1:16">
      <c r="A135" s="281"/>
      <c r="B135" s="277"/>
      <c r="C135" s="285"/>
      <c r="D135" s="285"/>
      <c r="E135" s="285"/>
      <c r="F135" s="285"/>
      <c r="G135" s="285"/>
      <c r="H135" s="285"/>
      <c r="I135" s="285"/>
      <c r="J135" s="285"/>
      <c r="K135" s="285"/>
      <c r="L135" s="279"/>
      <c r="N135" s="285"/>
    </row>
    <row r="136" spans="1:16">
      <c r="A136" s="281"/>
      <c r="B136" s="277"/>
      <c r="C136" s="285"/>
      <c r="D136" s="285"/>
      <c r="E136" s="285"/>
      <c r="F136" s="285"/>
      <c r="G136" s="285"/>
      <c r="H136" s="285"/>
      <c r="I136" s="285"/>
      <c r="J136" s="285"/>
      <c r="K136" s="285"/>
      <c r="L136" s="279"/>
      <c r="N136" s="285"/>
    </row>
    <row r="137" spans="1:16">
      <c r="A137" s="281"/>
      <c r="B137" s="277"/>
      <c r="C137" s="285"/>
      <c r="D137" s="285"/>
      <c r="E137" s="285"/>
      <c r="F137" s="285"/>
      <c r="G137" s="285"/>
      <c r="H137" s="285"/>
      <c r="I137" s="285"/>
      <c r="J137" s="285"/>
      <c r="K137" s="285"/>
      <c r="L137" s="279"/>
      <c r="N137" s="285"/>
    </row>
    <row r="138" spans="1:16">
      <c r="A138" s="281"/>
      <c r="B138" s="277"/>
      <c r="C138" s="285"/>
      <c r="D138" s="285"/>
      <c r="E138" s="285"/>
      <c r="F138" s="285"/>
      <c r="G138" s="285"/>
      <c r="H138" s="285"/>
      <c r="I138" s="285"/>
      <c r="J138" s="285"/>
      <c r="K138" s="275" t="s">
        <v>179</v>
      </c>
      <c r="L138" s="279"/>
      <c r="N138" s="285"/>
    </row>
    <row r="139" spans="1:16">
      <c r="B139" s="277"/>
      <c r="C139" s="277"/>
      <c r="D139" s="278"/>
      <c r="E139" s="277"/>
      <c r="F139" s="277"/>
      <c r="G139" s="277"/>
      <c r="H139" s="279"/>
      <c r="I139" s="279"/>
      <c r="K139" s="280" t="s">
        <v>290</v>
      </c>
      <c r="L139" s="279"/>
      <c r="N139" s="279"/>
      <c r="O139" s="429"/>
      <c r="P139" s="429"/>
    </row>
    <row r="140" spans="1:16">
      <c r="A140" s="281"/>
      <c r="B140" s="277"/>
      <c r="C140" s="285"/>
      <c r="D140" s="285"/>
      <c r="E140" s="285"/>
      <c r="F140" s="285"/>
      <c r="G140" s="285"/>
      <c r="H140" s="285"/>
      <c r="I140" s="285"/>
      <c r="J140" s="285"/>
      <c r="K140" s="285"/>
      <c r="L140" s="279"/>
      <c r="N140" s="285"/>
    </row>
    <row r="141" spans="1:16">
      <c r="A141" s="281"/>
      <c r="B141" s="277" t="str">
        <f>B4</f>
        <v xml:space="preserve">Formula Rate - Non-Levelized </v>
      </c>
      <c r="C141" s="285"/>
      <c r="D141" s="285" t="str">
        <f>D4</f>
        <v xml:space="preserve">   Rate Formula Template</v>
      </c>
      <c r="E141" s="285"/>
      <c r="F141" s="285"/>
      <c r="G141" s="285"/>
      <c r="H141" s="285"/>
      <c r="J141" s="285"/>
      <c r="K141" s="330" t="str">
        <f>K4</f>
        <v>For the 12 months ended 12/31/15</v>
      </c>
      <c r="L141" s="277"/>
      <c r="N141" s="285"/>
    </row>
    <row r="142" spans="1:16">
      <c r="A142" s="281"/>
      <c r="B142" s="277"/>
      <c r="C142" s="285"/>
      <c r="D142" s="285" t="str">
        <f>D5</f>
        <v>Utilizing EIA Form 412 Data</v>
      </c>
      <c r="E142" s="285"/>
      <c r="F142" s="285"/>
      <c r="G142" s="285"/>
      <c r="H142" s="285"/>
      <c r="I142" s="285"/>
      <c r="J142" s="285"/>
      <c r="K142" s="285"/>
      <c r="L142" s="277"/>
      <c r="N142" s="285"/>
    </row>
    <row r="143" spans="1:16">
      <c r="A143" s="281"/>
      <c r="C143" s="285"/>
      <c r="D143" s="285"/>
      <c r="E143" s="285"/>
      <c r="F143" s="285"/>
      <c r="G143" s="285"/>
      <c r="H143" s="285"/>
      <c r="I143" s="285"/>
      <c r="J143" s="285"/>
      <c r="K143" s="285"/>
      <c r="L143" s="277"/>
      <c r="N143" s="285"/>
    </row>
    <row r="144" spans="1:16">
      <c r="A144" s="281"/>
      <c r="D144" s="274" t="str">
        <f>D7</f>
        <v>Worthington (Minnesota) Public Utilities</v>
      </c>
      <c r="J144" s="285"/>
      <c r="K144" s="285"/>
      <c r="L144" s="277"/>
      <c r="N144" s="285"/>
    </row>
    <row r="145" spans="1:17">
      <c r="A145" s="281"/>
      <c r="B145" s="281" t="s">
        <v>231</v>
      </c>
      <c r="C145" s="281" t="s">
        <v>232</v>
      </c>
      <c r="D145" s="281" t="s">
        <v>233</v>
      </c>
      <c r="E145" s="285" t="s">
        <v>171</v>
      </c>
      <c r="F145" s="285"/>
      <c r="G145" s="313" t="s">
        <v>234</v>
      </c>
      <c r="H145" s="285"/>
      <c r="I145" s="314" t="s">
        <v>235</v>
      </c>
      <c r="J145" s="285"/>
      <c r="K145" s="285"/>
      <c r="L145" s="277"/>
      <c r="N145" s="279"/>
    </row>
    <row r="146" spans="1:17">
      <c r="A146" s="281" t="s">
        <v>1</v>
      </c>
      <c r="B146" s="277"/>
      <c r="C146" s="315" t="s">
        <v>236</v>
      </c>
      <c r="D146" s="285"/>
      <c r="E146" s="285"/>
      <c r="F146" s="285"/>
      <c r="G146" s="281"/>
      <c r="H146" s="285"/>
      <c r="I146" s="316" t="s">
        <v>237</v>
      </c>
      <c r="J146" s="285"/>
      <c r="K146" s="316"/>
      <c r="L146" s="277"/>
      <c r="N146" s="281"/>
      <c r="O146" s="423" t="s">
        <v>902</v>
      </c>
      <c r="P146" s="423"/>
    </row>
    <row r="147" spans="1:17" ht="18" thickBot="1">
      <c r="A147" s="291" t="s">
        <v>2</v>
      </c>
      <c r="B147" s="277"/>
      <c r="C147" s="318" t="s">
        <v>239</v>
      </c>
      <c r="D147" s="316" t="s">
        <v>240</v>
      </c>
      <c r="E147" s="319"/>
      <c r="F147" s="316" t="s">
        <v>241</v>
      </c>
      <c r="H147" s="319"/>
      <c r="I147" s="281" t="s">
        <v>242</v>
      </c>
      <c r="J147" s="285"/>
      <c r="K147" s="316"/>
      <c r="L147" s="285" t="s">
        <v>171</v>
      </c>
      <c r="N147" s="316"/>
      <c r="O147" s="424" t="s">
        <v>903</v>
      </c>
      <c r="P147" s="424" t="s">
        <v>904</v>
      </c>
    </row>
    <row r="148" spans="1:17">
      <c r="A148" s="281"/>
      <c r="B148" s="277" t="s">
        <v>291</v>
      </c>
      <c r="C148" s="285"/>
      <c r="D148" s="285"/>
      <c r="E148" s="285"/>
      <c r="F148" s="285"/>
      <c r="G148" s="285"/>
      <c r="H148" s="285"/>
      <c r="I148" s="285"/>
      <c r="J148" s="285"/>
      <c r="K148" s="285"/>
      <c r="L148" s="277"/>
      <c r="N148" s="285"/>
    </row>
    <row r="149" spans="1:17">
      <c r="A149" s="281">
        <v>1</v>
      </c>
      <c r="B149" s="277" t="s">
        <v>292</v>
      </c>
      <c r="C149" s="274" t="s">
        <v>293</v>
      </c>
      <c r="D149" s="324">
        <f>+'Schedule 7'!F21</f>
        <v>4580551</v>
      </c>
      <c r="E149" s="285"/>
      <c r="F149" s="285" t="s">
        <v>284</v>
      </c>
      <c r="G149" s="321">
        <f>I229</f>
        <v>1</v>
      </c>
      <c r="H149" s="285"/>
      <c r="I149" s="285">
        <f t="shared" ref="I149:I157" si="1">+G149*D149</f>
        <v>4580551</v>
      </c>
      <c r="J149" s="279"/>
      <c r="K149" s="285"/>
      <c r="L149" s="277"/>
      <c r="N149" s="285"/>
      <c r="O149" s="429">
        <v>3955224</v>
      </c>
      <c r="P149" s="429">
        <f>+I149-O149</f>
        <v>625327</v>
      </c>
      <c r="Q149" s="444">
        <f>+P149/O149</f>
        <v>0.15810153862334977</v>
      </c>
    </row>
    <row r="150" spans="1:17">
      <c r="A150" s="331" t="s">
        <v>294</v>
      </c>
      <c r="B150" s="332" t="s">
        <v>295</v>
      </c>
      <c r="C150" s="333"/>
      <c r="D150" s="324">
        <v>0</v>
      </c>
      <c r="E150" s="285"/>
      <c r="F150" s="334"/>
      <c r="G150" s="321">
        <v>1</v>
      </c>
      <c r="H150" s="285"/>
      <c r="I150" s="285">
        <f>+G150*D150</f>
        <v>0</v>
      </c>
      <c r="J150" s="279"/>
      <c r="K150" s="285"/>
      <c r="L150" s="277"/>
      <c r="N150" s="285"/>
      <c r="O150" s="430"/>
    </row>
    <row r="151" spans="1:17">
      <c r="A151" s="281">
        <v>2</v>
      </c>
      <c r="B151" s="277" t="s">
        <v>296</v>
      </c>
      <c r="C151" s="274" t="s">
        <v>171</v>
      </c>
      <c r="D151" s="324">
        <f>+'Schedule 7'!D21</f>
        <v>4580551</v>
      </c>
      <c r="E151" s="285"/>
      <c r="F151" s="285" t="s">
        <v>284</v>
      </c>
      <c r="G151" s="321">
        <f>+G149</f>
        <v>1</v>
      </c>
      <c r="H151" s="285"/>
      <c r="I151" s="285">
        <f t="shared" si="1"/>
        <v>4580551</v>
      </c>
      <c r="J151" s="279"/>
      <c r="K151" s="285"/>
      <c r="L151" s="277"/>
      <c r="N151" s="285"/>
      <c r="O151" s="429">
        <v>3949589</v>
      </c>
      <c r="P151" s="429">
        <f>+I151-O151</f>
        <v>630962</v>
      </c>
      <c r="Q151" s="444">
        <f>+P151/O151</f>
        <v>0.1597538376777938</v>
      </c>
    </row>
    <row r="152" spans="1:17">
      <c r="A152" s="281">
        <v>3</v>
      </c>
      <c r="B152" s="277" t="s">
        <v>297</v>
      </c>
      <c r="C152" s="274" t="s">
        <v>298</v>
      </c>
      <c r="D152" s="324">
        <f>+'Schedule 7'!H29</f>
        <v>418047</v>
      </c>
      <c r="E152" s="285"/>
      <c r="F152" s="285" t="s">
        <v>253</v>
      </c>
      <c r="G152" s="321">
        <f>I236</f>
        <v>0</v>
      </c>
      <c r="H152" s="285"/>
      <c r="I152" s="285">
        <f t="shared" si="1"/>
        <v>0</v>
      </c>
      <c r="J152" s="285"/>
      <c r="K152" s="285" t="s">
        <v>171</v>
      </c>
      <c r="L152" s="277"/>
      <c r="N152" s="285"/>
      <c r="O152" s="430"/>
    </row>
    <row r="153" spans="1:17">
      <c r="A153" s="281">
        <v>4</v>
      </c>
      <c r="B153" s="277" t="s">
        <v>299</v>
      </c>
      <c r="C153" s="285"/>
      <c r="D153" s="324">
        <v>0</v>
      </c>
      <c r="E153" s="285"/>
      <c r="F153" s="285" t="str">
        <f>+F152</f>
        <v>W/S</v>
      </c>
      <c r="G153" s="321">
        <f>I236</f>
        <v>0</v>
      </c>
      <c r="H153" s="285"/>
      <c r="I153" s="285">
        <f t="shared" si="1"/>
        <v>0</v>
      </c>
      <c r="J153" s="285"/>
      <c r="K153" s="285"/>
      <c r="L153" s="277"/>
      <c r="N153" s="285"/>
      <c r="O153" s="430"/>
    </row>
    <row r="154" spans="1:17">
      <c r="A154" s="281">
        <v>5</v>
      </c>
      <c r="B154" s="277" t="s">
        <v>300</v>
      </c>
      <c r="C154" s="285"/>
      <c r="D154" s="324">
        <f>+'Other Data'!D16</f>
        <v>1613</v>
      </c>
      <c r="E154" s="285"/>
      <c r="F154" s="285" t="str">
        <f>+F153</f>
        <v>W/S</v>
      </c>
      <c r="G154" s="321">
        <f>I236</f>
        <v>0</v>
      </c>
      <c r="H154" s="285"/>
      <c r="I154" s="285">
        <f t="shared" si="1"/>
        <v>0</v>
      </c>
      <c r="J154" s="285"/>
      <c r="K154" s="285"/>
      <c r="L154" s="277"/>
      <c r="N154" s="285"/>
      <c r="O154" s="430"/>
    </row>
    <row r="155" spans="1:17">
      <c r="A155" s="281" t="s">
        <v>301</v>
      </c>
      <c r="B155" s="277" t="s">
        <v>302</v>
      </c>
      <c r="C155" s="285"/>
      <c r="D155" s="324">
        <v>0</v>
      </c>
      <c r="E155" s="285"/>
      <c r="F155" s="285" t="str">
        <f>+F149</f>
        <v>TE</v>
      </c>
      <c r="G155" s="321">
        <f>+G149</f>
        <v>1</v>
      </c>
      <c r="H155" s="285"/>
      <c r="I155" s="285">
        <f t="shared" si="1"/>
        <v>0</v>
      </c>
      <c r="J155" s="285"/>
      <c r="K155" s="285"/>
      <c r="L155" s="277"/>
      <c r="N155" s="285"/>
      <c r="O155" s="430"/>
    </row>
    <row r="156" spans="1:17">
      <c r="A156" s="281">
        <v>6</v>
      </c>
      <c r="B156" s="277" t="s">
        <v>254</v>
      </c>
      <c r="C156" s="285"/>
      <c r="D156" s="324">
        <v>0</v>
      </c>
      <c r="E156" s="285"/>
      <c r="F156" s="285" t="s">
        <v>255</v>
      </c>
      <c r="G156" s="321">
        <f>K240</f>
        <v>0</v>
      </c>
      <c r="H156" s="285"/>
      <c r="I156" s="285">
        <f t="shared" si="1"/>
        <v>0</v>
      </c>
      <c r="J156" s="285"/>
      <c r="K156" s="285"/>
      <c r="L156" s="277"/>
      <c r="N156" s="285"/>
      <c r="O156" s="430"/>
    </row>
    <row r="157" spans="1:17" ht="16.2" thickBot="1">
      <c r="A157" s="281">
        <v>7</v>
      </c>
      <c r="B157" s="277" t="s">
        <v>303</v>
      </c>
      <c r="C157" s="285"/>
      <c r="D157" s="322">
        <v>0</v>
      </c>
      <c r="E157" s="285"/>
      <c r="F157" s="285" t="s">
        <v>246</v>
      </c>
      <c r="G157" s="321">
        <v>1</v>
      </c>
      <c r="H157" s="285"/>
      <c r="I157" s="298">
        <f t="shared" si="1"/>
        <v>0</v>
      </c>
      <c r="J157" s="285"/>
      <c r="K157" s="285"/>
      <c r="L157" s="277"/>
      <c r="N157" s="285"/>
      <c r="O157" s="431"/>
    </row>
    <row r="158" spans="1:17">
      <c r="A158" s="331">
        <v>8</v>
      </c>
      <c r="B158" s="332" t="s">
        <v>304</v>
      </c>
      <c r="C158" s="335"/>
      <c r="D158" s="335">
        <f>+D149-D151+D152-D153-D154+D155+D156+D157-D150</f>
        <v>416434</v>
      </c>
      <c r="E158" s="335"/>
      <c r="F158" s="335"/>
      <c r="G158" s="335"/>
      <c r="H158" s="335"/>
      <c r="I158" s="335">
        <f>+I149-I151+I152-I153-I154+I155+I156+I157-I150</f>
        <v>0</v>
      </c>
      <c r="J158" s="335"/>
      <c r="K158" s="335"/>
      <c r="L158" s="335"/>
      <c r="M158" s="333"/>
      <c r="N158" s="336"/>
      <c r="O158" s="429">
        <v>5635</v>
      </c>
      <c r="P158" s="429">
        <f>+I158-O158</f>
        <v>-5635</v>
      </c>
      <c r="Q158" s="444">
        <f>+P158/O158</f>
        <v>-1</v>
      </c>
    </row>
    <row r="159" spans="1:17">
      <c r="A159" s="281"/>
      <c r="C159" s="285"/>
      <c r="E159" s="285"/>
      <c r="F159" s="285"/>
      <c r="G159" s="285"/>
      <c r="H159" s="285"/>
      <c r="J159" s="285"/>
      <c r="K159" s="285"/>
      <c r="L159" s="285" t="s">
        <v>171</v>
      </c>
      <c r="N159" s="285"/>
    </row>
    <row r="160" spans="1:17">
      <c r="A160" s="281"/>
      <c r="B160" s="277" t="s">
        <v>305</v>
      </c>
      <c r="C160" s="285"/>
      <c r="D160" s="285"/>
      <c r="E160" s="285"/>
      <c r="F160" s="285"/>
      <c r="G160" s="285"/>
      <c r="H160" s="285"/>
      <c r="I160" s="285"/>
      <c r="J160" s="285"/>
      <c r="K160" s="285"/>
      <c r="L160" s="285" t="s">
        <v>171</v>
      </c>
      <c r="N160" s="285"/>
    </row>
    <row r="161" spans="1:18">
      <c r="A161" s="281">
        <v>9</v>
      </c>
      <c r="B161" s="277" t="str">
        <f>+B149</f>
        <v xml:space="preserve">  Transmission </v>
      </c>
      <c r="C161" s="274" t="s">
        <v>171</v>
      </c>
      <c r="D161" s="324">
        <f>+'Schedule 4'!K17</f>
        <v>103040</v>
      </c>
      <c r="E161" s="285"/>
      <c r="F161" s="285" t="s">
        <v>191</v>
      </c>
      <c r="G161" s="321">
        <f>+G114</f>
        <v>1</v>
      </c>
      <c r="H161" s="285"/>
      <c r="I161" s="285">
        <f>+G161*D161</f>
        <v>103040</v>
      </c>
      <c r="J161" s="285"/>
      <c r="K161" s="323"/>
      <c r="L161" s="277"/>
      <c r="N161" s="285"/>
      <c r="O161" s="429">
        <v>103036</v>
      </c>
      <c r="P161" s="429">
        <f>+I161-O161</f>
        <v>4</v>
      </c>
      <c r="Q161" s="444">
        <f>+P161/O161</f>
        <v>3.8821382817655966E-5</v>
      </c>
    </row>
    <row r="162" spans="1:18">
      <c r="A162" s="281">
        <v>10</v>
      </c>
      <c r="B162" s="277" t="s">
        <v>306</v>
      </c>
      <c r="C162" s="274" t="s">
        <v>171</v>
      </c>
      <c r="D162" s="324">
        <f>+'Schedule 4'!K19</f>
        <v>75056</v>
      </c>
      <c r="E162" s="285"/>
      <c r="F162" s="285" t="s">
        <v>253</v>
      </c>
      <c r="G162" s="321">
        <f>+G152</f>
        <v>0</v>
      </c>
      <c r="H162" s="285"/>
      <c r="I162" s="285">
        <f>+G162*D162</f>
        <v>0</v>
      </c>
      <c r="J162" s="285"/>
      <c r="K162" s="323"/>
      <c r="L162" s="277"/>
      <c r="N162" s="285"/>
      <c r="O162" s="430"/>
      <c r="P162" s="428" t="s">
        <v>171</v>
      </c>
    </row>
    <row r="163" spans="1:18" ht="16.2" thickBot="1">
      <c r="A163" s="281">
        <v>11</v>
      </c>
      <c r="B163" s="277" t="str">
        <f>+B156</f>
        <v xml:space="preserve">  Common</v>
      </c>
      <c r="C163" s="285"/>
      <c r="D163" s="322">
        <v>0</v>
      </c>
      <c r="E163" s="285"/>
      <c r="F163" s="285" t="s">
        <v>255</v>
      </c>
      <c r="G163" s="321">
        <f>+G156</f>
        <v>0</v>
      </c>
      <c r="H163" s="285"/>
      <c r="I163" s="298">
        <f>+G163*D163</f>
        <v>0</v>
      </c>
      <c r="J163" s="285"/>
      <c r="K163" s="323"/>
      <c r="L163" s="277"/>
      <c r="N163" s="285"/>
      <c r="O163" s="430"/>
      <c r="P163" s="428" t="s">
        <v>171</v>
      </c>
    </row>
    <row r="164" spans="1:18">
      <c r="A164" s="281">
        <v>12</v>
      </c>
      <c r="B164" s="277" t="s">
        <v>307</v>
      </c>
      <c r="C164" s="285"/>
      <c r="D164" s="285">
        <f>SUM(D161:D163)</f>
        <v>178096</v>
      </c>
      <c r="E164" s="285"/>
      <c r="F164" s="285"/>
      <c r="G164" s="285"/>
      <c r="H164" s="285"/>
      <c r="I164" s="285">
        <f>SUM(I161:I163)</f>
        <v>103040</v>
      </c>
      <c r="J164" s="285"/>
      <c r="K164" s="285"/>
      <c r="L164" s="277"/>
      <c r="N164" s="325"/>
      <c r="O164" s="429">
        <v>103036</v>
      </c>
      <c r="P164" s="429">
        <f>+I164-O164</f>
        <v>4</v>
      </c>
      <c r="Q164" s="444">
        <f>+P164/O164</f>
        <v>3.8821382817655966E-5</v>
      </c>
    </row>
    <row r="165" spans="1:18">
      <c r="A165" s="281"/>
      <c r="B165" s="277"/>
      <c r="C165" s="285"/>
      <c r="D165" s="285"/>
      <c r="E165" s="285"/>
      <c r="F165" s="285"/>
      <c r="G165" s="285"/>
      <c r="H165" s="285"/>
      <c r="I165" s="285"/>
      <c r="J165" s="285"/>
      <c r="K165" s="285"/>
      <c r="L165" s="277"/>
      <c r="N165" s="285"/>
    </row>
    <row r="166" spans="1:18">
      <c r="A166" s="281" t="s">
        <v>171</v>
      </c>
      <c r="B166" s="277" t="s">
        <v>308</v>
      </c>
      <c r="D166" s="285"/>
      <c r="E166" s="285"/>
      <c r="F166" s="285"/>
      <c r="G166" s="285"/>
      <c r="H166" s="285"/>
      <c r="I166" s="285"/>
      <c r="J166" s="285"/>
      <c r="K166" s="285"/>
      <c r="L166" s="277"/>
      <c r="N166" s="285"/>
    </row>
    <row r="167" spans="1:18">
      <c r="A167" s="281"/>
      <c r="B167" s="277" t="s">
        <v>309</v>
      </c>
      <c r="E167" s="285"/>
      <c r="F167" s="285"/>
      <c r="H167" s="285"/>
      <c r="J167" s="285"/>
      <c r="K167" s="323"/>
      <c r="L167" s="277"/>
      <c r="N167" s="327"/>
      <c r="O167" s="430"/>
    </row>
    <row r="168" spans="1:18">
      <c r="A168" s="281">
        <v>13</v>
      </c>
      <c r="B168" s="277" t="s">
        <v>310</v>
      </c>
      <c r="C168" s="285"/>
      <c r="D168" s="324">
        <f>+'Schedule 5'!C8</f>
        <v>42898</v>
      </c>
      <c r="E168" s="285"/>
      <c r="F168" s="285" t="s">
        <v>253</v>
      </c>
      <c r="G168" s="295">
        <f>+G162</f>
        <v>0</v>
      </c>
      <c r="H168" s="285"/>
      <c r="I168" s="285">
        <f>+G168*D168</f>
        <v>0</v>
      </c>
      <c r="J168" s="285"/>
      <c r="K168" s="323"/>
      <c r="L168" s="277"/>
      <c r="N168" s="327"/>
      <c r="O168" s="459"/>
      <c r="P168" s="460"/>
      <c r="Q168" s="450"/>
      <c r="R168" s="333"/>
    </row>
    <row r="169" spans="1:18">
      <c r="A169" s="281">
        <v>14</v>
      </c>
      <c r="B169" s="277" t="s">
        <v>311</v>
      </c>
      <c r="C169" s="285"/>
      <c r="D169" s="324">
        <v>0</v>
      </c>
      <c r="E169" s="285"/>
      <c r="F169" s="285" t="str">
        <f>+F168</f>
        <v>W/S</v>
      </c>
      <c r="G169" s="295">
        <f>+G168</f>
        <v>0</v>
      </c>
      <c r="H169" s="285"/>
      <c r="I169" s="285">
        <f>+G169*D169</f>
        <v>0</v>
      </c>
      <c r="J169" s="285"/>
      <c r="K169" s="323"/>
      <c r="L169" s="277"/>
      <c r="N169" s="327"/>
      <c r="O169" s="459"/>
      <c r="P169" s="460"/>
      <c r="Q169" s="450"/>
      <c r="R169" s="333"/>
    </row>
    <row r="170" spans="1:18">
      <c r="A170" s="281">
        <v>15</v>
      </c>
      <c r="B170" s="277" t="s">
        <v>312</v>
      </c>
      <c r="C170" s="285"/>
      <c r="E170" s="285"/>
      <c r="F170" s="285"/>
      <c r="H170" s="285"/>
      <c r="J170" s="285"/>
      <c r="K170" s="323"/>
      <c r="L170" s="277"/>
      <c r="N170" s="327"/>
      <c r="O170" s="459"/>
      <c r="P170" s="460"/>
      <c r="Q170" s="450"/>
      <c r="R170" s="333"/>
    </row>
    <row r="171" spans="1:18">
      <c r="A171" s="281">
        <v>16</v>
      </c>
      <c r="B171" s="277" t="s">
        <v>313</v>
      </c>
      <c r="C171" s="285"/>
      <c r="D171" s="324">
        <v>0</v>
      </c>
      <c r="E171" s="285"/>
      <c r="F171" s="285" t="s">
        <v>287</v>
      </c>
      <c r="G171" s="295">
        <f>+G88</f>
        <v>0.10375604369002885</v>
      </c>
      <c r="H171" s="285"/>
      <c r="I171" s="285">
        <f>+G171*D171</f>
        <v>0</v>
      </c>
      <c r="J171" s="285"/>
      <c r="K171" s="323"/>
      <c r="L171" s="277"/>
      <c r="N171" s="327"/>
      <c r="O171" s="430"/>
    </row>
    <row r="172" spans="1:18">
      <c r="A172" s="281">
        <v>17</v>
      </c>
      <c r="B172" s="277" t="s">
        <v>314</v>
      </c>
      <c r="C172" s="285"/>
      <c r="D172" s="324">
        <v>0</v>
      </c>
      <c r="E172" s="285"/>
      <c r="F172" s="285" t="s">
        <v>246</v>
      </c>
      <c r="G172" s="337" t="s">
        <v>270</v>
      </c>
      <c r="H172" s="285"/>
      <c r="I172" s="285">
        <v>0</v>
      </c>
      <c r="J172" s="285"/>
      <c r="K172" s="323"/>
      <c r="L172" s="277"/>
      <c r="N172" s="327"/>
      <c r="O172" s="430"/>
    </row>
    <row r="173" spans="1:18">
      <c r="A173" s="281">
        <v>18</v>
      </c>
      <c r="B173" s="277" t="s">
        <v>315</v>
      </c>
      <c r="C173" s="285"/>
      <c r="D173" s="324">
        <v>0</v>
      </c>
      <c r="E173" s="285"/>
      <c r="F173" s="285" t="str">
        <f>+F171</f>
        <v>GP</v>
      </c>
      <c r="G173" s="295">
        <f>+G171</f>
        <v>0.10375604369002885</v>
      </c>
      <c r="H173" s="285"/>
      <c r="I173" s="285">
        <f>+G173*D173</f>
        <v>0</v>
      </c>
      <c r="J173" s="285"/>
      <c r="K173" s="323"/>
      <c r="L173" s="277"/>
      <c r="N173" s="327"/>
      <c r="O173" s="430"/>
    </row>
    <row r="174" spans="1:18" ht="16.2" thickBot="1">
      <c r="A174" s="281">
        <v>19</v>
      </c>
      <c r="B174" s="277" t="s">
        <v>316</v>
      </c>
      <c r="C174" s="285"/>
      <c r="D174" s="322">
        <f>+'Schedule 3'!C14</f>
        <v>634821</v>
      </c>
      <c r="E174" s="285"/>
      <c r="F174" s="285" t="s">
        <v>287</v>
      </c>
      <c r="G174" s="295">
        <f>+G173</f>
        <v>0.10375604369002885</v>
      </c>
      <c r="H174" s="285"/>
      <c r="I174" s="298">
        <f>+G174*D174</f>
        <v>65866.515411347806</v>
      </c>
      <c r="J174" s="285"/>
      <c r="K174" s="323"/>
      <c r="L174" s="277"/>
      <c r="N174" s="327"/>
      <c r="O174" s="430"/>
    </row>
    <row r="175" spans="1:18">
      <c r="A175" s="281">
        <v>20</v>
      </c>
      <c r="B175" s="277" t="s">
        <v>317</v>
      </c>
      <c r="C175" s="285"/>
      <c r="D175" s="285">
        <f>SUM(D168:D174)</f>
        <v>677719</v>
      </c>
      <c r="E175" s="285"/>
      <c r="F175" s="285"/>
      <c r="G175" s="295"/>
      <c r="H175" s="285"/>
      <c r="I175" s="285">
        <f>SUM(I168:I174)</f>
        <v>65866.515411347806</v>
      </c>
      <c r="J175" s="285"/>
      <c r="K175" s="285"/>
      <c r="L175" s="285" t="s">
        <v>171</v>
      </c>
      <c r="N175" s="325"/>
      <c r="O175" s="429">
        <v>64361</v>
      </c>
      <c r="P175" s="429">
        <f>+I175-O175</f>
        <v>1505.5154113478056</v>
      </c>
      <c r="Q175" s="444">
        <f>+P175/O175</f>
        <v>2.3391734301017784E-2</v>
      </c>
    </row>
    <row r="176" spans="1:18">
      <c r="A176" s="281" t="s">
        <v>318</v>
      </c>
      <c r="B176" s="277"/>
      <c r="C176" s="285"/>
      <c r="D176" s="285"/>
      <c r="E176" s="285"/>
      <c r="F176" s="285"/>
      <c r="G176" s="295"/>
      <c r="H176" s="285"/>
      <c r="I176" s="285"/>
      <c r="J176" s="285"/>
      <c r="K176" s="285"/>
      <c r="L176" s="285"/>
      <c r="N176" s="285"/>
    </row>
    <row r="177" spans="1:18">
      <c r="A177" s="281" t="s">
        <v>171</v>
      </c>
      <c r="B177" s="277" t="s">
        <v>319</v>
      </c>
      <c r="C177" s="338" t="s">
        <v>320</v>
      </c>
      <c r="D177" s="285"/>
      <c r="E177" s="285"/>
      <c r="F177" s="285" t="s">
        <v>246</v>
      </c>
      <c r="G177" s="339"/>
      <c r="H177" s="285"/>
      <c r="I177" s="285"/>
      <c r="J177" s="285"/>
      <c r="L177" s="285"/>
      <c r="N177" s="285"/>
      <c r="O177" s="431"/>
      <c r="P177" s="428" t="s">
        <v>171</v>
      </c>
    </row>
    <row r="178" spans="1:18">
      <c r="A178" s="281">
        <v>21</v>
      </c>
      <c r="B178" s="340" t="s">
        <v>321</v>
      </c>
      <c r="C178" s="285"/>
      <c r="D178" s="341">
        <f>IF(D293&gt;0,1-(((1-D294)*(1-D293))/(1-D294*D293*D295)),0)</f>
        <v>0</v>
      </c>
      <c r="E178" s="285"/>
      <c r="G178" s="339"/>
      <c r="H178" s="285"/>
      <c r="J178" s="285"/>
      <c r="L178" s="285"/>
      <c r="N178" s="285"/>
      <c r="O178" s="431"/>
    </row>
    <row r="179" spans="1:18">
      <c r="A179" s="281">
        <v>22</v>
      </c>
      <c r="B179" s="274" t="s">
        <v>322</v>
      </c>
      <c r="C179" s="285"/>
      <c r="D179" s="341">
        <f>IF(I250&gt;0,(D178/(1-D178))*(1-I248/I250),0)</f>
        <v>0</v>
      </c>
      <c r="E179" s="285"/>
      <c r="G179" s="339"/>
      <c r="H179" s="285"/>
      <c r="J179" s="285"/>
      <c r="L179" s="285"/>
      <c r="N179" s="285"/>
      <c r="O179" s="430"/>
    </row>
    <row r="180" spans="1:18">
      <c r="A180" s="281"/>
      <c r="B180" s="277" t="s">
        <v>323</v>
      </c>
      <c r="C180" s="285"/>
      <c r="D180" s="285"/>
      <c r="E180" s="285"/>
      <c r="G180" s="339"/>
      <c r="H180" s="285"/>
      <c r="J180" s="285"/>
      <c r="L180" s="285"/>
      <c r="N180" s="285"/>
      <c r="O180" s="430"/>
    </row>
    <row r="181" spans="1:18">
      <c r="A181" s="281"/>
      <c r="B181" s="277" t="s">
        <v>324</v>
      </c>
      <c r="C181" s="285"/>
      <c r="D181" s="285"/>
      <c r="E181" s="285"/>
      <c r="G181" s="339"/>
      <c r="H181" s="285"/>
      <c r="J181" s="285"/>
      <c r="L181" s="285"/>
      <c r="N181" s="285"/>
      <c r="O181" s="430"/>
    </row>
    <row r="182" spans="1:18">
      <c r="A182" s="281">
        <v>23</v>
      </c>
      <c r="B182" s="340" t="s">
        <v>325</v>
      </c>
      <c r="C182" s="285"/>
      <c r="D182" s="342">
        <f>IF(D178&gt;0,1/(1-D178),0)</f>
        <v>0</v>
      </c>
      <c r="E182" s="285"/>
      <c r="G182" s="339"/>
      <c r="H182" s="285"/>
      <c r="J182" s="285"/>
      <c r="L182" s="277"/>
      <c r="N182" s="285"/>
      <c r="O182" s="430"/>
    </row>
    <row r="183" spans="1:18">
      <c r="A183" s="281">
        <v>24</v>
      </c>
      <c r="B183" s="332" t="s">
        <v>326</v>
      </c>
      <c r="C183" s="285"/>
      <c r="D183" s="324">
        <v>0</v>
      </c>
      <c r="E183" s="285"/>
      <c r="G183" s="339"/>
      <c r="H183" s="285"/>
      <c r="J183" s="285"/>
      <c r="L183" s="277"/>
      <c r="N183" s="285"/>
      <c r="O183" s="430"/>
    </row>
    <row r="184" spans="1:18">
      <c r="A184" s="281"/>
      <c r="B184" s="277"/>
      <c r="C184" s="285"/>
      <c r="D184" s="285"/>
      <c r="E184" s="285"/>
      <c r="G184" s="339"/>
      <c r="H184" s="285"/>
      <c r="J184" s="285"/>
      <c r="L184" s="277"/>
      <c r="N184" s="285"/>
      <c r="O184" s="430"/>
    </row>
    <row r="185" spans="1:18">
      <c r="A185" s="281">
        <v>25</v>
      </c>
      <c r="B185" s="340" t="s">
        <v>327</v>
      </c>
      <c r="C185" s="338"/>
      <c r="D185" s="285">
        <f>D179*D189</f>
        <v>0</v>
      </c>
      <c r="E185" s="285"/>
      <c r="F185" s="285" t="s">
        <v>246</v>
      </c>
      <c r="G185" s="295"/>
      <c r="H185" s="285"/>
      <c r="I185" s="285">
        <f>D179*I189</f>
        <v>0</v>
      </c>
      <c r="J185" s="285"/>
      <c r="L185" s="277"/>
      <c r="N185" s="285"/>
      <c r="O185" s="430"/>
    </row>
    <row r="186" spans="1:18" ht="16.2" thickBot="1">
      <c r="A186" s="281">
        <v>26</v>
      </c>
      <c r="B186" s="274" t="s">
        <v>328</v>
      </c>
      <c r="C186" s="338"/>
      <c r="D186" s="298">
        <f>D182*D183</f>
        <v>0</v>
      </c>
      <c r="E186" s="285"/>
      <c r="F186" s="274" t="s">
        <v>272</v>
      </c>
      <c r="G186" s="295">
        <f>G104</f>
        <v>0.15533982643869318</v>
      </c>
      <c r="H186" s="285"/>
      <c r="I186" s="298">
        <f>G186*D186</f>
        <v>0</v>
      </c>
      <c r="J186" s="285"/>
      <c r="L186" s="285" t="s">
        <v>171</v>
      </c>
      <c r="N186" s="285"/>
      <c r="O186" s="430"/>
    </row>
    <row r="187" spans="1:18">
      <c r="A187" s="281">
        <v>27</v>
      </c>
      <c r="B187" s="340" t="s">
        <v>329</v>
      </c>
      <c r="C187" s="274" t="s">
        <v>330</v>
      </c>
      <c r="D187" s="343">
        <f>+D185+D186</f>
        <v>0</v>
      </c>
      <c r="E187" s="285"/>
      <c r="F187" s="285" t="s">
        <v>171</v>
      </c>
      <c r="G187" s="295" t="s">
        <v>171</v>
      </c>
      <c r="H187" s="285"/>
      <c r="I187" s="343">
        <f>+I185+I186</f>
        <v>0</v>
      </c>
      <c r="J187" s="285"/>
      <c r="L187" s="285"/>
      <c r="N187" s="285"/>
      <c r="O187" s="430"/>
    </row>
    <row r="188" spans="1:18">
      <c r="A188" s="281" t="s">
        <v>171</v>
      </c>
      <c r="C188" s="344"/>
      <c r="D188" s="285"/>
      <c r="E188" s="285"/>
      <c r="F188" s="285"/>
      <c r="G188" s="295"/>
      <c r="H188" s="285"/>
      <c r="I188" s="285"/>
      <c r="J188" s="285"/>
      <c r="K188" s="285"/>
      <c r="L188" s="285"/>
      <c r="N188" s="285"/>
    </row>
    <row r="189" spans="1:18">
      <c r="A189" s="281">
        <v>28</v>
      </c>
      <c r="B189" s="277" t="s">
        <v>331</v>
      </c>
      <c r="C189" s="323"/>
      <c r="D189" s="285">
        <f>+$I250*D122</f>
        <v>1703053.91705213</v>
      </c>
      <c r="E189" s="285"/>
      <c r="F189" s="285" t="s">
        <v>246</v>
      </c>
      <c r="G189" s="339"/>
      <c r="H189" s="285"/>
      <c r="I189" s="285">
        <f>+$I250*I122</f>
        <v>263567.84974606609</v>
      </c>
      <c r="J189" s="285"/>
      <c r="L189" s="277"/>
      <c r="N189" s="285"/>
      <c r="O189" s="429">
        <v>326987</v>
      </c>
      <c r="P189" s="429">
        <f>+I189-O189</f>
        <v>-63419.150253933913</v>
      </c>
      <c r="Q189" s="444">
        <f>+P189/O189</f>
        <v>-0.1939500660697028</v>
      </c>
      <c r="R189" s="274" t="s">
        <v>910</v>
      </c>
    </row>
    <row r="190" spans="1:18">
      <c r="A190" s="281"/>
      <c r="B190" s="340" t="s">
        <v>332</v>
      </c>
      <c r="D190" s="285"/>
      <c r="E190" s="285"/>
      <c r="F190" s="285"/>
      <c r="G190" s="339"/>
      <c r="H190" s="285"/>
      <c r="I190" s="285"/>
      <c r="J190" s="285"/>
      <c r="K190" s="323"/>
      <c r="L190" s="279"/>
      <c r="N190" s="285"/>
      <c r="O190" s="430"/>
    </row>
    <row r="191" spans="1:18">
      <c r="A191" s="281"/>
      <c r="B191" s="277"/>
      <c r="D191" s="345"/>
      <c r="E191" s="285"/>
      <c r="F191" s="285"/>
      <c r="G191" s="339"/>
      <c r="H191" s="285"/>
      <c r="I191" s="345"/>
      <c r="J191" s="285"/>
      <c r="K191" s="323"/>
      <c r="L191" s="279"/>
      <c r="N191" s="285"/>
      <c r="O191" s="430"/>
    </row>
    <row r="192" spans="1:18">
      <c r="A192" s="281">
        <v>29</v>
      </c>
      <c r="B192" s="277" t="s">
        <v>333</v>
      </c>
      <c r="C192" s="285"/>
      <c r="D192" s="345">
        <f>+D189+D187+D175+D164+D158</f>
        <v>2975302.9170521302</v>
      </c>
      <c r="E192" s="285"/>
      <c r="F192" s="285"/>
      <c r="G192" s="285"/>
      <c r="H192" s="285"/>
      <c r="I192" s="345">
        <f>+I189+I187+I175+I164+I158</f>
        <v>432474.36515741388</v>
      </c>
      <c r="J192" s="279"/>
      <c r="K192" s="279"/>
      <c r="L192" s="279"/>
      <c r="N192" s="279"/>
      <c r="O192" s="429">
        <v>500020</v>
      </c>
      <c r="P192" s="429">
        <f>+I192-O192</f>
        <v>-67545.634842586122</v>
      </c>
      <c r="Q192" s="444">
        <f>+P192/O192</f>
        <v>-0.13508586625052221</v>
      </c>
    </row>
    <row r="193" spans="1:17">
      <c r="A193" s="281"/>
      <c r="B193" s="277"/>
      <c r="C193" s="285"/>
      <c r="D193" s="345"/>
      <c r="E193" s="285"/>
      <c r="F193" s="285"/>
      <c r="G193" s="285"/>
      <c r="H193" s="285"/>
      <c r="I193" s="345"/>
      <c r="J193" s="279"/>
      <c r="K193" s="279"/>
      <c r="L193" s="279"/>
      <c r="N193" s="279"/>
      <c r="O193" s="431"/>
    </row>
    <row r="194" spans="1:17">
      <c r="A194" s="281">
        <v>30</v>
      </c>
      <c r="B194" s="274" t="s">
        <v>334</v>
      </c>
      <c r="J194" s="279"/>
      <c r="K194" s="279"/>
      <c r="L194" s="279"/>
      <c r="N194" s="279"/>
      <c r="O194" s="431"/>
    </row>
    <row r="195" spans="1:17">
      <c r="A195" s="281"/>
      <c r="B195" s="274" t="s">
        <v>335</v>
      </c>
      <c r="J195" s="279"/>
      <c r="K195" s="279"/>
      <c r="L195" s="279"/>
      <c r="N195" s="279"/>
      <c r="O195" s="431"/>
    </row>
    <row r="196" spans="1:17">
      <c r="A196" s="281"/>
      <c r="B196" s="274" t="s">
        <v>336</v>
      </c>
      <c r="D196" s="346">
        <v>0</v>
      </c>
      <c r="E196" s="277"/>
      <c r="F196" s="277"/>
      <c r="G196" s="277"/>
      <c r="H196" s="277"/>
      <c r="I196" s="346">
        <v>0</v>
      </c>
      <c r="J196" s="279"/>
      <c r="K196" s="279"/>
      <c r="L196" s="279"/>
      <c r="N196" s="279"/>
      <c r="O196" s="431"/>
    </row>
    <row r="197" spans="1:17">
      <c r="A197" s="281"/>
      <c r="B197" s="277"/>
      <c r="C197" s="285"/>
      <c r="D197" s="345"/>
      <c r="E197" s="285"/>
      <c r="F197" s="285"/>
      <c r="G197" s="285"/>
      <c r="H197" s="285"/>
      <c r="I197" s="345"/>
      <c r="J197" s="279"/>
      <c r="K197" s="279"/>
      <c r="L197" s="279"/>
      <c r="N197" s="279"/>
      <c r="O197" s="431"/>
    </row>
    <row r="198" spans="1:17">
      <c r="A198" s="281" t="s">
        <v>337</v>
      </c>
      <c r="B198" s="333" t="s">
        <v>338</v>
      </c>
      <c r="C198" s="333"/>
      <c r="D198" s="333"/>
      <c r="J198" s="285"/>
      <c r="K198" s="285"/>
      <c r="L198" s="279"/>
      <c r="N198" s="285"/>
      <c r="O198" s="430"/>
      <c r="P198" s="428" t="s">
        <v>171</v>
      </c>
    </row>
    <row r="199" spans="1:17">
      <c r="A199" s="281"/>
      <c r="B199" s="274" t="s">
        <v>335</v>
      </c>
      <c r="J199" s="285"/>
      <c r="K199" s="285"/>
      <c r="L199" s="279"/>
      <c r="N199" s="285"/>
      <c r="O199" s="430"/>
    </row>
    <row r="200" spans="1:17" ht="16.2" thickBot="1">
      <c r="A200" s="281"/>
      <c r="B200" s="274" t="s">
        <v>339</v>
      </c>
      <c r="D200" s="347">
        <v>0</v>
      </c>
      <c r="E200" s="277"/>
      <c r="F200" s="277"/>
      <c r="G200" s="277"/>
      <c r="H200" s="277"/>
      <c r="I200" s="347">
        <v>0</v>
      </c>
      <c r="J200" s="285"/>
      <c r="K200" s="285"/>
      <c r="L200" s="279"/>
      <c r="N200" s="285"/>
      <c r="O200" s="430"/>
    </row>
    <row r="201" spans="1:17" ht="16.2" thickBot="1">
      <c r="A201" s="331">
        <v>31</v>
      </c>
      <c r="B201" s="333" t="s">
        <v>340</v>
      </c>
      <c r="C201" s="333"/>
      <c r="D201" s="348">
        <f>+D192-D196-D200</f>
        <v>2975302.9170521302</v>
      </c>
      <c r="E201" s="333"/>
      <c r="F201" s="333"/>
      <c r="G201" s="333"/>
      <c r="H201" s="333"/>
      <c r="I201" s="348">
        <f>+I192-I196-I200</f>
        <v>432474.36515741388</v>
      </c>
      <c r="J201" s="335"/>
      <c r="K201" s="335"/>
      <c r="L201" s="349"/>
      <c r="M201" s="333"/>
      <c r="N201" s="335"/>
      <c r="O201" s="429">
        <v>500020</v>
      </c>
      <c r="P201" s="429">
        <f>+I201-O201</f>
        <v>-67545.634842586122</v>
      </c>
      <c r="Q201" s="444">
        <f>+P201/O201</f>
        <v>-0.13508586625052221</v>
      </c>
    </row>
    <row r="202" spans="1:17" ht="16.2" thickTop="1">
      <c r="A202" s="281"/>
      <c r="B202" s="274" t="s">
        <v>341</v>
      </c>
      <c r="J202" s="285"/>
      <c r="K202" s="285"/>
      <c r="L202" s="279"/>
      <c r="N202" s="285"/>
      <c r="O202" s="430"/>
    </row>
    <row r="203" spans="1:17" s="351" customFormat="1">
      <c r="A203" s="350"/>
      <c r="J203" s="352"/>
      <c r="K203" s="352"/>
      <c r="L203" s="353"/>
      <c r="N203" s="352"/>
      <c r="O203" s="432"/>
      <c r="P203" s="433"/>
      <c r="Q203" s="445"/>
    </row>
    <row r="204" spans="1:17" s="351" customFormat="1">
      <c r="A204" s="350"/>
      <c r="J204" s="352"/>
      <c r="K204" s="352"/>
      <c r="L204" s="353"/>
      <c r="N204" s="352"/>
      <c r="O204" s="432"/>
      <c r="P204" s="433"/>
      <c r="Q204" s="445"/>
    </row>
    <row r="205" spans="1:17" s="351" customFormat="1">
      <c r="A205" s="350"/>
      <c r="J205" s="352"/>
      <c r="K205" s="275" t="s">
        <v>179</v>
      </c>
      <c r="L205" s="353"/>
      <c r="N205" s="352"/>
      <c r="O205" s="432"/>
      <c r="P205" s="433"/>
      <c r="Q205" s="445"/>
    </row>
    <row r="206" spans="1:17">
      <c r="B206" s="277"/>
      <c r="C206" s="277"/>
      <c r="D206" s="278"/>
      <c r="E206" s="277"/>
      <c r="F206" s="277"/>
      <c r="G206" s="277"/>
      <c r="H206" s="279"/>
      <c r="I206" s="279"/>
      <c r="J206" s="279"/>
      <c r="K206" s="280" t="s">
        <v>342</v>
      </c>
      <c r="L206" s="277"/>
      <c r="N206" s="279"/>
      <c r="O206" s="429"/>
      <c r="P206" s="429"/>
    </row>
    <row r="207" spans="1:17">
      <c r="A207" s="281"/>
      <c r="J207" s="285"/>
      <c r="K207" s="285"/>
      <c r="L207" s="277"/>
      <c r="N207" s="285"/>
      <c r="O207" s="430"/>
    </row>
    <row r="208" spans="1:17">
      <c r="A208" s="281"/>
      <c r="B208" s="277" t="str">
        <f>B4</f>
        <v xml:space="preserve">Formula Rate - Non-Levelized </v>
      </c>
      <c r="D208" s="274" t="str">
        <f>D4</f>
        <v xml:space="preserve">   Rate Formula Template</v>
      </c>
      <c r="J208" s="285"/>
      <c r="K208" s="275" t="str">
        <f>K4</f>
        <v>For the 12 months ended 12/31/15</v>
      </c>
      <c r="L208" s="277"/>
      <c r="N208" s="285"/>
    </row>
    <row r="209" spans="1:17">
      <c r="A209" s="281"/>
      <c r="B209" s="277"/>
      <c r="D209" s="274" t="str">
        <f>D5</f>
        <v>Utilizing EIA Form 412 Data</v>
      </c>
      <c r="J209" s="285"/>
      <c r="K209" s="285"/>
      <c r="L209" s="277"/>
      <c r="N209" s="285"/>
    </row>
    <row r="210" spans="1:17" ht="9" customHeight="1">
      <c r="A210" s="281"/>
      <c r="J210" s="285"/>
      <c r="K210" s="285"/>
      <c r="L210" s="277"/>
      <c r="N210" s="285"/>
    </row>
    <row r="211" spans="1:17">
      <c r="A211" s="281"/>
      <c r="D211" s="274" t="str">
        <f>D7</f>
        <v>Worthington (Minnesota) Public Utilities</v>
      </c>
      <c r="J211" s="285"/>
      <c r="K211" s="285"/>
      <c r="L211" s="277"/>
      <c r="N211" s="285"/>
    </row>
    <row r="212" spans="1:17">
      <c r="A212" s="281" t="s">
        <v>1</v>
      </c>
      <c r="C212" s="277"/>
      <c r="D212" s="277"/>
      <c r="E212" s="277"/>
      <c r="F212" s="277"/>
      <c r="G212" s="277"/>
      <c r="H212" s="277"/>
      <c r="I212" s="277"/>
      <c r="J212" s="277"/>
      <c r="K212" s="277"/>
      <c r="L212" s="354"/>
      <c r="N212" s="277"/>
    </row>
    <row r="213" spans="1:17" ht="16.2" thickBot="1">
      <c r="A213" s="291" t="s">
        <v>2</v>
      </c>
      <c r="C213" s="317" t="s">
        <v>343</v>
      </c>
      <c r="E213" s="279"/>
      <c r="F213" s="279"/>
      <c r="G213" s="279"/>
      <c r="H213" s="279"/>
      <c r="I213" s="279"/>
      <c r="J213" s="285"/>
      <c r="K213" s="285"/>
      <c r="L213" s="354"/>
      <c r="N213" s="279"/>
    </row>
    <row r="214" spans="1:17">
      <c r="A214" s="281"/>
      <c r="B214" s="277" t="s">
        <v>344</v>
      </c>
      <c r="C214" s="279"/>
      <c r="D214" s="279"/>
      <c r="E214" s="279"/>
      <c r="F214" s="279"/>
      <c r="G214" s="279"/>
      <c r="H214" s="279"/>
      <c r="I214" s="279"/>
      <c r="J214" s="285"/>
      <c r="K214" s="285"/>
      <c r="L214" s="277"/>
      <c r="N214" s="279"/>
    </row>
    <row r="215" spans="1:17">
      <c r="A215" s="281">
        <v>1</v>
      </c>
      <c r="B215" s="279" t="s">
        <v>345</v>
      </c>
      <c r="C215" s="279"/>
      <c r="D215" s="285"/>
      <c r="E215" s="285"/>
      <c r="F215" s="285"/>
      <c r="G215" s="285"/>
      <c r="H215" s="285"/>
      <c r="I215" s="285">
        <f>D84</f>
        <v>3149451</v>
      </c>
      <c r="J215" s="285"/>
      <c r="K215" s="285"/>
      <c r="L215" s="277"/>
      <c r="N215" s="279"/>
    </row>
    <row r="216" spans="1:17">
      <c r="A216" s="281">
        <v>2</v>
      </c>
      <c r="B216" s="279" t="s">
        <v>346</v>
      </c>
      <c r="I216" s="324">
        <v>0</v>
      </c>
      <c r="J216" s="285"/>
      <c r="K216" s="285"/>
      <c r="L216" s="277"/>
      <c r="N216" s="279"/>
    </row>
    <row r="217" spans="1:17" ht="16.2" thickBot="1">
      <c r="A217" s="281">
        <v>3</v>
      </c>
      <c r="B217" s="355" t="s">
        <v>347</v>
      </c>
      <c r="C217" s="355"/>
      <c r="D217" s="345"/>
      <c r="E217" s="285"/>
      <c r="F217" s="285"/>
      <c r="G217" s="327"/>
      <c r="H217" s="285"/>
      <c r="I217" s="322">
        <v>0</v>
      </c>
      <c r="J217" s="285"/>
      <c r="K217" s="285"/>
      <c r="L217" s="277"/>
      <c r="N217" s="279"/>
    </row>
    <row r="218" spans="1:17">
      <c r="A218" s="281">
        <v>4</v>
      </c>
      <c r="B218" s="279" t="s">
        <v>348</v>
      </c>
      <c r="C218" s="279"/>
      <c r="D218" s="285"/>
      <c r="E218" s="285"/>
      <c r="F218" s="285"/>
      <c r="G218" s="327"/>
      <c r="H218" s="285"/>
      <c r="I218" s="285">
        <f>I215-I216-I217</f>
        <v>3149451</v>
      </c>
      <c r="J218" s="285"/>
      <c r="K218" s="285"/>
      <c r="L218" s="277"/>
      <c r="N218" s="279"/>
    </row>
    <row r="219" spans="1:17">
      <c r="A219" s="281"/>
      <c r="C219" s="279"/>
      <c r="D219" s="285"/>
      <c r="E219" s="285"/>
      <c r="F219" s="285"/>
      <c r="G219" s="327"/>
      <c r="H219" s="285"/>
      <c r="J219" s="285"/>
      <c r="K219" s="285"/>
    </row>
    <row r="220" spans="1:17">
      <c r="A220" s="281">
        <v>5</v>
      </c>
      <c r="B220" s="279" t="s">
        <v>349</v>
      </c>
      <c r="C220" s="290"/>
      <c r="D220" s="356"/>
      <c r="E220" s="356"/>
      <c r="F220" s="356"/>
      <c r="G220" s="314"/>
      <c r="H220" s="285" t="s">
        <v>350</v>
      </c>
      <c r="I220" s="326">
        <f>IF(I215&gt;0,I218/I215,0)</f>
        <v>1</v>
      </c>
      <c r="J220" s="285"/>
      <c r="K220" s="285"/>
      <c r="L220" s="357"/>
      <c r="M220" s="357"/>
      <c r="N220" s="357"/>
      <c r="O220" s="434"/>
      <c r="P220" s="434"/>
      <c r="Q220" s="446"/>
    </row>
    <row r="221" spans="1:17">
      <c r="J221" s="285"/>
      <c r="K221" s="285"/>
      <c r="L221" s="357"/>
      <c r="M221" s="358"/>
      <c r="N221" s="357"/>
      <c r="O221" s="434"/>
      <c r="P221" s="434"/>
      <c r="Q221" s="446"/>
    </row>
    <row r="222" spans="1:17">
      <c r="B222" s="277" t="s">
        <v>351</v>
      </c>
      <c r="J222" s="285"/>
      <c r="K222" s="285"/>
      <c r="L222" s="357"/>
      <c r="M222" s="357"/>
      <c r="N222" s="357"/>
      <c r="O222" s="434"/>
      <c r="P222" s="434"/>
      <c r="Q222" s="446"/>
    </row>
    <row r="223" spans="1:17">
      <c r="A223" s="281">
        <v>6</v>
      </c>
      <c r="B223" s="274" t="s">
        <v>352</v>
      </c>
      <c r="D223" s="279"/>
      <c r="E223" s="279"/>
      <c r="F223" s="279"/>
      <c r="G223" s="281"/>
      <c r="H223" s="279"/>
      <c r="I223" s="285">
        <f>D149</f>
        <v>4580551</v>
      </c>
      <c r="J223" s="285"/>
      <c r="K223" s="285"/>
      <c r="L223" s="468"/>
      <c r="M223" s="468"/>
      <c r="N223" s="468"/>
      <c r="O223" s="468"/>
      <c r="P223" s="468"/>
      <c r="Q223" s="468"/>
    </row>
    <row r="224" spans="1:17" ht="16.2" thickBot="1">
      <c r="A224" s="281">
        <v>7</v>
      </c>
      <c r="B224" s="355" t="s">
        <v>353</v>
      </c>
      <c r="C224" s="355"/>
      <c r="D224" s="345"/>
      <c r="E224" s="345"/>
      <c r="F224" s="285"/>
      <c r="G224" s="285"/>
      <c r="H224" s="285"/>
      <c r="I224" s="322">
        <v>0</v>
      </c>
      <c r="J224" s="285"/>
      <c r="K224" s="285"/>
      <c r="L224" s="359"/>
      <c r="M224" s="360"/>
      <c r="N224" s="361"/>
      <c r="O224" s="434"/>
      <c r="P224" s="434"/>
      <c r="Q224" s="446"/>
    </row>
    <row r="225" spans="1:17">
      <c r="A225" s="281">
        <v>8</v>
      </c>
      <c r="B225" s="279" t="s">
        <v>354</v>
      </c>
      <c r="C225" s="290"/>
      <c r="D225" s="356"/>
      <c r="E225" s="356"/>
      <c r="F225" s="356"/>
      <c r="G225" s="314"/>
      <c r="H225" s="356"/>
      <c r="I225" s="285">
        <f>+I223-I224</f>
        <v>4580551</v>
      </c>
      <c r="J225" s="285"/>
      <c r="K225" s="285"/>
      <c r="L225" s="359"/>
      <c r="M225" s="364"/>
      <c r="N225" s="357"/>
      <c r="O225" s="429">
        <v>3955224</v>
      </c>
      <c r="P225" s="429">
        <f>+I225-O225</f>
        <v>625327</v>
      </c>
      <c r="Q225" s="444">
        <f>+P225/O225</f>
        <v>0.15810153862334977</v>
      </c>
    </row>
    <row r="226" spans="1:17">
      <c r="A226" s="281"/>
      <c r="B226" s="279"/>
      <c r="C226" s="279"/>
      <c r="D226" s="285"/>
      <c r="E226" s="285"/>
      <c r="F226" s="285"/>
      <c r="G226" s="285"/>
      <c r="J226" s="285"/>
      <c r="K226" s="285"/>
      <c r="L226" s="359"/>
      <c r="M226" s="364"/>
      <c r="N226" s="357"/>
      <c r="O226" s="434"/>
      <c r="P226" s="434"/>
      <c r="Q226" s="446"/>
    </row>
    <row r="227" spans="1:17">
      <c r="A227" s="281">
        <v>9</v>
      </c>
      <c r="B227" s="279" t="s">
        <v>355</v>
      </c>
      <c r="C227" s="279"/>
      <c r="D227" s="285"/>
      <c r="E227" s="285"/>
      <c r="F227" s="285"/>
      <c r="G227" s="285"/>
      <c r="H227" s="285"/>
      <c r="I227" s="321">
        <f>IF(I223&gt;0,I225/I223,0)</f>
        <v>1</v>
      </c>
      <c r="J227" s="285"/>
      <c r="K227" s="285"/>
      <c r="L227" s="365"/>
      <c r="M227" s="366"/>
      <c r="N227" s="365"/>
      <c r="O227" s="435"/>
      <c r="P227" s="435"/>
      <c r="Q227" s="447"/>
    </row>
    <row r="228" spans="1:17">
      <c r="A228" s="281">
        <v>10</v>
      </c>
      <c r="B228" s="279" t="s">
        <v>356</v>
      </c>
      <c r="C228" s="279"/>
      <c r="D228" s="285"/>
      <c r="E228" s="285"/>
      <c r="F228" s="285"/>
      <c r="G228" s="285"/>
      <c r="H228" s="279" t="s">
        <v>191</v>
      </c>
      <c r="I228" s="367">
        <f>I220</f>
        <v>1</v>
      </c>
      <c r="J228" s="285"/>
      <c r="K228" s="285"/>
      <c r="L228" s="359"/>
      <c r="M228" s="368"/>
      <c r="N228" s="362"/>
      <c r="O228" s="434"/>
      <c r="P228" s="434"/>
      <c r="Q228" s="446"/>
    </row>
    <row r="229" spans="1:17">
      <c r="A229" s="281">
        <v>11</v>
      </c>
      <c r="B229" s="279" t="s">
        <v>357</v>
      </c>
      <c r="C229" s="279"/>
      <c r="D229" s="279"/>
      <c r="E229" s="279"/>
      <c r="F229" s="279"/>
      <c r="G229" s="279"/>
      <c r="H229" s="279" t="s">
        <v>358</v>
      </c>
      <c r="I229" s="369">
        <f>+I228*I227</f>
        <v>1</v>
      </c>
      <c r="J229" s="285"/>
      <c r="K229" s="285"/>
      <c r="L229" s="359"/>
      <c r="M229" s="368"/>
      <c r="N229" s="362"/>
      <c r="O229" s="434"/>
      <c r="P229" s="434"/>
      <c r="Q229" s="446"/>
    </row>
    <row r="230" spans="1:17">
      <c r="A230" s="281"/>
      <c r="C230" s="279"/>
      <c r="D230" s="285"/>
      <c r="E230" s="285"/>
      <c r="F230" s="285"/>
      <c r="G230" s="327"/>
      <c r="H230" s="285"/>
      <c r="L230" s="359"/>
      <c r="M230" s="368"/>
      <c r="N230" s="362"/>
      <c r="O230" s="434"/>
      <c r="P230" s="434"/>
      <c r="Q230" s="446"/>
    </row>
    <row r="231" spans="1:17" ht="16.2" thickBot="1">
      <c r="A231" s="281" t="s">
        <v>171</v>
      </c>
      <c r="B231" s="277" t="s">
        <v>359</v>
      </c>
      <c r="C231" s="285"/>
      <c r="D231" s="370" t="s">
        <v>360</v>
      </c>
      <c r="E231" s="370" t="s">
        <v>191</v>
      </c>
      <c r="F231" s="285"/>
      <c r="G231" s="370" t="s">
        <v>361</v>
      </c>
      <c r="H231" s="285"/>
      <c r="I231" s="285"/>
      <c r="L231" s="359"/>
      <c r="M231" s="364"/>
      <c r="N231" s="357"/>
      <c r="O231" s="434"/>
      <c r="P231" s="434"/>
      <c r="Q231" s="446"/>
    </row>
    <row r="232" spans="1:17">
      <c r="A232" s="281">
        <v>12</v>
      </c>
      <c r="B232" s="277" t="s">
        <v>244</v>
      </c>
      <c r="C232" s="285"/>
      <c r="D232" s="324">
        <f>+Salaries!I18</f>
        <v>12964</v>
      </c>
      <c r="E232" s="371">
        <v>0</v>
      </c>
      <c r="F232" s="371"/>
      <c r="G232" s="285">
        <f>D232*E232</f>
        <v>0</v>
      </c>
      <c r="H232" s="285"/>
      <c r="I232" s="285"/>
      <c r="J232" s="285"/>
      <c r="K232" s="285"/>
      <c r="L232" s="359"/>
      <c r="M232" s="364"/>
      <c r="N232" s="357"/>
      <c r="O232" s="429">
        <v>12389</v>
      </c>
      <c r="P232" s="429">
        <f>+D232-O232</f>
        <v>575</v>
      </c>
      <c r="Q232" s="444">
        <f t="shared" ref="Q232:Q235" si="2">+P232/O232</f>
        <v>4.6412139801436755E-2</v>
      </c>
    </row>
    <row r="233" spans="1:17">
      <c r="A233" s="281">
        <v>13</v>
      </c>
      <c r="B233" s="277" t="s">
        <v>247</v>
      </c>
      <c r="C233" s="285"/>
      <c r="D233" s="324">
        <f>+Salaries!I22</f>
        <v>0</v>
      </c>
      <c r="E233" s="371">
        <f>+I220</f>
        <v>1</v>
      </c>
      <c r="F233" s="371"/>
      <c r="G233" s="285">
        <f>D233*E233</f>
        <v>0</v>
      </c>
      <c r="H233" s="285"/>
      <c r="I233" s="285"/>
      <c r="J233" s="285"/>
      <c r="K233" s="285"/>
      <c r="L233" s="359"/>
      <c r="M233" s="364"/>
      <c r="N233" s="362"/>
      <c r="O233" s="429">
        <v>0</v>
      </c>
      <c r="P233" s="429">
        <f t="shared" ref="P233:P235" si="3">+D233-O233</f>
        <v>0</v>
      </c>
      <c r="Q233" s="444">
        <v>0</v>
      </c>
    </row>
    <row r="234" spans="1:17">
      <c r="A234" s="281">
        <v>14</v>
      </c>
      <c r="B234" s="277" t="s">
        <v>249</v>
      </c>
      <c r="C234" s="285"/>
      <c r="D234" s="324">
        <f>+Salaries!I41</f>
        <v>357816</v>
      </c>
      <c r="E234" s="371">
        <v>0</v>
      </c>
      <c r="F234" s="371"/>
      <c r="G234" s="285">
        <f>D234*E234</f>
        <v>0</v>
      </c>
      <c r="H234" s="285"/>
      <c r="I234" s="372" t="s">
        <v>362</v>
      </c>
      <c r="J234" s="285"/>
      <c r="K234" s="285"/>
      <c r="L234" s="363"/>
      <c r="M234" s="357"/>
      <c r="N234" s="362"/>
      <c r="O234" s="429">
        <v>328199</v>
      </c>
      <c r="P234" s="429">
        <f t="shared" si="3"/>
        <v>29617</v>
      </c>
      <c r="Q234" s="444">
        <f t="shared" si="2"/>
        <v>9.024098184333286E-2</v>
      </c>
    </row>
    <row r="235" spans="1:17" ht="16.2" thickBot="1">
      <c r="A235" s="281">
        <v>15</v>
      </c>
      <c r="B235" s="277" t="s">
        <v>363</v>
      </c>
      <c r="C235" s="285"/>
      <c r="D235" s="322">
        <f>+Salaries!I47</f>
        <v>229807</v>
      </c>
      <c r="E235" s="371">
        <v>0</v>
      </c>
      <c r="F235" s="371"/>
      <c r="G235" s="298">
        <f>D235*E235</f>
        <v>0</v>
      </c>
      <c r="H235" s="285"/>
      <c r="I235" s="291" t="s">
        <v>364</v>
      </c>
      <c r="J235" s="285"/>
      <c r="K235" s="285"/>
      <c r="L235" s="277"/>
      <c r="N235" s="285"/>
      <c r="O235" s="429">
        <v>210602</v>
      </c>
      <c r="P235" s="429">
        <f t="shared" si="3"/>
        <v>19205</v>
      </c>
      <c r="Q235" s="444">
        <f t="shared" si="2"/>
        <v>9.1190966847418356E-2</v>
      </c>
    </row>
    <row r="236" spans="1:17">
      <c r="A236" s="281">
        <v>16</v>
      </c>
      <c r="B236" s="277" t="s">
        <v>365</v>
      </c>
      <c r="C236" s="285"/>
      <c r="D236" s="285">
        <f>SUM(D232:D235)</f>
        <v>600587</v>
      </c>
      <c r="E236" s="285"/>
      <c r="F236" s="285"/>
      <c r="G236" s="285">
        <f>SUM(G232:G235)</f>
        <v>0</v>
      </c>
      <c r="H236" s="281" t="s">
        <v>366</v>
      </c>
      <c r="I236" s="321">
        <f>IF(G236&gt;0,G233/D236,0)</f>
        <v>0</v>
      </c>
      <c r="J236" s="285" t="s">
        <v>366</v>
      </c>
      <c r="K236" s="285" t="s">
        <v>253</v>
      </c>
      <c r="L236" s="277"/>
      <c r="N236" s="285"/>
    </row>
    <row r="237" spans="1:17">
      <c r="A237" s="281" t="s">
        <v>171</v>
      </c>
      <c r="B237" s="277" t="s">
        <v>171</v>
      </c>
      <c r="C237" s="285" t="s">
        <v>171</v>
      </c>
      <c r="E237" s="285"/>
      <c r="F237" s="285"/>
      <c r="L237" s="277"/>
      <c r="N237" s="285"/>
    </row>
    <row r="238" spans="1:17">
      <c r="A238" s="281"/>
      <c r="B238" s="277" t="s">
        <v>367</v>
      </c>
      <c r="C238" s="285"/>
      <c r="D238" s="315" t="s">
        <v>360</v>
      </c>
      <c r="E238" s="285"/>
      <c r="F238" s="285"/>
      <c r="G238" s="327" t="s">
        <v>368</v>
      </c>
      <c r="H238" s="339" t="s">
        <v>171</v>
      </c>
      <c r="I238" s="323" t="s">
        <v>369</v>
      </c>
      <c r="J238" s="285"/>
      <c r="K238" s="285"/>
      <c r="L238" s="277"/>
      <c r="N238" s="285"/>
    </row>
    <row r="239" spans="1:17">
      <c r="A239" s="281">
        <v>17</v>
      </c>
      <c r="B239" s="277" t="s">
        <v>370</v>
      </c>
      <c r="C239" s="285"/>
      <c r="D239" s="324">
        <f>+'Schedule 4'!G28</f>
        <v>30382511</v>
      </c>
      <c r="E239" s="285"/>
      <c r="G239" s="281" t="s">
        <v>371</v>
      </c>
      <c r="H239" s="339"/>
      <c r="I239" s="281" t="s">
        <v>372</v>
      </c>
      <c r="J239" s="285"/>
      <c r="K239" s="281" t="s">
        <v>255</v>
      </c>
      <c r="L239" s="277"/>
      <c r="N239" s="285"/>
    </row>
    <row r="240" spans="1:17">
      <c r="A240" s="281">
        <v>18</v>
      </c>
      <c r="B240" s="277" t="s">
        <v>373</v>
      </c>
      <c r="C240" s="285"/>
      <c r="D240" s="324">
        <v>0</v>
      </c>
      <c r="E240" s="285"/>
      <c r="G240" s="295">
        <f>IF(D242&gt;0,D239/D242,0)</f>
        <v>0.5420335661244674</v>
      </c>
      <c r="H240" s="327" t="s">
        <v>374</v>
      </c>
      <c r="I240" s="295">
        <f>I236</f>
        <v>0</v>
      </c>
      <c r="J240" s="339" t="s">
        <v>366</v>
      </c>
      <c r="K240" s="295">
        <f>I240*G240</f>
        <v>0</v>
      </c>
      <c r="L240" s="277"/>
      <c r="N240" s="285"/>
    </row>
    <row r="241" spans="1:18" ht="16.2" thickBot="1">
      <c r="A241" s="281">
        <v>19</v>
      </c>
      <c r="B241" s="373" t="s">
        <v>375</v>
      </c>
      <c r="C241" s="298"/>
      <c r="D241" s="322">
        <v>25670311</v>
      </c>
      <c r="E241" s="285"/>
      <c r="F241" s="285"/>
      <c r="G241" s="285" t="s">
        <v>171</v>
      </c>
      <c r="H241" s="285"/>
      <c r="I241" s="285"/>
      <c r="L241" s="277"/>
      <c r="N241" s="285"/>
    </row>
    <row r="242" spans="1:18">
      <c r="A242" s="281">
        <v>20</v>
      </c>
      <c r="B242" s="277" t="s">
        <v>376</v>
      </c>
      <c r="C242" s="285"/>
      <c r="D242" s="285">
        <f>D239+D240+D241</f>
        <v>56052822</v>
      </c>
      <c r="E242" s="285"/>
      <c r="F242" s="285"/>
      <c r="G242" s="285"/>
      <c r="H242" s="285"/>
      <c r="I242" s="285"/>
      <c r="J242" s="285"/>
      <c r="K242" s="285"/>
      <c r="L242" s="277"/>
      <c r="N242" s="285"/>
    </row>
    <row r="243" spans="1:18">
      <c r="A243" s="281"/>
      <c r="B243" s="277" t="s">
        <v>171</v>
      </c>
      <c r="C243" s="285"/>
      <c r="E243" s="285"/>
      <c r="F243" s="285"/>
      <c r="G243" s="285"/>
      <c r="H243" s="285"/>
      <c r="I243" s="285" t="s">
        <v>171</v>
      </c>
      <c r="J243" s="285"/>
      <c r="K243" s="285"/>
      <c r="L243" s="277"/>
      <c r="N243" s="285"/>
    </row>
    <row r="244" spans="1:18" ht="16.2" thickBot="1">
      <c r="A244" s="281"/>
      <c r="B244" s="277" t="s">
        <v>377</v>
      </c>
      <c r="C244" s="285"/>
      <c r="D244" s="370" t="s">
        <v>360</v>
      </c>
      <c r="E244" s="285"/>
      <c r="F244" s="285"/>
      <c r="G244" s="285"/>
      <c r="H244" s="285"/>
      <c r="J244" s="285" t="s">
        <v>171</v>
      </c>
      <c r="K244" s="285"/>
      <c r="L244" s="277"/>
      <c r="N244" s="285"/>
    </row>
    <row r="245" spans="1:18">
      <c r="A245" s="281">
        <v>21</v>
      </c>
      <c r="B245" s="285" t="s">
        <v>378</v>
      </c>
      <c r="C245" s="279" t="s">
        <v>379</v>
      </c>
      <c r="D245" s="374">
        <f>+'Schedule 3'!C24+'Schedule 3'!C25</f>
        <v>12051</v>
      </c>
      <c r="E245" s="285"/>
      <c r="F245" s="285"/>
      <c r="G245" s="285"/>
      <c r="H245" s="285"/>
      <c r="I245" s="285"/>
      <c r="J245" s="285"/>
      <c r="K245" s="285"/>
      <c r="L245" s="277"/>
      <c r="N245" s="285"/>
      <c r="O245" s="429">
        <v>19320</v>
      </c>
      <c r="P245" s="429">
        <f t="shared" ref="P245" si="4">+D245-O245</f>
        <v>-7269</v>
      </c>
      <c r="Q245" s="444">
        <f t="shared" ref="Q245" si="5">+P245/O245</f>
        <v>-0.37624223602484475</v>
      </c>
      <c r="R245" s="274" t="s">
        <v>905</v>
      </c>
    </row>
    <row r="246" spans="1:18">
      <c r="A246" s="281"/>
      <c r="B246" s="277"/>
      <c r="D246" s="285"/>
      <c r="E246" s="285"/>
      <c r="F246" s="285"/>
      <c r="G246" s="327" t="s">
        <v>380</v>
      </c>
      <c r="H246" s="285"/>
      <c r="I246" s="285"/>
      <c r="J246" s="285"/>
      <c r="K246" s="285"/>
      <c r="L246" s="277"/>
      <c r="N246" s="285"/>
    </row>
    <row r="247" spans="1:18" ht="16.2" thickBot="1">
      <c r="A247" s="281"/>
      <c r="B247" s="277"/>
      <c r="C247" s="279"/>
      <c r="D247" s="291" t="s">
        <v>360</v>
      </c>
      <c r="E247" s="291" t="s">
        <v>381</v>
      </c>
      <c r="F247" s="285"/>
      <c r="G247" s="291" t="s">
        <v>382</v>
      </c>
      <c r="H247" s="285"/>
      <c r="I247" s="291" t="s">
        <v>383</v>
      </c>
      <c r="J247" s="285"/>
      <c r="K247" s="285"/>
      <c r="L247" s="277"/>
      <c r="N247" s="285"/>
    </row>
    <row r="248" spans="1:18">
      <c r="A248" s="281">
        <v>22</v>
      </c>
      <c r="B248" s="277" t="s">
        <v>384</v>
      </c>
      <c r="C248" s="279" t="s">
        <v>385</v>
      </c>
      <c r="D248" s="324">
        <f>+'Schedule 2'!F28</f>
        <v>230808</v>
      </c>
      <c r="E248" s="375">
        <f>IF($D$250&gt;0,D248/$D$250,0)</f>
        <v>7.7095451382397451E-3</v>
      </c>
      <c r="F248" s="376"/>
      <c r="G248" s="377">
        <f>IF(D248&gt;0,D245/D248,0)</f>
        <v>5.2212228345637934E-2</v>
      </c>
      <c r="I248" s="376">
        <f>G248*E248</f>
        <v>4.0253253119877636E-4</v>
      </c>
      <c r="J248" s="378" t="s">
        <v>386</v>
      </c>
      <c r="K248" s="285"/>
      <c r="L248" s="277"/>
      <c r="N248" s="285"/>
      <c r="O248" s="429">
        <v>459042</v>
      </c>
      <c r="P248" s="429">
        <f t="shared" ref="P248:P249" si="6">+D248-O248</f>
        <v>-228234</v>
      </c>
      <c r="Q248" s="444">
        <f t="shared" ref="Q248:Q249" si="7">+P248/O248</f>
        <v>-0.49719633497588456</v>
      </c>
      <c r="R248" s="274" t="s">
        <v>905</v>
      </c>
    </row>
    <row r="249" spans="1:18" ht="16.2" thickBot="1">
      <c r="A249" s="281">
        <v>23</v>
      </c>
      <c r="B249" s="277" t="s">
        <v>387</v>
      </c>
      <c r="C249" s="279" t="s">
        <v>388</v>
      </c>
      <c r="D249" s="322">
        <f>+'Schedule 2'!F16</f>
        <v>29707145</v>
      </c>
      <c r="E249" s="379">
        <f>IF($D$250&gt;0,D249/$D$250,0)</f>
        <v>0.99229045486176026</v>
      </c>
      <c r="F249" s="376"/>
      <c r="G249" s="376">
        <f>I252</f>
        <v>0.1032</v>
      </c>
      <c r="I249" s="380">
        <f>G249*E249</f>
        <v>0.10240437494173366</v>
      </c>
      <c r="L249" s="277"/>
      <c r="N249" s="285"/>
      <c r="O249" s="429">
        <v>29923935</v>
      </c>
      <c r="P249" s="429">
        <f t="shared" si="6"/>
        <v>-216790</v>
      </c>
      <c r="Q249" s="444">
        <f t="shared" si="7"/>
        <v>-7.2447022759540144E-3</v>
      </c>
      <c r="R249" s="274" t="s">
        <v>906</v>
      </c>
    </row>
    <row r="250" spans="1:18">
      <c r="A250" s="281">
        <v>24</v>
      </c>
      <c r="B250" s="277" t="s">
        <v>389</v>
      </c>
      <c r="C250" s="279"/>
      <c r="D250" s="285">
        <f>SUM(D248:D249)</f>
        <v>29937953</v>
      </c>
      <c r="E250" s="381">
        <f>SUM(E248+E249)</f>
        <v>1</v>
      </c>
      <c r="F250" s="376"/>
      <c r="G250" s="376"/>
      <c r="I250" s="376">
        <f>SUM(I248:I249)</f>
        <v>0.10280690747293243</v>
      </c>
      <c r="J250" s="378" t="s">
        <v>390</v>
      </c>
      <c r="L250" s="277"/>
      <c r="N250" s="285"/>
    </row>
    <row r="251" spans="1:18">
      <c r="A251" s="281" t="s">
        <v>171</v>
      </c>
      <c r="B251" s="277"/>
      <c r="D251" s="285"/>
      <c r="E251" s="285" t="s">
        <v>171</v>
      </c>
      <c r="F251" s="285"/>
      <c r="G251" s="285"/>
      <c r="H251" s="285"/>
      <c r="I251" s="376"/>
      <c r="L251" s="277"/>
      <c r="N251" s="382"/>
      <c r="O251" s="436"/>
      <c r="P251" s="436"/>
      <c r="Q251" s="448"/>
      <c r="R251" s="383"/>
    </row>
    <row r="252" spans="1:18">
      <c r="A252" s="281">
        <v>25</v>
      </c>
      <c r="E252" s="285"/>
      <c r="F252" s="285"/>
      <c r="G252" s="285"/>
      <c r="H252" s="330" t="s">
        <v>391</v>
      </c>
      <c r="I252" s="384">
        <v>0.1032</v>
      </c>
      <c r="L252" s="277"/>
      <c r="N252" s="385" t="s">
        <v>895</v>
      </c>
      <c r="O252" s="437"/>
      <c r="P252" s="437"/>
      <c r="Q252" s="442"/>
      <c r="R252" s="386"/>
    </row>
    <row r="253" spans="1:18">
      <c r="A253" s="281">
        <v>26</v>
      </c>
      <c r="H253" s="275" t="s">
        <v>392</v>
      </c>
      <c r="I253" s="371">
        <f>IF(G248&gt;0,I250/G248,0)</f>
        <v>1.969019724505235</v>
      </c>
      <c r="L253" s="277"/>
      <c r="N253" s="385" t="s">
        <v>896</v>
      </c>
      <c r="O253" s="437"/>
      <c r="P253" s="437"/>
      <c r="Q253" s="442"/>
      <c r="R253" s="387">
        <v>0</v>
      </c>
    </row>
    <row r="254" spans="1:18">
      <c r="A254" s="281"/>
      <c r="B254" s="277" t="s">
        <v>393</v>
      </c>
      <c r="C254" s="279"/>
      <c r="D254" s="279"/>
      <c r="E254" s="279"/>
      <c r="F254" s="279"/>
      <c r="G254" s="279"/>
      <c r="H254" s="279"/>
      <c r="I254" s="279"/>
      <c r="K254" s="285"/>
      <c r="L254" s="277"/>
      <c r="N254" s="385" t="s">
        <v>897</v>
      </c>
      <c r="O254" s="437"/>
      <c r="P254" s="437"/>
      <c r="Q254" s="442"/>
      <c r="R254" s="387">
        <v>0</v>
      </c>
    </row>
    <row r="255" spans="1:18" ht="16.2" thickBot="1">
      <c r="A255" s="281"/>
      <c r="B255" s="277"/>
      <c r="C255" s="277"/>
      <c r="D255" s="277"/>
      <c r="E255" s="277"/>
      <c r="F255" s="277"/>
      <c r="G255" s="277"/>
      <c r="H255" s="277"/>
      <c r="I255" s="291" t="s">
        <v>394</v>
      </c>
      <c r="J255" s="279"/>
      <c r="K255" s="279"/>
      <c r="L255" s="277"/>
      <c r="N255" s="388"/>
      <c r="O255" s="438"/>
      <c r="P255" s="438"/>
      <c r="Q255" s="449"/>
      <c r="R255" s="389"/>
    </row>
    <row r="256" spans="1:18">
      <c r="A256" s="281"/>
      <c r="B256" s="277" t="s">
        <v>395</v>
      </c>
      <c r="C256" s="279"/>
      <c r="D256" s="279"/>
      <c r="E256" s="279"/>
      <c r="F256" s="279"/>
      <c r="G256" s="353" t="s">
        <v>171</v>
      </c>
      <c r="H256" s="351"/>
      <c r="I256" s="333"/>
      <c r="J256" s="277"/>
      <c r="K256" s="277"/>
      <c r="L256" s="277"/>
      <c r="N256" s="285"/>
    </row>
    <row r="257" spans="1:17">
      <c r="A257" s="281">
        <v>27</v>
      </c>
      <c r="B257" s="274" t="s">
        <v>396</v>
      </c>
      <c r="C257" s="279"/>
      <c r="D257" s="279"/>
      <c r="E257" s="279" t="s">
        <v>397</v>
      </c>
      <c r="F257" s="279"/>
      <c r="H257" s="351"/>
      <c r="I257" s="324">
        <v>0</v>
      </c>
      <c r="J257" s="277"/>
      <c r="K257" s="277"/>
      <c r="L257" s="277"/>
      <c r="N257" s="327"/>
    </row>
    <row r="258" spans="1:17" ht="16.2" thickBot="1">
      <c r="A258" s="281">
        <v>28</v>
      </c>
      <c r="B258" s="328" t="s">
        <v>398</v>
      </c>
      <c r="C258" s="355"/>
      <c r="D258" s="287"/>
      <c r="E258" s="286"/>
      <c r="F258" s="286"/>
      <c r="G258" s="286"/>
      <c r="H258" s="279"/>
      <c r="I258" s="322">
        <v>0</v>
      </c>
      <c r="J258" s="277"/>
      <c r="K258" s="277"/>
      <c r="L258" s="277"/>
      <c r="N258" s="277"/>
    </row>
    <row r="259" spans="1:17">
      <c r="A259" s="281">
        <v>29</v>
      </c>
      <c r="B259" s="274" t="s">
        <v>399</v>
      </c>
      <c r="C259" s="279"/>
      <c r="D259" s="287"/>
      <c r="E259" s="286"/>
      <c r="F259" s="286"/>
      <c r="G259" s="286"/>
      <c r="H259" s="279"/>
      <c r="I259" s="324">
        <f>+I257-I258</f>
        <v>0</v>
      </c>
      <c r="J259" s="277"/>
      <c r="K259" s="277"/>
      <c r="L259" s="277"/>
      <c r="N259" s="277"/>
    </row>
    <row r="260" spans="1:17">
      <c r="A260" s="281"/>
      <c r="B260" s="274" t="s">
        <v>171</v>
      </c>
      <c r="C260" s="279"/>
      <c r="D260" s="287"/>
      <c r="E260" s="286"/>
      <c r="F260" s="286"/>
      <c r="G260" s="390"/>
      <c r="H260" s="279"/>
      <c r="I260" s="391" t="s">
        <v>171</v>
      </c>
      <c r="J260" s="277"/>
      <c r="K260" s="277"/>
      <c r="L260" s="277"/>
      <c r="N260" s="277"/>
    </row>
    <row r="261" spans="1:17">
      <c r="A261" s="281">
        <v>30</v>
      </c>
      <c r="B261" s="277" t="s">
        <v>400</v>
      </c>
      <c r="C261" s="279"/>
      <c r="D261" s="287"/>
      <c r="E261" s="286"/>
      <c r="F261" s="286"/>
      <c r="G261" s="390"/>
      <c r="H261" s="279"/>
      <c r="I261" s="392">
        <v>0</v>
      </c>
      <c r="J261" s="277"/>
      <c r="K261" s="277"/>
      <c r="N261" s="277"/>
    </row>
    <row r="262" spans="1:17">
      <c r="A262" s="281"/>
      <c r="C262" s="279"/>
      <c r="D262" s="286"/>
      <c r="E262" s="286"/>
      <c r="F262" s="286"/>
      <c r="G262" s="286"/>
      <c r="H262" s="279"/>
      <c r="I262" s="391"/>
      <c r="J262" s="277"/>
      <c r="K262" s="277"/>
      <c r="N262" s="277"/>
    </row>
    <row r="263" spans="1:17">
      <c r="B263" s="277" t="s">
        <v>401</v>
      </c>
      <c r="C263" s="279"/>
      <c r="D263" s="286"/>
      <c r="E263" s="286"/>
      <c r="F263" s="286"/>
      <c r="G263" s="286"/>
      <c r="H263" s="279"/>
      <c r="J263" s="277"/>
      <c r="K263" s="277"/>
      <c r="N263" s="277"/>
    </row>
    <row r="264" spans="1:17">
      <c r="A264" s="281">
        <v>31</v>
      </c>
      <c r="B264" s="277" t="s">
        <v>402</v>
      </c>
      <c r="C264" s="285"/>
      <c r="D264" s="345"/>
      <c r="E264" s="345"/>
      <c r="F264" s="345"/>
      <c r="G264" s="345"/>
      <c r="H264" s="285"/>
      <c r="I264" s="393">
        <f>+'Acct 456.1'!D22</f>
        <v>523410.32999999996</v>
      </c>
      <c r="J264" s="277"/>
      <c r="K264" s="277"/>
      <c r="L264" s="394"/>
      <c r="N264" s="277"/>
    </row>
    <row r="265" spans="1:17">
      <c r="A265" s="281">
        <v>32</v>
      </c>
      <c r="B265" s="395" t="s">
        <v>403</v>
      </c>
      <c r="C265" s="286"/>
      <c r="D265" s="286"/>
      <c r="E265" s="286"/>
      <c r="F265" s="286"/>
      <c r="G265" s="286"/>
      <c r="H265" s="279"/>
      <c r="I265" s="393">
        <f>+'Acct 456.1'!C22</f>
        <v>514717.37999999995</v>
      </c>
      <c r="J265" s="277"/>
      <c r="K265" s="277"/>
      <c r="L265" s="327"/>
      <c r="N265" s="277"/>
    </row>
    <row r="266" spans="1:17">
      <c r="A266" s="281" t="s">
        <v>404</v>
      </c>
      <c r="B266" s="363" t="s">
        <v>405</v>
      </c>
      <c r="C266" s="361"/>
      <c r="D266" s="286"/>
      <c r="E266" s="286"/>
      <c r="F266" s="286"/>
      <c r="G266" s="286"/>
      <c r="H266" s="279"/>
      <c r="I266" s="393">
        <v>0</v>
      </c>
      <c r="J266" s="277"/>
      <c r="K266" s="277"/>
      <c r="L266" s="327"/>
      <c r="N266" s="277"/>
    </row>
    <row r="267" spans="1:17" ht="16.2" thickBot="1">
      <c r="A267" s="281" t="s">
        <v>406</v>
      </c>
      <c r="B267" s="396" t="s">
        <v>407</v>
      </c>
      <c r="C267" s="397"/>
      <c r="D267" s="286"/>
      <c r="E267" s="286"/>
      <c r="F267" s="286"/>
      <c r="G267" s="286"/>
      <c r="H267" s="279"/>
      <c r="I267" s="398">
        <v>0</v>
      </c>
      <c r="J267" s="277"/>
      <c r="K267" s="277"/>
      <c r="L267" s="327"/>
      <c r="N267" s="277"/>
    </row>
    <row r="268" spans="1:17" s="351" customFormat="1">
      <c r="A268" s="281">
        <v>33</v>
      </c>
      <c r="B268" s="274" t="s">
        <v>408</v>
      </c>
      <c r="C268" s="281"/>
      <c r="D268" s="345"/>
      <c r="E268" s="345"/>
      <c r="F268" s="345"/>
      <c r="G268" s="345"/>
      <c r="H268" s="279"/>
      <c r="I268" s="359">
        <f>+I264-I265-I266-I267</f>
        <v>8692.9500000000116</v>
      </c>
      <c r="J268" s="277"/>
      <c r="K268" s="277"/>
      <c r="L268" s="394"/>
      <c r="M268" s="274"/>
      <c r="N268" s="277"/>
      <c r="O268" s="429"/>
      <c r="P268" s="428"/>
      <c r="Q268" s="444"/>
    </row>
    <row r="269" spans="1:17">
      <c r="A269" s="281"/>
      <c r="B269" s="399"/>
      <c r="C269" s="281"/>
      <c r="D269" s="345"/>
      <c r="E269" s="345"/>
      <c r="F269" s="345"/>
      <c r="G269" s="345"/>
      <c r="H269" s="279"/>
      <c r="I269" s="359"/>
      <c r="J269" s="277"/>
      <c r="K269" s="277"/>
      <c r="L269" s="394"/>
      <c r="M269" s="351"/>
      <c r="N269" s="400"/>
      <c r="O269" s="439"/>
      <c r="P269" s="433"/>
      <c r="Q269" s="445"/>
    </row>
    <row r="270" spans="1:17">
      <c r="A270" s="281"/>
      <c r="B270" s="399"/>
      <c r="C270" s="281"/>
      <c r="D270" s="345"/>
      <c r="E270" s="345"/>
      <c r="F270" s="345"/>
      <c r="G270" s="345"/>
      <c r="H270" s="279"/>
      <c r="I270" s="359"/>
      <c r="J270" s="277"/>
      <c r="K270" s="277"/>
      <c r="L270" s="394"/>
      <c r="N270" s="277"/>
      <c r="O270" s="429"/>
    </row>
    <row r="271" spans="1:17">
      <c r="A271" s="281"/>
      <c r="B271" s="399"/>
      <c r="C271" s="281"/>
      <c r="D271" s="345"/>
      <c r="E271" s="345"/>
      <c r="F271" s="345"/>
      <c r="G271" s="345"/>
      <c r="H271" s="279"/>
      <c r="I271" s="359"/>
      <c r="J271" s="277"/>
      <c r="K271" s="277"/>
      <c r="L271" s="394"/>
      <c r="N271" s="277"/>
      <c r="O271" s="429"/>
    </row>
    <row r="272" spans="1:17">
      <c r="A272" s="281"/>
      <c r="B272" s="399"/>
      <c r="C272" s="281"/>
      <c r="D272" s="345"/>
      <c r="E272" s="345"/>
      <c r="F272" s="345"/>
      <c r="G272" s="345"/>
      <c r="H272" s="279"/>
      <c r="I272" s="359"/>
      <c r="J272" s="277"/>
      <c r="K272" s="275" t="s">
        <v>179</v>
      </c>
      <c r="L272" s="394"/>
      <c r="N272" s="277"/>
      <c r="O272" s="429"/>
    </row>
    <row r="273" spans="1:16">
      <c r="B273" s="277"/>
      <c r="C273" s="277"/>
      <c r="E273" s="277"/>
      <c r="F273" s="277"/>
      <c r="G273" s="277"/>
      <c r="H273" s="279"/>
      <c r="I273" s="279"/>
      <c r="K273" s="280" t="s">
        <v>409</v>
      </c>
      <c r="L273" s="279"/>
      <c r="N273" s="279"/>
      <c r="O273" s="429"/>
      <c r="P273" s="429"/>
    </row>
    <row r="274" spans="1:16">
      <c r="A274" s="281"/>
      <c r="B274" s="399" t="str">
        <f>B4</f>
        <v xml:space="preserve">Formula Rate - Non-Levelized </v>
      </c>
      <c r="C274" s="469" t="str">
        <f>D4</f>
        <v xml:space="preserve">   Rate Formula Template</v>
      </c>
      <c r="D274" s="469"/>
      <c r="E274" s="285"/>
      <c r="F274" s="285"/>
      <c r="G274" s="285"/>
      <c r="H274" s="292"/>
      <c r="J274" s="279"/>
      <c r="K274" s="401" t="str">
        <f>K4</f>
        <v>For the 12 months ended 12/31/15</v>
      </c>
      <c r="L274" s="279"/>
      <c r="N274" s="279"/>
      <c r="O274" s="429"/>
      <c r="P274" s="429"/>
    </row>
    <row r="275" spans="1:16">
      <c r="A275" s="281"/>
      <c r="B275" s="399"/>
      <c r="C275" s="281"/>
      <c r="D275" s="285" t="str">
        <f>D5</f>
        <v>Utilizing EIA Form 412 Data</v>
      </c>
      <c r="E275" s="285"/>
      <c r="F275" s="285"/>
      <c r="G275" s="285"/>
      <c r="H275" s="279"/>
      <c r="I275" s="402"/>
      <c r="J275" s="333"/>
      <c r="K275" s="335"/>
      <c r="L275" s="279"/>
      <c r="N275" s="279"/>
      <c r="O275" s="429"/>
      <c r="P275" s="429"/>
    </row>
    <row r="276" spans="1:16">
      <c r="A276" s="281"/>
      <c r="B276" s="399"/>
      <c r="C276" s="281"/>
      <c r="D276" s="285" t="str">
        <f>D7</f>
        <v>Worthington (Minnesota) Public Utilities</v>
      </c>
      <c r="E276" s="285"/>
      <c r="F276" s="285"/>
      <c r="G276" s="285"/>
      <c r="H276" s="279"/>
      <c r="I276" s="402"/>
      <c r="J276" s="333"/>
      <c r="K276" s="335"/>
      <c r="L276" s="279"/>
      <c r="N276" s="279"/>
      <c r="O276" s="429"/>
      <c r="P276" s="429"/>
    </row>
    <row r="277" spans="1:16">
      <c r="A277" s="281"/>
      <c r="B277" s="277" t="s">
        <v>410</v>
      </c>
      <c r="C277" s="281"/>
      <c r="D277" s="285"/>
      <c r="E277" s="285"/>
      <c r="F277" s="285"/>
      <c r="G277" s="285"/>
      <c r="H277" s="279"/>
      <c r="I277" s="285"/>
      <c r="J277" s="333"/>
      <c r="K277" s="335"/>
      <c r="L277" s="279"/>
      <c r="N277" s="281"/>
      <c r="O277" s="429"/>
    </row>
    <row r="278" spans="1:16">
      <c r="A278" s="281"/>
      <c r="B278" s="403" t="s">
        <v>411</v>
      </c>
      <c r="C278" s="281"/>
      <c r="D278" s="285"/>
      <c r="E278" s="285"/>
      <c r="F278" s="285"/>
      <c r="G278" s="285"/>
      <c r="H278" s="279"/>
      <c r="I278" s="285"/>
      <c r="J278" s="279"/>
      <c r="K278" s="285"/>
      <c r="L278" s="279"/>
      <c r="N278" s="281"/>
      <c r="O278" s="429"/>
    </row>
    <row r="279" spans="1:16">
      <c r="B279" s="403" t="s">
        <v>412</v>
      </c>
      <c r="C279" s="281"/>
      <c r="D279" s="285"/>
      <c r="E279" s="285"/>
      <c r="F279" s="285"/>
      <c r="G279" s="285"/>
      <c r="H279" s="279"/>
      <c r="I279" s="285"/>
      <c r="J279" s="279"/>
      <c r="K279" s="285"/>
      <c r="L279" s="279"/>
      <c r="N279" s="281"/>
      <c r="O279" s="429"/>
      <c r="P279" s="429"/>
    </row>
    <row r="280" spans="1:16">
      <c r="A280" s="281" t="s">
        <v>413</v>
      </c>
      <c r="B280" s="277" t="s">
        <v>414</v>
      </c>
      <c r="C280" s="279"/>
      <c r="D280" s="285"/>
      <c r="E280" s="285"/>
      <c r="F280" s="285"/>
      <c r="G280" s="299"/>
      <c r="H280" s="279"/>
      <c r="I280" s="285"/>
      <c r="J280" s="279"/>
      <c r="K280" s="285"/>
      <c r="L280" s="279"/>
      <c r="N280" s="281"/>
      <c r="O280" s="429"/>
      <c r="P280" s="429"/>
    </row>
    <row r="281" spans="1:16" ht="16.2" thickBot="1">
      <c r="A281" s="291" t="s">
        <v>415</v>
      </c>
      <c r="C281" s="279"/>
      <c r="D281" s="285"/>
      <c r="E281" s="285"/>
      <c r="F281" s="285"/>
      <c r="G281" s="285"/>
      <c r="H281" s="279"/>
      <c r="I281" s="285"/>
      <c r="J281" s="279"/>
      <c r="K281" s="285"/>
      <c r="L281" s="279"/>
      <c r="N281" s="281"/>
      <c r="O281" s="429"/>
      <c r="P281" s="429"/>
    </row>
    <row r="282" spans="1:16" ht="32.25" customHeight="1">
      <c r="A282" s="404" t="s">
        <v>416</v>
      </c>
      <c r="B282" s="467" t="s">
        <v>417</v>
      </c>
      <c r="C282" s="467"/>
      <c r="D282" s="467"/>
      <c r="E282" s="467"/>
      <c r="F282" s="467"/>
      <c r="G282" s="467"/>
      <c r="H282" s="467"/>
      <c r="I282" s="467"/>
      <c r="J282" s="467"/>
      <c r="K282" s="467"/>
      <c r="L282" s="279"/>
      <c r="N282" s="281"/>
      <c r="O282" s="429"/>
      <c r="P282" s="429"/>
    </row>
    <row r="283" spans="1:16" ht="63" customHeight="1">
      <c r="A283" s="404" t="s">
        <v>418</v>
      </c>
      <c r="B283" s="467" t="s">
        <v>419</v>
      </c>
      <c r="C283" s="467"/>
      <c r="D283" s="467"/>
      <c r="E283" s="467"/>
      <c r="F283" s="467"/>
      <c r="G283" s="467"/>
      <c r="H283" s="467"/>
      <c r="I283" s="467"/>
      <c r="J283" s="467"/>
      <c r="K283" s="467"/>
      <c r="L283" s="279"/>
      <c r="N283" s="281"/>
      <c r="O283" s="429"/>
      <c r="P283" s="429"/>
    </row>
    <row r="284" spans="1:16">
      <c r="A284" s="404" t="s">
        <v>420</v>
      </c>
      <c r="B284" s="467" t="s">
        <v>421</v>
      </c>
      <c r="C284" s="467"/>
      <c r="D284" s="467"/>
      <c r="E284" s="467"/>
      <c r="F284" s="467"/>
      <c r="G284" s="467"/>
      <c r="H284" s="467"/>
      <c r="I284" s="467"/>
      <c r="J284" s="467"/>
      <c r="K284" s="467"/>
      <c r="L284" s="279"/>
      <c r="N284" s="281"/>
      <c r="O284" s="429"/>
      <c r="P284" s="429"/>
    </row>
    <row r="285" spans="1:16">
      <c r="A285" s="404" t="s">
        <v>422</v>
      </c>
      <c r="B285" s="467" t="s">
        <v>421</v>
      </c>
      <c r="C285" s="467"/>
      <c r="D285" s="467"/>
      <c r="E285" s="467"/>
      <c r="F285" s="467"/>
      <c r="G285" s="467"/>
      <c r="H285" s="467"/>
      <c r="I285" s="467"/>
      <c r="J285" s="467"/>
      <c r="K285" s="467"/>
      <c r="L285" s="279"/>
      <c r="N285" s="281"/>
      <c r="O285" s="429"/>
      <c r="P285" s="429"/>
    </row>
    <row r="286" spans="1:16">
      <c r="A286" s="404" t="s">
        <v>423</v>
      </c>
      <c r="B286" s="467" t="s">
        <v>424</v>
      </c>
      <c r="C286" s="467"/>
      <c r="D286" s="467"/>
      <c r="E286" s="467"/>
      <c r="F286" s="467"/>
      <c r="G286" s="467"/>
      <c r="H286" s="467"/>
      <c r="I286" s="467"/>
      <c r="J286" s="467"/>
      <c r="K286" s="467"/>
      <c r="L286" s="279"/>
      <c r="N286" s="281"/>
      <c r="O286" s="429"/>
      <c r="P286" s="429"/>
    </row>
    <row r="287" spans="1:16" ht="48" customHeight="1">
      <c r="A287" s="404" t="s">
        <v>425</v>
      </c>
      <c r="B287" s="466" t="s">
        <v>426</v>
      </c>
      <c r="C287" s="466"/>
      <c r="D287" s="466"/>
      <c r="E287" s="466"/>
      <c r="F287" s="466"/>
      <c r="G287" s="466"/>
      <c r="H287" s="466"/>
      <c r="I287" s="466"/>
      <c r="J287" s="466"/>
      <c r="K287" s="466"/>
      <c r="L287" s="279"/>
      <c r="N287" s="281"/>
      <c r="O287" s="429"/>
      <c r="P287" s="429"/>
    </row>
    <row r="288" spans="1:16">
      <c r="A288" s="404" t="s">
        <v>427</v>
      </c>
      <c r="B288" s="466" t="s">
        <v>428</v>
      </c>
      <c r="C288" s="466"/>
      <c r="D288" s="466"/>
      <c r="E288" s="466"/>
      <c r="F288" s="466"/>
      <c r="G288" s="466"/>
      <c r="H288" s="466"/>
      <c r="I288" s="466"/>
      <c r="J288" s="466"/>
      <c r="K288" s="466"/>
      <c r="L288" s="279"/>
      <c r="N288" s="281"/>
      <c r="O288" s="429"/>
      <c r="P288" s="429"/>
    </row>
    <row r="289" spans="1:16" ht="32.25" customHeight="1">
      <c r="A289" s="404" t="s">
        <v>429</v>
      </c>
      <c r="B289" s="466" t="s">
        <v>430</v>
      </c>
      <c r="C289" s="466"/>
      <c r="D289" s="466"/>
      <c r="E289" s="466"/>
      <c r="F289" s="466"/>
      <c r="G289" s="466"/>
      <c r="H289" s="466"/>
      <c r="I289" s="466"/>
      <c r="J289" s="466"/>
      <c r="K289" s="466"/>
      <c r="L289" s="279"/>
      <c r="N289" s="281"/>
      <c r="O289" s="429"/>
      <c r="P289" s="429"/>
    </row>
    <row r="290" spans="1:16" ht="32.25" customHeight="1">
      <c r="A290" s="404" t="s">
        <v>431</v>
      </c>
      <c r="B290" s="467" t="s">
        <v>432</v>
      </c>
      <c r="C290" s="467"/>
      <c r="D290" s="467"/>
      <c r="E290" s="467"/>
      <c r="F290" s="467"/>
      <c r="G290" s="467"/>
      <c r="H290" s="467"/>
      <c r="I290" s="467"/>
      <c r="J290" s="467"/>
      <c r="K290" s="467"/>
      <c r="L290" s="279"/>
      <c r="N290" s="281"/>
      <c r="O290" s="429"/>
      <c r="P290" s="429"/>
    </row>
    <row r="291" spans="1:16" ht="32.25" customHeight="1">
      <c r="A291" s="404" t="s">
        <v>433</v>
      </c>
      <c r="B291" s="466" t="s">
        <v>434</v>
      </c>
      <c r="C291" s="466"/>
      <c r="D291" s="466"/>
      <c r="E291" s="466"/>
      <c r="F291" s="466"/>
      <c r="G291" s="466"/>
      <c r="H291" s="466"/>
      <c r="I291" s="466"/>
      <c r="J291" s="466"/>
      <c r="K291" s="466"/>
      <c r="L291" s="279"/>
      <c r="N291" s="281"/>
      <c r="O291" s="431"/>
      <c r="P291" s="429"/>
    </row>
    <row r="292" spans="1:16" ht="79.5" customHeight="1">
      <c r="A292" s="404" t="s">
        <v>435</v>
      </c>
      <c r="B292" s="466" t="s">
        <v>436</v>
      </c>
      <c r="C292" s="466"/>
      <c r="D292" s="466"/>
      <c r="E292" s="466"/>
      <c r="F292" s="466"/>
      <c r="G292" s="466"/>
      <c r="H292" s="466"/>
      <c r="I292" s="466"/>
      <c r="J292" s="466"/>
      <c r="K292" s="466"/>
      <c r="L292" s="279"/>
      <c r="N292" s="281"/>
      <c r="O292" s="429"/>
      <c r="P292" s="429"/>
    </row>
    <row r="293" spans="1:16">
      <c r="A293" s="404" t="s">
        <v>171</v>
      </c>
      <c r="B293" s="405" t="s">
        <v>437</v>
      </c>
      <c r="C293" s="406" t="s">
        <v>438</v>
      </c>
      <c r="D293" s="407">
        <v>0</v>
      </c>
      <c r="E293" s="406"/>
      <c r="F293" s="408"/>
      <c r="G293" s="408"/>
      <c r="H293" s="409"/>
      <c r="I293" s="408"/>
      <c r="J293" s="409"/>
      <c r="K293" s="408"/>
      <c r="L293" s="279"/>
      <c r="N293" s="281"/>
      <c r="O293" s="429"/>
      <c r="P293" s="429"/>
    </row>
    <row r="294" spans="1:16">
      <c r="A294" s="404"/>
      <c r="B294" s="406"/>
      <c r="C294" s="406" t="s">
        <v>439</v>
      </c>
      <c r="D294" s="407">
        <v>0</v>
      </c>
      <c r="E294" s="466" t="s">
        <v>440</v>
      </c>
      <c r="F294" s="466"/>
      <c r="G294" s="466"/>
      <c r="H294" s="466"/>
      <c r="I294" s="466"/>
      <c r="J294" s="466"/>
      <c r="K294" s="466"/>
      <c r="N294" s="281"/>
      <c r="O294" s="429"/>
      <c r="P294" s="429"/>
    </row>
    <row r="295" spans="1:16">
      <c r="A295" s="404"/>
      <c r="B295" s="406"/>
      <c r="C295" s="406" t="s">
        <v>441</v>
      </c>
      <c r="D295" s="407">
        <v>0</v>
      </c>
      <c r="E295" s="466" t="s">
        <v>442</v>
      </c>
      <c r="F295" s="466"/>
      <c r="G295" s="466"/>
      <c r="H295" s="466"/>
      <c r="I295" s="466"/>
      <c r="J295" s="466"/>
      <c r="K295" s="466"/>
      <c r="L295" s="279"/>
      <c r="N295" s="281"/>
      <c r="O295" s="429"/>
      <c r="P295" s="429"/>
    </row>
    <row r="296" spans="1:16">
      <c r="A296" s="404" t="s">
        <v>443</v>
      </c>
      <c r="B296" s="466" t="s">
        <v>444</v>
      </c>
      <c r="C296" s="466"/>
      <c r="D296" s="466"/>
      <c r="E296" s="466"/>
      <c r="F296" s="466"/>
      <c r="G296" s="466"/>
      <c r="H296" s="466"/>
      <c r="I296" s="466"/>
      <c r="J296" s="466"/>
      <c r="K296" s="466"/>
      <c r="L296" s="279"/>
      <c r="N296" s="281"/>
      <c r="O296" s="429"/>
      <c r="P296" s="429"/>
    </row>
    <row r="297" spans="1:16" ht="32.25" customHeight="1">
      <c r="A297" s="404" t="s">
        <v>445</v>
      </c>
      <c r="B297" s="466" t="s">
        <v>446</v>
      </c>
      <c r="C297" s="466"/>
      <c r="D297" s="466"/>
      <c r="E297" s="466"/>
      <c r="F297" s="466"/>
      <c r="G297" s="466"/>
      <c r="H297" s="466"/>
      <c r="I297" s="466"/>
      <c r="J297" s="466"/>
      <c r="K297" s="466"/>
      <c r="L297" s="410"/>
      <c r="N297" s="281"/>
      <c r="O297" s="429"/>
      <c r="P297" s="429"/>
    </row>
    <row r="298" spans="1:16" ht="48" customHeight="1">
      <c r="A298" s="404" t="s">
        <v>447</v>
      </c>
      <c r="B298" s="466" t="s">
        <v>448</v>
      </c>
      <c r="C298" s="466"/>
      <c r="D298" s="466"/>
      <c r="E298" s="466"/>
      <c r="F298" s="466"/>
      <c r="G298" s="466"/>
      <c r="H298" s="466"/>
      <c r="I298" s="466"/>
      <c r="J298" s="466"/>
      <c r="K298" s="466"/>
      <c r="L298" s="279"/>
      <c r="N298" s="281"/>
      <c r="O298" s="429"/>
      <c r="P298" s="429"/>
    </row>
    <row r="299" spans="1:16">
      <c r="A299" s="404" t="s">
        <v>449</v>
      </c>
      <c r="B299" s="466" t="s">
        <v>450</v>
      </c>
      <c r="C299" s="466"/>
      <c r="D299" s="466"/>
      <c r="E299" s="466"/>
      <c r="F299" s="466"/>
      <c r="G299" s="466"/>
      <c r="H299" s="466"/>
      <c r="I299" s="466"/>
      <c r="J299" s="466"/>
      <c r="K299" s="466"/>
      <c r="L299" s="279"/>
      <c r="N299" s="281"/>
      <c r="O299" s="431"/>
      <c r="P299" s="429"/>
    </row>
    <row r="300" spans="1:16" ht="176.25" customHeight="1">
      <c r="A300" s="404" t="s">
        <v>451</v>
      </c>
      <c r="B300" s="467" t="s">
        <v>879</v>
      </c>
      <c r="C300" s="467"/>
      <c r="D300" s="467"/>
      <c r="E300" s="467"/>
      <c r="F300" s="467"/>
      <c r="G300" s="467"/>
      <c r="H300" s="467"/>
      <c r="I300" s="467"/>
      <c r="J300" s="467"/>
      <c r="K300" s="467"/>
      <c r="L300" s="279"/>
      <c r="N300" s="281"/>
      <c r="O300" s="431"/>
      <c r="P300" s="429"/>
    </row>
    <row r="301" spans="1:16" ht="32.25" customHeight="1">
      <c r="A301" s="404" t="s">
        <v>452</v>
      </c>
      <c r="B301" s="466" t="s">
        <v>453</v>
      </c>
      <c r="C301" s="466"/>
      <c r="D301" s="466"/>
      <c r="E301" s="466"/>
      <c r="F301" s="466"/>
      <c r="G301" s="466"/>
      <c r="H301" s="466"/>
      <c r="I301" s="466"/>
      <c r="J301" s="466"/>
      <c r="K301" s="466"/>
      <c r="L301" s="279"/>
      <c r="N301" s="281"/>
      <c r="O301" s="429"/>
      <c r="P301" s="429"/>
    </row>
    <row r="302" spans="1:16">
      <c r="A302" s="404" t="s">
        <v>454</v>
      </c>
      <c r="B302" s="466" t="s">
        <v>455</v>
      </c>
      <c r="C302" s="466"/>
      <c r="D302" s="466"/>
      <c r="E302" s="466"/>
      <c r="F302" s="466"/>
      <c r="G302" s="466"/>
      <c r="H302" s="466"/>
      <c r="I302" s="466"/>
      <c r="J302" s="466"/>
      <c r="K302" s="466"/>
      <c r="L302" s="279"/>
      <c r="N302" s="281"/>
      <c r="O302" s="429"/>
      <c r="P302" s="429"/>
    </row>
    <row r="303" spans="1:16" ht="48" customHeight="1">
      <c r="A303" s="404" t="s">
        <v>456</v>
      </c>
      <c r="B303" s="466" t="s">
        <v>457</v>
      </c>
      <c r="C303" s="466"/>
      <c r="D303" s="466"/>
      <c r="E303" s="466"/>
      <c r="F303" s="466"/>
      <c r="G303" s="466"/>
      <c r="H303" s="466"/>
      <c r="I303" s="466"/>
      <c r="J303" s="466"/>
      <c r="K303" s="466"/>
      <c r="L303" s="279"/>
      <c r="N303" s="281"/>
      <c r="O303" s="429"/>
      <c r="P303" s="429"/>
    </row>
    <row r="304" spans="1:16" ht="65.25" customHeight="1">
      <c r="A304" s="411" t="s">
        <v>458</v>
      </c>
      <c r="B304" s="466" t="s">
        <v>459</v>
      </c>
      <c r="C304" s="466"/>
      <c r="D304" s="466"/>
      <c r="E304" s="466"/>
      <c r="F304" s="466"/>
      <c r="G304" s="466"/>
      <c r="H304" s="466"/>
      <c r="I304" s="466"/>
      <c r="J304" s="466"/>
      <c r="K304" s="466"/>
      <c r="L304" s="279"/>
      <c r="N304" s="281"/>
      <c r="O304" s="429"/>
      <c r="P304" s="429"/>
    </row>
    <row r="305" spans="1:17">
      <c r="A305" s="411" t="s">
        <v>460</v>
      </c>
      <c r="B305" s="466" t="s">
        <v>461</v>
      </c>
      <c r="C305" s="466"/>
      <c r="D305" s="466"/>
      <c r="E305" s="466"/>
      <c r="F305" s="466"/>
      <c r="G305" s="466"/>
      <c r="H305" s="466"/>
      <c r="I305" s="466"/>
      <c r="J305" s="466"/>
      <c r="K305" s="466"/>
      <c r="L305" s="279"/>
      <c r="N305" s="281"/>
      <c r="O305" s="429"/>
      <c r="P305" s="429"/>
    </row>
    <row r="306" spans="1:17">
      <c r="A306" s="412" t="s">
        <v>462</v>
      </c>
      <c r="B306" s="466" t="s">
        <v>463</v>
      </c>
      <c r="C306" s="466"/>
      <c r="D306" s="466"/>
      <c r="E306" s="466"/>
      <c r="F306" s="466"/>
      <c r="G306" s="466"/>
      <c r="H306" s="466"/>
      <c r="I306" s="466"/>
      <c r="J306" s="466"/>
      <c r="K306" s="466"/>
      <c r="L306" s="279"/>
      <c r="N306" s="327"/>
      <c r="O306" s="429"/>
      <c r="P306" s="429"/>
    </row>
    <row r="307" spans="1:17">
      <c r="A307" s="412" t="s">
        <v>464</v>
      </c>
      <c r="B307" s="466" t="s">
        <v>465</v>
      </c>
      <c r="C307" s="466"/>
      <c r="D307" s="466"/>
      <c r="E307" s="466"/>
      <c r="F307" s="466"/>
      <c r="G307" s="466"/>
      <c r="H307" s="466"/>
      <c r="I307" s="466"/>
      <c r="J307" s="466"/>
      <c r="K307" s="466"/>
      <c r="L307" s="279"/>
      <c r="N307" s="327"/>
      <c r="O307" s="429"/>
      <c r="P307" s="429"/>
    </row>
    <row r="308" spans="1:17" s="333" customFormat="1" ht="32.25" customHeight="1">
      <c r="A308" s="411" t="s">
        <v>466</v>
      </c>
      <c r="B308" s="466" t="s">
        <v>467</v>
      </c>
      <c r="C308" s="466"/>
      <c r="D308" s="466"/>
      <c r="E308" s="466"/>
      <c r="F308" s="466"/>
      <c r="G308" s="466"/>
      <c r="H308" s="466"/>
      <c r="I308" s="466"/>
      <c r="J308" s="466"/>
      <c r="K308" s="466"/>
      <c r="L308" s="349"/>
      <c r="N308" s="331"/>
      <c r="O308" s="440"/>
      <c r="P308" s="440"/>
      <c r="Q308" s="450"/>
    </row>
    <row r="309" spans="1:17" s="351" customFormat="1">
      <c r="A309" s="412" t="s">
        <v>468</v>
      </c>
      <c r="B309" s="466" t="s">
        <v>469</v>
      </c>
      <c r="C309" s="466"/>
      <c r="D309" s="466"/>
      <c r="E309" s="466"/>
      <c r="F309" s="466"/>
      <c r="G309" s="466"/>
      <c r="H309" s="466"/>
      <c r="I309" s="466"/>
      <c r="J309" s="466"/>
      <c r="K309" s="466"/>
      <c r="L309" s="353"/>
      <c r="N309" s="350"/>
      <c r="O309" s="439"/>
      <c r="P309" s="439"/>
      <c r="Q309" s="445"/>
    </row>
    <row r="310" spans="1:17" s="351" customFormat="1" ht="33" customHeight="1">
      <c r="A310" s="411" t="s">
        <v>470</v>
      </c>
      <c r="B310" s="466" t="s">
        <v>471</v>
      </c>
      <c r="C310" s="466"/>
      <c r="D310" s="466"/>
      <c r="E310" s="466"/>
      <c r="F310" s="466"/>
      <c r="G310" s="466"/>
      <c r="H310" s="466"/>
      <c r="I310" s="466"/>
      <c r="J310" s="466"/>
      <c r="K310" s="466"/>
      <c r="L310" s="353"/>
      <c r="N310" s="350"/>
      <c r="O310" s="439"/>
      <c r="P310" s="439"/>
      <c r="Q310" s="445"/>
    </row>
    <row r="311" spans="1:17" s="351" customFormat="1" ht="15" customHeight="1">
      <c r="A311" s="411" t="s">
        <v>472</v>
      </c>
      <c r="B311" s="413" t="s">
        <v>473</v>
      </c>
      <c r="C311" s="414"/>
      <c r="D311" s="414"/>
      <c r="E311" s="414"/>
      <c r="F311" s="414"/>
      <c r="G311" s="414"/>
      <c r="H311" s="414"/>
      <c r="I311" s="414"/>
      <c r="J311" s="414"/>
      <c r="K311" s="414"/>
      <c r="L311" s="353"/>
      <c r="N311" s="350"/>
      <c r="O311" s="439"/>
      <c r="P311" s="439"/>
      <c r="Q311" s="445"/>
    </row>
    <row r="312" spans="1:17" s="351" customFormat="1" ht="15" customHeight="1">
      <c r="A312" s="411" t="s">
        <v>474</v>
      </c>
      <c r="B312" s="415" t="s">
        <v>475</v>
      </c>
      <c r="C312" s="414"/>
      <c r="D312" s="414"/>
      <c r="E312" s="414"/>
      <c r="F312" s="414"/>
      <c r="G312" s="414"/>
      <c r="H312" s="414"/>
      <c r="I312" s="414"/>
      <c r="J312" s="414"/>
      <c r="K312" s="414"/>
      <c r="L312" s="353"/>
      <c r="N312" s="350"/>
      <c r="O312" s="439"/>
      <c r="P312" s="439"/>
      <c r="Q312" s="445"/>
    </row>
    <row r="313" spans="1:17" s="351" customFormat="1" ht="15" customHeight="1">
      <c r="A313" s="416" t="s">
        <v>880</v>
      </c>
      <c r="B313" s="349" t="s">
        <v>881</v>
      </c>
      <c r="C313" s="274"/>
      <c r="D313" s="409"/>
      <c r="E313" s="409"/>
      <c r="F313" s="409"/>
      <c r="G313" s="409"/>
      <c r="H313" s="409"/>
      <c r="I313" s="409"/>
      <c r="J313" s="409"/>
      <c r="K313" s="409"/>
      <c r="L313" s="353"/>
      <c r="N313" s="350"/>
      <c r="O313" s="439"/>
      <c r="P313" s="439"/>
      <c r="Q313" s="445"/>
    </row>
    <row r="314" spans="1:17" s="351" customFormat="1" ht="15" customHeight="1">
      <c r="A314" s="416"/>
      <c r="B314" s="349" t="s">
        <v>882</v>
      </c>
      <c r="C314" s="274"/>
      <c r="D314" s="409"/>
      <c r="E314" s="409"/>
      <c r="F314" s="409"/>
      <c r="G314" s="409"/>
      <c r="H314" s="409"/>
      <c r="I314" s="409"/>
      <c r="J314" s="409"/>
      <c r="K314" s="409"/>
      <c r="L314" s="353"/>
      <c r="N314" s="350"/>
      <c r="O314" s="439"/>
      <c r="P314" s="439"/>
      <c r="Q314" s="445"/>
    </row>
    <row r="315" spans="1:17">
      <c r="A315" s="416" t="s">
        <v>883</v>
      </c>
      <c r="B315" s="349" t="s">
        <v>884</v>
      </c>
      <c r="D315" s="279"/>
      <c r="E315" s="279"/>
      <c r="F315" s="279"/>
      <c r="G315" s="279"/>
      <c r="H315" s="279"/>
      <c r="I315" s="279"/>
      <c r="J315" s="279"/>
      <c r="K315" s="279"/>
      <c r="N315" s="281"/>
      <c r="O315" s="429"/>
      <c r="P315" s="429"/>
    </row>
    <row r="316" spans="1:17">
      <c r="A316" s="416"/>
      <c r="B316" s="349" t="s">
        <v>885</v>
      </c>
      <c r="D316" s="279"/>
      <c r="E316" s="279"/>
      <c r="F316" s="279"/>
      <c r="G316" s="279"/>
      <c r="H316" s="279"/>
      <c r="I316" s="279"/>
      <c r="J316" s="279"/>
      <c r="K316" s="279"/>
      <c r="N316" s="281"/>
      <c r="O316" s="429"/>
      <c r="P316" s="429"/>
    </row>
    <row r="317" spans="1:17">
      <c r="A317" s="281"/>
      <c r="B317" s="279"/>
      <c r="C317" s="279"/>
      <c r="D317" s="279"/>
      <c r="E317" s="279"/>
      <c r="F317" s="279"/>
      <c r="G317" s="279"/>
      <c r="H317" s="279"/>
      <c r="I317" s="279"/>
      <c r="J317" s="279"/>
      <c r="K317" s="279"/>
      <c r="N317" s="281"/>
      <c r="O317" s="429"/>
      <c r="P317" s="429"/>
    </row>
    <row r="318" spans="1:17">
      <c r="A318" s="281"/>
      <c r="B318" s="279"/>
      <c r="C318" s="279"/>
      <c r="D318" s="279"/>
      <c r="E318" s="279"/>
      <c r="F318" s="279"/>
      <c r="G318" s="279"/>
      <c r="H318" s="279"/>
      <c r="I318" s="279"/>
      <c r="J318" s="279"/>
      <c r="K318" s="279"/>
      <c r="N318" s="281"/>
      <c r="O318" s="429"/>
      <c r="P318" s="429"/>
    </row>
    <row r="319" spans="1:17">
      <c r="A319" s="281"/>
      <c r="B319" s="279"/>
      <c r="C319" s="279"/>
      <c r="D319" s="279"/>
      <c r="E319" s="279"/>
      <c r="F319" s="279"/>
      <c r="G319" s="279"/>
      <c r="H319" s="279"/>
      <c r="I319" s="279"/>
      <c r="J319" s="279"/>
      <c r="K319" s="279"/>
      <c r="N319" s="281"/>
      <c r="O319" s="429"/>
      <c r="P319" s="429"/>
    </row>
    <row r="320" spans="1:17">
      <c r="A320" s="281"/>
      <c r="B320" s="417"/>
      <c r="C320" s="279"/>
      <c r="D320" s="279"/>
      <c r="E320" s="279"/>
      <c r="F320" s="279"/>
      <c r="G320" s="279"/>
      <c r="H320" s="279"/>
      <c r="I320" s="279"/>
      <c r="J320" s="279"/>
      <c r="K320" s="279"/>
      <c r="O320" s="429"/>
      <c r="P320" s="429"/>
    </row>
    <row r="321" spans="1:16">
      <c r="A321" s="281"/>
      <c r="B321" s="279"/>
      <c r="C321" s="279"/>
      <c r="D321" s="279"/>
      <c r="E321" s="279"/>
      <c r="F321" s="279"/>
      <c r="G321" s="279"/>
      <c r="H321" s="279"/>
      <c r="I321" s="279"/>
      <c r="J321" s="279"/>
      <c r="K321" s="279"/>
      <c r="N321" s="281"/>
      <c r="O321" s="429"/>
      <c r="P321" s="429"/>
    </row>
    <row r="322" spans="1:16">
      <c r="A322" s="281"/>
      <c r="B322" s="279"/>
      <c r="C322" s="279"/>
      <c r="D322" s="279"/>
      <c r="E322" s="279"/>
      <c r="F322" s="279"/>
      <c r="G322" s="279"/>
      <c r="H322" s="279"/>
      <c r="I322" s="279"/>
      <c r="J322" s="279"/>
      <c r="K322" s="279"/>
      <c r="N322" s="281"/>
      <c r="O322" s="429"/>
      <c r="P322" s="429"/>
    </row>
    <row r="323" spans="1:16">
      <c r="A323" s="281"/>
      <c r="B323" s="279"/>
      <c r="C323" s="279"/>
      <c r="D323" s="279"/>
      <c r="E323" s="279"/>
      <c r="F323" s="279"/>
      <c r="G323" s="279"/>
      <c r="H323" s="279"/>
      <c r="I323" s="279"/>
      <c r="J323" s="279"/>
      <c r="K323" s="279"/>
      <c r="N323" s="281"/>
      <c r="O323" s="429"/>
      <c r="P323" s="429"/>
    </row>
    <row r="324" spans="1:16">
      <c r="A324" s="281"/>
      <c r="B324" s="279"/>
      <c r="C324" s="279"/>
      <c r="D324" s="279"/>
      <c r="E324" s="279"/>
      <c r="F324" s="279"/>
      <c r="G324" s="279"/>
      <c r="H324" s="279"/>
      <c r="I324" s="279"/>
      <c r="J324" s="279"/>
      <c r="K324" s="279"/>
      <c r="N324" s="281"/>
      <c r="O324" s="429"/>
      <c r="P324" s="429"/>
    </row>
    <row r="325" spans="1:16">
      <c r="A325" s="281"/>
      <c r="B325" s="279"/>
      <c r="C325" s="279"/>
      <c r="D325" s="279"/>
      <c r="E325" s="279"/>
      <c r="F325" s="279"/>
      <c r="G325" s="279"/>
      <c r="H325" s="279"/>
      <c r="I325" s="279"/>
      <c r="J325" s="279"/>
      <c r="K325" s="279"/>
      <c r="N325" s="281"/>
      <c r="O325" s="429"/>
      <c r="P325" s="429"/>
    </row>
    <row r="326" spans="1:16">
      <c r="A326" s="281"/>
      <c r="B326" s="279"/>
      <c r="C326" s="279"/>
      <c r="D326" s="279"/>
      <c r="E326" s="279"/>
      <c r="F326" s="279"/>
      <c r="G326" s="279"/>
      <c r="H326" s="279"/>
      <c r="I326" s="279"/>
      <c r="J326" s="279"/>
      <c r="K326" s="279"/>
      <c r="N326" s="281"/>
      <c r="O326" s="429"/>
      <c r="P326" s="429"/>
    </row>
    <row r="327" spans="1:16">
      <c r="A327" s="281"/>
      <c r="B327" s="279"/>
      <c r="C327" s="279"/>
      <c r="D327" s="279"/>
      <c r="E327" s="279"/>
      <c r="F327" s="279"/>
      <c r="G327" s="279"/>
      <c r="H327" s="279"/>
      <c r="I327" s="279"/>
      <c r="J327" s="279"/>
      <c r="K327" s="279"/>
      <c r="N327" s="281"/>
      <c r="O327" s="429"/>
      <c r="P327" s="429"/>
    </row>
    <row r="328" spans="1:16">
      <c r="A328" s="281"/>
      <c r="B328" s="279"/>
      <c r="C328" s="279"/>
      <c r="D328" s="279"/>
      <c r="E328" s="279"/>
      <c r="F328" s="279"/>
      <c r="G328" s="279"/>
      <c r="H328" s="279"/>
      <c r="I328" s="279"/>
      <c r="J328" s="279"/>
      <c r="K328" s="279"/>
      <c r="N328" s="281"/>
      <c r="O328" s="429"/>
      <c r="P328" s="429"/>
    </row>
    <row r="329" spans="1:16">
      <c r="A329" s="281"/>
      <c r="B329" s="279"/>
      <c r="C329" s="279"/>
      <c r="D329" s="279"/>
      <c r="E329" s="279"/>
      <c r="F329" s="279"/>
      <c r="G329" s="279"/>
      <c r="H329" s="279"/>
      <c r="I329" s="279"/>
      <c r="J329" s="279"/>
      <c r="K329" s="279"/>
      <c r="N329" s="281"/>
      <c r="O329" s="429"/>
      <c r="P329" s="429"/>
    </row>
    <row r="330" spans="1:16">
      <c r="B330" s="279"/>
      <c r="C330" s="279"/>
      <c r="D330" s="279"/>
      <c r="E330" s="279"/>
      <c r="F330" s="279"/>
      <c r="G330" s="279"/>
      <c r="H330" s="279"/>
      <c r="I330" s="279"/>
      <c r="J330" s="279"/>
      <c r="K330" s="279"/>
      <c r="N330" s="281"/>
      <c r="O330" s="429"/>
      <c r="P330" s="429"/>
    </row>
    <row r="331" spans="1:16">
      <c r="B331" s="279"/>
      <c r="C331" s="279"/>
      <c r="D331" s="279"/>
      <c r="E331" s="279"/>
      <c r="F331" s="279"/>
      <c r="G331" s="279"/>
      <c r="H331" s="279"/>
      <c r="I331" s="279"/>
      <c r="J331" s="279"/>
      <c r="K331" s="279"/>
      <c r="N331" s="281"/>
      <c r="O331" s="429"/>
      <c r="P331" s="429"/>
    </row>
    <row r="332" spans="1:16">
      <c r="B332" s="279"/>
      <c r="C332" s="279"/>
      <c r="D332" s="279"/>
      <c r="E332" s="279"/>
      <c r="F332" s="279"/>
      <c r="G332" s="279"/>
      <c r="H332" s="279"/>
      <c r="I332" s="279"/>
      <c r="J332" s="279"/>
      <c r="K332" s="279"/>
      <c r="N332" s="281"/>
      <c r="O332" s="429"/>
      <c r="P332" s="429"/>
    </row>
    <row r="333" spans="1:16">
      <c r="B333" s="279"/>
      <c r="C333" s="279"/>
      <c r="D333" s="279"/>
      <c r="E333" s="279"/>
      <c r="F333" s="279"/>
      <c r="G333" s="279"/>
      <c r="H333" s="279"/>
      <c r="I333" s="279"/>
      <c r="J333" s="279"/>
      <c r="K333" s="279"/>
      <c r="N333" s="279"/>
      <c r="O333" s="429"/>
      <c r="P333" s="429"/>
    </row>
    <row r="334" spans="1:16">
      <c r="B334" s="279"/>
      <c r="C334" s="279"/>
      <c r="D334" s="279"/>
      <c r="E334" s="279"/>
      <c r="F334" s="279"/>
      <c r="G334" s="279"/>
      <c r="H334" s="279"/>
      <c r="I334" s="279"/>
      <c r="J334" s="279"/>
      <c r="K334" s="279"/>
      <c r="N334" s="279"/>
      <c r="O334" s="429"/>
      <c r="P334" s="429"/>
    </row>
    <row r="335" spans="1:16">
      <c r="B335" s="279"/>
      <c r="C335" s="279"/>
      <c r="D335" s="279"/>
      <c r="E335" s="279"/>
      <c r="F335" s="279"/>
      <c r="G335" s="279"/>
      <c r="H335" s="279"/>
      <c r="I335" s="279"/>
      <c r="J335" s="279"/>
      <c r="K335" s="279"/>
      <c r="N335" s="279"/>
      <c r="O335" s="429"/>
      <c r="P335" s="429"/>
    </row>
    <row r="336" spans="1:16">
      <c r="B336" s="279"/>
      <c r="C336" s="279"/>
      <c r="D336" s="279"/>
      <c r="E336" s="279"/>
      <c r="F336" s="279"/>
      <c r="G336" s="279"/>
      <c r="H336" s="279"/>
      <c r="I336" s="279"/>
      <c r="J336" s="279"/>
      <c r="K336" s="279"/>
      <c r="N336" s="279"/>
      <c r="O336" s="429"/>
      <c r="P336" s="429"/>
    </row>
    <row r="337" spans="2:16">
      <c r="B337" s="279"/>
      <c r="C337" s="279"/>
      <c r="D337" s="279"/>
      <c r="E337" s="279"/>
      <c r="F337" s="279"/>
      <c r="G337" s="279"/>
      <c r="H337" s="279"/>
      <c r="I337" s="279"/>
      <c r="J337" s="279"/>
      <c r="K337" s="279"/>
      <c r="N337" s="279"/>
      <c r="O337" s="429"/>
      <c r="P337" s="429"/>
    </row>
    <row r="338" spans="2:16">
      <c r="B338" s="279"/>
      <c r="C338" s="279"/>
      <c r="D338" s="279"/>
      <c r="E338" s="279"/>
      <c r="F338" s="279"/>
      <c r="G338" s="279"/>
      <c r="H338" s="279"/>
      <c r="I338" s="279"/>
      <c r="J338" s="279"/>
      <c r="K338" s="279"/>
      <c r="N338" s="279"/>
      <c r="O338" s="429"/>
      <c r="P338" s="429"/>
    </row>
    <row r="339" spans="2:16">
      <c r="J339" s="279"/>
      <c r="K339" s="279"/>
      <c r="N339" s="279"/>
      <c r="O339" s="429"/>
      <c r="P339" s="429"/>
    </row>
    <row r="340" spans="2:16">
      <c r="N340" s="279"/>
      <c r="O340" s="429"/>
      <c r="P340" s="429"/>
    </row>
    <row r="341" spans="2:16">
      <c r="N341" s="279"/>
      <c r="O341" s="429"/>
      <c r="P341" s="429"/>
    </row>
  </sheetData>
  <protectedRanges>
    <protectedRange sqref="I4:K4 D7:E7 D16:D17 I20:I21 I27:I33 D45:D46 D83:D87 D107:D111 D114 D118:D119 D149:D157 D161:D163 D168:D169 D171:D174 D183 D196 I196 D200 I200 I216:I217 I224 D232:D235 D239:D241 D245 D248:D249 I252 I257:I259 I261 I264:I267 D293:D295 L1:R7 D91:D95 L8:N10 Q8:R10 L11:R79 L80:N82 R80:R82 Q80:Q81 O82:Q82 L83:R145 L146:N147 Q146:R147 L148:R1048576" name="Range1"/>
    <protectedRange sqref="O8:P10 O80:P81 O146:P147" name="Range1_1"/>
  </protectedRanges>
  <mergeCells count="30">
    <mergeCell ref="B285:K285"/>
    <mergeCell ref="L223:Q223"/>
    <mergeCell ref="C274:D274"/>
    <mergeCell ref="B282:K282"/>
    <mergeCell ref="B283:K283"/>
    <mergeCell ref="B284:K284"/>
    <mergeCell ref="B298:K298"/>
    <mergeCell ref="B286:K286"/>
    <mergeCell ref="B287:K287"/>
    <mergeCell ref="B288:K288"/>
    <mergeCell ref="B289:K289"/>
    <mergeCell ref="B290:K290"/>
    <mergeCell ref="B291:K291"/>
    <mergeCell ref="B292:K292"/>
    <mergeCell ref="E294:K294"/>
    <mergeCell ref="E295:K295"/>
    <mergeCell ref="B296:K296"/>
    <mergeCell ref="B297:K297"/>
    <mergeCell ref="B310:K310"/>
    <mergeCell ref="B299:K299"/>
    <mergeCell ref="B300:K300"/>
    <mergeCell ref="B301:K301"/>
    <mergeCell ref="B302:K302"/>
    <mergeCell ref="B303:K303"/>
    <mergeCell ref="B304:K304"/>
    <mergeCell ref="B305:K305"/>
    <mergeCell ref="B306:K306"/>
    <mergeCell ref="B307:K307"/>
    <mergeCell ref="B308:K308"/>
    <mergeCell ref="B309:K309"/>
  </mergeCells>
  <pageMargins left="0.5" right="0.5" top="0.75" bottom="0.75" header="0.09" footer="0.5"/>
  <pageSetup scale="61" fitToHeight="5" orientation="portrait" horizontalDpi="300" verticalDpi="300" r:id="rId1"/>
  <headerFooter alignWithMargins="0"/>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workbookViewId="0">
      <selection activeCell="I15" sqref="I15"/>
    </sheetView>
  </sheetViews>
  <sheetFormatPr defaultColWidth="9.109375" defaultRowHeight="14.4"/>
  <cols>
    <col min="1" max="1" width="14.5546875" style="5" customWidth="1"/>
    <col min="2" max="3" width="12.33203125" style="5" customWidth="1"/>
    <col min="4" max="4" width="12.44140625" style="5" customWidth="1"/>
    <col min="5" max="7" width="9.109375" style="5"/>
    <col min="8" max="8" width="12.5546875" style="12" bestFit="1" customWidth="1"/>
    <col min="9" max="11" width="9.109375" style="5"/>
    <col min="12" max="12" width="9.5546875" style="5" bestFit="1" customWidth="1"/>
    <col min="13" max="16384" width="9.109375" style="5"/>
  </cols>
  <sheetData>
    <row r="1" spans="1:8">
      <c r="A1" s="490" t="str">
        <f>+'Schedule 7'!A1:F1</f>
        <v>Worthington (Minnesota) Public Utilities</v>
      </c>
      <c r="B1" s="490"/>
      <c r="C1" s="490"/>
      <c r="D1" s="490"/>
      <c r="E1" s="490"/>
      <c r="F1" s="490"/>
      <c r="G1" s="490"/>
      <c r="H1" s="490"/>
    </row>
    <row r="2" spans="1:8">
      <c r="A2" s="491" t="str">
        <f>+'Schedule 2'!A4:F4</f>
        <v>For the Year Ended December 31, 2015</v>
      </c>
      <c r="B2" s="490"/>
      <c r="C2" s="490"/>
      <c r="D2" s="490"/>
      <c r="E2" s="490"/>
      <c r="F2" s="490"/>
      <c r="G2" s="490"/>
      <c r="H2" s="490"/>
    </row>
    <row r="3" spans="1:8">
      <c r="A3" s="490" t="s">
        <v>819</v>
      </c>
      <c r="B3" s="490"/>
      <c r="C3" s="490"/>
      <c r="D3" s="490"/>
      <c r="E3" s="490"/>
      <c r="F3" s="490"/>
      <c r="G3" s="490"/>
      <c r="H3" s="490"/>
    </row>
    <row r="6" spans="1:8">
      <c r="A6" s="203">
        <v>2015</v>
      </c>
      <c r="B6" s="273" t="s">
        <v>820</v>
      </c>
      <c r="C6" s="273" t="s">
        <v>821</v>
      </c>
      <c r="D6" s="273" t="s">
        <v>144</v>
      </c>
      <c r="H6" s="419"/>
    </row>
    <row r="7" spans="1:8">
      <c r="A7" s="6"/>
      <c r="B7" s="7"/>
      <c r="C7" s="7"/>
      <c r="D7" s="7"/>
    </row>
    <row r="8" spans="1:8">
      <c r="A8" s="451" t="s">
        <v>907</v>
      </c>
      <c r="B8" s="256">
        <f>590.53+91.73</f>
        <v>682.26</v>
      </c>
      <c r="C8" s="256">
        <v>37342.42</v>
      </c>
      <c r="D8" s="12">
        <f t="shared" ref="D8" si="0">B8+C8</f>
        <v>38024.68</v>
      </c>
      <c r="F8" s="257" t="s">
        <v>908</v>
      </c>
    </row>
    <row r="9" spans="1:8">
      <c r="A9" s="202" t="s">
        <v>785</v>
      </c>
      <c r="B9" s="255">
        <f>576.09+38.97</f>
        <v>615.06000000000006</v>
      </c>
      <c r="C9" s="255">
        <v>39252.35</v>
      </c>
      <c r="D9" s="12">
        <f t="shared" ref="D9:D18" si="1">B9+C9</f>
        <v>39867.409999999996</v>
      </c>
    </row>
    <row r="10" spans="1:8">
      <c r="A10" s="202" t="s">
        <v>786</v>
      </c>
      <c r="B10" s="255">
        <f>546.5+96.14</f>
        <v>642.64</v>
      </c>
      <c r="C10" s="255">
        <v>33485.69</v>
      </c>
      <c r="D10" s="12">
        <f t="shared" si="1"/>
        <v>34128.33</v>
      </c>
    </row>
    <row r="11" spans="1:8">
      <c r="A11" s="202" t="s">
        <v>787</v>
      </c>
      <c r="B11" s="255">
        <f>568.27+37.26</f>
        <v>605.53</v>
      </c>
      <c r="C11" s="255">
        <v>36070.949999999997</v>
      </c>
      <c r="D11" s="12">
        <f t="shared" si="1"/>
        <v>36676.479999999996</v>
      </c>
    </row>
    <row r="12" spans="1:8">
      <c r="A12" s="202" t="s">
        <v>788</v>
      </c>
      <c r="B12" s="255">
        <f>551.28+38.98</f>
        <v>590.26</v>
      </c>
      <c r="C12" s="255">
        <v>30096.55</v>
      </c>
      <c r="D12" s="12">
        <f t="shared" si="1"/>
        <v>30686.809999999998</v>
      </c>
    </row>
    <row r="13" spans="1:8">
      <c r="A13" s="202" t="s">
        <v>789</v>
      </c>
      <c r="B13" s="255">
        <f>618.43+36.85</f>
        <v>655.28</v>
      </c>
      <c r="C13" s="255">
        <v>33077.18</v>
      </c>
      <c r="D13" s="12">
        <f t="shared" si="1"/>
        <v>33732.46</v>
      </c>
    </row>
    <row r="14" spans="1:8">
      <c r="A14" s="202" t="s">
        <v>790</v>
      </c>
      <c r="B14" s="255">
        <f>676.18+36.59</f>
        <v>712.77</v>
      </c>
      <c r="C14" s="255">
        <v>44453.46</v>
      </c>
      <c r="D14" s="12">
        <f t="shared" si="1"/>
        <v>45166.229999999996</v>
      </c>
    </row>
    <row r="15" spans="1:8">
      <c r="A15" s="202" t="s">
        <v>791</v>
      </c>
      <c r="B15" s="255">
        <f>695.01+39.63</f>
        <v>734.64</v>
      </c>
      <c r="C15" s="255">
        <v>50940.24</v>
      </c>
      <c r="D15" s="12">
        <f t="shared" si="1"/>
        <v>51674.879999999997</v>
      </c>
    </row>
    <row r="16" spans="1:8">
      <c r="A16" s="202" t="s">
        <v>792</v>
      </c>
      <c r="B16" s="255">
        <f>697.3+25.46</f>
        <v>722.76</v>
      </c>
      <c r="C16" s="255">
        <v>47982.05</v>
      </c>
      <c r="D16" s="12">
        <f t="shared" si="1"/>
        <v>48704.810000000005</v>
      </c>
    </row>
    <row r="17" spans="1:13">
      <c r="A17" s="202" t="s">
        <v>793</v>
      </c>
      <c r="B17" s="255">
        <f>673+42.7</f>
        <v>715.7</v>
      </c>
      <c r="C17" s="255">
        <v>48417.07</v>
      </c>
      <c r="D17" s="12">
        <f t="shared" si="1"/>
        <v>49132.77</v>
      </c>
    </row>
    <row r="18" spans="1:13">
      <c r="A18" s="202" t="s">
        <v>794</v>
      </c>
      <c r="B18" s="255">
        <f>696.07+12.27</f>
        <v>708.34</v>
      </c>
      <c r="C18" s="255">
        <v>37715.75</v>
      </c>
      <c r="D18" s="12">
        <f t="shared" si="1"/>
        <v>38424.089999999997</v>
      </c>
    </row>
    <row r="19" spans="1:13">
      <c r="A19" s="202" t="s">
        <v>795</v>
      </c>
      <c r="B19" s="256">
        <f>630.23+24.01</f>
        <v>654.24</v>
      </c>
      <c r="C19" s="256">
        <v>36655.5</v>
      </c>
      <c r="D19" s="12">
        <f t="shared" ref="D19:D20" si="2">B19+C19</f>
        <v>37309.74</v>
      </c>
    </row>
    <row r="20" spans="1:13">
      <c r="A20" s="202" t="s">
        <v>796</v>
      </c>
      <c r="B20" s="256">
        <f>639.11+14.36</f>
        <v>653.47</v>
      </c>
      <c r="C20" s="256">
        <v>39228.17</v>
      </c>
      <c r="D20" s="12">
        <f t="shared" si="2"/>
        <v>39881.64</v>
      </c>
      <c r="F20" s="257"/>
    </row>
    <row r="21" spans="1:13">
      <c r="B21" s="12"/>
      <c r="C21" s="12"/>
      <c r="D21" s="12"/>
    </row>
    <row r="22" spans="1:13">
      <c r="A22" s="5" t="s">
        <v>144</v>
      </c>
      <c r="B22" s="13">
        <f>SUM(B8:B21)</f>
        <v>8692.9499999999989</v>
      </c>
      <c r="C22" s="13">
        <f t="shared" ref="C22:D22" si="3">SUM(C8:C21)</f>
        <v>514717.37999999995</v>
      </c>
      <c r="D22" s="13">
        <f t="shared" si="3"/>
        <v>523410.32999999996</v>
      </c>
    </row>
    <row r="23" spans="1:13">
      <c r="B23" s="8"/>
      <c r="C23" s="8"/>
      <c r="D23" s="8"/>
    </row>
    <row r="24" spans="1:13">
      <c r="D24" s="452"/>
    </row>
    <row r="28" spans="1:13">
      <c r="A28" s="45" t="s">
        <v>858</v>
      </c>
      <c r="B28" s="44"/>
      <c r="C28" s="44"/>
      <c r="D28" s="46"/>
      <c r="E28" s="44"/>
      <c r="F28" s="44"/>
      <c r="G28" s="44"/>
      <c r="H28" s="53"/>
    </row>
    <row r="29" spans="1:13" s="44" customFormat="1">
      <c r="A29" s="47" t="s">
        <v>859</v>
      </c>
      <c r="B29" s="48"/>
      <c r="C29" s="48"/>
      <c r="D29" s="49"/>
      <c r="E29" s="48"/>
      <c r="F29" s="48"/>
      <c r="G29" s="48"/>
      <c r="H29" s="10">
        <f>+B22</f>
        <v>8692.9499999999989</v>
      </c>
    </row>
    <row r="30" spans="1:13" s="44" customFormat="1">
      <c r="A30" s="47" t="s">
        <v>860</v>
      </c>
      <c r="B30" s="48"/>
      <c r="C30" s="48"/>
      <c r="D30" s="49"/>
      <c r="E30" s="48"/>
      <c r="F30" s="48"/>
      <c r="G30" s="48"/>
      <c r="H30" s="10">
        <f>+C22</f>
        <v>514717.37999999995</v>
      </c>
      <c r="M30" s="48"/>
    </row>
    <row r="31" spans="1:13" s="44" customFormat="1">
      <c r="A31" s="47" t="s">
        <v>861</v>
      </c>
      <c r="B31" s="48"/>
      <c r="C31" s="48"/>
      <c r="D31" s="49"/>
      <c r="E31" s="48"/>
      <c r="F31" s="48"/>
      <c r="G31" s="48"/>
      <c r="H31" s="10">
        <v>0</v>
      </c>
      <c r="M31" s="48"/>
    </row>
    <row r="32" spans="1:13" s="44" customFormat="1">
      <c r="A32" s="47" t="s">
        <v>862</v>
      </c>
      <c r="B32" s="48"/>
      <c r="C32" s="48"/>
      <c r="D32" s="49"/>
      <c r="E32" s="48"/>
      <c r="F32" s="48"/>
      <c r="G32" s="48"/>
      <c r="H32" s="10">
        <v>0</v>
      </c>
      <c r="M32" s="48"/>
    </row>
    <row r="33" spans="1:13" s="44" customFormat="1">
      <c r="A33" s="47" t="s">
        <v>863</v>
      </c>
      <c r="B33" s="48"/>
      <c r="C33" s="48"/>
      <c r="D33" s="48"/>
      <c r="E33" s="48"/>
      <c r="F33" s="48"/>
      <c r="G33" s="48"/>
      <c r="H33" s="10">
        <v>0</v>
      </c>
      <c r="M33" s="48"/>
    </row>
    <row r="34" spans="1:13" s="44" customFormat="1">
      <c r="A34" s="47" t="s">
        <v>864</v>
      </c>
      <c r="B34" s="48"/>
      <c r="C34" s="48"/>
      <c r="D34" s="48"/>
      <c r="E34" s="48"/>
      <c r="F34" s="48"/>
      <c r="G34" s="48"/>
      <c r="H34" s="10">
        <v>0</v>
      </c>
      <c r="M34" s="48"/>
    </row>
    <row r="35" spans="1:13" s="44" customFormat="1">
      <c r="A35" s="47" t="s">
        <v>865</v>
      </c>
      <c r="B35" s="48"/>
      <c r="C35" s="48"/>
      <c r="D35" s="48"/>
      <c r="E35" s="48"/>
      <c r="F35" s="48"/>
      <c r="G35" s="48"/>
      <c r="H35" s="10">
        <v>0</v>
      </c>
      <c r="M35" s="48"/>
    </row>
    <row r="36" spans="1:13" s="44" customFormat="1">
      <c r="A36" s="47" t="s">
        <v>866</v>
      </c>
      <c r="B36" s="48"/>
      <c r="C36" s="48"/>
      <c r="D36" s="48"/>
      <c r="E36" s="48"/>
      <c r="F36" s="48"/>
      <c r="G36" s="48"/>
      <c r="H36" s="10">
        <v>0</v>
      </c>
      <c r="M36" s="48"/>
    </row>
    <row r="37" spans="1:13" s="44" customFormat="1">
      <c r="A37" s="47" t="s">
        <v>866</v>
      </c>
      <c r="B37" s="48"/>
      <c r="C37" s="48"/>
      <c r="D37" s="48"/>
      <c r="E37" s="48"/>
      <c r="F37" s="48"/>
      <c r="G37" s="48"/>
      <c r="H37" s="10">
        <v>0</v>
      </c>
      <c r="M37" s="48"/>
    </row>
    <row r="38" spans="1:13" s="44" customFormat="1">
      <c r="A38" s="47" t="s">
        <v>867</v>
      </c>
      <c r="B38" s="48"/>
      <c r="C38" s="48"/>
      <c r="D38" s="48"/>
      <c r="E38" s="48"/>
      <c r="F38" s="48"/>
      <c r="G38" s="48"/>
      <c r="H38" s="54">
        <f>SUM(H29:H37)</f>
        <v>523410.32999999996</v>
      </c>
      <c r="M38" s="48"/>
    </row>
    <row r="39" spans="1:13" s="44" customFormat="1">
      <c r="A39" s="47"/>
      <c r="B39" s="48"/>
      <c r="C39" s="48"/>
      <c r="D39" s="48"/>
      <c r="E39" s="48"/>
      <c r="F39" s="48"/>
      <c r="G39" s="48"/>
      <c r="H39" s="55"/>
      <c r="M39" s="48"/>
    </row>
    <row r="40" spans="1:13" s="44" customFormat="1">
      <c r="A40" s="47"/>
      <c r="B40" s="48"/>
      <c r="C40" s="48"/>
      <c r="D40" s="48"/>
      <c r="E40" s="48"/>
      <c r="F40" s="48"/>
      <c r="G40" s="48"/>
      <c r="H40" s="56"/>
      <c r="M40" s="48"/>
    </row>
    <row r="41" spans="1:13" s="44" customFormat="1">
      <c r="A41" s="50" t="s">
        <v>402</v>
      </c>
      <c r="B41" s="48"/>
      <c r="C41" s="48"/>
      <c r="D41" s="48"/>
      <c r="E41" s="48"/>
      <c r="F41" s="48"/>
      <c r="G41" s="48"/>
      <c r="H41" s="56">
        <f>H38</f>
        <v>523410.32999999996</v>
      </c>
      <c r="M41" s="48"/>
    </row>
    <row r="42" spans="1:13" s="44" customFormat="1">
      <c r="A42" s="51" t="s">
        <v>868</v>
      </c>
      <c r="B42" s="48"/>
      <c r="C42" s="48"/>
      <c r="D42" s="48"/>
      <c r="E42" s="48"/>
      <c r="F42" s="48"/>
      <c r="G42" s="48"/>
      <c r="H42" s="56">
        <f>H31+H32+H30+H33</f>
        <v>514717.37999999995</v>
      </c>
      <c r="M42" s="48"/>
    </row>
    <row r="43" spans="1:13" s="44" customFormat="1">
      <c r="A43" s="52" t="s">
        <v>405</v>
      </c>
      <c r="B43" s="48"/>
      <c r="C43" s="48"/>
      <c r="D43" s="48"/>
      <c r="E43" s="48"/>
      <c r="F43" s="48"/>
      <c r="G43" s="48"/>
      <c r="H43" s="56">
        <f>H34</f>
        <v>0</v>
      </c>
      <c r="M43" s="48"/>
    </row>
    <row r="44" spans="1:13" s="44" customFormat="1">
      <c r="A44" s="52" t="s">
        <v>407</v>
      </c>
      <c r="B44" s="48"/>
      <c r="C44" s="48"/>
      <c r="D44" s="48"/>
      <c r="E44" s="48"/>
      <c r="F44" s="48"/>
      <c r="G44" s="48"/>
      <c r="H44" s="56">
        <f>H35</f>
        <v>0</v>
      </c>
      <c r="M44" s="48"/>
    </row>
    <row r="45" spans="1:13" s="44" customFormat="1">
      <c r="A45" s="52" t="s">
        <v>869</v>
      </c>
      <c r="B45" s="48"/>
      <c r="C45" s="48"/>
      <c r="D45" s="48"/>
      <c r="E45" s="48"/>
      <c r="F45" s="48"/>
      <c r="G45" s="48"/>
      <c r="H45" s="57">
        <f>H41-H42-H43-H44</f>
        <v>8692.9500000000116</v>
      </c>
      <c r="M45" s="48"/>
    </row>
    <row r="46" spans="1:13" s="44" customFormat="1">
      <c r="H46" s="58"/>
      <c r="M46" s="48"/>
    </row>
  </sheetData>
  <mergeCells count="3">
    <mergeCell ref="A1:H1"/>
    <mergeCell ref="A2:H2"/>
    <mergeCell ref="A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topLeftCell="A25" zoomScale="80" zoomScaleNormal="80" workbookViewId="0">
      <selection activeCell="G11" sqref="G11:K18"/>
    </sheetView>
  </sheetViews>
  <sheetFormatPr defaultColWidth="9.109375" defaultRowHeight="15.6"/>
  <cols>
    <col min="1" max="1" width="6.6640625" style="67" customWidth="1"/>
    <col min="2" max="2" width="39.6640625" style="67" customWidth="1"/>
    <col min="3" max="3" width="16.6640625" style="67" customWidth="1"/>
    <col min="4" max="4" width="6.6640625" style="67" customWidth="1"/>
    <col min="5" max="5" width="39.6640625" style="67" customWidth="1"/>
    <col min="6" max="6" width="16.6640625" style="67" customWidth="1"/>
    <col min="7" max="16384" width="9.109375" style="67"/>
  </cols>
  <sheetData>
    <row r="1" spans="1:11">
      <c r="A1" s="470" t="s">
        <v>476</v>
      </c>
      <c r="B1" s="471"/>
      <c r="C1" s="471"/>
      <c r="D1" s="471"/>
      <c r="E1" s="471"/>
      <c r="F1" s="471"/>
    </row>
    <row r="2" spans="1:11">
      <c r="A2" s="471" t="s">
        <v>0</v>
      </c>
      <c r="B2" s="471"/>
      <c r="C2" s="471"/>
      <c r="D2" s="471"/>
      <c r="E2" s="471"/>
      <c r="F2" s="471"/>
    </row>
    <row r="3" spans="1:11">
      <c r="A3" s="471" t="s">
        <v>174</v>
      </c>
      <c r="B3" s="471"/>
      <c r="C3" s="471"/>
      <c r="D3" s="471"/>
      <c r="E3" s="471"/>
      <c r="F3" s="471"/>
      <c r="I3" s="263"/>
    </row>
    <row r="4" spans="1:11">
      <c r="A4" s="472" t="s">
        <v>899</v>
      </c>
      <c r="B4" s="472"/>
      <c r="C4" s="472"/>
      <c r="D4" s="472"/>
      <c r="E4" s="472"/>
      <c r="F4" s="472"/>
    </row>
    <row r="6" spans="1:11">
      <c r="A6" s="473" t="s">
        <v>90</v>
      </c>
      <c r="B6" s="473"/>
      <c r="C6" s="473"/>
      <c r="D6" s="473"/>
      <c r="E6" s="473"/>
      <c r="F6" s="473"/>
    </row>
    <row r="7" spans="1:11">
      <c r="A7" s="68" t="s">
        <v>1</v>
      </c>
      <c r="B7" s="69"/>
      <c r="C7" s="70" t="s">
        <v>4</v>
      </c>
      <c r="D7" s="70" t="s">
        <v>1</v>
      </c>
      <c r="E7" s="69"/>
      <c r="F7" s="70" t="s">
        <v>4</v>
      </c>
    </row>
    <row r="8" spans="1:11">
      <c r="A8" s="71" t="s">
        <v>2</v>
      </c>
      <c r="B8" s="72" t="s">
        <v>3</v>
      </c>
      <c r="C8" s="72" t="s">
        <v>7</v>
      </c>
      <c r="D8" s="72" t="s">
        <v>5</v>
      </c>
      <c r="E8" s="72" t="s">
        <v>6</v>
      </c>
      <c r="F8" s="72" t="s">
        <v>7</v>
      </c>
    </row>
    <row r="9" spans="1:11">
      <c r="A9" s="73"/>
      <c r="B9" s="74" t="s">
        <v>21</v>
      </c>
      <c r="C9" s="75"/>
      <c r="D9" s="68"/>
      <c r="E9" s="74" t="s">
        <v>52</v>
      </c>
      <c r="F9" s="75"/>
    </row>
    <row r="10" spans="1:11">
      <c r="A10" s="73">
        <v>1</v>
      </c>
      <c r="B10" s="76" t="s">
        <v>8</v>
      </c>
      <c r="C10" s="208"/>
      <c r="D10" s="91"/>
      <c r="E10" s="89"/>
      <c r="F10" s="208"/>
    </row>
    <row r="11" spans="1:11">
      <c r="A11" s="71"/>
      <c r="B11" s="77" t="s">
        <v>9</v>
      </c>
      <c r="C11" s="461">
        <f>30382511-C12</f>
        <v>30354386</v>
      </c>
      <c r="D11" s="108">
        <v>29</v>
      </c>
      <c r="E11" s="205" t="s">
        <v>53</v>
      </c>
      <c r="F11" s="461">
        <v>0</v>
      </c>
      <c r="K11" s="421"/>
    </row>
    <row r="12" spans="1:11">
      <c r="A12" s="79">
        <v>2</v>
      </c>
      <c r="B12" s="80" t="s">
        <v>10</v>
      </c>
      <c r="C12" s="81">
        <v>28125</v>
      </c>
      <c r="D12" s="107">
        <v>30</v>
      </c>
      <c r="E12" s="82" t="s">
        <v>54</v>
      </c>
      <c r="F12" s="81"/>
      <c r="K12" s="144"/>
    </row>
    <row r="13" spans="1:11">
      <c r="A13" s="73">
        <v>3</v>
      </c>
      <c r="B13" s="76" t="s">
        <v>11</v>
      </c>
      <c r="C13" s="83"/>
      <c r="D13" s="91"/>
      <c r="E13" s="89"/>
      <c r="F13" s="83"/>
    </row>
    <row r="14" spans="1:11">
      <c r="A14" s="73"/>
      <c r="B14" s="84" t="s">
        <v>12</v>
      </c>
      <c r="C14" s="83"/>
      <c r="D14" s="91">
        <v>31</v>
      </c>
      <c r="E14" s="89" t="s">
        <v>55</v>
      </c>
      <c r="F14" s="83"/>
    </row>
    <row r="15" spans="1:11" ht="16.2" thickBot="1">
      <c r="A15" s="71"/>
      <c r="B15" s="77" t="s">
        <v>13</v>
      </c>
      <c r="C15" s="83">
        <v>13869721</v>
      </c>
      <c r="D15" s="108"/>
      <c r="E15" s="98" t="s">
        <v>56</v>
      </c>
      <c r="F15" s="83">
        <v>29707145</v>
      </c>
      <c r="K15" s="144"/>
    </row>
    <row r="16" spans="1:11" ht="16.2" thickBot="1">
      <c r="A16" s="79">
        <v>4</v>
      </c>
      <c r="B16" s="85" t="s">
        <v>14</v>
      </c>
      <c r="C16" s="206">
        <f>+C11+C12-C15</f>
        <v>16512790</v>
      </c>
      <c r="D16" s="86">
        <v>32</v>
      </c>
      <c r="E16" s="87" t="s">
        <v>57</v>
      </c>
      <c r="F16" s="206">
        <f>+F15+F11+F12</f>
        <v>29707145</v>
      </c>
    </row>
    <row r="17" spans="1:6">
      <c r="A17" s="88">
        <v>5</v>
      </c>
      <c r="B17" s="89" t="s">
        <v>15</v>
      </c>
      <c r="C17" s="207">
        <v>0</v>
      </c>
      <c r="D17" s="91"/>
      <c r="E17" s="90" t="s">
        <v>58</v>
      </c>
      <c r="F17" s="208"/>
    </row>
    <row r="18" spans="1:6">
      <c r="A18" s="91">
        <v>6</v>
      </c>
      <c r="B18" s="92" t="s">
        <v>11</v>
      </c>
      <c r="C18" s="208"/>
      <c r="D18" s="209"/>
      <c r="E18" s="89"/>
      <c r="F18" s="208"/>
    </row>
    <row r="19" spans="1:6">
      <c r="A19" s="73"/>
      <c r="B19" s="84" t="s">
        <v>16</v>
      </c>
      <c r="C19" s="208"/>
      <c r="D19" s="91"/>
      <c r="E19" s="89"/>
      <c r="F19" s="208"/>
    </row>
    <row r="20" spans="1:6">
      <c r="A20" s="73"/>
      <c r="B20" s="84" t="s">
        <v>17</v>
      </c>
      <c r="C20" s="208">
        <v>0</v>
      </c>
      <c r="D20" s="108">
        <v>33</v>
      </c>
      <c r="E20" s="205" t="s">
        <v>59</v>
      </c>
      <c r="F20" s="272">
        <v>230808</v>
      </c>
    </row>
    <row r="21" spans="1:6" ht="16.2" thickBot="1">
      <c r="A21" s="93">
        <v>7</v>
      </c>
      <c r="B21" s="94" t="s">
        <v>18</v>
      </c>
      <c r="C21" s="210"/>
      <c r="D21" s="209">
        <v>34</v>
      </c>
      <c r="E21" s="89" t="s">
        <v>60</v>
      </c>
      <c r="F21" s="208"/>
    </row>
    <row r="22" spans="1:6" ht="16.2" thickBot="1">
      <c r="A22" s="71"/>
      <c r="B22" s="95" t="s">
        <v>19</v>
      </c>
      <c r="C22" s="206">
        <f>+C16+C17-C20</f>
        <v>16512790</v>
      </c>
      <c r="D22" s="211"/>
      <c r="E22" s="98" t="s">
        <v>61</v>
      </c>
      <c r="F22" s="212"/>
    </row>
    <row r="23" spans="1:6">
      <c r="A23" s="73"/>
      <c r="B23" s="96" t="s">
        <v>20</v>
      </c>
      <c r="C23" s="208"/>
      <c r="D23" s="91">
        <v>35</v>
      </c>
      <c r="E23" s="89" t="s">
        <v>62</v>
      </c>
      <c r="F23" s="208"/>
    </row>
    <row r="24" spans="1:6">
      <c r="A24" s="71">
        <v>8</v>
      </c>
      <c r="B24" s="78" t="s">
        <v>22</v>
      </c>
      <c r="C24" s="213">
        <v>0</v>
      </c>
      <c r="D24" s="108"/>
      <c r="E24" s="98" t="s">
        <v>63</v>
      </c>
      <c r="F24" s="213"/>
    </row>
    <row r="25" spans="1:6">
      <c r="A25" s="73">
        <v>9</v>
      </c>
      <c r="B25" s="76" t="s">
        <v>11</v>
      </c>
      <c r="C25" s="214"/>
      <c r="D25" s="91">
        <v>36</v>
      </c>
      <c r="E25" s="89" t="s">
        <v>64</v>
      </c>
      <c r="F25" s="214"/>
    </row>
    <row r="26" spans="1:6">
      <c r="A26" s="71"/>
      <c r="B26" s="77" t="s">
        <v>23</v>
      </c>
      <c r="C26" s="213">
        <v>0</v>
      </c>
      <c r="D26" s="108"/>
      <c r="E26" s="98" t="s">
        <v>65</v>
      </c>
      <c r="F26" s="213"/>
    </row>
    <row r="27" spans="1:6" ht="16.2" thickBot="1">
      <c r="A27" s="73">
        <v>10</v>
      </c>
      <c r="B27" s="76" t="s">
        <v>24</v>
      </c>
      <c r="C27" s="214"/>
      <c r="D27" s="91"/>
      <c r="E27" s="89"/>
      <c r="F27" s="214"/>
    </row>
    <row r="28" spans="1:6" ht="16.2" thickBot="1">
      <c r="A28" s="71"/>
      <c r="B28" s="77" t="s">
        <v>25</v>
      </c>
      <c r="C28" s="213">
        <v>0</v>
      </c>
      <c r="D28" s="108">
        <v>37</v>
      </c>
      <c r="E28" s="100" t="s">
        <v>66</v>
      </c>
      <c r="F28" s="215">
        <f>+F20+F22+F24-F26</f>
        <v>230808</v>
      </c>
    </row>
    <row r="29" spans="1:6" ht="16.2" thickBot="1">
      <c r="A29" s="79">
        <v>11</v>
      </c>
      <c r="B29" s="80" t="s">
        <v>26</v>
      </c>
      <c r="C29" s="216">
        <v>0</v>
      </c>
      <c r="D29" s="108"/>
      <c r="E29" s="205"/>
      <c r="F29" s="213"/>
    </row>
    <row r="30" spans="1:6" ht="16.2" thickBot="1">
      <c r="A30" s="79">
        <v>12</v>
      </c>
      <c r="B30" s="102" t="s">
        <v>27</v>
      </c>
      <c r="C30" s="215">
        <f>+C24+C26+C28+C29</f>
        <v>0</v>
      </c>
      <c r="D30" s="211"/>
      <c r="E30" s="217" t="s">
        <v>67</v>
      </c>
      <c r="F30" s="213"/>
    </row>
    <row r="31" spans="1:6">
      <c r="A31" s="73"/>
      <c r="B31" s="96" t="s">
        <v>28</v>
      </c>
      <c r="C31" s="214"/>
      <c r="D31" s="107">
        <v>38</v>
      </c>
      <c r="E31" s="82" t="s">
        <v>68</v>
      </c>
      <c r="F31" s="218">
        <v>0</v>
      </c>
    </row>
    <row r="32" spans="1:6" ht="16.2" thickBot="1">
      <c r="A32" s="73">
        <v>13</v>
      </c>
      <c r="B32" s="76" t="s">
        <v>29</v>
      </c>
      <c r="C32" s="214"/>
      <c r="D32" s="107">
        <v>39</v>
      </c>
      <c r="E32" s="82" t="s">
        <v>69</v>
      </c>
      <c r="F32" s="216">
        <v>0</v>
      </c>
    </row>
    <row r="33" spans="1:6" ht="16.2" thickBot="1">
      <c r="A33" s="71"/>
      <c r="B33" s="77" t="s">
        <v>30</v>
      </c>
      <c r="C33" s="105">
        <v>13892024</v>
      </c>
      <c r="D33" s="108">
        <v>40</v>
      </c>
      <c r="E33" s="100" t="s">
        <v>70</v>
      </c>
      <c r="F33" s="215">
        <f>SUM(F31:F32)</f>
        <v>0</v>
      </c>
    </row>
    <row r="34" spans="1:6">
      <c r="A34" s="73">
        <v>14</v>
      </c>
      <c r="B34" s="76" t="s">
        <v>31</v>
      </c>
      <c r="C34" s="104"/>
      <c r="D34" s="91"/>
      <c r="E34" s="89"/>
      <c r="F34" s="214"/>
    </row>
    <row r="35" spans="1:6">
      <c r="A35" s="71"/>
      <c r="B35" s="77" t="s">
        <v>32</v>
      </c>
      <c r="C35" s="105">
        <v>85454</v>
      </c>
      <c r="D35" s="108"/>
      <c r="E35" s="217" t="s">
        <v>71</v>
      </c>
      <c r="F35" s="213"/>
    </row>
    <row r="36" spans="1:6">
      <c r="A36" s="79">
        <v>15</v>
      </c>
      <c r="B36" s="80" t="s">
        <v>33</v>
      </c>
      <c r="C36" s="106">
        <v>1901002</v>
      </c>
      <c r="D36" s="108">
        <v>41</v>
      </c>
      <c r="E36" s="205" t="s">
        <v>72</v>
      </c>
      <c r="F36" s="213">
        <v>0</v>
      </c>
    </row>
    <row r="37" spans="1:6">
      <c r="A37" s="73">
        <v>16</v>
      </c>
      <c r="B37" s="76" t="s">
        <v>11</v>
      </c>
      <c r="C37" s="104"/>
      <c r="D37" s="91"/>
      <c r="E37" s="89"/>
      <c r="F37" s="214"/>
    </row>
    <row r="38" spans="1:6">
      <c r="A38" s="71"/>
      <c r="B38" s="77" t="s">
        <v>34</v>
      </c>
      <c r="C38" s="105"/>
      <c r="D38" s="108">
        <v>42</v>
      </c>
      <c r="E38" s="205" t="s">
        <v>73</v>
      </c>
      <c r="F38" s="105">
        <v>1459184</v>
      </c>
    </row>
    <row r="39" spans="1:6">
      <c r="A39" s="73">
        <v>17</v>
      </c>
      <c r="B39" s="76" t="s">
        <v>35</v>
      </c>
      <c r="C39" s="104"/>
      <c r="D39" s="91">
        <v>43</v>
      </c>
      <c r="E39" s="89" t="s">
        <v>75</v>
      </c>
      <c r="F39" s="104"/>
    </row>
    <row r="40" spans="1:6">
      <c r="A40" s="71"/>
      <c r="B40" s="77" t="s">
        <v>36</v>
      </c>
      <c r="C40" s="105"/>
      <c r="D40" s="108"/>
      <c r="E40" s="98" t="s">
        <v>74</v>
      </c>
      <c r="F40" s="105">
        <v>51899</v>
      </c>
    </row>
    <row r="41" spans="1:6">
      <c r="A41" s="79">
        <v>18</v>
      </c>
      <c r="B41" s="80" t="s">
        <v>37</v>
      </c>
      <c r="C41" s="106"/>
      <c r="D41" s="108">
        <v>44</v>
      </c>
      <c r="E41" s="205" t="s">
        <v>76</v>
      </c>
      <c r="F41" s="105">
        <v>147617</v>
      </c>
    </row>
    <row r="42" spans="1:6">
      <c r="A42" s="79">
        <v>19</v>
      </c>
      <c r="B42" s="80" t="s">
        <v>38</v>
      </c>
      <c r="C42" s="106"/>
      <c r="D42" s="108">
        <v>45</v>
      </c>
      <c r="E42" s="205" t="s">
        <v>77</v>
      </c>
      <c r="F42" s="213"/>
    </row>
    <row r="43" spans="1:6">
      <c r="A43" s="79">
        <v>20</v>
      </c>
      <c r="B43" s="80" t="s">
        <v>39</v>
      </c>
      <c r="C43" s="106">
        <v>28840</v>
      </c>
      <c r="D43" s="108">
        <v>46</v>
      </c>
      <c r="E43" s="205" t="s">
        <v>78</v>
      </c>
      <c r="F43" s="213"/>
    </row>
    <row r="44" spans="1:6" ht="16.2" thickBot="1">
      <c r="A44" s="107">
        <v>21</v>
      </c>
      <c r="B44" s="80" t="s">
        <v>40</v>
      </c>
      <c r="C44" s="218">
        <v>0</v>
      </c>
      <c r="D44" s="108">
        <v>47</v>
      </c>
      <c r="E44" s="205" t="s">
        <v>79</v>
      </c>
      <c r="F44" s="214">
        <v>823457</v>
      </c>
    </row>
    <row r="45" spans="1:6" ht="16.2" thickBot="1">
      <c r="A45" s="107">
        <v>22</v>
      </c>
      <c r="B45" s="80" t="s">
        <v>41</v>
      </c>
      <c r="C45" s="216">
        <v>0</v>
      </c>
      <c r="D45" s="108">
        <v>48</v>
      </c>
      <c r="E45" s="100" t="s">
        <v>80</v>
      </c>
      <c r="F45" s="215">
        <f>+F44+F43+F42+F41+F40+F38+F36</f>
        <v>2482157</v>
      </c>
    </row>
    <row r="46" spans="1:6" ht="16.2" thickBot="1">
      <c r="A46" s="107">
        <v>23</v>
      </c>
      <c r="B46" s="102" t="s">
        <v>42</v>
      </c>
      <c r="C46" s="215">
        <f>+C33+C35+C36-C38+C40+C41+C42+C43+C44+C45</f>
        <v>15907320</v>
      </c>
      <c r="D46" s="211"/>
      <c r="E46" s="217" t="s">
        <v>84</v>
      </c>
      <c r="F46" s="213"/>
    </row>
    <row r="47" spans="1:6">
      <c r="A47" s="76"/>
      <c r="B47" s="96" t="s">
        <v>50</v>
      </c>
      <c r="C47" s="214"/>
      <c r="D47" s="91">
        <v>49</v>
      </c>
      <c r="E47" s="89" t="s">
        <v>85</v>
      </c>
      <c r="F47" s="214"/>
    </row>
    <row r="48" spans="1:6">
      <c r="A48" s="108">
        <v>24</v>
      </c>
      <c r="B48" s="78" t="s">
        <v>43</v>
      </c>
      <c r="C48" s="97">
        <v>0</v>
      </c>
      <c r="D48" s="71"/>
      <c r="E48" s="109" t="s">
        <v>86</v>
      </c>
      <c r="F48" s="97">
        <v>0</v>
      </c>
    </row>
    <row r="49" spans="1:6">
      <c r="A49" s="91">
        <v>25</v>
      </c>
      <c r="B49" s="76" t="s">
        <v>44</v>
      </c>
      <c r="C49" s="99"/>
      <c r="D49" s="91">
        <v>50</v>
      </c>
      <c r="E49" s="76" t="s">
        <v>87</v>
      </c>
      <c r="F49" s="99"/>
    </row>
    <row r="50" spans="1:6">
      <c r="A50" s="78"/>
      <c r="B50" s="77" t="s">
        <v>45</v>
      </c>
      <c r="C50" s="97">
        <v>0</v>
      </c>
      <c r="D50" s="71"/>
      <c r="E50" s="77" t="s">
        <v>88</v>
      </c>
      <c r="F50" s="97">
        <v>0</v>
      </c>
    </row>
    <row r="51" spans="1:6">
      <c r="A51" s="91">
        <v>26</v>
      </c>
      <c r="B51" s="76" t="s">
        <v>46</v>
      </c>
      <c r="C51" s="99"/>
      <c r="D51" s="73"/>
      <c r="E51" s="76"/>
      <c r="F51" s="99"/>
    </row>
    <row r="52" spans="1:6">
      <c r="A52" s="73"/>
      <c r="B52" s="84" t="s">
        <v>47</v>
      </c>
      <c r="C52" s="99"/>
      <c r="D52" s="73">
        <v>51</v>
      </c>
      <c r="E52" s="76" t="s">
        <v>83</v>
      </c>
      <c r="F52" s="99"/>
    </row>
    <row r="53" spans="1:6" ht="16.2" thickBot="1">
      <c r="A53" s="71"/>
      <c r="B53" s="77" t="s">
        <v>48</v>
      </c>
      <c r="C53" s="99">
        <v>0</v>
      </c>
      <c r="D53" s="71"/>
      <c r="E53" s="109" t="s">
        <v>89</v>
      </c>
      <c r="F53" s="99">
        <v>0</v>
      </c>
    </row>
    <row r="54" spans="1:6" ht="16.2" thickBot="1">
      <c r="A54" s="79">
        <v>27</v>
      </c>
      <c r="B54" s="102" t="s">
        <v>49</v>
      </c>
      <c r="C54" s="101">
        <f>C48+C50+C53</f>
        <v>0</v>
      </c>
      <c r="D54" s="72">
        <v>52</v>
      </c>
      <c r="E54" s="103" t="s">
        <v>82</v>
      </c>
      <c r="F54" s="101">
        <f>+F53+F50+F48</f>
        <v>0</v>
      </c>
    </row>
    <row r="55" spans="1:6" ht="16.2" thickBot="1">
      <c r="A55" s="73"/>
      <c r="B55" s="110"/>
      <c r="C55" s="111"/>
      <c r="D55" s="73"/>
      <c r="E55" s="76"/>
      <c r="F55" s="99"/>
    </row>
    <row r="56" spans="1:6" ht="16.2" thickBot="1">
      <c r="A56" s="112">
        <v>28</v>
      </c>
      <c r="B56" s="113" t="s">
        <v>51</v>
      </c>
      <c r="C56" s="114">
        <f>+C54+C46+C21+C22+C30</f>
        <v>32420110</v>
      </c>
      <c r="D56" s="115">
        <v>53</v>
      </c>
      <c r="E56" s="113" t="s">
        <v>81</v>
      </c>
      <c r="F56" s="114">
        <f>+F54+F45+F28+F16+F33</f>
        <v>32420110</v>
      </c>
    </row>
    <row r="57" spans="1:6">
      <c r="A57" s="116"/>
      <c r="B57" s="116"/>
      <c r="C57" s="117"/>
      <c r="D57" s="116"/>
      <c r="E57" s="116"/>
      <c r="F57" s="118">
        <f>+C56-F56</f>
        <v>0</v>
      </c>
    </row>
    <row r="58" spans="1:6">
      <c r="A58" s="116"/>
      <c r="B58" s="116"/>
      <c r="C58" s="117"/>
      <c r="D58" s="116"/>
      <c r="E58" s="116"/>
      <c r="F58" s="118"/>
    </row>
    <row r="59" spans="1:6">
      <c r="A59" s="116"/>
      <c r="B59" s="116"/>
      <c r="C59" s="119"/>
      <c r="D59" s="116"/>
      <c r="E59" s="116"/>
      <c r="F59" s="118"/>
    </row>
    <row r="60" spans="1:6">
      <c r="A60" s="116"/>
      <c r="B60" s="116"/>
      <c r="C60" s="119"/>
      <c r="D60" s="116"/>
      <c r="E60" s="116"/>
      <c r="F60" s="118"/>
    </row>
    <row r="61" spans="1:6">
      <c r="A61" s="116"/>
      <c r="B61" s="116"/>
      <c r="C61" s="119"/>
      <c r="D61" s="116"/>
      <c r="E61" s="116"/>
      <c r="F61" s="118"/>
    </row>
    <row r="62" spans="1:6">
      <c r="A62" s="116"/>
      <c r="B62" s="116"/>
      <c r="C62" s="119"/>
      <c r="D62" s="116"/>
      <c r="E62" s="116"/>
      <c r="F62" s="118"/>
    </row>
    <row r="63" spans="1:6">
      <c r="A63" s="116"/>
      <c r="B63" s="116"/>
      <c r="C63" s="119"/>
      <c r="D63" s="116"/>
      <c r="E63" s="116"/>
      <c r="F63" s="118"/>
    </row>
    <row r="64" spans="1:6">
      <c r="A64" s="116"/>
      <c r="B64" s="116"/>
      <c r="C64" s="119"/>
      <c r="D64" s="116"/>
      <c r="E64" s="116"/>
      <c r="F64" s="116"/>
    </row>
    <row r="65" spans="1:6">
      <c r="A65" s="116"/>
      <c r="B65" s="116"/>
      <c r="C65" s="119"/>
      <c r="D65" s="116"/>
      <c r="E65" s="116"/>
      <c r="F65" s="116"/>
    </row>
    <row r="66" spans="1:6">
      <c r="A66" s="116"/>
      <c r="B66" s="116"/>
      <c r="C66" s="119"/>
      <c r="D66" s="116"/>
      <c r="E66" s="116"/>
      <c r="F66" s="116"/>
    </row>
    <row r="67" spans="1:6">
      <c r="A67" s="116"/>
      <c r="B67" s="116"/>
      <c r="C67" s="119"/>
      <c r="D67" s="116"/>
      <c r="E67" s="116"/>
      <c r="F67" s="116"/>
    </row>
    <row r="68" spans="1:6">
      <c r="A68" s="116"/>
      <c r="B68" s="116"/>
      <c r="C68" s="119"/>
      <c r="D68" s="116"/>
      <c r="E68" s="116"/>
      <c r="F68" s="116"/>
    </row>
    <row r="69" spans="1:6">
      <c r="A69" s="116"/>
      <c r="B69" s="116"/>
      <c r="C69" s="116"/>
      <c r="D69" s="116"/>
      <c r="E69" s="116"/>
      <c r="F69" s="116"/>
    </row>
    <row r="70" spans="1:6">
      <c r="A70" s="116"/>
      <c r="B70" s="116"/>
      <c r="C70" s="116"/>
      <c r="D70" s="116"/>
      <c r="E70" s="116"/>
      <c r="F70" s="116"/>
    </row>
    <row r="71" spans="1:6">
      <c r="A71" s="116"/>
      <c r="B71" s="116"/>
      <c r="C71" s="116"/>
      <c r="D71" s="116"/>
      <c r="E71" s="116"/>
      <c r="F71" s="116"/>
    </row>
    <row r="72" spans="1:6">
      <c r="A72" s="116"/>
      <c r="B72" s="116"/>
      <c r="C72" s="116"/>
      <c r="D72" s="116"/>
      <c r="E72" s="116"/>
      <c r="F72" s="116"/>
    </row>
    <row r="73" spans="1:6">
      <c r="A73" s="116"/>
      <c r="B73" s="116"/>
      <c r="C73" s="116"/>
      <c r="D73" s="116"/>
      <c r="E73" s="116"/>
      <c r="F73" s="116"/>
    </row>
    <row r="74" spans="1:6">
      <c r="A74" s="116"/>
      <c r="B74" s="116"/>
      <c r="C74" s="116"/>
      <c r="D74" s="116"/>
      <c r="E74" s="116"/>
      <c r="F74" s="116"/>
    </row>
    <row r="75" spans="1:6">
      <c r="A75" s="116"/>
      <c r="B75" s="116"/>
      <c r="C75" s="116"/>
      <c r="D75" s="116"/>
      <c r="E75" s="116"/>
      <c r="F75" s="116"/>
    </row>
    <row r="76" spans="1:6">
      <c r="A76" s="116"/>
      <c r="B76" s="116"/>
      <c r="C76" s="116"/>
      <c r="D76" s="116"/>
      <c r="E76" s="116"/>
      <c r="F76" s="116"/>
    </row>
  </sheetData>
  <mergeCells count="5">
    <mergeCell ref="A1:F1"/>
    <mergeCell ref="A2:F2"/>
    <mergeCell ref="A4:F4"/>
    <mergeCell ref="A6:F6"/>
    <mergeCell ref="A3:F3"/>
  </mergeCells>
  <phoneticPr fontId="0" type="noConversion"/>
  <pageMargins left="0.47" right="0.45" top="1" bottom="0.5" header="0.5" footer="0.5"/>
  <pageSetup scale="78"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3"/>
  <sheetViews>
    <sheetView zoomScale="90" workbookViewId="0">
      <selection activeCell="D29" sqref="D29"/>
    </sheetView>
  </sheetViews>
  <sheetFormatPr defaultColWidth="9.109375" defaultRowHeight="15.6"/>
  <cols>
    <col min="1" max="1" width="6.6640625" style="67" customWidth="1"/>
    <col min="2" max="2" width="77.109375" style="67" customWidth="1"/>
    <col min="3" max="3" width="16.6640625" style="227" customWidth="1"/>
    <col min="4" max="4" width="78.6640625" style="67" bestFit="1" customWidth="1"/>
    <col min="5" max="16384" width="9.109375" style="67"/>
  </cols>
  <sheetData>
    <row r="1" spans="1:6">
      <c r="A1" s="471" t="str">
        <f>+'Schedule 2'!A1:F1</f>
        <v>Worthington (Minnesota) Public Utilities</v>
      </c>
      <c r="B1" s="471"/>
      <c r="C1" s="471"/>
      <c r="D1" s="120"/>
      <c r="E1" s="121"/>
      <c r="F1" s="121"/>
    </row>
    <row r="2" spans="1:6">
      <c r="A2" s="471" t="s">
        <v>0</v>
      </c>
      <c r="B2" s="471"/>
      <c r="C2" s="471"/>
      <c r="D2" s="122"/>
      <c r="E2" s="121"/>
      <c r="F2" s="121"/>
    </row>
    <row r="3" spans="1:6">
      <c r="A3" s="471" t="s">
        <v>175</v>
      </c>
      <c r="B3" s="471"/>
      <c r="C3" s="471"/>
      <c r="D3" s="122"/>
      <c r="E3" s="121"/>
      <c r="F3" s="121"/>
    </row>
    <row r="4" spans="1:6">
      <c r="A4" s="472" t="str">
        <f>+'Schedule 2'!A4:F4</f>
        <v>For the Year Ended December 31, 2015</v>
      </c>
      <c r="B4" s="472"/>
      <c r="C4" s="472"/>
      <c r="D4" s="123"/>
      <c r="E4" s="124"/>
      <c r="F4" s="124"/>
    </row>
    <row r="5" spans="1:6">
      <c r="A5" s="121"/>
      <c r="B5" s="121"/>
      <c r="C5" s="219"/>
      <c r="D5" s="265"/>
      <c r="E5" s="121"/>
      <c r="F5" s="121"/>
    </row>
    <row r="6" spans="1:6">
      <c r="A6" s="473" t="s">
        <v>91</v>
      </c>
      <c r="B6" s="473"/>
      <c r="C6" s="473"/>
      <c r="D6" s="126"/>
      <c r="E6" s="127"/>
      <c r="F6" s="127"/>
    </row>
    <row r="7" spans="1:6">
      <c r="A7" s="128" t="s">
        <v>1</v>
      </c>
      <c r="B7" s="129"/>
      <c r="C7" s="220" t="s">
        <v>93</v>
      </c>
      <c r="D7" s="130"/>
    </row>
    <row r="8" spans="1:6">
      <c r="A8" s="78" t="s">
        <v>2</v>
      </c>
      <c r="B8" s="131"/>
      <c r="C8" s="211" t="s">
        <v>7</v>
      </c>
      <c r="D8" s="130"/>
    </row>
    <row r="9" spans="1:6">
      <c r="A9" s="71">
        <v>1</v>
      </c>
      <c r="B9" s="131" t="s">
        <v>92</v>
      </c>
      <c r="C9" s="221">
        <v>20351158</v>
      </c>
      <c r="D9" s="132"/>
    </row>
    <row r="10" spans="1:6">
      <c r="A10" s="71">
        <v>2</v>
      </c>
      <c r="B10" s="131" t="s">
        <v>94</v>
      </c>
      <c r="C10" s="145">
        <v>18209881</v>
      </c>
      <c r="D10" s="133">
        <f>+C10-'Schedule 7'!D31-'Schedule 7'!C19</f>
        <v>0</v>
      </c>
    </row>
    <row r="11" spans="1:6">
      <c r="A11" s="71">
        <v>3</v>
      </c>
      <c r="B11" s="131" t="s">
        <v>95</v>
      </c>
      <c r="C11" s="145">
        <v>251812</v>
      </c>
      <c r="D11" s="133">
        <f>+C11-'Schedule 7'!E31</f>
        <v>0</v>
      </c>
      <c r="E11" s="134"/>
    </row>
    <row r="12" spans="1:6">
      <c r="A12" s="79">
        <v>4</v>
      </c>
      <c r="B12" s="135" t="s">
        <v>96</v>
      </c>
      <c r="C12" s="146">
        <v>908397</v>
      </c>
      <c r="D12" s="133">
        <f>+C12-'Schedule 4'!K28</f>
        <v>0</v>
      </c>
    </row>
    <row r="13" spans="1:6">
      <c r="A13" s="71">
        <v>5</v>
      </c>
      <c r="B13" s="131" t="s">
        <v>97</v>
      </c>
      <c r="C13" s="145"/>
      <c r="D13" s="133"/>
    </row>
    <row r="14" spans="1:6" ht="16.2" thickBot="1">
      <c r="A14" s="73">
        <v>6</v>
      </c>
      <c r="B14" s="69" t="s">
        <v>98</v>
      </c>
      <c r="C14" s="147">
        <v>634821</v>
      </c>
      <c r="D14" s="133">
        <f>+C14-'Schedule 5'!C10</f>
        <v>0</v>
      </c>
    </row>
    <row r="15" spans="1:6" ht="16.2" thickBot="1">
      <c r="A15" s="136">
        <v>7</v>
      </c>
      <c r="B15" s="137" t="s">
        <v>99</v>
      </c>
      <c r="C15" s="222">
        <f>SUM(C10:C14)</f>
        <v>20004911</v>
      </c>
      <c r="D15" s="138"/>
    </row>
    <row r="16" spans="1:6" ht="16.2" thickBot="1">
      <c r="A16" s="136">
        <v>8</v>
      </c>
      <c r="B16" s="139" t="s">
        <v>100</v>
      </c>
      <c r="C16" s="222">
        <f>+C9-C15</f>
        <v>346247</v>
      </c>
      <c r="D16" s="138"/>
    </row>
    <row r="17" spans="1:11" ht="16.2" thickBot="1">
      <c r="A17" s="73">
        <v>9</v>
      </c>
      <c r="B17" s="69" t="s">
        <v>101</v>
      </c>
      <c r="C17" s="223"/>
      <c r="D17" s="140"/>
    </row>
    <row r="18" spans="1:11" ht="16.2" thickBot="1">
      <c r="A18" s="136">
        <v>10</v>
      </c>
      <c r="B18" s="137" t="s">
        <v>102</v>
      </c>
      <c r="C18" s="222">
        <f>+C17+C16</f>
        <v>346247</v>
      </c>
      <c r="D18" s="138"/>
      <c r="E18" s="227"/>
      <c r="F18" s="227"/>
      <c r="G18" s="227"/>
      <c r="H18" s="227"/>
      <c r="I18" s="227"/>
      <c r="J18" s="227"/>
      <c r="K18" s="227"/>
    </row>
    <row r="19" spans="1:11">
      <c r="A19" s="71">
        <v>11</v>
      </c>
      <c r="B19" s="131" t="s">
        <v>103</v>
      </c>
      <c r="C19" s="145">
        <v>257087</v>
      </c>
      <c r="D19" s="141" t="s">
        <v>477</v>
      </c>
      <c r="E19" s="271"/>
      <c r="F19" s="227"/>
      <c r="G19" s="227"/>
      <c r="H19" s="227"/>
      <c r="I19" s="227"/>
      <c r="J19" s="227"/>
      <c r="K19" s="227"/>
    </row>
    <row r="20" spans="1:11">
      <c r="A20" s="71">
        <v>12</v>
      </c>
      <c r="B20" s="131" t="s">
        <v>104</v>
      </c>
      <c r="C20" s="224">
        <v>0</v>
      </c>
      <c r="D20" s="141" t="s">
        <v>527</v>
      </c>
      <c r="E20" s="227"/>
      <c r="F20" s="227"/>
      <c r="G20" s="227"/>
      <c r="H20" s="227"/>
      <c r="I20" s="227"/>
      <c r="J20" s="227"/>
      <c r="K20" s="227"/>
    </row>
    <row r="21" spans="1:11">
      <c r="A21" s="71">
        <v>13</v>
      </c>
      <c r="B21" s="131" t="s">
        <v>105</v>
      </c>
      <c r="C21" s="224"/>
      <c r="D21" s="140"/>
      <c r="E21" s="227"/>
      <c r="F21" s="227"/>
      <c r="G21" s="227"/>
      <c r="H21" s="227"/>
      <c r="I21" s="227"/>
      <c r="J21" s="227"/>
      <c r="K21" s="227"/>
    </row>
    <row r="22" spans="1:11" ht="16.2" thickBot="1">
      <c r="A22" s="73">
        <v>14</v>
      </c>
      <c r="B22" s="69" t="s">
        <v>106</v>
      </c>
      <c r="C22" s="223"/>
      <c r="D22" s="140"/>
    </row>
    <row r="23" spans="1:11" ht="16.2" thickBot="1">
      <c r="A23" s="136">
        <v>15</v>
      </c>
      <c r="B23" s="137" t="s">
        <v>107</v>
      </c>
      <c r="C23" s="222">
        <f>+C18+C19-C20-C21-C22</f>
        <v>603334</v>
      </c>
      <c r="D23" s="138"/>
    </row>
    <row r="24" spans="1:11">
      <c r="A24" s="71">
        <v>16</v>
      </c>
      <c r="B24" s="131" t="s">
        <v>108</v>
      </c>
      <c r="C24" s="145">
        <v>13650</v>
      </c>
      <c r="D24" s="133"/>
    </row>
    <row r="25" spans="1:11">
      <c r="A25" s="71">
        <v>17</v>
      </c>
      <c r="B25" s="131" t="s">
        <v>109</v>
      </c>
      <c r="C25" s="145">
        <v>-1599</v>
      </c>
      <c r="D25" s="133"/>
    </row>
    <row r="26" spans="1:11" ht="16.2" thickBot="1">
      <c r="A26" s="73">
        <v>18</v>
      </c>
      <c r="B26" s="69" t="s">
        <v>110</v>
      </c>
      <c r="C26" s="223">
        <v>0</v>
      </c>
      <c r="D26" s="140"/>
    </row>
    <row r="27" spans="1:11" ht="16.2" thickBot="1">
      <c r="A27" s="136">
        <v>19</v>
      </c>
      <c r="B27" s="137" t="s">
        <v>111</v>
      </c>
      <c r="C27" s="222">
        <f>SUM(C24:C26)</f>
        <v>12051</v>
      </c>
      <c r="D27" s="138"/>
    </row>
    <row r="28" spans="1:11" ht="16.2" thickBot="1">
      <c r="A28" s="136">
        <v>20</v>
      </c>
      <c r="B28" s="137" t="s">
        <v>112</v>
      </c>
      <c r="C28" s="222">
        <f>+C23-C27</f>
        <v>591283</v>
      </c>
      <c r="D28" s="138"/>
    </row>
    <row r="29" spans="1:11">
      <c r="A29" s="71">
        <v>21</v>
      </c>
      <c r="B29" s="131" t="s">
        <v>113</v>
      </c>
      <c r="C29" s="224">
        <v>0</v>
      </c>
      <c r="D29" s="140"/>
    </row>
    <row r="30" spans="1:11" ht="16.2" thickBot="1">
      <c r="A30" s="73">
        <v>22</v>
      </c>
      <c r="B30" s="69" t="s">
        <v>114</v>
      </c>
      <c r="C30" s="223">
        <v>0</v>
      </c>
      <c r="D30" s="140"/>
    </row>
    <row r="31" spans="1:11" ht="16.2" thickBot="1">
      <c r="A31" s="136">
        <v>23</v>
      </c>
      <c r="B31" s="139" t="s">
        <v>115</v>
      </c>
      <c r="C31" s="225">
        <f>SUM(C28:C30)</f>
        <v>591283</v>
      </c>
      <c r="D31" s="142"/>
    </row>
    <row r="32" spans="1:11">
      <c r="A32" s="116"/>
      <c r="B32" s="116"/>
      <c r="C32" s="226"/>
      <c r="D32" s="119"/>
    </row>
    <row r="33" spans="1:4">
      <c r="A33" s="116"/>
      <c r="B33" s="116"/>
      <c r="C33" s="226"/>
      <c r="D33" s="119"/>
    </row>
    <row r="34" spans="1:4">
      <c r="A34" s="116"/>
      <c r="B34" s="143"/>
      <c r="C34" s="226"/>
      <c r="D34" s="119"/>
    </row>
    <row r="35" spans="1:4">
      <c r="A35" s="116"/>
      <c r="B35" s="116"/>
      <c r="C35" s="226"/>
      <c r="D35" s="119"/>
    </row>
    <row r="36" spans="1:4">
      <c r="A36" s="116"/>
      <c r="B36" s="116"/>
      <c r="C36" s="226"/>
      <c r="D36" s="119"/>
    </row>
    <row r="37" spans="1:4">
      <c r="A37" s="116"/>
      <c r="B37" s="116"/>
      <c r="C37" s="226"/>
      <c r="D37" s="119"/>
    </row>
    <row r="38" spans="1:4">
      <c r="A38" s="116"/>
      <c r="B38" s="116"/>
      <c r="C38" s="226"/>
      <c r="D38" s="119"/>
    </row>
    <row r="39" spans="1:4">
      <c r="A39" s="116"/>
      <c r="B39" s="116"/>
      <c r="C39" s="226"/>
      <c r="D39" s="119"/>
    </row>
    <row r="40" spans="1:4">
      <c r="A40" s="116"/>
      <c r="B40" s="116"/>
      <c r="C40" s="226"/>
      <c r="D40" s="119"/>
    </row>
    <row r="41" spans="1:4">
      <c r="A41" s="116"/>
      <c r="B41" s="116"/>
      <c r="C41" s="226"/>
      <c r="D41" s="119"/>
    </row>
    <row r="42" spans="1:4">
      <c r="A42" s="116"/>
      <c r="B42" s="116"/>
      <c r="C42" s="226"/>
      <c r="D42" s="119"/>
    </row>
    <row r="43" spans="1:4">
      <c r="A43" s="116"/>
      <c r="B43" s="116"/>
      <c r="C43" s="226"/>
      <c r="D43" s="119"/>
    </row>
    <row r="44" spans="1:4">
      <c r="C44" s="190"/>
      <c r="D44" s="144"/>
    </row>
    <row r="45" spans="1:4">
      <c r="C45" s="190"/>
      <c r="D45" s="144"/>
    </row>
    <row r="46" spans="1:4">
      <c r="C46" s="190"/>
      <c r="D46" s="144"/>
    </row>
    <row r="47" spans="1:4">
      <c r="C47" s="190"/>
      <c r="D47" s="144"/>
    </row>
    <row r="48" spans="1:4">
      <c r="C48" s="190"/>
      <c r="D48" s="144"/>
    </row>
    <row r="49" spans="3:4">
      <c r="C49" s="190"/>
      <c r="D49" s="144"/>
    </row>
    <row r="50" spans="3:4">
      <c r="C50" s="190"/>
      <c r="D50" s="144"/>
    </row>
    <row r="51" spans="3:4">
      <c r="C51" s="190"/>
      <c r="D51" s="144"/>
    </row>
    <row r="52" spans="3:4">
      <c r="C52" s="190"/>
      <c r="D52" s="144"/>
    </row>
    <row r="53" spans="3:4">
      <c r="C53" s="190"/>
      <c r="D53" s="144"/>
    </row>
  </sheetData>
  <mergeCells count="5">
    <mergeCell ref="A1:C1"/>
    <mergeCell ref="A2:C2"/>
    <mergeCell ref="A4:C4"/>
    <mergeCell ref="A6:C6"/>
    <mergeCell ref="A3:C3"/>
  </mergeCells>
  <phoneticPr fontId="0" type="noConversion"/>
  <pageMargins left="0.75" right="0.75" top="1" bottom="1" header="0.5" footer="0.5"/>
  <pageSetup scale="90"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90" workbookViewId="0">
      <selection activeCell="M27" sqref="M27"/>
    </sheetView>
  </sheetViews>
  <sheetFormatPr defaultColWidth="9.109375" defaultRowHeight="13.8"/>
  <cols>
    <col min="1" max="1" width="6.6640625" style="43" customWidth="1"/>
    <col min="2" max="2" width="29.33203125" style="43" customWidth="1"/>
    <col min="3" max="7" width="15.6640625" style="43" customWidth="1"/>
    <col min="8" max="8" width="9.109375" style="43"/>
    <col min="9" max="9" width="16.44140625" style="150" customWidth="1"/>
    <col min="10" max="10" width="1" style="150" customWidth="1"/>
    <col min="11" max="11" width="17.33203125" style="150" customWidth="1"/>
    <col min="12" max="12" width="1" style="150" customWidth="1"/>
    <col min="13" max="13" width="59.88671875" style="150" customWidth="1"/>
    <col min="14" max="14" width="15.33203125" style="43" customWidth="1"/>
    <col min="15" max="16384" width="9.109375" style="43"/>
  </cols>
  <sheetData>
    <row r="1" spans="1:13" ht="15.6">
      <c r="A1" s="471" t="str">
        <f>+'Schedule 2'!A1:F1</f>
        <v>Worthington (Minnesota) Public Utilities</v>
      </c>
      <c r="B1" s="471"/>
      <c r="C1" s="471"/>
      <c r="D1" s="471"/>
      <c r="E1" s="471"/>
      <c r="F1" s="471"/>
      <c r="G1" s="471"/>
    </row>
    <row r="2" spans="1:13" ht="15.6">
      <c r="A2" s="471" t="s">
        <v>0</v>
      </c>
      <c r="B2" s="471"/>
      <c r="C2" s="471"/>
      <c r="D2" s="471"/>
      <c r="E2" s="471"/>
      <c r="F2" s="471"/>
      <c r="G2" s="471"/>
    </row>
    <row r="3" spans="1:13" ht="15.6">
      <c r="A3" s="471" t="s">
        <v>176</v>
      </c>
      <c r="B3" s="471"/>
      <c r="C3" s="471"/>
      <c r="D3" s="471"/>
      <c r="E3" s="471"/>
      <c r="F3" s="471"/>
      <c r="G3" s="471"/>
    </row>
    <row r="4" spans="1:13" ht="15.6">
      <c r="A4" s="472" t="str">
        <f>+'Schedule 2'!A4:F4</f>
        <v>For the Year Ended December 31, 2015</v>
      </c>
      <c r="B4" s="472"/>
      <c r="C4" s="472"/>
      <c r="D4" s="472"/>
      <c r="E4" s="472"/>
      <c r="F4" s="472"/>
      <c r="G4" s="472"/>
    </row>
    <row r="5" spans="1:13">
      <c r="A5" s="40"/>
      <c r="B5" s="40"/>
      <c r="C5" s="40"/>
    </row>
    <row r="6" spans="1:13" ht="14.4">
      <c r="A6" s="474" t="s">
        <v>21</v>
      </c>
      <c r="B6" s="474"/>
      <c r="C6" s="474"/>
      <c r="D6" s="474"/>
      <c r="E6" s="474"/>
      <c r="F6" s="474"/>
      <c r="G6" s="474"/>
    </row>
    <row r="7" spans="1:13">
      <c r="A7" s="59" t="s">
        <v>1</v>
      </c>
      <c r="B7" s="125"/>
      <c r="C7" s="125" t="s">
        <v>116</v>
      </c>
      <c r="D7" s="125"/>
      <c r="E7" s="125"/>
      <c r="F7" s="125"/>
      <c r="G7" s="125" t="s">
        <v>121</v>
      </c>
      <c r="I7" s="151" t="s">
        <v>478</v>
      </c>
      <c r="K7" s="151" t="s">
        <v>900</v>
      </c>
    </row>
    <row r="8" spans="1:13">
      <c r="A8" s="60" t="s">
        <v>2</v>
      </c>
      <c r="B8" s="61"/>
      <c r="C8" s="61" t="s">
        <v>117</v>
      </c>
      <c r="D8" s="61" t="s">
        <v>118</v>
      </c>
      <c r="E8" s="61" t="s">
        <v>119</v>
      </c>
      <c r="F8" s="61" t="s">
        <v>120</v>
      </c>
      <c r="G8" s="61" t="s">
        <v>117</v>
      </c>
      <c r="I8" s="152" t="s">
        <v>479</v>
      </c>
      <c r="K8" s="152" t="s">
        <v>480</v>
      </c>
      <c r="M8" s="153" t="s">
        <v>481</v>
      </c>
    </row>
    <row r="9" spans="1:13" ht="20.100000000000001" customHeight="1">
      <c r="A9" s="62">
        <v>1</v>
      </c>
      <c r="B9" s="63" t="s">
        <v>122</v>
      </c>
      <c r="C9" s="154">
        <v>0</v>
      </c>
      <c r="D9" s="154">
        <v>0</v>
      </c>
      <c r="E9" s="154">
        <v>0</v>
      </c>
      <c r="F9" s="154">
        <v>0</v>
      </c>
      <c r="G9" s="155">
        <f t="shared" ref="G9:G17" si="0">+C9+D9-E9-F9</f>
        <v>0</v>
      </c>
      <c r="I9" s="156">
        <v>0</v>
      </c>
      <c r="K9" s="156">
        <v>0</v>
      </c>
    </row>
    <row r="10" spans="1:13" ht="12.75" customHeight="1">
      <c r="A10" s="62"/>
      <c r="B10" s="63"/>
      <c r="C10" s="157"/>
      <c r="D10" s="157"/>
      <c r="E10" s="157"/>
      <c r="F10" s="157"/>
      <c r="G10" s="155"/>
      <c r="I10" s="156"/>
      <c r="K10" s="156"/>
      <c r="M10" s="422"/>
    </row>
    <row r="11" spans="1:13" ht="20.100000000000001" customHeight="1">
      <c r="A11" s="62">
        <v>2</v>
      </c>
      <c r="B11" s="63" t="s">
        <v>123</v>
      </c>
      <c r="C11" s="158">
        <v>0</v>
      </c>
      <c r="D11" s="158">
        <v>0</v>
      </c>
      <c r="E11" s="158">
        <v>0</v>
      </c>
      <c r="F11" s="158"/>
      <c r="G11" s="159">
        <f t="shared" si="0"/>
        <v>0</v>
      </c>
      <c r="I11" s="156">
        <v>0</v>
      </c>
      <c r="K11" s="156">
        <v>0</v>
      </c>
    </row>
    <row r="12" spans="1:13" ht="20.100000000000001" customHeight="1">
      <c r="A12" s="62">
        <v>3</v>
      </c>
      <c r="B12" s="63" t="s">
        <v>124</v>
      </c>
      <c r="C12" s="66">
        <v>0</v>
      </c>
      <c r="D12" s="228">
        <v>0</v>
      </c>
      <c r="E12" s="228">
        <v>0</v>
      </c>
      <c r="F12" s="228">
        <v>0</v>
      </c>
      <c r="G12" s="229">
        <f t="shared" si="0"/>
        <v>0</v>
      </c>
      <c r="H12" s="230"/>
      <c r="I12" s="160">
        <v>0</v>
      </c>
      <c r="J12" s="161"/>
      <c r="K12" s="160">
        <v>0</v>
      </c>
    </row>
    <row r="13" spans="1:13" ht="20.100000000000001" customHeight="1">
      <c r="A13" s="62">
        <v>4</v>
      </c>
      <c r="B13" s="63" t="s">
        <v>125</v>
      </c>
      <c r="C13" s="66">
        <v>0</v>
      </c>
      <c r="D13" s="228">
        <v>0</v>
      </c>
      <c r="E13" s="228">
        <v>0</v>
      </c>
      <c r="F13" s="228">
        <v>0</v>
      </c>
      <c r="G13" s="229">
        <f t="shared" si="0"/>
        <v>0</v>
      </c>
      <c r="H13" s="230"/>
      <c r="I13" s="160">
        <v>0</v>
      </c>
      <c r="J13" s="161"/>
      <c r="K13" s="160">
        <v>0</v>
      </c>
    </row>
    <row r="14" spans="1:13" ht="20.100000000000001" customHeight="1" thickBot="1">
      <c r="A14" s="62">
        <v>5</v>
      </c>
      <c r="B14" s="63" t="s">
        <v>126</v>
      </c>
      <c r="C14" s="162">
        <v>6095900</v>
      </c>
      <c r="D14" s="231"/>
      <c r="E14" s="232">
        <v>0</v>
      </c>
      <c r="F14" s="232">
        <v>0</v>
      </c>
      <c r="G14" s="233">
        <f t="shared" si="0"/>
        <v>6095900</v>
      </c>
      <c r="H14" s="230"/>
      <c r="I14" s="163">
        <v>2065465</v>
      </c>
      <c r="J14" s="164"/>
      <c r="K14" s="163">
        <v>164397</v>
      </c>
    </row>
    <row r="15" spans="1:13" ht="20.100000000000001" customHeight="1" thickBot="1">
      <c r="A15" s="62">
        <v>6</v>
      </c>
      <c r="B15" s="65" t="s">
        <v>127</v>
      </c>
      <c r="C15" s="165">
        <f>SUM(C11:C14)</f>
        <v>6095900</v>
      </c>
      <c r="D15" s="234">
        <f>SUM(D11:D14)</f>
        <v>0</v>
      </c>
      <c r="E15" s="234">
        <f>SUM(E11:E14)</f>
        <v>0</v>
      </c>
      <c r="F15" s="234">
        <f>SUM(F11:F14)</f>
        <v>0</v>
      </c>
      <c r="G15" s="235">
        <f t="shared" si="0"/>
        <v>6095900</v>
      </c>
      <c r="H15" s="230"/>
      <c r="I15" s="166">
        <f>SUM(I11:I14)</f>
        <v>2065465</v>
      </c>
      <c r="J15" s="164"/>
      <c r="K15" s="166">
        <f>SUM(K11:K14)</f>
        <v>164397</v>
      </c>
    </row>
    <row r="16" spans="1:13" ht="12" customHeight="1">
      <c r="A16" s="62"/>
      <c r="B16" s="168"/>
      <c r="C16" s="169"/>
      <c r="D16" s="236"/>
      <c r="E16" s="236"/>
      <c r="F16" s="236"/>
      <c r="G16" s="236"/>
      <c r="H16" s="230"/>
      <c r="I16" s="41"/>
      <c r="J16" s="164"/>
      <c r="K16" s="41"/>
    </row>
    <row r="17" spans="1:14">
      <c r="A17" s="62">
        <v>7</v>
      </c>
      <c r="B17" s="63" t="s">
        <v>129</v>
      </c>
      <c r="C17" s="170">
        <v>3149451</v>
      </c>
      <c r="D17" s="237"/>
      <c r="E17" s="237"/>
      <c r="F17" s="228">
        <v>0</v>
      </c>
      <c r="G17" s="229">
        <f t="shared" si="0"/>
        <v>3149451</v>
      </c>
      <c r="H17" s="230"/>
      <c r="I17" s="160">
        <v>588726</v>
      </c>
      <c r="J17" s="164"/>
      <c r="K17" s="160">
        <v>103040</v>
      </c>
      <c r="M17" s="268"/>
    </row>
    <row r="18" spans="1:14" ht="20.100000000000001" customHeight="1">
      <c r="A18" s="62">
        <v>8</v>
      </c>
      <c r="B18" s="63" t="s">
        <v>130</v>
      </c>
      <c r="C18" s="170">
        <v>19340421</v>
      </c>
      <c r="D18" s="237">
        <v>468574</v>
      </c>
      <c r="E18" s="237">
        <v>44273</v>
      </c>
      <c r="F18" s="228">
        <v>0</v>
      </c>
      <c r="G18" s="229">
        <f>+C18+D18-E18-F18</f>
        <v>19764722</v>
      </c>
      <c r="H18" s="230"/>
      <c r="I18" s="160">
        <v>10365495</v>
      </c>
      <c r="J18" s="164"/>
      <c r="K18" s="160">
        <v>565904</v>
      </c>
    </row>
    <row r="19" spans="1:14" ht="20.100000000000001" customHeight="1" thickBot="1">
      <c r="A19" s="62">
        <v>9</v>
      </c>
      <c r="B19" s="63" t="s">
        <v>131</v>
      </c>
      <c r="C19" s="231">
        <v>1306537</v>
      </c>
      <c r="D19" s="231">
        <v>94517</v>
      </c>
      <c r="E19" s="231">
        <v>56741</v>
      </c>
      <c r="F19" s="232">
        <v>0</v>
      </c>
      <c r="G19" s="233">
        <f>+C19+D19-E19-F19</f>
        <v>1344313</v>
      </c>
      <c r="H19" s="230"/>
      <c r="I19" s="160">
        <v>850035</v>
      </c>
      <c r="J19" s="171"/>
      <c r="K19" s="160">
        <v>75056</v>
      </c>
    </row>
    <row r="20" spans="1:14" ht="20.100000000000001" customHeight="1" thickBot="1">
      <c r="A20" s="62">
        <v>10</v>
      </c>
      <c r="B20" s="65" t="s">
        <v>132</v>
      </c>
      <c r="C20" s="165">
        <f>SUM(C15:C19)+C9</f>
        <v>29892309</v>
      </c>
      <c r="D20" s="234">
        <f>SUM(D15:D19)+D9</f>
        <v>563091</v>
      </c>
      <c r="E20" s="234">
        <f>SUM(E15:E19)+E9</f>
        <v>101014</v>
      </c>
      <c r="F20" s="234">
        <f>SUM(F15:F19)+F9</f>
        <v>0</v>
      </c>
      <c r="G20" s="235">
        <f>+C20+D20-E20-F20</f>
        <v>30354386</v>
      </c>
      <c r="H20" s="230"/>
      <c r="I20" s="172">
        <f>SUM(I15:I19)</f>
        <v>13869721</v>
      </c>
      <c r="J20" s="161"/>
      <c r="K20" s="172">
        <f>SUM(K15:K19)</f>
        <v>908397</v>
      </c>
    </row>
    <row r="21" spans="1:14" ht="11.25" customHeight="1">
      <c r="A21" s="62"/>
      <c r="B21" s="168"/>
      <c r="C21" s="169"/>
      <c r="D21" s="236"/>
      <c r="E21" s="236"/>
      <c r="F21" s="236"/>
      <c r="G21" s="236"/>
      <c r="H21" s="230"/>
      <c r="I21" s="173"/>
      <c r="J21" s="161"/>
      <c r="K21" s="173"/>
    </row>
    <row r="22" spans="1:14" ht="20.100000000000001" customHeight="1">
      <c r="A22" s="62">
        <v>11</v>
      </c>
      <c r="B22" s="63" t="s">
        <v>133</v>
      </c>
      <c r="C22" s="66">
        <v>0</v>
      </c>
      <c r="D22" s="228">
        <v>0</v>
      </c>
      <c r="E22" s="228">
        <v>0</v>
      </c>
      <c r="F22" s="228">
        <v>0</v>
      </c>
      <c r="G22" s="228">
        <f>+C22+D22+E22+F22</f>
        <v>0</v>
      </c>
      <c r="H22" s="230"/>
      <c r="I22" s="160">
        <v>0</v>
      </c>
      <c r="J22" s="161"/>
      <c r="K22" s="160">
        <v>0</v>
      </c>
    </row>
    <row r="23" spans="1:14" ht="20.100000000000001" customHeight="1">
      <c r="A23" s="62">
        <v>12</v>
      </c>
      <c r="B23" s="63" t="s">
        <v>134</v>
      </c>
      <c r="C23" s="66">
        <v>0</v>
      </c>
      <c r="D23" s="228">
        <v>0</v>
      </c>
      <c r="E23" s="228">
        <v>0</v>
      </c>
      <c r="F23" s="228">
        <v>0</v>
      </c>
      <c r="G23" s="228">
        <f>+C23+D23+E23+F23</f>
        <v>0</v>
      </c>
      <c r="H23" s="230"/>
      <c r="I23" s="160">
        <v>0</v>
      </c>
      <c r="J23" s="161"/>
      <c r="K23" s="160">
        <v>0</v>
      </c>
    </row>
    <row r="24" spans="1:14" ht="20.100000000000001" customHeight="1" thickBot="1">
      <c r="A24" s="62">
        <v>13</v>
      </c>
      <c r="B24" s="63" t="s">
        <v>135</v>
      </c>
      <c r="C24" s="64">
        <v>0</v>
      </c>
      <c r="D24" s="232">
        <v>0</v>
      </c>
      <c r="E24" s="232">
        <v>0</v>
      </c>
      <c r="F24" s="232">
        <v>0</v>
      </c>
      <c r="G24" s="232">
        <f>+C24+D24+E24+F24</f>
        <v>0</v>
      </c>
      <c r="H24" s="230"/>
      <c r="I24" s="163">
        <v>0</v>
      </c>
      <c r="J24" s="161"/>
      <c r="K24" s="163">
        <v>0</v>
      </c>
    </row>
    <row r="25" spans="1:14" ht="20.100000000000001" customHeight="1" thickBot="1">
      <c r="A25" s="62">
        <v>14</v>
      </c>
      <c r="B25" s="65" t="s">
        <v>8</v>
      </c>
      <c r="C25" s="165">
        <f>SUM(C20:C24)</f>
        <v>29892309</v>
      </c>
      <c r="D25" s="234">
        <f>SUM(D20:D24)</f>
        <v>563091</v>
      </c>
      <c r="E25" s="234">
        <f>SUM(E20:E24)</f>
        <v>101014</v>
      </c>
      <c r="F25" s="234">
        <f>SUM(F20:F24)</f>
        <v>0</v>
      </c>
      <c r="G25" s="235">
        <f>+C25+D25-E25+F25</f>
        <v>30354386</v>
      </c>
      <c r="H25" s="230"/>
      <c r="I25" s="166">
        <f>SUM(I20:I24)</f>
        <v>13869721</v>
      </c>
      <c r="J25" s="161"/>
      <c r="K25" s="166">
        <f>SUM(K20:K24)</f>
        <v>908397</v>
      </c>
      <c r="M25" s="174"/>
    </row>
    <row r="26" spans="1:14" ht="11.25" customHeight="1">
      <c r="A26" s="62"/>
      <c r="B26" s="168"/>
      <c r="C26" s="175"/>
      <c r="D26" s="238"/>
      <c r="E26" s="238"/>
      <c r="F26" s="238"/>
      <c r="G26" s="238"/>
      <c r="H26" s="230"/>
      <c r="I26" s="173"/>
      <c r="J26" s="161"/>
      <c r="K26" s="173"/>
    </row>
    <row r="27" spans="1:14" ht="20.100000000000001" customHeight="1" thickBot="1">
      <c r="A27" s="62">
        <v>15</v>
      </c>
      <c r="B27" s="63" t="s">
        <v>136</v>
      </c>
      <c r="C27" s="162">
        <v>28125</v>
      </c>
      <c r="D27" s="231">
        <v>0</v>
      </c>
      <c r="E27" s="231">
        <v>0</v>
      </c>
      <c r="F27" s="232">
        <v>0</v>
      </c>
      <c r="G27" s="233">
        <f>+C27+D27-E27-F27</f>
        <v>28125</v>
      </c>
      <c r="H27" s="230"/>
      <c r="I27" s="163"/>
      <c r="J27" s="161"/>
      <c r="K27" s="163"/>
      <c r="M27" s="462"/>
      <c r="N27" s="167"/>
    </row>
    <row r="28" spans="1:14" ht="20.100000000000001" customHeight="1" thickBot="1">
      <c r="A28" s="62">
        <v>16</v>
      </c>
      <c r="B28" s="65" t="s">
        <v>137</v>
      </c>
      <c r="C28" s="165">
        <f>SUM(C25:C27)</f>
        <v>29920434</v>
      </c>
      <c r="D28" s="234">
        <f>SUM(D25:D27)</f>
        <v>563091</v>
      </c>
      <c r="E28" s="234">
        <f>SUM(E25:E27)</f>
        <v>101014</v>
      </c>
      <c r="F28" s="234">
        <f>SUM(F25:F27)</f>
        <v>0</v>
      </c>
      <c r="G28" s="235">
        <f>+C28+D28-E28-F28</f>
        <v>30382511</v>
      </c>
      <c r="H28" s="230"/>
      <c r="I28" s="166">
        <f>SUM(I25:I27)</f>
        <v>13869721</v>
      </c>
      <c r="J28" s="161"/>
      <c r="K28" s="166">
        <f>SUM(K25:K27)</f>
        <v>908397</v>
      </c>
    </row>
    <row r="29" spans="1:14" ht="20.100000000000001" customHeight="1">
      <c r="B29" s="43" t="s">
        <v>128</v>
      </c>
      <c r="D29" s="230"/>
      <c r="E29" s="230"/>
      <c r="F29" s="230"/>
      <c r="G29" s="239" t="s">
        <v>171</v>
      </c>
      <c r="H29" s="230"/>
      <c r="I29" s="161"/>
      <c r="J29" s="161"/>
      <c r="K29" s="161"/>
    </row>
    <row r="30" spans="1:14">
      <c r="I30" s="174"/>
      <c r="K30" s="176">
        <f>+'Schedule 3'!C12-K28</f>
        <v>0</v>
      </c>
    </row>
    <row r="31" spans="1:14">
      <c r="G31" s="42"/>
    </row>
    <row r="32" spans="1:14">
      <c r="G32" s="42" t="s">
        <v>171</v>
      </c>
      <c r="I32" s="177"/>
      <c r="J32" s="178"/>
      <c r="K32" s="178"/>
    </row>
    <row r="33" spans="3:11">
      <c r="I33" s="177"/>
      <c r="J33" s="178"/>
      <c r="K33" s="178"/>
    </row>
    <row r="34" spans="3:11">
      <c r="I34" s="177"/>
      <c r="J34" s="178"/>
      <c r="K34" s="267"/>
    </row>
    <row r="35" spans="3:11">
      <c r="C35" s="167"/>
      <c r="I35" s="178"/>
      <c r="J35" s="178"/>
      <c r="K35" s="178"/>
    </row>
  </sheetData>
  <mergeCells count="5">
    <mergeCell ref="A1:G1"/>
    <mergeCell ref="A2:G2"/>
    <mergeCell ref="A4:G4"/>
    <mergeCell ref="A6:G6"/>
    <mergeCell ref="A3:G3"/>
  </mergeCells>
  <phoneticPr fontId="0" type="noConversion"/>
  <pageMargins left="0.5" right="0.5" top="0.75" bottom="0.5" header="0.5" footer="0.5"/>
  <pageSetup scale="5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80" workbookViewId="0">
      <selection activeCell="D8" sqref="D8"/>
    </sheetView>
  </sheetViews>
  <sheetFormatPr defaultColWidth="9.109375" defaultRowHeight="15.6"/>
  <cols>
    <col min="1" max="1" width="9.109375" style="67"/>
    <col min="2" max="2" width="55.5546875" style="67" customWidth="1"/>
    <col min="3" max="3" width="12.109375" style="67" customWidth="1"/>
    <col min="4" max="16384" width="9.109375" style="67"/>
  </cols>
  <sheetData>
    <row r="1" spans="1:4">
      <c r="A1" s="471" t="str">
        <f>+'Schedule 2'!A1:F1</f>
        <v>Worthington (Minnesota) Public Utilities</v>
      </c>
      <c r="B1" s="471"/>
      <c r="C1" s="471"/>
      <c r="D1" s="471"/>
    </row>
    <row r="2" spans="1:4">
      <c r="A2" s="471" t="s">
        <v>0</v>
      </c>
      <c r="B2" s="471"/>
      <c r="C2" s="471"/>
      <c r="D2" s="471"/>
    </row>
    <row r="3" spans="1:4">
      <c r="A3" s="471" t="s">
        <v>177</v>
      </c>
      <c r="B3" s="471"/>
      <c r="C3" s="471"/>
      <c r="D3" s="471"/>
    </row>
    <row r="4" spans="1:4">
      <c r="A4" s="472" t="str">
        <f>+'Schedule 2'!A4:F4</f>
        <v>For the Year Ended December 31, 2015</v>
      </c>
      <c r="B4" s="472"/>
      <c r="C4" s="472"/>
      <c r="D4" s="472"/>
    </row>
    <row r="5" spans="1:4">
      <c r="A5" s="121"/>
      <c r="B5" s="121"/>
      <c r="C5" s="121"/>
    </row>
    <row r="6" spans="1:4">
      <c r="A6" s="122" t="s">
        <v>138</v>
      </c>
    </row>
    <row r="7" spans="1:4">
      <c r="A7" s="122" t="s">
        <v>5</v>
      </c>
    </row>
    <row r="8" spans="1:4">
      <c r="A8" s="122">
        <v>1</v>
      </c>
      <c r="B8" s="67" t="s">
        <v>901</v>
      </c>
      <c r="C8" s="463">
        <f>+-'Schedule 7'!G31</f>
        <v>42898</v>
      </c>
    </row>
    <row r="9" spans="1:4">
      <c r="A9" s="122"/>
    </row>
    <row r="10" spans="1:4">
      <c r="A10" s="122">
        <v>2</v>
      </c>
      <c r="B10" s="67" t="s">
        <v>139</v>
      </c>
      <c r="C10" s="240">
        <v>634821</v>
      </c>
    </row>
    <row r="12" spans="1:4">
      <c r="B12" s="67" t="s">
        <v>823</v>
      </c>
    </row>
  </sheetData>
  <mergeCells count="4">
    <mergeCell ref="A1:D1"/>
    <mergeCell ref="A2:D2"/>
    <mergeCell ref="A4:D4"/>
    <mergeCell ref="A3:D3"/>
  </mergeCells>
  <phoneticPr fontId="0" type="noConversion"/>
  <pageMargins left="0.75" right="0.75" top="1" bottom="1" header="0.5" footer="0.5"/>
  <pageSetup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90" zoomScaleNormal="90" workbookViewId="0">
      <selection activeCell="H31" sqref="H31"/>
    </sheetView>
  </sheetViews>
  <sheetFormatPr defaultColWidth="9.109375" defaultRowHeight="15.6"/>
  <cols>
    <col min="1" max="1" width="6.6640625" style="67" customWidth="1"/>
    <col min="2" max="2" width="33.5546875" style="67" customWidth="1"/>
    <col min="3" max="6" width="15.6640625" style="67" customWidth="1"/>
    <col min="7" max="7" width="13.21875" style="457" customWidth="1"/>
    <col min="8" max="8" width="15.6640625" style="67" customWidth="1"/>
    <col min="9" max="16384" width="9.109375" style="67"/>
  </cols>
  <sheetData>
    <row r="1" spans="1:8">
      <c r="A1" s="471" t="str">
        <f>+'Schedule 2'!A1:F1</f>
        <v>Worthington (Minnesota) Public Utilities</v>
      </c>
      <c r="B1" s="471"/>
      <c r="C1" s="471"/>
      <c r="D1" s="471"/>
      <c r="E1" s="471"/>
      <c r="F1" s="471"/>
      <c r="G1" s="456"/>
    </row>
    <row r="2" spans="1:8">
      <c r="A2" s="471" t="s">
        <v>0</v>
      </c>
      <c r="B2" s="471"/>
      <c r="C2" s="471"/>
      <c r="D2" s="471"/>
      <c r="E2" s="471"/>
      <c r="F2" s="471"/>
      <c r="G2" s="456"/>
    </row>
    <row r="3" spans="1:8">
      <c r="A3" s="471" t="s">
        <v>178</v>
      </c>
      <c r="B3" s="471"/>
      <c r="C3" s="471"/>
      <c r="D3" s="471"/>
      <c r="E3" s="471"/>
      <c r="F3" s="471"/>
      <c r="G3" s="456"/>
    </row>
    <row r="4" spans="1:8">
      <c r="A4" s="472" t="str">
        <f>+'Schedule 2'!A4:F4</f>
        <v>For the Year Ended December 31, 2015</v>
      </c>
      <c r="B4" s="472"/>
      <c r="C4" s="472"/>
      <c r="D4" s="472"/>
      <c r="E4" s="472"/>
      <c r="F4" s="472"/>
      <c r="G4" s="456"/>
    </row>
    <row r="6" spans="1:8">
      <c r="A6" s="473" t="s">
        <v>141</v>
      </c>
      <c r="B6" s="473"/>
      <c r="C6" s="473"/>
      <c r="D6" s="473"/>
      <c r="E6" s="473"/>
      <c r="F6" s="473"/>
    </row>
    <row r="7" spans="1:8">
      <c r="A7" s="68" t="s">
        <v>1</v>
      </c>
      <c r="B7" s="70"/>
      <c r="C7" s="70"/>
      <c r="D7" s="70"/>
      <c r="E7" s="70"/>
      <c r="F7" s="70"/>
    </row>
    <row r="8" spans="1:8">
      <c r="A8" s="71" t="s">
        <v>5</v>
      </c>
      <c r="B8" s="72"/>
      <c r="C8" s="70" t="s">
        <v>140</v>
      </c>
      <c r="D8" s="72" t="s">
        <v>142</v>
      </c>
      <c r="E8" s="72" t="s">
        <v>143</v>
      </c>
      <c r="F8" s="72" t="s">
        <v>144</v>
      </c>
      <c r="G8" s="464" t="s">
        <v>911</v>
      </c>
      <c r="H8" s="465" t="s">
        <v>912</v>
      </c>
    </row>
    <row r="9" spans="1:8">
      <c r="A9" s="76">
        <v>1</v>
      </c>
      <c r="B9" s="116" t="s">
        <v>145</v>
      </c>
      <c r="C9" s="179"/>
      <c r="D9" s="180"/>
      <c r="E9" s="180"/>
      <c r="F9" s="180"/>
    </row>
    <row r="10" spans="1:8">
      <c r="A10" s="78"/>
      <c r="B10" s="181" t="s">
        <v>146</v>
      </c>
      <c r="C10" s="182">
        <v>0</v>
      </c>
      <c r="D10" s="183">
        <v>0</v>
      </c>
      <c r="E10" s="183">
        <v>0</v>
      </c>
      <c r="F10" s="183">
        <f>SUM(C10:E10)</f>
        <v>0</v>
      </c>
    </row>
    <row r="11" spans="1:8">
      <c r="A11" s="78">
        <v>2</v>
      </c>
      <c r="B11" s="181" t="s">
        <v>147</v>
      </c>
      <c r="C11" s="97">
        <v>0</v>
      </c>
      <c r="D11" s="149">
        <v>0</v>
      </c>
      <c r="E11" s="149">
        <v>0</v>
      </c>
      <c r="F11" s="149">
        <f>SUM(C11:E11)</f>
        <v>0</v>
      </c>
    </row>
    <row r="12" spans="1:8">
      <c r="A12" s="76">
        <v>3</v>
      </c>
      <c r="B12" s="116" t="s">
        <v>148</v>
      </c>
      <c r="C12" s="99"/>
      <c r="D12" s="148"/>
      <c r="E12" s="148"/>
      <c r="F12" s="148"/>
    </row>
    <row r="13" spans="1:8">
      <c r="A13" s="78"/>
      <c r="B13" s="184" t="s">
        <v>149</v>
      </c>
      <c r="C13" s="97">
        <v>0</v>
      </c>
      <c r="D13" s="149">
        <v>0</v>
      </c>
      <c r="E13" s="149">
        <v>0</v>
      </c>
      <c r="F13" s="149">
        <f>SUM(C13:E13)</f>
        <v>0</v>
      </c>
    </row>
    <row r="14" spans="1:8">
      <c r="A14" s="89">
        <v>4</v>
      </c>
      <c r="B14" s="185" t="s">
        <v>150</v>
      </c>
      <c r="C14" s="214"/>
      <c r="D14" s="223"/>
      <c r="E14" s="223"/>
      <c r="F14" s="148"/>
    </row>
    <row r="15" spans="1:8">
      <c r="A15" s="78"/>
      <c r="B15" s="186" t="s">
        <v>151</v>
      </c>
      <c r="C15" s="105">
        <v>12900</v>
      </c>
      <c r="D15" s="145">
        <v>77279</v>
      </c>
      <c r="E15" s="145">
        <v>57403</v>
      </c>
      <c r="F15" s="149">
        <f>SUM(C15:E15)</f>
        <v>147582</v>
      </c>
      <c r="G15" s="457">
        <v>-814</v>
      </c>
      <c r="H15" s="134">
        <f>+F15+G15</f>
        <v>146768</v>
      </c>
    </row>
    <row r="16" spans="1:8">
      <c r="A16" s="82">
        <v>5</v>
      </c>
      <c r="B16" s="187" t="s">
        <v>152</v>
      </c>
      <c r="C16" s="106"/>
      <c r="D16" s="146">
        <v>12357097</v>
      </c>
      <c r="E16" s="146"/>
      <c r="F16" s="188">
        <f>SUM(C16:E16)</f>
        <v>12357097</v>
      </c>
    </row>
    <row r="17" spans="1:8">
      <c r="A17" s="76">
        <v>6</v>
      </c>
      <c r="B17" s="185" t="s">
        <v>153</v>
      </c>
      <c r="C17" s="214"/>
      <c r="D17" s="223"/>
      <c r="E17" s="223"/>
      <c r="F17" s="148"/>
    </row>
    <row r="18" spans="1:8" ht="16.2" thickBot="1">
      <c r="A18" s="78"/>
      <c r="B18" s="186" t="s">
        <v>154</v>
      </c>
      <c r="C18" s="214">
        <v>0</v>
      </c>
      <c r="D18" s="223">
        <v>0</v>
      </c>
      <c r="E18" s="223">
        <v>0</v>
      </c>
      <c r="F18" s="148">
        <f>SUM(C18:E18)</f>
        <v>0</v>
      </c>
    </row>
    <row r="19" spans="1:8" ht="16.2" thickBot="1">
      <c r="A19" s="80">
        <v>7</v>
      </c>
      <c r="B19" s="187" t="s">
        <v>155</v>
      </c>
      <c r="C19" s="241">
        <f>SUM(C10:C18)</f>
        <v>12900</v>
      </c>
      <c r="D19" s="242">
        <f>SUM(D10:D18)</f>
        <v>12434376</v>
      </c>
      <c r="E19" s="242">
        <f>SUM(E10:E18)</f>
        <v>57403</v>
      </c>
      <c r="F19" s="189">
        <f>SUM(C19:E19)</f>
        <v>12504679</v>
      </c>
    </row>
    <row r="20" spans="1:8">
      <c r="A20" s="76">
        <v>8</v>
      </c>
      <c r="B20" s="243" t="s">
        <v>156</v>
      </c>
      <c r="C20" s="244"/>
      <c r="D20" s="244"/>
      <c r="E20" s="244"/>
      <c r="F20" s="180"/>
    </row>
    <row r="21" spans="1:8">
      <c r="A21" s="78"/>
      <c r="B21" s="245" t="s">
        <v>157</v>
      </c>
      <c r="C21" s="246" t="s">
        <v>172</v>
      </c>
      <c r="D21" s="145">
        <v>4580551</v>
      </c>
      <c r="E21" s="145"/>
      <c r="F21" s="149">
        <f>SUM(D21:E21)</f>
        <v>4580551</v>
      </c>
      <c r="G21" s="457" t="s">
        <v>171</v>
      </c>
    </row>
    <row r="22" spans="1:8">
      <c r="A22" s="76">
        <v>9</v>
      </c>
      <c r="B22" s="243" t="s">
        <v>158</v>
      </c>
      <c r="C22" s="247"/>
      <c r="D22" s="147"/>
      <c r="E22" s="147"/>
      <c r="F22" s="148"/>
    </row>
    <row r="23" spans="1:8">
      <c r="A23" s="78"/>
      <c r="B23" s="245" t="s">
        <v>159</v>
      </c>
      <c r="C23" s="246" t="s">
        <v>172</v>
      </c>
      <c r="D23" s="145">
        <v>349334</v>
      </c>
      <c r="E23" s="145">
        <v>194409</v>
      </c>
      <c r="F23" s="149">
        <f>+D23+E23</f>
        <v>543743</v>
      </c>
      <c r="G23" s="457">
        <v>-19952</v>
      </c>
      <c r="H23" s="134">
        <f>+F23+G23</f>
        <v>523791</v>
      </c>
    </row>
    <row r="24" spans="1:8">
      <c r="A24" s="76">
        <v>10</v>
      </c>
      <c r="B24" s="243" t="s">
        <v>160</v>
      </c>
      <c r="C24" s="247"/>
      <c r="D24" s="147"/>
      <c r="E24" s="147"/>
      <c r="F24" s="148"/>
    </row>
    <row r="25" spans="1:8">
      <c r="A25" s="78"/>
      <c r="B25" s="245" t="s">
        <v>161</v>
      </c>
      <c r="C25" s="246" t="s">
        <v>172</v>
      </c>
      <c r="D25" s="145">
        <v>297166</v>
      </c>
      <c r="E25" s="145"/>
      <c r="F25" s="149">
        <f>+D25+E25</f>
        <v>297166</v>
      </c>
      <c r="G25" s="457">
        <v>-8917</v>
      </c>
      <c r="H25" s="134">
        <f>+F25+G25</f>
        <v>288249</v>
      </c>
    </row>
    <row r="26" spans="1:8">
      <c r="A26" s="76">
        <v>11</v>
      </c>
      <c r="B26" s="243" t="s">
        <v>162</v>
      </c>
      <c r="C26" s="247"/>
      <c r="D26" s="147"/>
      <c r="E26" s="147"/>
      <c r="F26" s="148"/>
    </row>
    <row r="27" spans="1:8">
      <c r="A27" s="78"/>
      <c r="B27" s="245" t="s">
        <v>163</v>
      </c>
      <c r="C27" s="246" t="s">
        <v>172</v>
      </c>
      <c r="D27" s="145">
        <v>106711</v>
      </c>
      <c r="E27" s="145"/>
      <c r="F27" s="149">
        <f>+D27+E27</f>
        <v>106711</v>
      </c>
      <c r="G27" s="457">
        <v>-2419</v>
      </c>
      <c r="H27" s="134">
        <f>+F27+G27</f>
        <v>104292</v>
      </c>
    </row>
    <row r="28" spans="1:8">
      <c r="A28" s="80">
        <v>12</v>
      </c>
      <c r="B28" s="248" t="s">
        <v>164</v>
      </c>
      <c r="C28" s="249" t="s">
        <v>172</v>
      </c>
      <c r="D28" s="146"/>
      <c r="E28" s="146"/>
      <c r="F28" s="149">
        <f>+D28+E28</f>
        <v>0</v>
      </c>
    </row>
    <row r="29" spans="1:8" ht="17.399999999999999">
      <c r="A29" s="80">
        <v>13</v>
      </c>
      <c r="B29" s="248" t="s">
        <v>165</v>
      </c>
      <c r="C29" s="249" t="s">
        <v>172</v>
      </c>
      <c r="D29" s="146">
        <v>428843</v>
      </c>
      <c r="E29" s="146"/>
      <c r="F29" s="149">
        <f>+D29+E29</f>
        <v>428843</v>
      </c>
      <c r="G29" s="458">
        <v>-10796</v>
      </c>
      <c r="H29" s="134">
        <f>+F29+G29</f>
        <v>418047</v>
      </c>
    </row>
    <row r="30" spans="1:8" ht="16.2" thickBot="1">
      <c r="A30" s="76">
        <v>14</v>
      </c>
      <c r="B30" s="243" t="s">
        <v>166</v>
      </c>
      <c r="C30" s="250"/>
      <c r="D30" s="244"/>
      <c r="E30" s="244"/>
      <c r="F30" s="180"/>
    </row>
    <row r="31" spans="1:8" ht="16.2" thickBot="1">
      <c r="A31" s="78"/>
      <c r="B31" s="186" t="s">
        <v>167</v>
      </c>
      <c r="C31" s="241" t="s">
        <v>173</v>
      </c>
      <c r="D31" s="242">
        <f>SUM(D19:D29)</f>
        <v>18196981</v>
      </c>
      <c r="E31" s="242">
        <f>SUM(E19:E29)</f>
        <v>251812</v>
      </c>
      <c r="F31" s="189">
        <f>SUM(F19:F30)</f>
        <v>18461693</v>
      </c>
      <c r="G31" s="457">
        <f>SUM(G15:G30)</f>
        <v>-42898</v>
      </c>
      <c r="H31" s="134"/>
    </row>
    <row r="32" spans="1:8">
      <c r="B32" s="227"/>
      <c r="C32" s="190"/>
      <c r="D32" s="190"/>
      <c r="E32" s="190"/>
      <c r="F32" s="144"/>
    </row>
    <row r="33" spans="2:6">
      <c r="B33" s="475" t="s">
        <v>168</v>
      </c>
      <c r="C33" s="476"/>
      <c r="D33" s="251">
        <v>10</v>
      </c>
      <c r="E33" s="190"/>
      <c r="F33" s="144"/>
    </row>
    <row r="34" spans="2:6">
      <c r="B34" s="252" t="s">
        <v>169</v>
      </c>
      <c r="C34" s="253"/>
      <c r="D34" s="254">
        <v>3</v>
      </c>
      <c r="E34" s="190"/>
      <c r="F34" s="144"/>
    </row>
    <row r="35" spans="2:6">
      <c r="C35" s="144"/>
      <c r="D35" s="190"/>
      <c r="E35" s="144"/>
      <c r="F35" s="144"/>
    </row>
    <row r="36" spans="2:6">
      <c r="B36" s="67" t="s">
        <v>170</v>
      </c>
    </row>
  </sheetData>
  <mergeCells count="6">
    <mergeCell ref="A6:F6"/>
    <mergeCell ref="B33:C33"/>
    <mergeCell ref="A1:F1"/>
    <mergeCell ref="A2:F2"/>
    <mergeCell ref="A4:F4"/>
    <mergeCell ref="A3:F3"/>
  </mergeCells>
  <phoneticPr fontId="0" type="noConversion"/>
  <pageMargins left="0.75" right="0.75" top="1" bottom="1" header="0.5" footer="0.5"/>
  <pageSetup scale="8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80" zoomScaleNormal="80" workbookViewId="0">
      <selection activeCell="M46" sqref="M46"/>
    </sheetView>
  </sheetViews>
  <sheetFormatPr defaultColWidth="9.109375" defaultRowHeight="15.6"/>
  <cols>
    <col min="1" max="2" width="3.44140625" style="141" customWidth="1"/>
    <col min="3" max="3" width="35.88671875" style="141" bestFit="1" customWidth="1"/>
    <col min="4" max="4" width="2.33203125" style="141" customWidth="1"/>
    <col min="5" max="7" width="14.5546875" style="261" customWidth="1"/>
    <col min="8" max="8" width="3.44140625" style="141" customWidth="1"/>
    <col min="9" max="9" width="14.5546875" style="141" customWidth="1"/>
    <col min="10" max="16384" width="9.109375" style="141"/>
  </cols>
  <sheetData>
    <row r="1" spans="1:10">
      <c r="A1" s="480" t="s">
        <v>476</v>
      </c>
      <c r="B1" s="480"/>
      <c r="C1" s="480"/>
      <c r="D1" s="480"/>
      <c r="E1" s="480"/>
      <c r="F1" s="480"/>
      <c r="G1" s="480"/>
      <c r="H1" s="191"/>
      <c r="I1" s="191"/>
    </row>
    <row r="2" spans="1:10">
      <c r="A2" s="481" t="str">
        <f>+'Schedule 7'!A4:F4</f>
        <v>For the Year Ended December 31, 2015</v>
      </c>
      <c r="B2" s="481"/>
      <c r="C2" s="481"/>
      <c r="D2" s="481"/>
      <c r="E2" s="481"/>
      <c r="F2" s="481"/>
      <c r="G2" s="481"/>
      <c r="H2" s="192"/>
      <c r="I2" s="192"/>
    </row>
    <row r="3" spans="1:10">
      <c r="A3" s="480" t="s">
        <v>482</v>
      </c>
      <c r="B3" s="480"/>
      <c r="C3" s="480"/>
      <c r="D3" s="480"/>
      <c r="E3" s="480"/>
      <c r="F3" s="480"/>
      <c r="G3" s="480"/>
      <c r="H3" s="191"/>
      <c r="I3" s="191"/>
      <c r="J3" s="266"/>
    </row>
    <row r="4" spans="1:10">
      <c r="A4" s="480"/>
      <c r="B4" s="480"/>
      <c r="C4" s="480"/>
      <c r="D4" s="480"/>
      <c r="E4" s="480"/>
      <c r="F4" s="480"/>
      <c r="G4" s="480"/>
      <c r="H4" s="191"/>
      <c r="I4" s="191"/>
    </row>
    <row r="6" spans="1:10">
      <c r="A6" s="193"/>
      <c r="B6" s="194"/>
      <c r="C6" s="195"/>
      <c r="D6" s="196"/>
      <c r="E6" s="482" t="s">
        <v>483</v>
      </c>
      <c r="F6" s="482"/>
      <c r="G6" s="258"/>
      <c r="H6" s="197"/>
      <c r="I6" s="197"/>
    </row>
    <row r="7" spans="1:10">
      <c r="A7" s="477" t="s">
        <v>484</v>
      </c>
      <c r="B7" s="478"/>
      <c r="C7" s="479"/>
      <c r="D7" s="198"/>
      <c r="E7" s="259" t="s">
        <v>142</v>
      </c>
      <c r="F7" s="259" t="s">
        <v>143</v>
      </c>
      <c r="G7" s="260" t="s">
        <v>144</v>
      </c>
      <c r="H7" s="197"/>
      <c r="I7" s="197"/>
    </row>
    <row r="8" spans="1:10">
      <c r="A8" s="141" t="s">
        <v>486</v>
      </c>
      <c r="E8" s="240"/>
      <c r="F8" s="240"/>
      <c r="G8" s="240"/>
      <c r="H8" s="199"/>
      <c r="I8" s="199"/>
      <c r="J8" s="199"/>
    </row>
    <row r="9" spans="1:10">
      <c r="B9" s="141" t="s">
        <v>487</v>
      </c>
      <c r="E9" s="240"/>
      <c r="F9" s="240"/>
      <c r="G9" s="240"/>
      <c r="H9" s="199"/>
      <c r="I9" s="199"/>
      <c r="J9" s="199"/>
    </row>
    <row r="10" spans="1:10">
      <c r="C10" s="141" t="s">
        <v>488</v>
      </c>
      <c r="E10" s="240">
        <f>4372+321+350+112+2+24+97</f>
        <v>5278</v>
      </c>
      <c r="F10" s="240"/>
      <c r="G10" s="240">
        <f>SUM(E10:F10)</f>
        <v>5278</v>
      </c>
      <c r="H10" s="199"/>
      <c r="I10" s="199"/>
      <c r="J10" s="199"/>
    </row>
    <row r="11" spans="1:10">
      <c r="C11" s="141" t="s">
        <v>489</v>
      </c>
      <c r="E11" s="240"/>
      <c r="F11" s="240"/>
      <c r="G11" s="240">
        <f>SUM(E11:F11)</f>
        <v>0</v>
      </c>
      <c r="H11" s="199"/>
      <c r="I11" s="199"/>
      <c r="J11" s="199"/>
    </row>
    <row r="12" spans="1:10">
      <c r="C12" s="141" t="s">
        <v>490</v>
      </c>
      <c r="E12" s="240">
        <f>1284+216+89+119+113+300+4</f>
        <v>2125</v>
      </c>
      <c r="F12" s="240"/>
      <c r="G12" s="240">
        <f>SUM(E12:F12)</f>
        <v>2125</v>
      </c>
      <c r="H12" s="199"/>
      <c r="I12" s="199"/>
      <c r="J12" s="199"/>
    </row>
    <row r="13" spans="1:10">
      <c r="C13" s="141" t="s">
        <v>491</v>
      </c>
      <c r="E13" s="240"/>
      <c r="F13" s="240"/>
      <c r="G13" s="240">
        <f>SUM(E13:F13)</f>
        <v>0</v>
      </c>
      <c r="H13" s="199"/>
      <c r="I13" s="199"/>
      <c r="J13" s="199"/>
    </row>
    <row r="14" spans="1:10">
      <c r="B14" s="141" t="s">
        <v>143</v>
      </c>
      <c r="E14" s="240"/>
      <c r="F14" s="240"/>
      <c r="G14" s="240"/>
      <c r="H14" s="199"/>
      <c r="I14" s="199"/>
      <c r="J14" s="199"/>
    </row>
    <row r="15" spans="1:10">
      <c r="C15" s="141" t="s">
        <v>492</v>
      </c>
      <c r="E15" s="240"/>
      <c r="F15" s="240">
        <f>4372+321+344+112+2+24+97</f>
        <v>5272</v>
      </c>
      <c r="G15" s="240">
        <f>SUM(E15:F15)</f>
        <v>5272</v>
      </c>
      <c r="H15" s="199"/>
      <c r="I15" s="199"/>
      <c r="J15" s="199"/>
    </row>
    <row r="16" spans="1:10">
      <c r="C16" s="141" t="s">
        <v>493</v>
      </c>
      <c r="E16" s="240"/>
      <c r="F16" s="240">
        <f>198+15+13+63</f>
        <v>289</v>
      </c>
      <c r="G16" s="240">
        <f>SUM(E16:F16)</f>
        <v>289</v>
      </c>
      <c r="H16" s="199"/>
      <c r="I16" s="199"/>
      <c r="J16" s="199"/>
    </row>
    <row r="17" spans="1:10">
      <c r="C17" s="141" t="s">
        <v>494</v>
      </c>
      <c r="E17" s="240"/>
      <c r="F17" s="240"/>
      <c r="G17" s="240">
        <f>SUM(E17:F17)</f>
        <v>0</v>
      </c>
      <c r="H17" s="199"/>
      <c r="I17" s="199" t="s">
        <v>486</v>
      </c>
      <c r="J17" s="199"/>
    </row>
    <row r="18" spans="1:10" ht="16.2" thickBot="1">
      <c r="C18" s="141" t="s">
        <v>495</v>
      </c>
      <c r="E18" s="240"/>
      <c r="F18" s="240"/>
      <c r="G18" s="240">
        <f>SUM(E18:F18)</f>
        <v>0</v>
      </c>
      <c r="H18" s="199"/>
      <c r="I18" s="201">
        <f>SUM(G10:G18)</f>
        <v>12964</v>
      </c>
      <c r="J18" s="199"/>
    </row>
    <row r="19" spans="1:10" ht="16.2" thickTop="1">
      <c r="E19" s="240"/>
      <c r="F19" s="240"/>
      <c r="G19" s="240"/>
      <c r="H19" s="199"/>
      <c r="I19" s="199"/>
      <c r="J19" s="199"/>
    </row>
    <row r="20" spans="1:10">
      <c r="A20" s="141" t="s">
        <v>496</v>
      </c>
      <c r="E20" s="240"/>
      <c r="F20" s="240"/>
      <c r="G20" s="240"/>
      <c r="H20" s="199"/>
      <c r="I20" s="199"/>
      <c r="J20" s="199"/>
    </row>
    <row r="21" spans="1:10">
      <c r="B21" s="141" t="s">
        <v>487</v>
      </c>
      <c r="E21" s="240"/>
      <c r="F21" s="240"/>
      <c r="G21" s="240">
        <f>SUM(E21:F21)</f>
        <v>0</v>
      </c>
      <c r="H21" s="199"/>
      <c r="I21" s="199" t="s">
        <v>237</v>
      </c>
      <c r="J21" s="199"/>
    </row>
    <row r="22" spans="1:10" ht="16.2" thickBot="1">
      <c r="B22" s="141" t="s">
        <v>143</v>
      </c>
      <c r="E22" s="240"/>
      <c r="F22" s="240"/>
      <c r="G22" s="240">
        <f>SUM(E22:F22)</f>
        <v>0</v>
      </c>
      <c r="H22" s="199"/>
      <c r="I22" s="201">
        <f>+G22+G21</f>
        <v>0</v>
      </c>
      <c r="J22" s="199"/>
    </row>
    <row r="23" spans="1:10" ht="16.2" thickTop="1">
      <c r="E23" s="240"/>
      <c r="F23" s="240"/>
      <c r="G23" s="240"/>
      <c r="H23" s="199"/>
      <c r="J23" s="199"/>
    </row>
    <row r="24" spans="1:10">
      <c r="A24" s="141" t="s">
        <v>497</v>
      </c>
      <c r="E24" s="240"/>
      <c r="F24" s="240"/>
      <c r="G24" s="240"/>
      <c r="H24" s="199"/>
      <c r="I24" s="199"/>
      <c r="J24" s="199"/>
    </row>
    <row r="25" spans="1:10">
      <c r="B25" s="141" t="s">
        <v>487</v>
      </c>
      <c r="E25" s="240"/>
      <c r="F25" s="240"/>
      <c r="G25" s="240"/>
      <c r="H25" s="199"/>
      <c r="I25" s="199"/>
      <c r="J25" s="199"/>
    </row>
    <row r="26" spans="1:10">
      <c r="C26" s="141" t="s">
        <v>498</v>
      </c>
      <c r="E26" s="240">
        <f>78799+5784+6317+18+2010+37+428+1742</f>
        <v>95135</v>
      </c>
      <c r="F26" s="240"/>
      <c r="G26" s="240">
        <f t="shared" ref="G26:G32" si="0">SUM(E26:F26)</f>
        <v>95135</v>
      </c>
      <c r="H26" s="199"/>
      <c r="I26" s="199"/>
      <c r="J26" s="199"/>
    </row>
    <row r="27" spans="1:10">
      <c r="C27" s="141" t="s">
        <v>499</v>
      </c>
      <c r="E27" s="240"/>
      <c r="F27" s="240"/>
      <c r="G27" s="240">
        <f t="shared" si="0"/>
        <v>0</v>
      </c>
      <c r="H27" s="199"/>
      <c r="I27" s="199"/>
      <c r="J27" s="199"/>
    </row>
    <row r="28" spans="1:10">
      <c r="C28" s="141" t="s">
        <v>500</v>
      </c>
      <c r="E28" s="240"/>
      <c r="F28" s="240"/>
      <c r="G28" s="240">
        <f t="shared" si="0"/>
        <v>0</v>
      </c>
      <c r="H28" s="199"/>
      <c r="I28" s="199"/>
      <c r="J28" s="199"/>
    </row>
    <row r="29" spans="1:10">
      <c r="C29" s="141" t="s">
        <v>501</v>
      </c>
      <c r="E29" s="240">
        <f>9063+680+621+2343+9+66</f>
        <v>12782</v>
      </c>
      <c r="F29" s="240"/>
      <c r="G29" s="240">
        <f t="shared" si="0"/>
        <v>12782</v>
      </c>
      <c r="H29" s="199"/>
      <c r="I29" s="199"/>
      <c r="J29" s="199"/>
    </row>
    <row r="30" spans="1:10">
      <c r="C30" s="141" t="s">
        <v>502</v>
      </c>
      <c r="E30" s="240"/>
      <c r="F30" s="240"/>
      <c r="G30" s="240">
        <f t="shared" si="0"/>
        <v>0</v>
      </c>
      <c r="H30" s="199"/>
      <c r="I30" s="199"/>
      <c r="J30" s="199"/>
    </row>
    <row r="31" spans="1:10">
      <c r="C31" s="141" t="s">
        <v>503</v>
      </c>
      <c r="E31" s="240">
        <f>80287+144+89+6002+5572+16919+54+457+464</f>
        <v>109988</v>
      </c>
      <c r="F31" s="240"/>
      <c r="G31" s="240">
        <f t="shared" si="0"/>
        <v>109988</v>
      </c>
      <c r="H31" s="199"/>
      <c r="J31" s="199"/>
    </row>
    <row r="32" spans="1:10">
      <c r="C32" s="141" t="s">
        <v>504</v>
      </c>
      <c r="E32" s="240"/>
      <c r="F32" s="240"/>
      <c r="G32" s="240">
        <f t="shared" si="0"/>
        <v>0</v>
      </c>
      <c r="H32" s="199"/>
      <c r="J32" s="199"/>
    </row>
    <row r="33" spans="1:10">
      <c r="B33" s="141" t="s">
        <v>143</v>
      </c>
      <c r="E33" s="240"/>
      <c r="F33" s="240"/>
      <c r="G33" s="240"/>
      <c r="H33" s="199"/>
      <c r="I33" s="199"/>
      <c r="J33" s="199"/>
    </row>
    <row r="34" spans="1:10">
      <c r="C34" s="141" t="s">
        <v>505</v>
      </c>
      <c r="E34" s="240"/>
      <c r="F34" s="240">
        <f>5604+420+382+1028+3+26+67</f>
        <v>7530</v>
      </c>
      <c r="G34" s="240">
        <f t="shared" ref="G34:G39" si="1">SUM(E34:F34)</f>
        <v>7530</v>
      </c>
      <c r="H34" s="199"/>
      <c r="I34" s="199"/>
      <c r="J34" s="199"/>
    </row>
    <row r="35" spans="1:10">
      <c r="C35" s="141" t="s">
        <v>506</v>
      </c>
      <c r="E35" s="240"/>
      <c r="F35" s="240">
        <f>5126+107+392+365+1222+3+24+67</f>
        <v>7306</v>
      </c>
      <c r="G35" s="240">
        <f t="shared" si="1"/>
        <v>7306</v>
      </c>
      <c r="H35" s="199"/>
      <c r="I35" s="199"/>
      <c r="J35" s="199"/>
    </row>
    <row r="36" spans="1:10">
      <c r="C36" s="141" t="s">
        <v>507</v>
      </c>
      <c r="E36" s="240"/>
      <c r="F36" s="240"/>
      <c r="G36" s="240">
        <f t="shared" si="1"/>
        <v>0</v>
      </c>
      <c r="H36" s="199"/>
      <c r="I36" s="199"/>
      <c r="J36" s="199"/>
    </row>
    <row r="37" spans="1:10">
      <c r="C37" s="141" t="s">
        <v>508</v>
      </c>
      <c r="E37" s="240"/>
      <c r="F37" s="240">
        <v>82878</v>
      </c>
      <c r="G37" s="240">
        <f t="shared" si="1"/>
        <v>82878</v>
      </c>
      <c r="H37" s="199"/>
      <c r="I37" s="199"/>
      <c r="J37" s="199"/>
    </row>
    <row r="38" spans="1:10">
      <c r="C38" s="141" t="s">
        <v>509</v>
      </c>
      <c r="E38" s="240"/>
      <c r="F38" s="240"/>
      <c r="G38" s="240">
        <f t="shared" si="1"/>
        <v>0</v>
      </c>
      <c r="H38" s="199"/>
      <c r="I38" s="199"/>
      <c r="J38" s="199"/>
    </row>
    <row r="39" spans="1:10">
      <c r="C39" s="141" t="s">
        <v>510</v>
      </c>
      <c r="E39" s="240"/>
      <c r="F39" s="240">
        <f>9899+89+723+721+1670+7+54+53</f>
        <v>13216</v>
      </c>
      <c r="G39" s="240">
        <f t="shared" si="1"/>
        <v>13216</v>
      </c>
      <c r="H39" s="199"/>
      <c r="I39" s="199"/>
      <c r="J39" s="199"/>
    </row>
    <row r="40" spans="1:10">
      <c r="C40" s="141" t="s">
        <v>511</v>
      </c>
      <c r="E40" s="240"/>
      <c r="F40" s="240"/>
      <c r="G40" s="240">
        <f>SUM(F40:F40)</f>
        <v>0</v>
      </c>
      <c r="H40" s="199"/>
      <c r="I40" s="199" t="s">
        <v>512</v>
      </c>
      <c r="J40" s="199"/>
    </row>
    <row r="41" spans="1:10" ht="16.2" thickBot="1">
      <c r="C41" s="141" t="s">
        <v>513</v>
      </c>
      <c r="E41" s="240"/>
      <c r="F41" s="240">
        <f>20315+1059+1557+1525+4241+15+121+148</f>
        <v>28981</v>
      </c>
      <c r="G41" s="240">
        <f>SUM(E41:F41)</f>
        <v>28981</v>
      </c>
      <c r="H41" s="199"/>
      <c r="I41" s="201">
        <f>SUM(G26:G41)</f>
        <v>357816</v>
      </c>
      <c r="J41" s="199"/>
    </row>
    <row r="42" spans="1:10" ht="16.2" thickTop="1">
      <c r="E42" s="240"/>
      <c r="F42" s="240"/>
      <c r="G42" s="240"/>
      <c r="H42" s="199"/>
      <c r="I42" s="199"/>
      <c r="J42" s="199"/>
    </row>
    <row r="43" spans="1:10">
      <c r="A43" s="141" t="s">
        <v>514</v>
      </c>
      <c r="E43" s="240"/>
      <c r="F43" s="240"/>
      <c r="G43" s="240"/>
      <c r="H43" s="199"/>
      <c r="I43" s="199"/>
      <c r="J43" s="199"/>
    </row>
    <row r="44" spans="1:10">
      <c r="B44" s="141" t="s">
        <v>515</v>
      </c>
      <c r="E44" s="240">
        <v>24536</v>
      </c>
      <c r="F44" s="240"/>
      <c r="G44" s="240">
        <f>SUM(E44:F44)</f>
        <v>24536</v>
      </c>
      <c r="H44" s="199"/>
      <c r="I44" s="199"/>
      <c r="J44" s="199"/>
    </row>
    <row r="45" spans="1:10">
      <c r="B45" s="141" t="s">
        <v>516</v>
      </c>
      <c r="E45" s="240">
        <f>101220+9167+8279+7714+29375+99+574</f>
        <v>156428</v>
      </c>
      <c r="G45" s="240">
        <f>SUM(E45:E45)</f>
        <v>156428</v>
      </c>
      <c r="H45" s="199"/>
      <c r="I45" s="199"/>
      <c r="J45" s="199"/>
    </row>
    <row r="46" spans="1:10">
      <c r="B46" s="141" t="s">
        <v>517</v>
      </c>
      <c r="E46" s="240"/>
      <c r="F46" s="240"/>
      <c r="G46" s="240">
        <f>SUM(E46:F46)</f>
        <v>0</v>
      </c>
      <c r="H46" s="199"/>
      <c r="I46" s="199" t="s">
        <v>518</v>
      </c>
      <c r="J46" s="199"/>
    </row>
    <row r="47" spans="1:10" ht="16.2" thickBot="1">
      <c r="B47" s="141" t="s">
        <v>519</v>
      </c>
      <c r="E47" s="240">
        <f>35934+2695+2419+7570+21+204</f>
        <v>48843</v>
      </c>
      <c r="G47" s="240">
        <f>SUM(E47:E47)</f>
        <v>48843</v>
      </c>
      <c r="H47" s="199"/>
      <c r="I47" s="201">
        <f>SUM(G44:G48)</f>
        <v>229807</v>
      </c>
      <c r="J47" s="199"/>
    </row>
    <row r="48" spans="1:10" ht="16.2" thickTop="1">
      <c r="E48" s="240"/>
      <c r="G48" s="240"/>
      <c r="H48" s="199"/>
      <c r="I48" s="199"/>
      <c r="J48" s="199"/>
    </row>
    <row r="49" spans="1:10">
      <c r="A49" s="141" t="s">
        <v>520</v>
      </c>
      <c r="E49" s="240"/>
      <c r="G49" s="240"/>
      <c r="H49" s="199"/>
      <c r="I49" s="199"/>
      <c r="J49" s="199"/>
    </row>
    <row r="50" spans="1:10">
      <c r="C50" s="141" t="s">
        <v>521</v>
      </c>
      <c r="E50" s="240">
        <f>122825+8870+9385+10423+1873+59+607+1324</f>
        <v>155366</v>
      </c>
      <c r="G50" s="240">
        <f t="shared" ref="G50:G55" si="2">SUM(E50:E50)</f>
        <v>155366</v>
      </c>
      <c r="H50" s="199"/>
      <c r="I50" s="199"/>
      <c r="J50" s="199"/>
    </row>
    <row r="51" spans="1:10">
      <c r="C51" s="141" t="s">
        <v>522</v>
      </c>
      <c r="E51" s="240">
        <f>171+185+316+2+25</f>
        <v>699</v>
      </c>
      <c r="G51" s="240">
        <f t="shared" si="2"/>
        <v>699</v>
      </c>
      <c r="H51" s="199"/>
      <c r="I51" s="199"/>
      <c r="J51" s="199"/>
    </row>
    <row r="52" spans="1:10">
      <c r="C52" s="141" t="s">
        <v>523</v>
      </c>
      <c r="E52" s="240">
        <f>2688+206</f>
        <v>2894</v>
      </c>
      <c r="G52" s="240">
        <f t="shared" si="2"/>
        <v>2894</v>
      </c>
      <c r="H52" s="199"/>
      <c r="I52" s="199"/>
      <c r="J52" s="199"/>
    </row>
    <row r="53" spans="1:10">
      <c r="C53" s="141" t="s">
        <v>524</v>
      </c>
      <c r="E53" s="240">
        <f>14530+441+769+542+108+6+66+42</f>
        <v>16504</v>
      </c>
      <c r="G53" s="240">
        <f t="shared" si="2"/>
        <v>16504</v>
      </c>
      <c r="H53" s="199"/>
      <c r="I53" s="199"/>
      <c r="J53" s="199"/>
    </row>
    <row r="54" spans="1:10">
      <c r="C54" s="141" t="s">
        <v>525</v>
      </c>
      <c r="E54" s="240"/>
      <c r="G54" s="240">
        <f t="shared" si="2"/>
        <v>0</v>
      </c>
      <c r="H54" s="199"/>
      <c r="I54" s="199"/>
      <c r="J54" s="199"/>
    </row>
    <row r="55" spans="1:10">
      <c r="C55" s="141" t="s">
        <v>526</v>
      </c>
      <c r="E55" s="240">
        <f>3950+41+251</f>
        <v>4242</v>
      </c>
      <c r="G55" s="240">
        <f t="shared" si="2"/>
        <v>4242</v>
      </c>
      <c r="H55" s="199"/>
      <c r="I55" s="199"/>
      <c r="J55" s="199"/>
    </row>
    <row r="57" spans="1:10" ht="16.2" thickBot="1">
      <c r="C57" s="141" t="s">
        <v>144</v>
      </c>
      <c r="E57" s="262">
        <f>SUM(E8:E56)</f>
        <v>634820</v>
      </c>
      <c r="F57" s="262">
        <f>SUM(F8:F56)</f>
        <v>145472</v>
      </c>
      <c r="G57" s="262">
        <f>SUM(G8:G56)</f>
        <v>780292</v>
      </c>
      <c r="H57" s="200"/>
      <c r="I57" s="200"/>
    </row>
    <row r="58" spans="1:10" ht="16.2" thickTop="1"/>
  </sheetData>
  <mergeCells count="6">
    <mergeCell ref="A7:C7"/>
    <mergeCell ref="A1:G1"/>
    <mergeCell ref="A2:G2"/>
    <mergeCell ref="A3:G3"/>
    <mergeCell ref="A4:G4"/>
    <mergeCell ref="E6:F6"/>
  </mergeCells>
  <pageMargins left="0.2" right="0.2" top="0.5" bottom="0"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709"/>
  <sheetViews>
    <sheetView zoomScale="85" zoomScaleNormal="85" workbookViewId="0">
      <selection activeCell="H2" sqref="H2"/>
    </sheetView>
  </sheetViews>
  <sheetFormatPr defaultColWidth="9.109375" defaultRowHeight="14.4"/>
  <cols>
    <col min="1" max="1" width="6.88671875" style="15" customWidth="1"/>
    <col min="2" max="2" width="3.6640625" style="15" customWidth="1"/>
    <col min="3" max="3" width="2.33203125" style="15" customWidth="1"/>
    <col min="4" max="4" width="14.88671875" style="15" customWidth="1"/>
    <col min="5" max="5" width="37.88671875" style="15" customWidth="1"/>
    <col min="6" max="6" width="14.6640625" style="15" customWidth="1"/>
    <col min="7" max="7" width="9.109375" style="15"/>
    <col min="8" max="8" width="67" style="15" customWidth="1"/>
    <col min="9" max="9" width="10.5546875" style="15" bestFit="1" customWidth="1"/>
    <col min="10" max="16384" width="9.109375" style="15"/>
  </cols>
  <sheetData>
    <row r="1" spans="1:8">
      <c r="A1" s="483" t="str">
        <f>+'Schedule 7'!A1:F1</f>
        <v>Worthington (Minnesota) Public Utilities</v>
      </c>
      <c r="B1" s="483"/>
      <c r="C1" s="483"/>
      <c r="D1" s="483"/>
      <c r="E1" s="483"/>
      <c r="F1" s="483"/>
    </row>
    <row r="2" spans="1:8">
      <c r="A2" s="484" t="str">
        <f>+'Schedule 4'!A4:G4</f>
        <v>For the Year Ended December 31, 2015</v>
      </c>
      <c r="B2" s="483"/>
      <c r="C2" s="483"/>
      <c r="D2" s="483"/>
      <c r="E2" s="483"/>
      <c r="F2" s="483"/>
      <c r="H2" s="14"/>
    </row>
    <row r="3" spans="1:8">
      <c r="A3" s="483" t="s">
        <v>871</v>
      </c>
      <c r="B3" s="483"/>
      <c r="C3" s="483"/>
      <c r="D3" s="483"/>
      <c r="E3" s="483"/>
      <c r="F3" s="483"/>
    </row>
    <row r="4" spans="1:8">
      <c r="A4" s="14"/>
      <c r="B4" s="16"/>
      <c r="F4" s="204"/>
    </row>
    <row r="5" spans="1:8">
      <c r="A5" s="17" t="s">
        <v>528</v>
      </c>
      <c r="B5" s="16"/>
      <c r="F5" s="18"/>
    </row>
    <row r="6" spans="1:8">
      <c r="A6" s="17"/>
      <c r="B6" s="16"/>
      <c r="F6" s="19"/>
    </row>
    <row r="7" spans="1:8">
      <c r="A7" s="20" t="s">
        <v>529</v>
      </c>
      <c r="F7" s="19"/>
    </row>
    <row r="8" spans="1:8">
      <c r="A8" s="20"/>
      <c r="B8" s="15" t="s">
        <v>530</v>
      </c>
      <c r="E8" s="19"/>
      <c r="F8" s="19">
        <v>3966388</v>
      </c>
    </row>
    <row r="9" spans="1:8">
      <c r="A9" s="20"/>
      <c r="B9" s="15" t="s">
        <v>531</v>
      </c>
      <c r="E9" s="19"/>
    </row>
    <row r="10" spans="1:8">
      <c r="A10" s="20"/>
      <c r="C10" s="15" t="s">
        <v>531</v>
      </c>
      <c r="E10" s="19"/>
      <c r="F10" s="19">
        <v>6470232</v>
      </c>
    </row>
    <row r="11" spans="1:8">
      <c r="A11" s="20"/>
      <c r="C11" s="15" t="s">
        <v>532</v>
      </c>
      <c r="E11" s="19"/>
      <c r="F11" s="19"/>
    </row>
    <row r="12" spans="1:8">
      <c r="A12" s="20"/>
      <c r="B12" s="15" t="s">
        <v>533</v>
      </c>
      <c r="E12" s="19"/>
      <c r="F12" s="19">
        <v>8246270</v>
      </c>
    </row>
    <row r="13" spans="1:8">
      <c r="A13" s="20"/>
      <c r="C13" s="15" t="s">
        <v>534</v>
      </c>
      <c r="E13" s="19"/>
      <c r="F13" s="19"/>
    </row>
    <row r="14" spans="1:8">
      <c r="A14" s="20"/>
      <c r="C14" s="15" t="s">
        <v>535</v>
      </c>
      <c r="E14" s="19"/>
      <c r="F14" s="19"/>
    </row>
    <row r="15" spans="1:8">
      <c r="A15" s="20"/>
      <c r="B15" s="15" t="s">
        <v>536</v>
      </c>
      <c r="E15" s="19"/>
      <c r="F15" s="19">
        <v>149407</v>
      </c>
    </row>
    <row r="16" spans="1:8">
      <c r="A16" s="20"/>
      <c r="B16" s="15" t="s">
        <v>537</v>
      </c>
      <c r="E16" s="19"/>
      <c r="F16" s="19">
        <v>402869</v>
      </c>
    </row>
    <row r="17" spans="1:8">
      <c r="A17" s="20"/>
      <c r="B17" s="15" t="s">
        <v>538</v>
      </c>
      <c r="E17" s="19"/>
      <c r="F17" s="19">
        <v>39401</v>
      </c>
    </row>
    <row r="18" spans="1:8">
      <c r="A18" s="20"/>
      <c r="C18" s="14" t="s">
        <v>539</v>
      </c>
      <c r="F18" s="21">
        <f>SUM(F8:F17)</f>
        <v>19274567</v>
      </c>
    </row>
    <row r="19" spans="1:8">
      <c r="A19" s="20"/>
      <c r="F19" s="19"/>
    </row>
    <row r="20" spans="1:8">
      <c r="A20" s="14" t="s">
        <v>540</v>
      </c>
      <c r="B20" s="20"/>
      <c r="F20" s="19"/>
    </row>
    <row r="21" spans="1:8">
      <c r="A21" s="14"/>
      <c r="B21" s="16" t="s">
        <v>541</v>
      </c>
      <c r="E21" s="19"/>
      <c r="F21" s="22"/>
    </row>
    <row r="22" spans="1:8">
      <c r="A22" s="23"/>
      <c r="B22" s="24" t="s">
        <v>822</v>
      </c>
      <c r="C22" s="23"/>
      <c r="D22" s="23"/>
      <c r="E22" s="22"/>
    </row>
    <row r="23" spans="1:8">
      <c r="A23" s="23"/>
      <c r="B23" s="24"/>
      <c r="C23" s="23" t="s">
        <v>886</v>
      </c>
      <c r="D23" s="23"/>
      <c r="E23" s="22"/>
      <c r="F23" s="22">
        <v>37337</v>
      </c>
      <c r="H23" s="35"/>
    </row>
    <row r="24" spans="1:8">
      <c r="A24" s="23"/>
      <c r="B24" s="24"/>
      <c r="C24" s="23" t="s">
        <v>887</v>
      </c>
      <c r="D24" s="23"/>
      <c r="E24" s="22"/>
      <c r="F24" s="22">
        <v>50687</v>
      </c>
      <c r="H24" s="35"/>
    </row>
    <row r="25" spans="1:8">
      <c r="A25" s="23"/>
      <c r="B25" s="24"/>
      <c r="C25" s="23" t="s">
        <v>888</v>
      </c>
      <c r="D25" s="23"/>
      <c r="E25" s="22"/>
      <c r="F25" s="22">
        <v>8693</v>
      </c>
      <c r="H25" s="35"/>
    </row>
    <row r="26" spans="1:8">
      <c r="A26" s="23"/>
      <c r="B26" s="24"/>
      <c r="C26" s="23" t="s">
        <v>889</v>
      </c>
      <c r="D26" s="23"/>
      <c r="E26" s="22"/>
      <c r="F26" s="22">
        <v>23491</v>
      </c>
    </row>
    <row r="27" spans="1:8">
      <c r="A27" s="23"/>
      <c r="B27" s="24"/>
      <c r="C27" s="23" t="s">
        <v>890</v>
      </c>
      <c r="D27" s="23"/>
      <c r="E27" s="22"/>
      <c r="F27" s="22">
        <v>10827</v>
      </c>
    </row>
    <row r="28" spans="1:8">
      <c r="A28" s="23"/>
      <c r="B28" s="24"/>
      <c r="C28" s="23" t="s">
        <v>891</v>
      </c>
      <c r="D28" s="23"/>
      <c r="E28" s="22"/>
      <c r="F28" s="22">
        <v>514717</v>
      </c>
      <c r="H28" s="15" t="s">
        <v>894</v>
      </c>
    </row>
    <row r="29" spans="1:8">
      <c r="A29" s="23"/>
      <c r="B29" s="24"/>
      <c r="C29" s="24" t="s">
        <v>892</v>
      </c>
      <c r="D29" s="23"/>
      <c r="E29" s="22"/>
      <c r="F29" s="22">
        <v>416080</v>
      </c>
    </row>
    <row r="30" spans="1:8">
      <c r="A30" s="23"/>
      <c r="B30" s="24"/>
      <c r="C30" s="24" t="s">
        <v>893</v>
      </c>
      <c r="D30" s="23"/>
      <c r="E30" s="22"/>
      <c r="F30" s="22">
        <v>14759</v>
      </c>
    </row>
    <row r="31" spans="1:8">
      <c r="A31" s="17"/>
      <c r="B31" s="16"/>
      <c r="C31" s="14" t="s">
        <v>542</v>
      </c>
      <c r="F31" s="21">
        <f>SUM(F21:F30)</f>
        <v>1076591</v>
      </c>
    </row>
    <row r="32" spans="1:8">
      <c r="A32" s="17"/>
      <c r="B32" s="16"/>
      <c r="F32" s="19"/>
    </row>
    <row r="33" spans="1:6">
      <c r="A33" s="420"/>
      <c r="B33" s="16"/>
      <c r="C33" s="14" t="s">
        <v>543</v>
      </c>
      <c r="D33" s="14"/>
      <c r="E33" s="14"/>
      <c r="F33" s="25">
        <f>+F31+F18</f>
        <v>20351158</v>
      </c>
    </row>
    <row r="34" spans="1:6">
      <c r="A34" s="26"/>
      <c r="B34" s="16"/>
      <c r="F34" s="22"/>
    </row>
    <row r="35" spans="1:6">
      <c r="A35" s="27" t="s">
        <v>544</v>
      </c>
      <c r="B35" s="16"/>
      <c r="F35" s="22"/>
    </row>
    <row r="36" spans="1:6">
      <c r="B36" s="16"/>
      <c r="F36" s="22"/>
    </row>
    <row r="37" spans="1:6">
      <c r="A37" s="17" t="s">
        <v>545</v>
      </c>
      <c r="B37" s="16"/>
      <c r="F37" s="22"/>
    </row>
    <row r="38" spans="1:6">
      <c r="A38" s="17"/>
      <c r="B38" s="16"/>
      <c r="F38" s="22"/>
    </row>
    <row r="39" spans="1:6">
      <c r="A39" s="14"/>
      <c r="B39" s="16" t="s">
        <v>546</v>
      </c>
      <c r="F39" s="22">
        <v>1823323</v>
      </c>
    </row>
    <row r="40" spans="1:6">
      <c r="A40" s="14"/>
      <c r="B40" s="16" t="s">
        <v>547</v>
      </c>
      <c r="F40" s="22">
        <v>10533774</v>
      </c>
    </row>
    <row r="41" spans="1:6">
      <c r="A41" s="14"/>
      <c r="B41" s="16" t="s">
        <v>548</v>
      </c>
      <c r="F41" s="22">
        <v>4580551</v>
      </c>
    </row>
    <row r="42" spans="1:6">
      <c r="A42" s="14"/>
      <c r="B42" s="16"/>
      <c r="C42" s="14" t="s">
        <v>549</v>
      </c>
      <c r="F42" s="21">
        <f>SUM(F39:F41)</f>
        <v>16937648</v>
      </c>
    </row>
    <row r="43" spans="1:6">
      <c r="B43" s="16"/>
      <c r="F43" s="28"/>
    </row>
    <row r="44" spans="1:6">
      <c r="A44" s="15">
        <v>49416</v>
      </c>
      <c r="B44" s="20" t="s">
        <v>550</v>
      </c>
      <c r="C44" s="14"/>
      <c r="E44" s="22"/>
      <c r="F44" s="22"/>
    </row>
    <row r="45" spans="1:6">
      <c r="B45" s="20"/>
      <c r="C45" s="15" t="s">
        <v>551</v>
      </c>
      <c r="E45" s="22"/>
      <c r="F45" s="22"/>
    </row>
    <row r="46" spans="1:6">
      <c r="B46" s="20"/>
      <c r="D46" s="15" t="s">
        <v>552</v>
      </c>
      <c r="E46" s="22"/>
      <c r="F46" s="22">
        <v>4372</v>
      </c>
    </row>
    <row r="47" spans="1:6">
      <c r="B47" s="20"/>
      <c r="D47" s="15" t="s">
        <v>485</v>
      </c>
      <c r="E47" s="22"/>
      <c r="F47" s="22">
        <f>321+350+112+2+24+97</f>
        <v>906</v>
      </c>
    </row>
    <row r="48" spans="1:6">
      <c r="B48" s="20"/>
      <c r="C48" s="15" t="s">
        <v>553</v>
      </c>
      <c r="E48" s="22"/>
      <c r="F48" s="22"/>
    </row>
    <row r="49" spans="1:11">
      <c r="B49" s="20"/>
      <c r="D49" s="15" t="s">
        <v>554</v>
      </c>
      <c r="E49" s="22"/>
      <c r="F49" s="22"/>
    </row>
    <row r="50" spans="1:11">
      <c r="B50" s="20"/>
      <c r="C50" s="15" t="s">
        <v>555</v>
      </c>
      <c r="E50" s="22"/>
      <c r="F50" s="22"/>
    </row>
    <row r="51" spans="1:11">
      <c r="B51" s="20"/>
      <c r="D51" s="15" t="s">
        <v>556</v>
      </c>
      <c r="E51" s="22"/>
      <c r="F51" s="22"/>
    </row>
    <row r="52" spans="1:11">
      <c r="B52" s="20"/>
      <c r="D52" s="15" t="s">
        <v>826</v>
      </c>
      <c r="E52" s="22"/>
      <c r="F52" s="21">
        <f>SUM(F46:F51)</f>
        <v>5278</v>
      </c>
    </row>
    <row r="53" spans="1:11">
      <c r="B53" s="20"/>
      <c r="E53" s="22"/>
      <c r="F53" s="28"/>
    </row>
    <row r="54" spans="1:11">
      <c r="A54" s="15">
        <v>49417</v>
      </c>
      <c r="B54" s="20" t="s">
        <v>558</v>
      </c>
      <c r="E54" s="22"/>
      <c r="F54" s="22"/>
    </row>
    <row r="55" spans="1:11">
      <c r="B55" s="20"/>
      <c r="C55" s="15" t="s">
        <v>559</v>
      </c>
      <c r="E55" s="22"/>
      <c r="F55" s="22">
        <v>0</v>
      </c>
    </row>
    <row r="56" spans="1:11">
      <c r="B56" s="20"/>
      <c r="D56" s="15" t="s">
        <v>560</v>
      </c>
      <c r="E56" s="22"/>
      <c r="F56" s="22">
        <v>0</v>
      </c>
    </row>
    <row r="57" spans="1:11">
      <c r="B57" s="20"/>
      <c r="C57" s="15" t="s">
        <v>553</v>
      </c>
      <c r="E57" s="22"/>
      <c r="F57" s="22">
        <v>0</v>
      </c>
    </row>
    <row r="58" spans="1:11">
      <c r="B58" s="20"/>
      <c r="D58" s="15" t="s">
        <v>561</v>
      </c>
      <c r="E58" s="22"/>
      <c r="F58" s="22">
        <v>12900</v>
      </c>
    </row>
    <row r="59" spans="1:11">
      <c r="B59" s="20"/>
      <c r="C59" s="15" t="s">
        <v>555</v>
      </c>
      <c r="E59" s="22"/>
      <c r="F59" s="22"/>
    </row>
    <row r="60" spans="1:11">
      <c r="B60" s="20"/>
      <c r="D60" s="15" t="s">
        <v>562</v>
      </c>
      <c r="E60" s="22"/>
      <c r="F60" s="22"/>
    </row>
    <row r="61" spans="1:11">
      <c r="B61" s="20"/>
      <c r="D61" s="15" t="s">
        <v>827</v>
      </c>
      <c r="E61" s="22"/>
      <c r="F61" s="21">
        <f>SUM(F55:F60)</f>
        <v>12900</v>
      </c>
      <c r="K61" s="35">
        <f>+F61-'Schedule 7'!C15</f>
        <v>0</v>
      </c>
    </row>
    <row r="62" spans="1:11">
      <c r="B62" s="20"/>
      <c r="E62" s="22"/>
      <c r="F62" s="28"/>
    </row>
    <row r="63" spans="1:11">
      <c r="A63" s="15">
        <v>49418</v>
      </c>
      <c r="B63" s="20" t="s">
        <v>563</v>
      </c>
      <c r="E63" s="22"/>
      <c r="F63" s="22"/>
    </row>
    <row r="64" spans="1:11">
      <c r="B64" s="20"/>
      <c r="C64" s="15" t="s">
        <v>559</v>
      </c>
      <c r="E64" s="22"/>
      <c r="F64" s="22"/>
    </row>
    <row r="65" spans="1:6">
      <c r="B65" s="20"/>
      <c r="D65" s="15" t="s">
        <v>564</v>
      </c>
      <c r="E65" s="22"/>
      <c r="F65" s="22">
        <f>1284+216+89</f>
        <v>1589</v>
      </c>
    </row>
    <row r="66" spans="1:6">
      <c r="B66" s="20"/>
      <c r="D66" s="15" t="s">
        <v>485</v>
      </c>
      <c r="E66" s="22"/>
      <c r="F66" s="22">
        <f>119+113+300+4</f>
        <v>536</v>
      </c>
    </row>
    <row r="67" spans="1:6">
      <c r="B67" s="20"/>
      <c r="C67" s="15" t="s">
        <v>553</v>
      </c>
      <c r="E67" s="22"/>
      <c r="F67" s="22"/>
    </row>
    <row r="68" spans="1:6">
      <c r="B68" s="20"/>
      <c r="D68" s="15" t="s">
        <v>565</v>
      </c>
      <c r="E68" s="22"/>
      <c r="F68" s="22">
        <v>0</v>
      </c>
    </row>
    <row r="69" spans="1:6">
      <c r="B69" s="20"/>
      <c r="D69" s="15" t="s">
        <v>566</v>
      </c>
      <c r="E69" s="22"/>
      <c r="F69" s="22">
        <v>0</v>
      </c>
    </row>
    <row r="70" spans="1:6">
      <c r="B70" s="20"/>
      <c r="D70" s="15" t="s">
        <v>828</v>
      </c>
      <c r="E70" s="22"/>
      <c r="F70" s="21">
        <f>SUM(F65:F69)</f>
        <v>2125</v>
      </c>
    </row>
    <row r="71" spans="1:6">
      <c r="B71" s="20"/>
      <c r="E71" s="22"/>
      <c r="F71" s="28"/>
    </row>
    <row r="72" spans="1:6">
      <c r="A72" s="15">
        <v>49419</v>
      </c>
      <c r="B72" s="20" t="s">
        <v>567</v>
      </c>
      <c r="E72" s="22"/>
      <c r="F72" s="22"/>
    </row>
    <row r="73" spans="1:6">
      <c r="B73" s="20"/>
      <c r="C73" s="15" t="s">
        <v>559</v>
      </c>
      <c r="E73" s="22"/>
      <c r="F73" s="22"/>
    </row>
    <row r="74" spans="1:6">
      <c r="B74" s="20"/>
      <c r="D74" s="15" t="s">
        <v>568</v>
      </c>
      <c r="E74" s="22"/>
      <c r="F74" s="22">
        <v>0</v>
      </c>
    </row>
    <row r="75" spans="1:6">
      <c r="B75" s="20"/>
      <c r="C75" s="15" t="s">
        <v>553</v>
      </c>
      <c r="E75" s="22"/>
      <c r="F75" s="22"/>
    </row>
    <row r="76" spans="1:6">
      <c r="B76" s="20"/>
      <c r="D76" s="15" t="s">
        <v>569</v>
      </c>
      <c r="E76" s="22"/>
      <c r="F76" s="22">
        <v>0</v>
      </c>
    </row>
    <row r="77" spans="1:6">
      <c r="B77" s="20"/>
      <c r="D77" s="15" t="s">
        <v>566</v>
      </c>
      <c r="E77" s="22"/>
      <c r="F77" s="22"/>
    </row>
    <row r="78" spans="1:6">
      <c r="B78" s="20"/>
      <c r="D78" s="15" t="s">
        <v>570</v>
      </c>
      <c r="E78" s="22"/>
      <c r="F78" s="22"/>
    </row>
    <row r="79" spans="1:6">
      <c r="B79" s="20"/>
      <c r="C79" s="15" t="s">
        <v>555</v>
      </c>
      <c r="E79" s="22"/>
      <c r="F79" s="22"/>
    </row>
    <row r="80" spans="1:6">
      <c r="B80" s="20"/>
      <c r="D80" s="15" t="s">
        <v>571</v>
      </c>
      <c r="E80" s="22"/>
      <c r="F80" s="22"/>
    </row>
    <row r="81" spans="1:11">
      <c r="B81" s="20"/>
      <c r="D81" s="15" t="s">
        <v>572</v>
      </c>
      <c r="E81" s="22"/>
      <c r="F81" s="22"/>
    </row>
    <row r="82" spans="1:11">
      <c r="B82" s="20"/>
      <c r="D82" s="15" t="s">
        <v>556</v>
      </c>
      <c r="E82" s="22"/>
      <c r="F82" s="22">
        <v>825</v>
      </c>
    </row>
    <row r="83" spans="1:11">
      <c r="B83" s="20"/>
      <c r="D83" s="15" t="s">
        <v>573</v>
      </c>
      <c r="E83" s="22"/>
      <c r="F83" s="22">
        <v>34772</v>
      </c>
    </row>
    <row r="84" spans="1:11">
      <c r="B84" s="20"/>
      <c r="D84" s="15" t="s">
        <v>574</v>
      </c>
      <c r="E84" s="22"/>
      <c r="F84" s="22">
        <v>31949</v>
      </c>
    </row>
    <row r="85" spans="1:11">
      <c r="B85" s="20"/>
      <c r="D85" s="15" t="s">
        <v>575</v>
      </c>
      <c r="E85" s="22"/>
      <c r="F85" s="22">
        <v>104</v>
      </c>
    </row>
    <row r="86" spans="1:11">
      <c r="B86" s="20"/>
      <c r="D86" s="15" t="s">
        <v>576</v>
      </c>
      <c r="E86" s="22"/>
      <c r="F86" s="22">
        <v>0</v>
      </c>
    </row>
    <row r="87" spans="1:11">
      <c r="B87" s="20"/>
      <c r="D87" s="15" t="s">
        <v>577</v>
      </c>
      <c r="E87" s="22"/>
      <c r="F87" s="22">
        <v>180</v>
      </c>
    </row>
    <row r="88" spans="1:11">
      <c r="B88" s="20"/>
      <c r="D88" s="15" t="s">
        <v>578</v>
      </c>
      <c r="E88" s="22"/>
      <c r="F88" s="22">
        <v>423</v>
      </c>
    </row>
    <row r="89" spans="1:11">
      <c r="B89" s="20"/>
      <c r="D89" s="15" t="s">
        <v>579</v>
      </c>
      <c r="E89" s="22"/>
      <c r="F89" s="22">
        <v>164</v>
      </c>
    </row>
    <row r="90" spans="1:11">
      <c r="B90" s="20"/>
      <c r="D90" s="15" t="s">
        <v>580</v>
      </c>
      <c r="E90" s="22"/>
      <c r="F90" s="22">
        <v>0</v>
      </c>
    </row>
    <row r="91" spans="1:11">
      <c r="B91" s="20"/>
      <c r="D91" s="15" t="s">
        <v>581</v>
      </c>
      <c r="E91" s="22"/>
      <c r="F91" s="22">
        <v>1458</v>
      </c>
    </row>
    <row r="92" spans="1:11">
      <c r="B92" s="20"/>
      <c r="D92" s="15" t="s">
        <v>582</v>
      </c>
      <c r="E92" s="22"/>
      <c r="F92" s="22">
        <v>0</v>
      </c>
    </row>
    <row r="93" spans="1:11">
      <c r="B93" s="20"/>
      <c r="D93" s="15" t="s">
        <v>829</v>
      </c>
      <c r="E93" s="22"/>
      <c r="F93" s="21">
        <f>SUM(F74:F92)</f>
        <v>69875</v>
      </c>
      <c r="K93" s="35">
        <f>+F93+F70+F52-'Schedule 7'!D15</f>
        <v>-1</v>
      </c>
    </row>
    <row r="94" spans="1:11">
      <c r="A94" s="14"/>
      <c r="B94" s="20"/>
      <c r="C94" s="14"/>
      <c r="D94" s="14"/>
      <c r="F94" s="22"/>
    </row>
    <row r="95" spans="1:11" ht="12" customHeight="1">
      <c r="B95" s="29"/>
      <c r="C95" s="14"/>
      <c r="D95" s="30" t="s">
        <v>583</v>
      </c>
      <c r="E95" s="30"/>
      <c r="F95" s="31">
        <f>+F93+F70+F61+F42+F52</f>
        <v>17027826</v>
      </c>
    </row>
    <row r="96" spans="1:11">
      <c r="B96" s="20"/>
      <c r="D96" s="14"/>
      <c r="F96" s="22"/>
    </row>
    <row r="97" spans="1:6">
      <c r="A97" s="27" t="s">
        <v>584</v>
      </c>
      <c r="B97" s="20"/>
      <c r="D97" s="14"/>
      <c r="F97" s="22"/>
    </row>
    <row r="98" spans="1:6">
      <c r="B98" s="20" t="s">
        <v>585</v>
      </c>
      <c r="C98" s="14"/>
      <c r="E98" s="22"/>
      <c r="F98" s="22"/>
    </row>
    <row r="99" spans="1:6">
      <c r="B99" s="20"/>
      <c r="C99" s="15" t="s">
        <v>559</v>
      </c>
      <c r="E99" s="22"/>
      <c r="F99" s="22"/>
    </row>
    <row r="100" spans="1:6">
      <c r="B100" s="20"/>
      <c r="D100" s="15" t="s">
        <v>586</v>
      </c>
      <c r="E100" s="22"/>
      <c r="F100" s="22">
        <v>0</v>
      </c>
    </row>
    <row r="101" spans="1:6">
      <c r="B101" s="20"/>
      <c r="D101" s="15" t="s">
        <v>587</v>
      </c>
      <c r="E101" s="22"/>
      <c r="F101" s="22">
        <v>0</v>
      </c>
    </row>
    <row r="102" spans="1:6">
      <c r="B102" s="20"/>
      <c r="D102" s="15" t="s">
        <v>485</v>
      </c>
      <c r="E102" s="22"/>
      <c r="F102" s="22">
        <v>0</v>
      </c>
    </row>
    <row r="103" spans="1:6">
      <c r="B103" s="20"/>
      <c r="C103" s="15" t="s">
        <v>553</v>
      </c>
      <c r="E103" s="22"/>
      <c r="F103" s="22"/>
    </row>
    <row r="104" spans="1:6">
      <c r="B104" s="20"/>
      <c r="D104" s="15" t="s">
        <v>554</v>
      </c>
      <c r="E104" s="22"/>
      <c r="F104" s="22">
        <v>0</v>
      </c>
    </row>
    <row r="105" spans="1:6">
      <c r="B105" s="20"/>
      <c r="D105" s="15" t="s">
        <v>588</v>
      </c>
      <c r="E105" s="22"/>
      <c r="F105" s="22">
        <v>0</v>
      </c>
    </row>
    <row r="106" spans="1:6">
      <c r="B106" s="20"/>
      <c r="C106" s="15" t="s">
        <v>555</v>
      </c>
      <c r="E106" s="22"/>
      <c r="F106" s="22"/>
    </row>
    <row r="107" spans="1:6">
      <c r="B107" s="20"/>
      <c r="D107" s="15" t="s">
        <v>556</v>
      </c>
      <c r="E107" s="22"/>
      <c r="F107" s="22">
        <v>0</v>
      </c>
    </row>
    <row r="108" spans="1:6">
      <c r="B108" s="20"/>
      <c r="D108" s="15" t="s">
        <v>589</v>
      </c>
      <c r="E108" s="22"/>
      <c r="F108" s="22">
        <v>0</v>
      </c>
    </row>
    <row r="109" spans="1:6">
      <c r="B109" s="20"/>
      <c r="D109" s="15" t="s">
        <v>590</v>
      </c>
      <c r="E109" s="22"/>
      <c r="F109" s="22">
        <v>0</v>
      </c>
    </row>
    <row r="110" spans="1:6">
      <c r="B110" s="20"/>
      <c r="D110" s="15" t="s">
        <v>830</v>
      </c>
      <c r="E110" s="22"/>
      <c r="F110" s="21"/>
    </row>
    <row r="111" spans="1:6">
      <c r="B111" s="20"/>
      <c r="E111" s="22"/>
      <c r="F111" s="28"/>
    </row>
    <row r="112" spans="1:6">
      <c r="B112" s="20" t="s">
        <v>591</v>
      </c>
      <c r="E112" s="22"/>
      <c r="F112" s="22"/>
    </row>
    <row r="113" spans="2:6">
      <c r="B113" s="20"/>
      <c r="C113" s="15" t="s">
        <v>559</v>
      </c>
      <c r="E113" s="22"/>
      <c r="F113" s="22"/>
    </row>
    <row r="114" spans="2:6">
      <c r="B114" s="20"/>
      <c r="D114" s="15" t="s">
        <v>592</v>
      </c>
      <c r="E114" s="22"/>
      <c r="F114" s="22">
        <v>0</v>
      </c>
    </row>
    <row r="115" spans="2:6">
      <c r="B115" s="20"/>
      <c r="D115" s="15" t="s">
        <v>485</v>
      </c>
      <c r="E115" s="22"/>
      <c r="F115" s="22">
        <v>0</v>
      </c>
    </row>
    <row r="116" spans="2:6">
      <c r="B116" s="20"/>
      <c r="C116" s="15" t="s">
        <v>553</v>
      </c>
      <c r="E116" s="22"/>
      <c r="F116" s="22"/>
    </row>
    <row r="117" spans="2:6">
      <c r="B117" s="20"/>
      <c r="D117" s="15" t="s">
        <v>566</v>
      </c>
      <c r="E117" s="22"/>
      <c r="F117" s="22">
        <v>0</v>
      </c>
    </row>
    <row r="118" spans="2:6">
      <c r="B118" s="20"/>
      <c r="C118" s="15" t="s">
        <v>555</v>
      </c>
      <c r="E118" s="22"/>
      <c r="F118" s="22"/>
    </row>
    <row r="119" spans="2:6">
      <c r="B119" s="20"/>
      <c r="D119" s="15" t="s">
        <v>593</v>
      </c>
      <c r="E119" s="22"/>
      <c r="F119" s="22">
        <v>0</v>
      </c>
    </row>
    <row r="120" spans="2:6">
      <c r="B120" s="20"/>
      <c r="D120" s="15" t="s">
        <v>594</v>
      </c>
      <c r="E120" s="22"/>
      <c r="F120" s="22"/>
    </row>
    <row r="121" spans="2:6">
      <c r="B121" s="20"/>
      <c r="D121" s="15" t="s">
        <v>556</v>
      </c>
      <c r="E121" s="22"/>
      <c r="F121" s="22">
        <v>0</v>
      </c>
    </row>
    <row r="122" spans="2:6">
      <c r="B122" s="20"/>
      <c r="D122" s="15" t="s">
        <v>595</v>
      </c>
      <c r="E122" s="22"/>
      <c r="F122" s="22">
        <v>0</v>
      </c>
    </row>
    <row r="123" spans="2:6">
      <c r="B123" s="20"/>
      <c r="D123" s="15" t="s">
        <v>578</v>
      </c>
      <c r="E123" s="22"/>
      <c r="F123" s="22">
        <v>0</v>
      </c>
    </row>
    <row r="124" spans="2:6">
      <c r="B124" s="20"/>
      <c r="D124" s="15" t="s">
        <v>579</v>
      </c>
      <c r="E124" s="22"/>
      <c r="F124" s="22">
        <v>0</v>
      </c>
    </row>
    <row r="125" spans="2:6">
      <c r="B125" s="20"/>
      <c r="D125" s="15" t="s">
        <v>596</v>
      </c>
      <c r="E125" s="22"/>
      <c r="F125" s="22">
        <v>0</v>
      </c>
    </row>
    <row r="126" spans="2:6">
      <c r="B126" s="20"/>
      <c r="D126" s="15" t="s">
        <v>582</v>
      </c>
      <c r="E126" s="22"/>
      <c r="F126" s="22">
        <v>0</v>
      </c>
    </row>
    <row r="127" spans="2:6">
      <c r="B127" s="20"/>
      <c r="D127" s="15" t="s">
        <v>831</v>
      </c>
      <c r="E127" s="22"/>
      <c r="F127" s="21"/>
    </row>
    <row r="128" spans="2:6">
      <c r="B128" s="20"/>
      <c r="E128" s="22"/>
      <c r="F128" s="28"/>
    </row>
    <row r="129" spans="2:8">
      <c r="B129" s="20" t="s">
        <v>597</v>
      </c>
      <c r="E129" s="22"/>
      <c r="F129" s="22"/>
    </row>
    <row r="130" spans="2:8">
      <c r="B130" s="20"/>
      <c r="C130" s="15" t="s">
        <v>559</v>
      </c>
      <c r="E130" s="22"/>
      <c r="F130" s="22"/>
    </row>
    <row r="131" spans="2:8">
      <c r="B131" s="20"/>
      <c r="D131" s="15" t="s">
        <v>598</v>
      </c>
      <c r="E131" s="22"/>
      <c r="F131" s="22">
        <v>0</v>
      </c>
    </row>
    <row r="132" spans="2:8">
      <c r="B132" s="20"/>
      <c r="D132" s="15" t="s">
        <v>485</v>
      </c>
      <c r="E132" s="22"/>
      <c r="F132" s="22">
        <v>0</v>
      </c>
    </row>
    <row r="133" spans="2:8">
      <c r="B133" s="20"/>
      <c r="C133" s="15" t="s">
        <v>553</v>
      </c>
      <c r="E133" s="22"/>
      <c r="F133" s="22"/>
    </row>
    <row r="134" spans="2:8">
      <c r="B134" s="20"/>
      <c r="D134" s="15" t="s">
        <v>561</v>
      </c>
      <c r="E134" s="22"/>
      <c r="F134" s="22">
        <v>0</v>
      </c>
    </row>
    <row r="135" spans="2:8">
      <c r="B135" s="20"/>
      <c r="D135" s="15" t="s">
        <v>588</v>
      </c>
      <c r="E135" s="22"/>
      <c r="F135" s="22">
        <v>0</v>
      </c>
    </row>
    <row r="136" spans="2:8">
      <c r="B136" s="20"/>
      <c r="C136" s="15" t="s">
        <v>599</v>
      </c>
      <c r="E136" s="22"/>
      <c r="F136" s="22">
        <v>0</v>
      </c>
    </row>
    <row r="137" spans="2:8">
      <c r="B137" s="20"/>
      <c r="D137" s="15" t="s">
        <v>832</v>
      </c>
      <c r="E137" s="22"/>
      <c r="F137" s="21">
        <f>SUM(F131:F136)</f>
        <v>0</v>
      </c>
    </row>
    <row r="138" spans="2:8">
      <c r="B138" s="20"/>
      <c r="E138" s="22"/>
      <c r="F138" s="28"/>
    </row>
    <row r="139" spans="2:8">
      <c r="B139" s="20" t="s">
        <v>600</v>
      </c>
      <c r="E139" s="22"/>
      <c r="F139" s="22"/>
    </row>
    <row r="140" spans="2:8">
      <c r="B140" s="20"/>
      <c r="C140" s="15" t="s">
        <v>559</v>
      </c>
      <c r="E140" s="22"/>
      <c r="F140" s="22"/>
    </row>
    <row r="141" spans="2:8">
      <c r="B141" s="20"/>
      <c r="D141" s="15" t="s">
        <v>601</v>
      </c>
      <c r="E141" s="22"/>
      <c r="F141" s="22">
        <v>0</v>
      </c>
      <c r="H141" s="14"/>
    </row>
    <row r="142" spans="2:8">
      <c r="B142" s="20"/>
      <c r="D142" s="15" t="s">
        <v>602</v>
      </c>
      <c r="E142" s="22"/>
      <c r="F142" s="22">
        <v>0</v>
      </c>
    </row>
    <row r="143" spans="2:8">
      <c r="B143" s="20"/>
      <c r="D143" s="15" t="s">
        <v>485</v>
      </c>
      <c r="E143" s="22"/>
      <c r="F143" s="22">
        <v>0</v>
      </c>
    </row>
    <row r="144" spans="2:8">
      <c r="B144" s="20"/>
      <c r="C144" s="15" t="s">
        <v>553</v>
      </c>
      <c r="E144" s="22"/>
      <c r="F144" s="22"/>
    </row>
    <row r="145" spans="1:6">
      <c r="B145" s="20"/>
      <c r="D145" s="15" t="s">
        <v>603</v>
      </c>
      <c r="E145" s="22"/>
      <c r="F145" s="22">
        <v>0</v>
      </c>
    </row>
    <row r="146" spans="1:6">
      <c r="B146" s="20"/>
      <c r="D146" s="15" t="s">
        <v>604</v>
      </c>
      <c r="E146" s="22"/>
      <c r="F146" s="22">
        <v>0</v>
      </c>
    </row>
    <row r="147" spans="1:6">
      <c r="B147" s="20"/>
      <c r="C147" s="15" t="s">
        <v>555</v>
      </c>
      <c r="E147" s="22"/>
      <c r="F147" s="22"/>
    </row>
    <row r="148" spans="1:6">
      <c r="B148" s="20"/>
      <c r="D148" s="15" t="s">
        <v>605</v>
      </c>
      <c r="E148" s="22"/>
      <c r="F148" s="22">
        <v>0</v>
      </c>
    </row>
    <row r="149" spans="1:6">
      <c r="B149" s="20"/>
      <c r="D149" s="15" t="s">
        <v>599</v>
      </c>
      <c r="E149" s="22"/>
      <c r="F149" s="22">
        <v>0</v>
      </c>
    </row>
    <row r="150" spans="1:6">
      <c r="B150" s="20"/>
      <c r="D150" s="15" t="s">
        <v>833</v>
      </c>
      <c r="E150" s="22"/>
      <c r="F150" s="21"/>
    </row>
    <row r="151" spans="1:6">
      <c r="B151" s="20"/>
      <c r="D151" s="15" t="s">
        <v>557</v>
      </c>
      <c r="E151" s="22"/>
      <c r="F151" s="28"/>
    </row>
    <row r="152" spans="1:6">
      <c r="A152" s="14"/>
      <c r="B152" s="20"/>
      <c r="C152" s="14"/>
      <c r="D152" s="14"/>
      <c r="F152" s="22"/>
    </row>
    <row r="153" spans="1:6" s="30" customFormat="1">
      <c r="B153" s="32"/>
      <c r="D153" s="30" t="s">
        <v>606</v>
      </c>
      <c r="F153" s="31">
        <f>F150+F137+F127+F110</f>
        <v>0</v>
      </c>
    </row>
    <row r="154" spans="1:6">
      <c r="B154" s="20"/>
      <c r="D154" s="14"/>
      <c r="F154" s="22"/>
    </row>
    <row r="155" spans="1:6">
      <c r="A155" s="27" t="s">
        <v>607</v>
      </c>
      <c r="B155" s="16"/>
      <c r="C155" s="14"/>
      <c r="F155" s="22"/>
    </row>
    <row r="156" spans="1:6">
      <c r="A156" s="15">
        <v>49451</v>
      </c>
      <c r="B156" s="20" t="s">
        <v>608</v>
      </c>
      <c r="C156" s="14"/>
      <c r="E156" s="22"/>
      <c r="F156" s="22"/>
    </row>
    <row r="157" spans="1:6">
      <c r="B157" s="20"/>
      <c r="C157" s="15" t="s">
        <v>559</v>
      </c>
      <c r="E157" s="22"/>
      <c r="F157" s="22"/>
    </row>
    <row r="158" spans="1:6">
      <c r="B158" s="20"/>
      <c r="D158" s="15" t="s">
        <v>586</v>
      </c>
      <c r="E158" s="22"/>
      <c r="F158" s="22">
        <v>78799</v>
      </c>
    </row>
    <row r="159" spans="1:6">
      <c r="B159" s="20"/>
      <c r="D159" s="15" t="s">
        <v>587</v>
      </c>
      <c r="E159" s="22"/>
      <c r="F159" s="22">
        <v>0</v>
      </c>
    </row>
    <row r="160" spans="1:6">
      <c r="B160" s="20"/>
      <c r="D160" s="15" t="s">
        <v>485</v>
      </c>
      <c r="E160" s="22"/>
      <c r="F160" s="22">
        <f>5784+6317+18+2010+37+428+1742</f>
        <v>16336</v>
      </c>
    </row>
    <row r="161" spans="1:8">
      <c r="B161" s="20"/>
      <c r="C161" s="15" t="s">
        <v>553</v>
      </c>
      <c r="E161" s="22"/>
      <c r="F161" s="22"/>
    </row>
    <row r="162" spans="1:8">
      <c r="B162" s="20"/>
      <c r="D162" s="15" t="s">
        <v>554</v>
      </c>
      <c r="E162" s="22"/>
      <c r="F162" s="22">
        <v>879</v>
      </c>
    </row>
    <row r="163" spans="1:8">
      <c r="B163" s="20"/>
      <c r="D163" s="15" t="s">
        <v>588</v>
      </c>
      <c r="E163" s="22"/>
      <c r="F163" s="22">
        <v>1816</v>
      </c>
    </row>
    <row r="164" spans="1:8">
      <c r="B164" s="20"/>
      <c r="C164" s="15" t="s">
        <v>555</v>
      </c>
      <c r="E164" s="22"/>
      <c r="F164" s="22"/>
    </row>
    <row r="165" spans="1:8">
      <c r="B165" s="20"/>
      <c r="D165" s="15" t="s">
        <v>556</v>
      </c>
      <c r="E165" s="22"/>
      <c r="F165" s="22">
        <v>1874</v>
      </c>
    </row>
    <row r="166" spans="1:8">
      <c r="B166" s="20"/>
      <c r="D166" s="15" t="s">
        <v>589</v>
      </c>
      <c r="E166" s="22"/>
      <c r="F166" s="22">
        <v>2615</v>
      </c>
    </row>
    <row r="167" spans="1:8">
      <c r="B167" s="20"/>
      <c r="D167" s="15" t="s">
        <v>590</v>
      </c>
      <c r="E167" s="22"/>
      <c r="F167" s="22">
        <v>0</v>
      </c>
    </row>
    <row r="168" spans="1:8">
      <c r="B168" s="20"/>
      <c r="D168" s="15" t="s">
        <v>834</v>
      </c>
      <c r="E168" s="22"/>
      <c r="F168" s="21">
        <f>SUM(F158:F167)</f>
        <v>102319</v>
      </c>
      <c r="H168" s="35"/>
    </row>
    <row r="169" spans="1:8">
      <c r="B169" s="20"/>
      <c r="E169" s="22"/>
      <c r="F169" s="28"/>
    </row>
    <row r="170" spans="1:8">
      <c r="A170" s="15">
        <v>49452</v>
      </c>
      <c r="B170" s="20" t="s">
        <v>609</v>
      </c>
      <c r="E170" s="22"/>
      <c r="F170" s="22"/>
    </row>
    <row r="171" spans="1:8">
      <c r="B171" s="20"/>
      <c r="C171" s="15" t="s">
        <v>559</v>
      </c>
      <c r="E171" s="22"/>
      <c r="F171" s="22"/>
    </row>
    <row r="172" spans="1:8">
      <c r="B172" s="20"/>
      <c r="D172" s="15" t="s">
        <v>592</v>
      </c>
      <c r="E172" s="22"/>
      <c r="F172" s="22">
        <v>0</v>
      </c>
    </row>
    <row r="173" spans="1:8">
      <c r="B173" s="20"/>
      <c r="D173" s="15" t="s">
        <v>485</v>
      </c>
      <c r="E173" s="22"/>
      <c r="F173" s="22">
        <v>0</v>
      </c>
    </row>
    <row r="174" spans="1:8">
      <c r="B174" s="20"/>
      <c r="C174" s="15" t="s">
        <v>553</v>
      </c>
      <c r="E174" s="22"/>
      <c r="F174" s="22"/>
    </row>
    <row r="175" spans="1:8">
      <c r="B175" s="20"/>
      <c r="D175" s="15" t="s">
        <v>566</v>
      </c>
      <c r="E175" s="22"/>
      <c r="F175" s="22">
        <v>123</v>
      </c>
    </row>
    <row r="176" spans="1:8">
      <c r="B176" s="20"/>
      <c r="C176" s="15" t="s">
        <v>555</v>
      </c>
      <c r="E176" s="22"/>
      <c r="F176" s="22"/>
    </row>
    <row r="177" spans="1:6">
      <c r="B177" s="20"/>
      <c r="D177" s="15" t="s">
        <v>593</v>
      </c>
      <c r="E177" s="22"/>
      <c r="F177" s="22">
        <v>3984</v>
      </c>
    </row>
    <row r="178" spans="1:6">
      <c r="B178" s="20"/>
      <c r="D178" s="15" t="s">
        <v>594</v>
      </c>
      <c r="E178" s="22"/>
      <c r="F178" s="22"/>
    </row>
    <row r="179" spans="1:6">
      <c r="B179" s="20"/>
      <c r="D179" s="15" t="s">
        <v>556</v>
      </c>
      <c r="E179" s="22"/>
      <c r="F179" s="22">
        <v>1460</v>
      </c>
    </row>
    <row r="180" spans="1:6">
      <c r="B180" s="20"/>
      <c r="D180" s="15" t="s">
        <v>595</v>
      </c>
      <c r="E180" s="22"/>
      <c r="F180" s="22">
        <v>7815</v>
      </c>
    </row>
    <row r="181" spans="1:6">
      <c r="B181" s="20"/>
      <c r="D181" s="15" t="s">
        <v>578</v>
      </c>
      <c r="E181" s="22"/>
      <c r="F181" s="22">
        <v>672</v>
      </c>
    </row>
    <row r="182" spans="1:6">
      <c r="B182" s="20"/>
      <c r="D182" s="15" t="s">
        <v>579</v>
      </c>
      <c r="E182" s="22"/>
      <c r="F182" s="22">
        <v>164</v>
      </c>
    </row>
    <row r="183" spans="1:6">
      <c r="B183" s="20"/>
      <c r="D183" s="15" t="s">
        <v>596</v>
      </c>
      <c r="E183" s="22"/>
      <c r="F183" s="22">
        <v>52</v>
      </c>
    </row>
    <row r="184" spans="1:6">
      <c r="B184" s="20"/>
      <c r="D184" s="15" t="s">
        <v>582</v>
      </c>
      <c r="E184" s="22"/>
      <c r="F184" s="22">
        <v>0</v>
      </c>
    </row>
    <row r="185" spans="1:6">
      <c r="B185" s="20"/>
      <c r="D185" s="15" t="s">
        <v>835</v>
      </c>
      <c r="E185" s="22"/>
      <c r="F185" s="21">
        <f>SUM(F172:F184)</f>
        <v>14270</v>
      </c>
    </row>
    <row r="186" spans="1:6">
      <c r="B186" s="20"/>
      <c r="E186" s="22"/>
      <c r="F186" s="28"/>
    </row>
    <row r="187" spans="1:6">
      <c r="A187" s="15">
        <v>49454</v>
      </c>
      <c r="B187" s="20" t="s">
        <v>610</v>
      </c>
      <c r="E187" s="22"/>
      <c r="F187" s="22"/>
    </row>
    <row r="188" spans="1:6" hidden="1">
      <c r="B188" s="20"/>
      <c r="C188" s="15" t="s">
        <v>559</v>
      </c>
      <c r="E188" s="22"/>
      <c r="F188" s="22"/>
    </row>
    <row r="189" spans="1:6" hidden="1">
      <c r="B189" s="20"/>
      <c r="D189" s="15" t="s">
        <v>598</v>
      </c>
      <c r="E189" s="22"/>
      <c r="F189" s="22">
        <v>0</v>
      </c>
    </row>
    <row r="190" spans="1:6" hidden="1">
      <c r="B190" s="20"/>
      <c r="C190" s="15" t="s">
        <v>553</v>
      </c>
      <c r="E190" s="22"/>
      <c r="F190" s="22"/>
    </row>
    <row r="191" spans="1:6" hidden="1">
      <c r="B191" s="20"/>
      <c r="D191" s="15" t="s">
        <v>561</v>
      </c>
      <c r="E191" s="22"/>
      <c r="F191" s="22">
        <v>0</v>
      </c>
    </row>
    <row r="192" spans="1:6" hidden="1">
      <c r="B192" s="20"/>
      <c r="D192" s="15" t="s">
        <v>588</v>
      </c>
      <c r="E192" s="22"/>
      <c r="F192" s="22">
        <v>0</v>
      </c>
    </row>
    <row r="193" spans="1:6" hidden="1">
      <c r="B193" s="20"/>
      <c r="C193" s="15" t="s">
        <v>599</v>
      </c>
      <c r="E193" s="22"/>
      <c r="F193" s="22">
        <v>0</v>
      </c>
    </row>
    <row r="194" spans="1:6">
      <c r="B194" s="20"/>
      <c r="D194" s="15" t="s">
        <v>836</v>
      </c>
      <c r="E194" s="22"/>
      <c r="F194" s="21">
        <f>SUM(F188:F193)</f>
        <v>0</v>
      </c>
    </row>
    <row r="195" spans="1:6">
      <c r="B195" s="20"/>
      <c r="E195" s="22"/>
      <c r="F195" s="28"/>
    </row>
    <row r="196" spans="1:6">
      <c r="A196" s="15">
        <v>49455</v>
      </c>
      <c r="B196" s="20" t="s">
        <v>611</v>
      </c>
      <c r="E196" s="22"/>
      <c r="F196" s="22"/>
    </row>
    <row r="197" spans="1:6">
      <c r="B197" s="20"/>
      <c r="C197" s="15" t="s">
        <v>559</v>
      </c>
      <c r="E197" s="22"/>
      <c r="F197" s="22"/>
    </row>
    <row r="198" spans="1:6">
      <c r="B198" s="20"/>
      <c r="D198" s="15" t="s">
        <v>612</v>
      </c>
      <c r="E198" s="22"/>
      <c r="F198" s="22">
        <v>9063</v>
      </c>
    </row>
    <row r="199" spans="1:6">
      <c r="B199" s="20"/>
      <c r="D199" s="15" t="s">
        <v>602</v>
      </c>
      <c r="E199" s="22"/>
      <c r="F199" s="22">
        <v>0</v>
      </c>
    </row>
    <row r="200" spans="1:6">
      <c r="B200" s="20"/>
      <c r="D200" s="15" t="s">
        <v>485</v>
      </c>
      <c r="E200" s="22"/>
      <c r="F200" s="22">
        <f>680+621+2343+9+66</f>
        <v>3719</v>
      </c>
    </row>
    <row r="201" spans="1:6">
      <c r="B201" s="20"/>
      <c r="C201" s="15" t="s">
        <v>553</v>
      </c>
      <c r="E201" s="22"/>
      <c r="F201" s="22"/>
    </row>
    <row r="202" spans="1:6">
      <c r="B202" s="20"/>
      <c r="D202" s="15" t="s">
        <v>603</v>
      </c>
      <c r="E202" s="22"/>
      <c r="F202" s="22">
        <v>11067</v>
      </c>
    </row>
    <row r="203" spans="1:6">
      <c r="B203" s="20"/>
      <c r="D203" s="15" t="s">
        <v>604</v>
      </c>
      <c r="E203" s="22"/>
      <c r="F203" s="22">
        <v>7113</v>
      </c>
    </row>
    <row r="204" spans="1:6">
      <c r="B204" s="20"/>
      <c r="C204" s="15" t="s">
        <v>555</v>
      </c>
      <c r="E204" s="22"/>
      <c r="F204" s="22"/>
    </row>
    <row r="205" spans="1:6">
      <c r="B205" s="20"/>
      <c r="D205" s="15" t="s">
        <v>605</v>
      </c>
      <c r="E205" s="22"/>
      <c r="F205" s="22">
        <v>0</v>
      </c>
    </row>
    <row r="206" spans="1:6">
      <c r="B206" s="20"/>
      <c r="D206" s="15" t="s">
        <v>599</v>
      </c>
      <c r="E206" s="22"/>
      <c r="F206" s="22">
        <v>2747</v>
      </c>
    </row>
    <row r="207" spans="1:6">
      <c r="B207" s="20"/>
      <c r="D207" s="15" t="s">
        <v>837</v>
      </c>
      <c r="E207" s="22"/>
      <c r="F207" s="21">
        <f>SUM(F197:F206)</f>
        <v>33709</v>
      </c>
    </row>
    <row r="208" spans="1:6">
      <c r="B208" s="20"/>
      <c r="E208" s="22"/>
      <c r="F208" s="28"/>
    </row>
    <row r="209" spans="1:6">
      <c r="A209" s="15">
        <v>49456</v>
      </c>
      <c r="B209" s="20" t="s">
        <v>613</v>
      </c>
      <c r="E209" s="22"/>
      <c r="F209" s="22"/>
    </row>
    <row r="210" spans="1:6">
      <c r="B210" s="20"/>
      <c r="C210" s="15" t="s">
        <v>555</v>
      </c>
      <c r="E210" s="22"/>
      <c r="F210" s="22"/>
    </row>
    <row r="211" spans="1:6">
      <c r="B211" s="20"/>
      <c r="D211" s="15" t="s">
        <v>614</v>
      </c>
      <c r="E211" s="22"/>
      <c r="F211" s="22">
        <v>8654</v>
      </c>
    </row>
    <row r="212" spans="1:6">
      <c r="B212" s="20"/>
      <c r="D212" s="15" t="s">
        <v>838</v>
      </c>
      <c r="E212" s="22"/>
      <c r="F212" s="21">
        <f>SUM(F210:F211)</f>
        <v>8654</v>
      </c>
    </row>
    <row r="213" spans="1:6">
      <c r="B213" s="20"/>
      <c r="E213" s="22"/>
      <c r="F213" s="28"/>
    </row>
    <row r="214" spans="1:6">
      <c r="A214" s="15">
        <v>49458</v>
      </c>
      <c r="B214" s="20" t="s">
        <v>615</v>
      </c>
      <c r="E214" s="22"/>
      <c r="F214" s="22"/>
    </row>
    <row r="215" spans="1:6">
      <c r="B215" s="20"/>
      <c r="C215" s="15" t="s">
        <v>559</v>
      </c>
      <c r="E215" s="22"/>
      <c r="F215" s="22"/>
    </row>
    <row r="216" spans="1:6">
      <c r="B216" s="20"/>
      <c r="D216" s="15" t="s">
        <v>616</v>
      </c>
      <c r="E216" s="22"/>
      <c r="F216" s="22">
        <v>0</v>
      </c>
    </row>
    <row r="217" spans="1:6">
      <c r="B217" s="20"/>
      <c r="D217" s="15" t="s">
        <v>485</v>
      </c>
      <c r="E217" s="22"/>
      <c r="F217" s="22">
        <v>0</v>
      </c>
    </row>
    <row r="218" spans="1:6">
      <c r="B218" s="20"/>
      <c r="C218" s="15" t="s">
        <v>553</v>
      </c>
      <c r="E218" s="22"/>
      <c r="F218" s="22"/>
    </row>
    <row r="219" spans="1:6">
      <c r="B219" s="20"/>
      <c r="D219" s="15" t="s">
        <v>617</v>
      </c>
      <c r="E219" s="22"/>
      <c r="F219" s="22">
        <v>1087</v>
      </c>
    </row>
    <row r="220" spans="1:6">
      <c r="B220" s="20"/>
      <c r="C220" s="15" t="s">
        <v>555</v>
      </c>
      <c r="E220" s="22"/>
      <c r="F220" s="22"/>
    </row>
    <row r="221" spans="1:6">
      <c r="B221" s="20"/>
      <c r="D221" s="15" t="s">
        <v>599</v>
      </c>
      <c r="E221" s="22"/>
      <c r="F221" s="22">
        <v>0</v>
      </c>
    </row>
    <row r="222" spans="1:6">
      <c r="B222" s="20"/>
      <c r="D222" s="15" t="s">
        <v>618</v>
      </c>
      <c r="E222" s="22"/>
      <c r="F222" s="22">
        <v>2328</v>
      </c>
    </row>
    <row r="223" spans="1:6">
      <c r="B223" s="20"/>
      <c r="D223" s="15" t="s">
        <v>839</v>
      </c>
      <c r="E223" s="22"/>
      <c r="F223" s="21">
        <f>SUM(F215:F222)</f>
        <v>3415</v>
      </c>
    </row>
    <row r="224" spans="1:6">
      <c r="B224" s="20"/>
      <c r="E224" s="22"/>
      <c r="F224" s="28"/>
    </row>
    <row r="225" spans="1:6">
      <c r="A225" s="15">
        <v>49461</v>
      </c>
      <c r="B225" s="20" t="s">
        <v>619</v>
      </c>
      <c r="E225" s="22"/>
      <c r="F225" s="22"/>
    </row>
    <row r="226" spans="1:6">
      <c r="B226" s="20"/>
      <c r="C226" s="15" t="s">
        <v>559</v>
      </c>
      <c r="E226" s="22"/>
      <c r="F226" s="22"/>
    </row>
    <row r="227" spans="1:6">
      <c r="B227" s="20"/>
      <c r="D227" s="15" t="s">
        <v>616</v>
      </c>
      <c r="E227" s="22"/>
      <c r="F227" s="22">
        <v>0</v>
      </c>
    </row>
    <row r="228" spans="1:6">
      <c r="B228" s="20"/>
      <c r="D228" s="15" t="s">
        <v>485</v>
      </c>
      <c r="E228" s="22"/>
      <c r="F228" s="22">
        <v>0</v>
      </c>
    </row>
    <row r="229" spans="1:6">
      <c r="B229" s="20"/>
      <c r="C229" s="15" t="s">
        <v>553</v>
      </c>
      <c r="E229" s="22"/>
      <c r="F229" s="22"/>
    </row>
    <row r="230" spans="1:6">
      <c r="B230" s="20"/>
      <c r="D230" s="15" t="s">
        <v>617</v>
      </c>
      <c r="E230" s="22"/>
      <c r="F230" s="22">
        <v>603</v>
      </c>
    </row>
    <row r="231" spans="1:6">
      <c r="B231" s="20"/>
      <c r="C231" s="15" t="s">
        <v>555</v>
      </c>
      <c r="E231" s="22"/>
      <c r="F231" s="22"/>
    </row>
    <row r="232" spans="1:6">
      <c r="B232" s="20"/>
      <c r="D232" s="15" t="s">
        <v>620</v>
      </c>
      <c r="E232" s="22"/>
      <c r="F232" s="22">
        <v>4722</v>
      </c>
    </row>
    <row r="233" spans="1:6">
      <c r="B233" s="20"/>
      <c r="D233" s="15" t="s">
        <v>621</v>
      </c>
      <c r="E233" s="22"/>
      <c r="F233" s="22">
        <v>27057</v>
      </c>
    </row>
    <row r="234" spans="1:6">
      <c r="B234" s="20"/>
      <c r="D234" s="15" t="s">
        <v>840</v>
      </c>
      <c r="E234" s="22"/>
      <c r="F234" s="21">
        <f>SUM(F226:F233)</f>
        <v>32382</v>
      </c>
    </row>
    <row r="235" spans="1:6">
      <c r="B235" s="20"/>
      <c r="E235" s="22"/>
      <c r="F235" s="28"/>
    </row>
    <row r="236" spans="1:6">
      <c r="A236" s="15">
        <v>49459</v>
      </c>
      <c r="B236" s="20" t="s">
        <v>622</v>
      </c>
      <c r="F236" s="22"/>
    </row>
    <row r="237" spans="1:6">
      <c r="B237" s="20"/>
      <c r="C237" s="15" t="s">
        <v>559</v>
      </c>
      <c r="E237" s="22"/>
      <c r="F237" s="22"/>
    </row>
    <row r="238" spans="1:6">
      <c r="B238" s="20"/>
      <c r="D238" s="15" t="s">
        <v>623</v>
      </c>
      <c r="E238" s="22"/>
      <c r="F238" s="22">
        <f>80287+144</f>
        <v>80431</v>
      </c>
    </row>
    <row r="239" spans="1:6">
      <c r="B239" s="20"/>
      <c r="D239" s="15" t="s">
        <v>624</v>
      </c>
      <c r="E239" s="22"/>
      <c r="F239" s="22">
        <v>89</v>
      </c>
    </row>
    <row r="240" spans="1:6">
      <c r="B240" s="20"/>
      <c r="D240" s="15" t="s">
        <v>485</v>
      </c>
      <c r="E240" s="22"/>
      <c r="F240" s="22">
        <f>6002+5572+16919+54+457+464</f>
        <v>29468</v>
      </c>
    </row>
    <row r="241" spans="2:6">
      <c r="B241" s="20"/>
      <c r="C241" s="15" t="s">
        <v>553</v>
      </c>
      <c r="F241" s="22"/>
    </row>
    <row r="242" spans="2:6">
      <c r="B242" s="20"/>
      <c r="D242" s="15" t="s">
        <v>625</v>
      </c>
      <c r="F242" s="22">
        <v>0</v>
      </c>
    </row>
    <row r="243" spans="2:6">
      <c r="B243" s="20"/>
      <c r="D243" s="15" t="s">
        <v>569</v>
      </c>
      <c r="F243" s="22">
        <v>1289</v>
      </c>
    </row>
    <row r="244" spans="2:6">
      <c r="B244" s="20"/>
      <c r="D244" s="15" t="s">
        <v>626</v>
      </c>
      <c r="F244" s="22">
        <v>8045</v>
      </c>
    </row>
    <row r="245" spans="2:6">
      <c r="B245" s="20"/>
      <c r="D245" s="15" t="s">
        <v>570</v>
      </c>
      <c r="F245" s="22">
        <v>4358</v>
      </c>
    </row>
    <row r="246" spans="2:6">
      <c r="B246" s="20"/>
      <c r="C246" s="15" t="s">
        <v>555</v>
      </c>
      <c r="F246" s="22"/>
    </row>
    <row r="247" spans="2:6">
      <c r="B247" s="20"/>
      <c r="D247" s="15" t="s">
        <v>627</v>
      </c>
      <c r="F247" s="22">
        <v>13678</v>
      </c>
    </row>
    <row r="248" spans="2:6">
      <c r="B248" s="20"/>
      <c r="D248" s="15" t="s">
        <v>628</v>
      </c>
      <c r="F248" s="22">
        <v>360</v>
      </c>
    </row>
    <row r="249" spans="2:6">
      <c r="B249" s="20"/>
      <c r="D249" s="15" t="s">
        <v>629</v>
      </c>
      <c r="F249" s="22">
        <v>1200</v>
      </c>
    </row>
    <row r="250" spans="2:6">
      <c r="B250" s="20"/>
      <c r="D250" s="15" t="s">
        <v>630</v>
      </c>
      <c r="F250" s="22">
        <v>198</v>
      </c>
    </row>
    <row r="251" spans="2:6">
      <c r="B251" s="20"/>
      <c r="D251" s="15" t="s">
        <v>631</v>
      </c>
      <c r="F251" s="22">
        <v>4572</v>
      </c>
    </row>
    <row r="252" spans="2:6">
      <c r="B252" s="20"/>
      <c r="D252" s="15" t="s">
        <v>574</v>
      </c>
      <c r="F252" s="22">
        <v>3712</v>
      </c>
    </row>
    <row r="253" spans="2:6">
      <c r="B253" s="20"/>
      <c r="D253" s="15" t="s">
        <v>575</v>
      </c>
      <c r="F253" s="22">
        <v>277</v>
      </c>
    </row>
    <row r="254" spans="2:6">
      <c r="B254" s="20"/>
      <c r="D254" s="15" t="s">
        <v>632</v>
      </c>
      <c r="F254" s="22">
        <v>2859</v>
      </c>
    </row>
    <row r="255" spans="2:6">
      <c r="B255" s="20"/>
      <c r="D255" s="15" t="s">
        <v>576</v>
      </c>
      <c r="F255" s="22">
        <v>2066</v>
      </c>
    </row>
    <row r="256" spans="2:6">
      <c r="B256" s="20"/>
      <c r="D256" s="15" t="s">
        <v>577</v>
      </c>
      <c r="F256" s="22">
        <v>189</v>
      </c>
    </row>
    <row r="257" spans="1:146">
      <c r="B257" s="20"/>
      <c r="D257" s="15" t="s">
        <v>578</v>
      </c>
      <c r="F257" s="22">
        <v>216</v>
      </c>
    </row>
    <row r="258" spans="1:146">
      <c r="B258" s="20"/>
      <c r="D258" s="15" t="s">
        <v>579</v>
      </c>
      <c r="F258" s="22">
        <v>49</v>
      </c>
    </row>
    <row r="259" spans="1:146">
      <c r="B259" s="20"/>
      <c r="D259" s="15" t="s">
        <v>633</v>
      </c>
      <c r="F259" s="22">
        <v>0</v>
      </c>
    </row>
    <row r="260" spans="1:146">
      <c r="B260" s="20"/>
      <c r="D260" s="15" t="s">
        <v>634</v>
      </c>
      <c r="F260" s="22">
        <v>95</v>
      </c>
    </row>
    <row r="261" spans="1:146">
      <c r="B261" s="20"/>
      <c r="D261" s="15" t="s">
        <v>635</v>
      </c>
      <c r="F261" s="22">
        <v>487</v>
      </c>
    </row>
    <row r="262" spans="1:146" s="33" customFormat="1" ht="12.75" customHeight="1">
      <c r="A262" s="15"/>
      <c r="B262" s="20"/>
      <c r="C262" s="15"/>
      <c r="D262" s="15" t="s">
        <v>636</v>
      </c>
      <c r="E262" s="22"/>
      <c r="F262" s="22">
        <v>946</v>
      </c>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row>
    <row r="263" spans="1:146">
      <c r="B263" s="20"/>
      <c r="D263" s="15" t="s">
        <v>841</v>
      </c>
      <c r="F263" s="21">
        <f>SUM(F238:F262)</f>
        <v>154584</v>
      </c>
    </row>
    <row r="264" spans="1:146">
      <c r="A264" s="14"/>
      <c r="B264" s="20"/>
      <c r="C264" s="14"/>
      <c r="D264" s="14"/>
      <c r="F264" s="22"/>
    </row>
    <row r="265" spans="1:146" s="30" customFormat="1">
      <c r="B265" s="32"/>
      <c r="D265" s="30" t="s">
        <v>637</v>
      </c>
      <c r="F265" s="31">
        <f>+F263+F234+F223+F212+F207+F194+F185+F168</f>
        <v>349333</v>
      </c>
      <c r="I265" s="264">
        <f>+F265-'Schedule 7'!D23</f>
        <v>-1</v>
      </c>
    </row>
    <row r="266" spans="1:146">
      <c r="B266" s="20"/>
      <c r="D266" s="14"/>
      <c r="F266" s="22"/>
    </row>
    <row r="267" spans="1:146">
      <c r="A267" s="17" t="s">
        <v>638</v>
      </c>
      <c r="B267" s="20"/>
      <c r="D267" s="14"/>
      <c r="F267" s="22"/>
    </row>
    <row r="268" spans="1:146">
      <c r="A268" s="15">
        <v>49516</v>
      </c>
      <c r="B268" s="20" t="s">
        <v>639</v>
      </c>
      <c r="E268" s="22"/>
      <c r="F268" s="22"/>
    </row>
    <row r="269" spans="1:146">
      <c r="B269" s="20"/>
      <c r="C269" s="15" t="s">
        <v>559</v>
      </c>
      <c r="E269" s="22"/>
      <c r="F269" s="22"/>
    </row>
    <row r="270" spans="1:146">
      <c r="B270" s="20"/>
      <c r="D270" s="15" t="s">
        <v>640</v>
      </c>
      <c r="E270" s="22"/>
      <c r="F270" s="22">
        <v>4372</v>
      </c>
    </row>
    <row r="271" spans="1:146">
      <c r="B271" s="20"/>
      <c r="D271" s="15" t="s">
        <v>485</v>
      </c>
      <c r="E271" s="22"/>
      <c r="F271" s="22">
        <f>321+344+112+2+24+97</f>
        <v>900</v>
      </c>
    </row>
    <row r="272" spans="1:146">
      <c r="B272" s="20"/>
      <c r="D272" s="15" t="s">
        <v>842</v>
      </c>
      <c r="E272" s="22"/>
      <c r="F272" s="21">
        <f>SUM(F269:F271)</f>
        <v>5272</v>
      </c>
    </row>
    <row r="273" spans="1:6">
      <c r="B273" s="20"/>
      <c r="E273" s="22"/>
      <c r="F273" s="28"/>
    </row>
    <row r="274" spans="1:6">
      <c r="A274" s="15">
        <v>49517</v>
      </c>
      <c r="B274" s="20" t="s">
        <v>641</v>
      </c>
      <c r="E274" s="22"/>
      <c r="F274" s="22"/>
    </row>
    <row r="275" spans="1:6">
      <c r="B275" s="20"/>
      <c r="C275" s="15" t="s">
        <v>559</v>
      </c>
      <c r="E275" s="22"/>
      <c r="F275" s="22"/>
    </row>
    <row r="276" spans="1:6">
      <c r="B276" s="20"/>
      <c r="D276" s="15" t="s">
        <v>642</v>
      </c>
      <c r="E276" s="22"/>
      <c r="F276" s="22">
        <v>198</v>
      </c>
    </row>
    <row r="277" spans="1:6">
      <c r="B277" s="20"/>
      <c r="D277" s="15" t="s">
        <v>485</v>
      </c>
      <c r="E277" s="22"/>
      <c r="F277" s="22">
        <f>15+13+63</f>
        <v>91</v>
      </c>
    </row>
    <row r="278" spans="1:6">
      <c r="B278" s="20"/>
      <c r="C278" s="15" t="s">
        <v>553</v>
      </c>
      <c r="E278" s="22"/>
      <c r="F278" s="22"/>
    </row>
    <row r="279" spans="1:6">
      <c r="B279" s="20"/>
      <c r="D279" s="15" t="s">
        <v>643</v>
      </c>
      <c r="E279" s="22"/>
      <c r="F279" s="22">
        <v>0</v>
      </c>
    </row>
    <row r="280" spans="1:6">
      <c r="B280" s="20"/>
      <c r="C280" s="15" t="s">
        <v>555</v>
      </c>
      <c r="E280" s="22"/>
      <c r="F280" s="22"/>
    </row>
    <row r="281" spans="1:6">
      <c r="B281" s="20"/>
      <c r="D281" s="15" t="s">
        <v>644</v>
      </c>
      <c r="E281" s="22"/>
      <c r="F281" s="22">
        <v>0</v>
      </c>
    </row>
    <row r="282" spans="1:6">
      <c r="B282" s="20"/>
      <c r="D282" s="15" t="s">
        <v>843</v>
      </c>
      <c r="E282" s="22"/>
      <c r="F282" s="21">
        <f>SUM(F275:F281)</f>
        <v>289</v>
      </c>
    </row>
    <row r="283" spans="1:6">
      <c r="B283" s="20"/>
      <c r="E283" s="22"/>
      <c r="F283" s="28"/>
    </row>
    <row r="284" spans="1:6">
      <c r="A284" s="15">
        <v>49518</v>
      </c>
      <c r="B284" s="20" t="s">
        <v>645</v>
      </c>
      <c r="E284" s="22"/>
      <c r="F284" s="22"/>
    </row>
    <row r="285" spans="1:6">
      <c r="B285" s="20"/>
      <c r="C285" s="15" t="s">
        <v>559</v>
      </c>
      <c r="E285" s="22"/>
      <c r="F285" s="22"/>
    </row>
    <row r="286" spans="1:6">
      <c r="B286" s="20"/>
      <c r="D286" s="15" t="s">
        <v>642</v>
      </c>
      <c r="E286" s="22"/>
      <c r="F286" s="22">
        <v>0</v>
      </c>
    </row>
    <row r="287" spans="1:6">
      <c r="B287" s="20"/>
      <c r="D287" s="15" t="s">
        <v>485</v>
      </c>
      <c r="E287" s="22"/>
      <c r="F287" s="22">
        <v>0</v>
      </c>
    </row>
    <row r="288" spans="1:6">
      <c r="B288" s="20"/>
      <c r="C288" s="15" t="s">
        <v>553</v>
      </c>
      <c r="E288" s="22"/>
      <c r="F288" s="22"/>
    </row>
    <row r="289" spans="1:6">
      <c r="B289" s="20"/>
      <c r="D289" s="15" t="s">
        <v>588</v>
      </c>
      <c r="E289" s="22"/>
      <c r="F289" s="22">
        <v>0</v>
      </c>
    </row>
    <row r="290" spans="1:6">
      <c r="B290" s="20"/>
      <c r="D290" s="15" t="s">
        <v>646</v>
      </c>
      <c r="E290" s="22"/>
      <c r="F290" s="22">
        <v>0</v>
      </c>
    </row>
    <row r="291" spans="1:6">
      <c r="B291" s="20"/>
      <c r="C291" s="15" t="s">
        <v>555</v>
      </c>
      <c r="E291" s="22"/>
      <c r="F291" s="22"/>
    </row>
    <row r="292" spans="1:6">
      <c r="B292" s="20"/>
      <c r="D292" s="15" t="s">
        <v>605</v>
      </c>
      <c r="E292" s="22"/>
      <c r="F292" s="22">
        <v>14700</v>
      </c>
    </row>
    <row r="293" spans="1:6">
      <c r="B293" s="20"/>
      <c r="D293" s="15" t="s">
        <v>647</v>
      </c>
      <c r="E293" s="22"/>
      <c r="F293" s="22">
        <v>0</v>
      </c>
    </row>
    <row r="294" spans="1:6">
      <c r="B294" s="20"/>
      <c r="D294" s="15" t="s">
        <v>648</v>
      </c>
      <c r="E294" s="22"/>
      <c r="F294" s="22">
        <v>37143</v>
      </c>
    </row>
    <row r="295" spans="1:6">
      <c r="B295" s="20"/>
      <c r="D295" s="15" t="s">
        <v>582</v>
      </c>
      <c r="E295" s="22"/>
      <c r="F295" s="22">
        <v>0</v>
      </c>
    </row>
    <row r="296" spans="1:6">
      <c r="B296" s="20"/>
      <c r="D296" s="15" t="s">
        <v>844</v>
      </c>
      <c r="E296" s="22"/>
      <c r="F296" s="21">
        <f>SUM(F286:F295)</f>
        <v>51843</v>
      </c>
    </row>
    <row r="297" spans="1:6">
      <c r="B297" s="20"/>
      <c r="E297" s="22"/>
      <c r="F297" s="28"/>
    </row>
    <row r="298" spans="1:6">
      <c r="A298" s="15">
        <v>49519</v>
      </c>
      <c r="B298" s="20" t="s">
        <v>649</v>
      </c>
      <c r="E298" s="22"/>
      <c r="F298" s="22"/>
    </row>
    <row r="299" spans="1:6">
      <c r="B299" s="20"/>
      <c r="C299" s="15" t="s">
        <v>559</v>
      </c>
      <c r="E299" s="22"/>
      <c r="F299" s="22"/>
    </row>
    <row r="300" spans="1:6">
      <c r="B300" s="20"/>
      <c r="D300" s="15" t="s">
        <v>642</v>
      </c>
      <c r="E300" s="22"/>
      <c r="F300" s="22">
        <v>0</v>
      </c>
    </row>
    <row r="301" spans="1:6">
      <c r="B301" s="20"/>
      <c r="D301" s="15" t="s">
        <v>485</v>
      </c>
      <c r="E301" s="22"/>
      <c r="F301" s="22">
        <v>0</v>
      </c>
    </row>
    <row r="302" spans="1:6">
      <c r="B302" s="20"/>
      <c r="C302" s="15" t="s">
        <v>553</v>
      </c>
      <c r="E302" s="22"/>
      <c r="F302" s="22"/>
    </row>
    <row r="303" spans="1:6">
      <c r="B303" s="20"/>
      <c r="D303" s="15" t="s">
        <v>646</v>
      </c>
      <c r="E303" s="22"/>
      <c r="F303" s="22">
        <v>0</v>
      </c>
    </row>
    <row r="304" spans="1:6">
      <c r="B304" s="20"/>
      <c r="C304" s="15" t="s">
        <v>555</v>
      </c>
      <c r="E304" s="22"/>
      <c r="F304" s="22"/>
    </row>
    <row r="305" spans="1:9">
      <c r="B305" s="20"/>
      <c r="D305" s="15" t="s">
        <v>582</v>
      </c>
      <c r="E305" s="22"/>
      <c r="F305" s="22">
        <v>0</v>
      </c>
    </row>
    <row r="306" spans="1:9">
      <c r="B306" s="20"/>
      <c r="D306" s="15" t="s">
        <v>845</v>
      </c>
      <c r="E306" s="22"/>
      <c r="F306" s="21">
        <f>SUM(F300:F305)</f>
        <v>0</v>
      </c>
    </row>
    <row r="307" spans="1:9">
      <c r="B307" s="20"/>
      <c r="E307" s="22"/>
      <c r="F307" s="28"/>
    </row>
    <row r="308" spans="1:9" s="30" customFormat="1">
      <c r="B308" s="32"/>
      <c r="D308" s="30" t="s">
        <v>650</v>
      </c>
      <c r="F308" s="31">
        <f>+F272+F282+F296+F306</f>
        <v>57404</v>
      </c>
      <c r="I308" s="264">
        <f>+F308-'Schedule 7'!E15</f>
        <v>1</v>
      </c>
    </row>
    <row r="309" spans="1:9">
      <c r="B309" s="20"/>
      <c r="D309" s="14"/>
      <c r="F309" s="22"/>
    </row>
    <row r="310" spans="1:9">
      <c r="A310" s="17" t="s">
        <v>651</v>
      </c>
      <c r="B310" s="20"/>
      <c r="D310" s="14"/>
      <c r="F310" s="22"/>
    </row>
    <row r="311" spans="1:9">
      <c r="B311" s="20" t="s">
        <v>652</v>
      </c>
      <c r="E311" s="22"/>
      <c r="F311" s="22"/>
    </row>
    <row r="312" spans="1:9">
      <c r="B312" s="20"/>
      <c r="C312" s="15" t="s">
        <v>559</v>
      </c>
      <c r="E312" s="22"/>
      <c r="F312" s="22"/>
    </row>
    <row r="313" spans="1:9">
      <c r="B313" s="20"/>
      <c r="D313" s="15" t="s">
        <v>601</v>
      </c>
      <c r="E313" s="22"/>
      <c r="F313" s="22">
        <v>0</v>
      </c>
    </row>
    <row r="314" spans="1:9">
      <c r="B314" s="20"/>
      <c r="D314" s="15" t="s">
        <v>485</v>
      </c>
      <c r="E314" s="22"/>
      <c r="F314" s="22">
        <v>0</v>
      </c>
    </row>
    <row r="315" spans="1:9">
      <c r="B315" s="20"/>
      <c r="D315" s="15" t="s">
        <v>846</v>
      </c>
      <c r="E315" s="22"/>
      <c r="F315" s="21"/>
    </row>
    <row r="316" spans="1:9">
      <c r="B316" s="20"/>
      <c r="E316" s="22"/>
      <c r="F316" s="28"/>
    </row>
    <row r="317" spans="1:9">
      <c r="B317" s="20" t="s">
        <v>653</v>
      </c>
      <c r="D317" s="14"/>
      <c r="F317" s="22"/>
    </row>
    <row r="318" spans="1:9">
      <c r="B318" s="20"/>
      <c r="C318" s="15" t="s">
        <v>559</v>
      </c>
      <c r="E318" s="22"/>
      <c r="F318" s="22"/>
    </row>
    <row r="319" spans="1:9">
      <c r="B319" s="20"/>
      <c r="D319" s="15" t="s">
        <v>601</v>
      </c>
      <c r="E319" s="22"/>
      <c r="F319" s="22">
        <v>0</v>
      </c>
    </row>
    <row r="320" spans="1:9">
      <c r="B320" s="20"/>
      <c r="C320" s="15" t="s">
        <v>553</v>
      </c>
      <c r="E320" s="22"/>
      <c r="F320" s="22"/>
    </row>
    <row r="321" spans="2:6">
      <c r="B321" s="20"/>
      <c r="D321" s="15" t="s">
        <v>643</v>
      </c>
      <c r="E321" s="22"/>
      <c r="F321" s="22">
        <v>0</v>
      </c>
    </row>
    <row r="322" spans="2:6">
      <c r="B322" s="20"/>
      <c r="C322" s="15" t="s">
        <v>555</v>
      </c>
      <c r="E322" s="22"/>
      <c r="F322" s="22"/>
    </row>
    <row r="323" spans="2:6">
      <c r="B323" s="20"/>
      <c r="D323" s="15" t="s">
        <v>644</v>
      </c>
      <c r="E323" s="22"/>
      <c r="F323" s="22">
        <v>0</v>
      </c>
    </row>
    <row r="324" spans="2:6">
      <c r="B324" s="20"/>
      <c r="D324" s="14" t="s">
        <v>847</v>
      </c>
      <c r="F324" s="21"/>
    </row>
    <row r="325" spans="2:6">
      <c r="B325" s="20"/>
      <c r="F325" s="28"/>
    </row>
    <row r="326" spans="2:6">
      <c r="B326" s="20" t="s">
        <v>654</v>
      </c>
      <c r="D326" s="14"/>
      <c r="F326" s="22"/>
    </row>
    <row r="327" spans="2:6">
      <c r="B327" s="20"/>
      <c r="C327" s="15" t="s">
        <v>559</v>
      </c>
      <c r="E327" s="22"/>
      <c r="F327" s="22"/>
    </row>
    <row r="328" spans="2:6">
      <c r="B328" s="20"/>
      <c r="D328" s="15" t="s">
        <v>601</v>
      </c>
      <c r="E328" s="22"/>
      <c r="F328" s="22">
        <v>0</v>
      </c>
    </row>
    <row r="329" spans="2:6">
      <c r="B329" s="20"/>
      <c r="D329" s="15" t="s">
        <v>587</v>
      </c>
      <c r="E329" s="22"/>
      <c r="F329" s="22">
        <v>0</v>
      </c>
    </row>
    <row r="330" spans="2:6">
      <c r="B330" s="20"/>
      <c r="D330" s="15" t="s">
        <v>655</v>
      </c>
      <c r="E330" s="22"/>
      <c r="F330" s="22">
        <v>0</v>
      </c>
    </row>
    <row r="331" spans="2:6">
      <c r="B331" s="20"/>
      <c r="D331" s="15" t="s">
        <v>485</v>
      </c>
      <c r="E331" s="22"/>
      <c r="F331" s="22">
        <v>0</v>
      </c>
    </row>
    <row r="332" spans="2:6">
      <c r="B332" s="20"/>
      <c r="C332" s="15" t="s">
        <v>553</v>
      </c>
      <c r="E332" s="22"/>
      <c r="F332" s="22"/>
    </row>
    <row r="333" spans="2:6">
      <c r="B333" s="20"/>
      <c r="D333" s="15" t="s">
        <v>646</v>
      </c>
      <c r="E333" s="22"/>
      <c r="F333" s="22">
        <v>0</v>
      </c>
    </row>
    <row r="334" spans="2:6">
      <c r="B334" s="20"/>
      <c r="C334" s="15" t="s">
        <v>555</v>
      </c>
      <c r="E334" s="22"/>
      <c r="F334" s="22"/>
    </row>
    <row r="335" spans="2:6">
      <c r="B335" s="20"/>
      <c r="D335" s="15" t="s">
        <v>647</v>
      </c>
      <c r="E335" s="22"/>
      <c r="F335" s="22">
        <v>0</v>
      </c>
    </row>
    <row r="336" spans="2:6">
      <c r="B336" s="20"/>
      <c r="D336" s="14" t="s">
        <v>848</v>
      </c>
      <c r="F336" s="21"/>
    </row>
    <row r="337" spans="2:6">
      <c r="B337" s="20"/>
      <c r="D337" s="14"/>
      <c r="F337" s="22"/>
    </row>
    <row r="338" spans="2:6">
      <c r="B338" s="20" t="s">
        <v>597</v>
      </c>
      <c r="D338" s="14"/>
      <c r="F338" s="22"/>
    </row>
    <row r="339" spans="2:6">
      <c r="B339" s="20"/>
      <c r="C339" s="15" t="s">
        <v>559</v>
      </c>
      <c r="E339" s="22"/>
      <c r="F339" s="22"/>
    </row>
    <row r="340" spans="2:6">
      <c r="B340" s="20"/>
      <c r="D340" s="15" t="s">
        <v>601</v>
      </c>
      <c r="E340" s="22"/>
      <c r="F340" s="22">
        <v>0</v>
      </c>
    </row>
    <row r="341" spans="2:6">
      <c r="B341" s="20"/>
      <c r="C341" s="15" t="s">
        <v>553</v>
      </c>
      <c r="E341" s="22"/>
      <c r="F341" s="22"/>
    </row>
    <row r="342" spans="2:6">
      <c r="B342" s="20"/>
      <c r="D342" s="15" t="s">
        <v>656</v>
      </c>
      <c r="E342" s="22"/>
      <c r="F342" s="22">
        <v>0</v>
      </c>
    </row>
    <row r="343" spans="2:6">
      <c r="B343" s="20"/>
      <c r="D343" s="14" t="s">
        <v>849</v>
      </c>
      <c r="F343" s="21">
        <f>SUM(F339:F342)</f>
        <v>0</v>
      </c>
    </row>
    <row r="344" spans="2:6">
      <c r="B344" s="20"/>
      <c r="D344" s="14"/>
      <c r="F344" s="22"/>
    </row>
    <row r="345" spans="2:6">
      <c r="B345" s="20" t="s">
        <v>657</v>
      </c>
      <c r="D345" s="14"/>
      <c r="F345" s="22"/>
    </row>
    <row r="346" spans="2:6">
      <c r="B346" s="20"/>
      <c r="C346" s="15" t="s">
        <v>559</v>
      </c>
      <c r="E346" s="22"/>
      <c r="F346" s="22"/>
    </row>
    <row r="347" spans="2:6">
      <c r="B347" s="20"/>
      <c r="D347" s="15" t="s">
        <v>601</v>
      </c>
      <c r="E347" s="22"/>
      <c r="F347" s="22">
        <v>0</v>
      </c>
    </row>
    <row r="348" spans="2:6">
      <c r="B348" s="20"/>
      <c r="D348" s="15" t="s">
        <v>587</v>
      </c>
      <c r="E348" s="22"/>
      <c r="F348" s="22">
        <v>0</v>
      </c>
    </row>
    <row r="349" spans="2:6">
      <c r="B349" s="20"/>
      <c r="D349" s="15" t="s">
        <v>655</v>
      </c>
      <c r="E349" s="22"/>
      <c r="F349" s="22">
        <v>0</v>
      </c>
    </row>
    <row r="350" spans="2:6">
      <c r="B350" s="20"/>
      <c r="D350" s="15" t="s">
        <v>485</v>
      </c>
      <c r="E350" s="22"/>
      <c r="F350" s="22">
        <v>0</v>
      </c>
    </row>
    <row r="351" spans="2:6">
      <c r="B351" s="20"/>
      <c r="C351" s="15" t="s">
        <v>553</v>
      </c>
      <c r="E351" s="22"/>
      <c r="F351" s="22"/>
    </row>
    <row r="352" spans="2:6">
      <c r="B352" s="20"/>
      <c r="D352" s="15" t="s">
        <v>646</v>
      </c>
      <c r="E352" s="22"/>
      <c r="F352" s="22">
        <v>0</v>
      </c>
    </row>
    <row r="353" spans="1:9">
      <c r="B353" s="20"/>
      <c r="D353" s="14" t="s">
        <v>850</v>
      </c>
      <c r="F353" s="21"/>
    </row>
    <row r="354" spans="1:9">
      <c r="B354" s="20"/>
      <c r="D354" s="14"/>
      <c r="F354" s="22"/>
    </row>
    <row r="355" spans="1:9">
      <c r="B355" s="20" t="s">
        <v>658</v>
      </c>
      <c r="D355" s="14"/>
      <c r="F355" s="22"/>
    </row>
    <row r="356" spans="1:9">
      <c r="B356" s="20"/>
      <c r="C356" s="15" t="s">
        <v>559</v>
      </c>
      <c r="E356" s="22"/>
      <c r="F356" s="22"/>
    </row>
    <row r="357" spans="1:9">
      <c r="B357" s="20"/>
      <c r="D357" s="15" t="s">
        <v>601</v>
      </c>
      <c r="E357" s="22"/>
      <c r="F357" s="22">
        <v>0</v>
      </c>
    </row>
    <row r="358" spans="1:9">
      <c r="B358" s="20"/>
      <c r="C358" s="15" t="s">
        <v>659</v>
      </c>
      <c r="E358" s="22"/>
      <c r="F358" s="22"/>
    </row>
    <row r="359" spans="1:9">
      <c r="B359" s="20"/>
      <c r="D359" s="15" t="s">
        <v>647</v>
      </c>
      <c r="E359" s="22"/>
      <c r="F359" s="22">
        <v>0</v>
      </c>
    </row>
    <row r="360" spans="1:9">
      <c r="B360" s="20"/>
      <c r="D360" s="14" t="s">
        <v>851</v>
      </c>
      <c r="F360" s="21"/>
    </row>
    <row r="361" spans="1:9">
      <c r="B361" s="20"/>
      <c r="F361" s="28"/>
    </row>
    <row r="362" spans="1:9" s="30" customFormat="1">
      <c r="B362" s="32"/>
      <c r="D362" s="30" t="s">
        <v>660</v>
      </c>
      <c r="F362" s="31">
        <f>F360+F353+F343+F336+F324+F315</f>
        <v>0</v>
      </c>
      <c r="I362" s="264">
        <f>+F362-'Schedule 7'!E21</f>
        <v>0</v>
      </c>
    </row>
    <row r="363" spans="1:9">
      <c r="B363" s="20"/>
      <c r="D363" s="14"/>
      <c r="F363" s="22"/>
    </row>
    <row r="364" spans="1:9">
      <c r="A364" s="17" t="s">
        <v>661</v>
      </c>
      <c r="B364" s="20"/>
      <c r="D364" s="14"/>
      <c r="F364" s="22"/>
    </row>
    <row r="365" spans="1:9">
      <c r="A365" s="15">
        <v>49551</v>
      </c>
      <c r="B365" s="20" t="s">
        <v>662</v>
      </c>
      <c r="E365" s="22"/>
      <c r="F365" s="22"/>
    </row>
    <row r="366" spans="1:9">
      <c r="B366" s="20"/>
      <c r="C366" s="15" t="s">
        <v>559</v>
      </c>
      <c r="E366" s="22"/>
      <c r="F366" s="22"/>
    </row>
    <row r="367" spans="1:9">
      <c r="B367" s="20"/>
      <c r="D367" s="15" t="s">
        <v>663</v>
      </c>
      <c r="E367" s="22"/>
      <c r="F367" s="22">
        <v>5604</v>
      </c>
    </row>
    <row r="368" spans="1:9">
      <c r="B368" s="20"/>
      <c r="D368" s="15" t="s">
        <v>485</v>
      </c>
      <c r="E368" s="22"/>
      <c r="F368" s="22">
        <f>420+382+1028+3+26+67</f>
        <v>1926</v>
      </c>
    </row>
    <row r="369" spans="1:6">
      <c r="B369" s="20"/>
      <c r="D369" s="15" t="s">
        <v>846</v>
      </c>
      <c r="E369" s="22"/>
      <c r="F369" s="21">
        <f>SUM(F366:F368)</f>
        <v>7530</v>
      </c>
    </row>
    <row r="370" spans="1:6">
      <c r="B370" s="20"/>
      <c r="E370" s="22"/>
      <c r="F370" s="28"/>
    </row>
    <row r="371" spans="1:6">
      <c r="A371" s="15">
        <v>49552</v>
      </c>
      <c r="B371" s="20" t="s">
        <v>664</v>
      </c>
      <c r="D371" s="14"/>
      <c r="F371" s="22"/>
    </row>
    <row r="372" spans="1:6">
      <c r="B372" s="20"/>
      <c r="C372" s="15" t="s">
        <v>559</v>
      </c>
      <c r="E372" s="22"/>
      <c r="F372" s="22"/>
    </row>
    <row r="373" spans="1:6">
      <c r="B373" s="20"/>
      <c r="D373" s="15" t="s">
        <v>642</v>
      </c>
      <c r="E373" s="22"/>
      <c r="F373" s="22">
        <v>0</v>
      </c>
    </row>
    <row r="374" spans="1:6">
      <c r="B374" s="20"/>
      <c r="C374" s="15" t="s">
        <v>553</v>
      </c>
      <c r="E374" s="22"/>
      <c r="F374" s="22"/>
    </row>
    <row r="375" spans="1:6">
      <c r="B375" s="20"/>
      <c r="D375" s="15" t="s">
        <v>643</v>
      </c>
      <c r="E375" s="22"/>
      <c r="F375" s="22">
        <v>262</v>
      </c>
    </row>
    <row r="376" spans="1:6">
      <c r="B376" s="20"/>
      <c r="C376" s="15" t="s">
        <v>555</v>
      </c>
      <c r="E376" s="22"/>
      <c r="F376" s="22"/>
    </row>
    <row r="377" spans="1:6">
      <c r="B377" s="20"/>
      <c r="D377" s="15" t="s">
        <v>644</v>
      </c>
      <c r="E377" s="22"/>
      <c r="F377" s="22">
        <v>2798</v>
      </c>
    </row>
    <row r="378" spans="1:6">
      <c r="B378" s="20"/>
      <c r="D378" s="14" t="s">
        <v>852</v>
      </c>
      <c r="F378" s="21">
        <f>SUM(F373:F377)</f>
        <v>3060</v>
      </c>
    </row>
    <row r="379" spans="1:6">
      <c r="B379" s="20"/>
      <c r="F379" s="28"/>
    </row>
    <row r="380" spans="1:6">
      <c r="A380" s="15">
        <v>49553</v>
      </c>
      <c r="B380" s="20" t="s">
        <v>665</v>
      </c>
      <c r="D380" s="14"/>
      <c r="F380" s="22"/>
    </row>
    <row r="381" spans="1:6">
      <c r="B381" s="20"/>
      <c r="C381" s="15" t="s">
        <v>559</v>
      </c>
      <c r="E381" s="22"/>
      <c r="F381" s="22"/>
    </row>
    <row r="382" spans="1:6">
      <c r="B382" s="20"/>
      <c r="D382" s="15" t="s">
        <v>666</v>
      </c>
      <c r="E382" s="22"/>
      <c r="F382" s="22">
        <v>5126</v>
      </c>
    </row>
    <row r="383" spans="1:6">
      <c r="B383" s="20"/>
      <c r="D383" s="15" t="s">
        <v>587</v>
      </c>
      <c r="E383" s="22"/>
      <c r="F383" s="22">
        <v>107</v>
      </c>
    </row>
    <row r="384" spans="1:6">
      <c r="B384" s="20"/>
      <c r="D384" s="15" t="s">
        <v>655</v>
      </c>
      <c r="E384" s="22"/>
      <c r="F384" s="22">
        <v>0</v>
      </c>
    </row>
    <row r="385" spans="1:6">
      <c r="B385" s="20"/>
      <c r="D385" s="15" t="s">
        <v>485</v>
      </c>
      <c r="E385" s="22"/>
      <c r="F385" s="22">
        <f>392+365+1222+3+24+67</f>
        <v>2073</v>
      </c>
    </row>
    <row r="386" spans="1:6">
      <c r="B386" s="20"/>
      <c r="C386" s="15" t="s">
        <v>553</v>
      </c>
      <c r="E386" s="22"/>
      <c r="F386" s="22"/>
    </row>
    <row r="387" spans="1:6">
      <c r="B387" s="20"/>
      <c r="D387" s="15" t="s">
        <v>646</v>
      </c>
      <c r="E387" s="22"/>
      <c r="F387" s="22">
        <v>4254</v>
      </c>
    </row>
    <row r="388" spans="1:6">
      <c r="B388" s="20"/>
      <c r="C388" s="15" t="s">
        <v>555</v>
      </c>
      <c r="E388" s="22"/>
      <c r="F388" s="22"/>
    </row>
    <row r="389" spans="1:6">
      <c r="B389" s="20"/>
      <c r="D389" s="15" t="s">
        <v>647</v>
      </c>
      <c r="E389" s="22"/>
      <c r="F389" s="22">
        <v>5958</v>
      </c>
    </row>
    <row r="390" spans="1:6">
      <c r="B390" s="20"/>
      <c r="D390" s="14" t="s">
        <v>853</v>
      </c>
      <c r="F390" s="21">
        <f>SUM(F382:F389)</f>
        <v>17518</v>
      </c>
    </row>
    <row r="391" spans="1:6">
      <c r="B391" s="20"/>
      <c r="D391" s="14"/>
      <c r="F391" s="22"/>
    </row>
    <row r="392" spans="1:6">
      <c r="A392" s="15">
        <v>49554</v>
      </c>
      <c r="B392" s="20" t="s">
        <v>610</v>
      </c>
      <c r="D392" s="14"/>
      <c r="F392" s="22"/>
    </row>
    <row r="393" spans="1:6" hidden="1">
      <c r="B393" s="20"/>
      <c r="C393" s="15" t="s">
        <v>559</v>
      </c>
      <c r="E393" s="22"/>
      <c r="F393" s="22"/>
    </row>
    <row r="394" spans="1:6" hidden="1">
      <c r="B394" s="20"/>
      <c r="D394" s="15" t="s">
        <v>642</v>
      </c>
      <c r="E394" s="22"/>
      <c r="F394" s="22">
        <v>0</v>
      </c>
    </row>
    <row r="395" spans="1:6" hidden="1">
      <c r="B395" s="20"/>
      <c r="C395" s="15" t="s">
        <v>553</v>
      </c>
      <c r="E395" s="22"/>
      <c r="F395" s="22"/>
    </row>
    <row r="396" spans="1:6" hidden="1">
      <c r="B396" s="20"/>
      <c r="D396" s="15" t="s">
        <v>656</v>
      </c>
      <c r="E396" s="22"/>
      <c r="F396" s="22">
        <v>0</v>
      </c>
    </row>
    <row r="397" spans="1:6">
      <c r="B397" s="20"/>
      <c r="D397" s="14" t="s">
        <v>854</v>
      </c>
      <c r="F397" s="21">
        <f>SUM(F394:F396)</f>
        <v>0</v>
      </c>
    </row>
    <row r="398" spans="1:6">
      <c r="B398" s="20"/>
      <c r="D398" s="14"/>
      <c r="F398" s="22"/>
    </row>
    <row r="399" spans="1:6">
      <c r="A399" s="15">
        <v>49555</v>
      </c>
      <c r="B399" s="20" t="s">
        <v>611</v>
      </c>
      <c r="D399" s="14"/>
      <c r="F399" s="22"/>
    </row>
    <row r="400" spans="1:6">
      <c r="B400" s="20"/>
      <c r="C400" s="15" t="s">
        <v>559</v>
      </c>
      <c r="E400" s="22"/>
      <c r="F400" s="22"/>
    </row>
    <row r="401" spans="1:6">
      <c r="B401" s="20"/>
      <c r="D401" s="15" t="s">
        <v>667</v>
      </c>
      <c r="E401" s="22"/>
      <c r="F401" s="22">
        <v>59124</v>
      </c>
    </row>
    <row r="402" spans="1:6">
      <c r="B402" s="20"/>
      <c r="D402" s="15" t="s">
        <v>587</v>
      </c>
      <c r="E402" s="22"/>
      <c r="F402" s="22">
        <v>2351</v>
      </c>
    </row>
    <row r="403" spans="1:6">
      <c r="B403" s="20"/>
      <c r="D403" s="15" t="s">
        <v>655</v>
      </c>
      <c r="E403" s="22"/>
      <c r="F403" s="22">
        <v>1461</v>
      </c>
    </row>
    <row r="404" spans="1:6">
      <c r="B404" s="20"/>
      <c r="D404" s="15" t="s">
        <v>485</v>
      </c>
      <c r="E404" s="22"/>
      <c r="F404" s="22">
        <f>4659+4449+10357+33+263+181</f>
        <v>19942</v>
      </c>
    </row>
    <row r="405" spans="1:6">
      <c r="B405" s="20"/>
      <c r="C405" s="15" t="s">
        <v>553</v>
      </c>
      <c r="E405" s="22"/>
      <c r="F405" s="22"/>
    </row>
    <row r="406" spans="1:6">
      <c r="B406" s="20"/>
      <c r="D406" s="15" t="s">
        <v>646</v>
      </c>
      <c r="E406" s="22"/>
      <c r="F406" s="22">
        <v>25324</v>
      </c>
    </row>
    <row r="407" spans="1:6">
      <c r="B407" s="20"/>
      <c r="D407" s="14" t="s">
        <v>855</v>
      </c>
      <c r="F407" s="21">
        <f>SUM(F401:F406)</f>
        <v>108202</v>
      </c>
    </row>
    <row r="408" spans="1:6">
      <c r="B408" s="20"/>
      <c r="D408" s="14"/>
      <c r="F408" s="22"/>
    </row>
    <row r="409" spans="1:6">
      <c r="A409" s="15">
        <v>49556</v>
      </c>
      <c r="B409" s="20" t="s">
        <v>668</v>
      </c>
      <c r="D409" s="14"/>
      <c r="F409" s="22"/>
    </row>
    <row r="410" spans="1:6">
      <c r="B410" s="20"/>
      <c r="C410" s="15" t="s">
        <v>559</v>
      </c>
      <c r="E410" s="22"/>
      <c r="F410" s="22"/>
    </row>
    <row r="411" spans="1:6">
      <c r="B411" s="20"/>
      <c r="D411" s="15" t="s">
        <v>642</v>
      </c>
      <c r="E411" s="22"/>
      <c r="F411" s="22">
        <v>0</v>
      </c>
    </row>
    <row r="412" spans="1:6">
      <c r="B412" s="20"/>
      <c r="C412" s="15" t="s">
        <v>659</v>
      </c>
      <c r="E412" s="22"/>
      <c r="F412" s="22"/>
    </row>
    <row r="413" spans="1:6">
      <c r="B413" s="20"/>
      <c r="D413" s="15" t="s">
        <v>647</v>
      </c>
      <c r="E413" s="22"/>
      <c r="F413" s="22">
        <v>1768</v>
      </c>
    </row>
    <row r="414" spans="1:6">
      <c r="B414" s="20"/>
      <c r="D414" s="14" t="s">
        <v>856</v>
      </c>
      <c r="F414" s="21">
        <f>SUM(F411:F413)</f>
        <v>1768</v>
      </c>
    </row>
    <row r="415" spans="1:6">
      <c r="B415" s="20"/>
      <c r="D415" s="14"/>
      <c r="F415" s="22"/>
    </row>
    <row r="416" spans="1:6">
      <c r="A416" s="15">
        <v>49557</v>
      </c>
      <c r="B416" s="20" t="s">
        <v>669</v>
      </c>
      <c r="D416" s="14"/>
      <c r="F416" s="22"/>
    </row>
    <row r="417" spans="1:6">
      <c r="B417" s="20"/>
      <c r="C417" s="15" t="s">
        <v>559</v>
      </c>
      <c r="E417" s="22"/>
      <c r="F417" s="22"/>
    </row>
    <row r="418" spans="1:6">
      <c r="B418" s="20"/>
      <c r="D418" s="15" t="s">
        <v>670</v>
      </c>
      <c r="E418" s="22"/>
      <c r="F418" s="22">
        <v>9899</v>
      </c>
    </row>
    <row r="419" spans="1:6" hidden="1">
      <c r="B419" s="20"/>
      <c r="D419" s="15" t="s">
        <v>587</v>
      </c>
      <c r="E419" s="22"/>
      <c r="F419" s="22"/>
    </row>
    <row r="420" spans="1:6">
      <c r="B420" s="20"/>
      <c r="D420" s="15" t="s">
        <v>655</v>
      </c>
      <c r="E420" s="22"/>
      <c r="F420" s="22">
        <v>89</v>
      </c>
    </row>
    <row r="421" spans="1:6">
      <c r="B421" s="20"/>
      <c r="D421" s="15" t="s">
        <v>485</v>
      </c>
      <c r="E421" s="22"/>
      <c r="F421" s="22">
        <f>723+721+1670+7+54+53</f>
        <v>3228</v>
      </c>
    </row>
    <row r="422" spans="1:6">
      <c r="B422" s="20"/>
      <c r="C422" s="15" t="s">
        <v>553</v>
      </c>
      <c r="E422" s="22"/>
      <c r="F422" s="22"/>
    </row>
    <row r="423" spans="1:6">
      <c r="B423" s="20"/>
      <c r="D423" s="15" t="s">
        <v>646</v>
      </c>
      <c r="E423" s="22"/>
      <c r="F423" s="22">
        <v>13002</v>
      </c>
    </row>
    <row r="424" spans="1:6">
      <c r="B424" s="20"/>
      <c r="D424" s="14" t="s">
        <v>671</v>
      </c>
      <c r="F424" s="21">
        <f>SUM(F418:F423)</f>
        <v>26218</v>
      </c>
    </row>
    <row r="425" spans="1:6">
      <c r="B425" s="20"/>
      <c r="D425" s="14"/>
      <c r="F425" s="22"/>
    </row>
    <row r="426" spans="1:6">
      <c r="A426" s="15">
        <v>49558</v>
      </c>
      <c r="B426" s="20" t="s">
        <v>615</v>
      </c>
      <c r="D426" s="14"/>
      <c r="F426" s="22"/>
    </row>
    <row r="427" spans="1:6">
      <c r="B427" s="20"/>
      <c r="C427" s="15" t="s">
        <v>559</v>
      </c>
      <c r="E427" s="22"/>
      <c r="F427" s="22"/>
    </row>
    <row r="428" spans="1:6">
      <c r="B428" s="20"/>
      <c r="D428" s="15" t="s">
        <v>672</v>
      </c>
      <c r="E428" s="22"/>
      <c r="F428" s="22">
        <v>0</v>
      </c>
    </row>
    <row r="429" spans="1:6">
      <c r="B429" s="20"/>
      <c r="D429" s="15" t="s">
        <v>485</v>
      </c>
      <c r="E429" s="22"/>
      <c r="F429" s="22">
        <v>0</v>
      </c>
    </row>
    <row r="430" spans="1:6">
      <c r="B430" s="20"/>
      <c r="C430" s="15" t="s">
        <v>553</v>
      </c>
      <c r="E430" s="22"/>
      <c r="F430" s="22"/>
    </row>
    <row r="431" spans="1:6">
      <c r="B431" s="20"/>
      <c r="D431" s="15" t="s">
        <v>646</v>
      </c>
      <c r="E431" s="22"/>
      <c r="F431" s="22">
        <v>1001</v>
      </c>
    </row>
    <row r="432" spans="1:6">
      <c r="B432" s="20"/>
      <c r="C432" s="15" t="s">
        <v>555</v>
      </c>
      <c r="E432" s="22"/>
      <c r="F432" s="22"/>
    </row>
    <row r="433" spans="1:10">
      <c r="B433" s="20"/>
      <c r="D433" s="15" t="s">
        <v>605</v>
      </c>
      <c r="E433" s="22"/>
      <c r="F433" s="22"/>
    </row>
    <row r="434" spans="1:10">
      <c r="B434" s="20"/>
      <c r="D434" s="14" t="s">
        <v>673</v>
      </c>
      <c r="F434" s="21">
        <f>SUM(F428:F433)</f>
        <v>1001</v>
      </c>
    </row>
    <row r="435" spans="1:10">
      <c r="B435" s="20"/>
      <c r="F435" s="28"/>
    </row>
    <row r="436" spans="1:10">
      <c r="A436" s="15">
        <v>49559</v>
      </c>
      <c r="B436" s="20" t="s">
        <v>674</v>
      </c>
      <c r="D436" s="14"/>
      <c r="F436" s="22"/>
    </row>
    <row r="437" spans="1:10">
      <c r="B437" s="20"/>
      <c r="C437" s="15" t="s">
        <v>559</v>
      </c>
      <c r="E437" s="22"/>
      <c r="F437" s="22"/>
    </row>
    <row r="438" spans="1:10">
      <c r="B438" s="20"/>
      <c r="D438" s="15" t="s">
        <v>675</v>
      </c>
      <c r="E438" s="22"/>
      <c r="F438" s="22">
        <v>20315</v>
      </c>
    </row>
    <row r="439" spans="1:10">
      <c r="B439" s="20"/>
      <c r="D439" s="15" t="s">
        <v>676</v>
      </c>
      <c r="E439" s="22"/>
      <c r="F439" s="22">
        <v>1059</v>
      </c>
    </row>
    <row r="440" spans="1:10">
      <c r="B440" s="20"/>
      <c r="D440" s="15" t="s">
        <v>485</v>
      </c>
      <c r="E440" s="22"/>
      <c r="F440" s="22">
        <f>1557+1525+4241+15+121+148</f>
        <v>7607</v>
      </c>
    </row>
    <row r="441" spans="1:10">
      <c r="B441" s="20"/>
      <c r="C441" s="15" t="s">
        <v>553</v>
      </c>
      <c r="E441" s="22"/>
      <c r="F441" s="22"/>
    </row>
    <row r="442" spans="1:10">
      <c r="B442" s="20"/>
      <c r="D442" s="15" t="s">
        <v>646</v>
      </c>
      <c r="E442" s="22"/>
      <c r="F442" s="22">
        <v>0</v>
      </c>
    </row>
    <row r="443" spans="1:10">
      <c r="B443" s="20"/>
      <c r="C443" s="15" t="s">
        <v>555</v>
      </c>
      <c r="E443" s="22"/>
      <c r="F443" s="22"/>
    </row>
    <row r="444" spans="1:10">
      <c r="B444" s="20"/>
      <c r="D444" s="15" t="s">
        <v>677</v>
      </c>
      <c r="E444" s="22"/>
      <c r="F444" s="22">
        <v>134</v>
      </c>
    </row>
    <row r="445" spans="1:10">
      <c r="B445" s="20"/>
      <c r="D445" s="14" t="s">
        <v>678</v>
      </c>
      <c r="F445" s="21">
        <f>SUM(F438:F444)</f>
        <v>29115</v>
      </c>
    </row>
    <row r="446" spans="1:10">
      <c r="B446" s="20"/>
      <c r="F446" s="28"/>
    </row>
    <row r="447" spans="1:10" s="30" customFormat="1">
      <c r="B447" s="32"/>
      <c r="D447" s="30" t="s">
        <v>679</v>
      </c>
      <c r="F447" s="31">
        <f>+F369+F378+F390+F397+F407+F414+F424+F434+F445</f>
        <v>194412</v>
      </c>
      <c r="J447" s="264">
        <f>+F447-'Schedule 7'!E23</f>
        <v>3</v>
      </c>
    </row>
    <row r="448" spans="1:10">
      <c r="B448" s="20"/>
      <c r="D448" s="14"/>
      <c r="F448" s="22"/>
    </row>
    <row r="449" spans="1:6">
      <c r="A449" s="17" t="s">
        <v>680</v>
      </c>
      <c r="B449" s="20"/>
      <c r="D449" s="14"/>
      <c r="F449" s="22"/>
    </row>
    <row r="450" spans="1:6">
      <c r="A450" s="15">
        <v>49611</v>
      </c>
      <c r="B450" s="20" t="s">
        <v>681</v>
      </c>
      <c r="D450" s="14"/>
      <c r="F450" s="22"/>
    </row>
    <row r="451" spans="1:6">
      <c r="B451" s="20"/>
      <c r="C451" s="15" t="s">
        <v>559</v>
      </c>
      <c r="E451" s="22"/>
      <c r="F451" s="22"/>
    </row>
    <row r="452" spans="1:6">
      <c r="B452" s="20"/>
      <c r="D452" s="15" t="s">
        <v>601</v>
      </c>
      <c r="E452" s="22"/>
      <c r="F452" s="22">
        <v>122825</v>
      </c>
    </row>
    <row r="453" spans="1:6">
      <c r="B453" s="20"/>
      <c r="D453" s="15" t="s">
        <v>682</v>
      </c>
      <c r="E453" s="22"/>
      <c r="F453" s="22"/>
    </row>
    <row r="454" spans="1:6">
      <c r="B454" s="20"/>
      <c r="D454" s="15" t="s">
        <v>683</v>
      </c>
      <c r="E454" s="22"/>
      <c r="F454" s="22"/>
    </row>
    <row r="455" spans="1:6">
      <c r="B455" s="20"/>
      <c r="D455" s="15" t="s">
        <v>485</v>
      </c>
      <c r="E455" s="22"/>
      <c r="F455" s="22">
        <f>8870+9385+10423+1873+59+607+1324</f>
        <v>32541</v>
      </c>
    </row>
    <row r="456" spans="1:6">
      <c r="B456" s="20"/>
      <c r="C456" s="15" t="s">
        <v>555</v>
      </c>
      <c r="E456" s="22"/>
      <c r="F456" s="22"/>
    </row>
    <row r="457" spans="1:6">
      <c r="B457" s="20"/>
      <c r="D457" s="15" t="s">
        <v>684</v>
      </c>
      <c r="E457" s="22"/>
      <c r="F457" s="22">
        <v>77475</v>
      </c>
    </row>
    <row r="458" spans="1:6">
      <c r="B458" s="20"/>
      <c r="D458" s="14" t="s">
        <v>685</v>
      </c>
      <c r="F458" s="21">
        <f>SUM(F452:F457)</f>
        <v>232841</v>
      </c>
    </row>
    <row r="459" spans="1:6">
      <c r="B459" s="20"/>
      <c r="F459" s="28"/>
    </row>
    <row r="460" spans="1:6">
      <c r="A460" s="15">
        <v>49612</v>
      </c>
      <c r="B460" s="20" t="s">
        <v>686</v>
      </c>
      <c r="D460" s="14"/>
      <c r="F460" s="22"/>
    </row>
    <row r="461" spans="1:6">
      <c r="B461" s="20"/>
      <c r="C461" s="15" t="s">
        <v>553</v>
      </c>
      <c r="E461" s="22"/>
      <c r="F461" s="22"/>
    </row>
    <row r="462" spans="1:6">
      <c r="B462" s="20"/>
      <c r="D462" s="15" t="s">
        <v>485</v>
      </c>
      <c r="E462" s="22"/>
      <c r="F462" s="22">
        <f>171+185+316+2+25</f>
        <v>699</v>
      </c>
    </row>
    <row r="463" spans="1:6">
      <c r="B463" s="20"/>
      <c r="D463" s="15" t="s">
        <v>687</v>
      </c>
      <c r="E463" s="22"/>
      <c r="F463" s="22">
        <v>848</v>
      </c>
    </row>
    <row r="464" spans="1:6">
      <c r="B464" s="20"/>
      <c r="D464" s="15" t="s">
        <v>688</v>
      </c>
      <c r="E464" s="22"/>
      <c r="F464" s="22">
        <v>0</v>
      </c>
    </row>
    <row r="465" spans="1:6">
      <c r="B465" s="20"/>
      <c r="C465" s="15" t="s">
        <v>555</v>
      </c>
      <c r="E465" s="22"/>
      <c r="F465" s="22"/>
    </row>
    <row r="466" spans="1:6">
      <c r="B466" s="20"/>
      <c r="D466" s="15" t="s">
        <v>556</v>
      </c>
      <c r="F466" s="22">
        <v>1700</v>
      </c>
    </row>
    <row r="467" spans="1:6">
      <c r="B467" s="20"/>
      <c r="D467" s="15" t="s">
        <v>689</v>
      </c>
      <c r="F467" s="22">
        <v>1399</v>
      </c>
    </row>
    <row r="468" spans="1:6">
      <c r="B468" s="20"/>
      <c r="D468" s="15" t="s">
        <v>589</v>
      </c>
      <c r="F468" s="22">
        <v>1764</v>
      </c>
    </row>
    <row r="469" spans="1:6">
      <c r="B469" s="20"/>
      <c r="D469" s="15" t="s">
        <v>690</v>
      </c>
      <c r="F469" s="22">
        <v>0</v>
      </c>
    </row>
    <row r="470" spans="1:6">
      <c r="B470" s="20"/>
      <c r="D470" s="15" t="s">
        <v>691</v>
      </c>
      <c r="F470" s="22">
        <v>4750</v>
      </c>
    </row>
    <row r="471" spans="1:6">
      <c r="B471" s="20"/>
      <c r="D471" s="15" t="s">
        <v>692</v>
      </c>
      <c r="F471" s="22">
        <v>44</v>
      </c>
    </row>
    <row r="472" spans="1:6" hidden="1">
      <c r="B472" s="20"/>
      <c r="D472" s="15" t="s">
        <v>693</v>
      </c>
      <c r="F472" s="22">
        <v>0</v>
      </c>
    </row>
    <row r="473" spans="1:6" hidden="1">
      <c r="B473" s="20"/>
      <c r="D473" s="15" t="s">
        <v>694</v>
      </c>
      <c r="F473" s="22">
        <v>0</v>
      </c>
    </row>
    <row r="474" spans="1:6" hidden="1">
      <c r="B474" s="20"/>
      <c r="D474" s="15" t="s">
        <v>582</v>
      </c>
      <c r="F474" s="22">
        <v>0</v>
      </c>
    </row>
    <row r="475" spans="1:6">
      <c r="B475" s="20"/>
      <c r="D475" s="14" t="s">
        <v>695</v>
      </c>
      <c r="F475" s="21">
        <f>SUM(F462:F474)</f>
        <v>11204</v>
      </c>
    </row>
    <row r="476" spans="1:6">
      <c r="B476" s="20"/>
      <c r="F476" s="28"/>
    </row>
    <row r="477" spans="1:6">
      <c r="A477" s="15">
        <v>49613</v>
      </c>
      <c r="B477" s="20" t="s">
        <v>696</v>
      </c>
      <c r="F477" s="22"/>
    </row>
    <row r="478" spans="1:6">
      <c r="B478" s="20"/>
      <c r="C478" s="15" t="s">
        <v>559</v>
      </c>
      <c r="E478" s="22"/>
      <c r="F478" s="22"/>
    </row>
    <row r="479" spans="1:6">
      <c r="B479" s="20"/>
      <c r="D479" s="15" t="s">
        <v>697</v>
      </c>
      <c r="E479" s="22"/>
      <c r="F479" s="22">
        <v>2688</v>
      </c>
    </row>
    <row r="480" spans="1:6">
      <c r="B480" s="20"/>
      <c r="D480" s="15" t="s">
        <v>485</v>
      </c>
      <c r="E480" s="22"/>
      <c r="F480" s="22">
        <v>206</v>
      </c>
    </row>
    <row r="481" spans="1:6">
      <c r="B481" s="20"/>
      <c r="C481" s="15" t="s">
        <v>555</v>
      </c>
      <c r="E481" s="22"/>
      <c r="F481" s="22"/>
    </row>
    <row r="482" spans="1:6">
      <c r="B482" s="20"/>
      <c r="D482" s="15" t="s">
        <v>698</v>
      </c>
      <c r="E482" s="22"/>
      <c r="F482" s="22">
        <v>0</v>
      </c>
    </row>
    <row r="483" spans="1:6">
      <c r="B483" s="20"/>
      <c r="D483" s="15" t="s">
        <v>699</v>
      </c>
      <c r="E483" s="22"/>
      <c r="F483" s="22">
        <v>1238</v>
      </c>
    </row>
    <row r="484" spans="1:6">
      <c r="B484" s="20"/>
      <c r="D484" s="15" t="s">
        <v>700</v>
      </c>
      <c r="E484" s="22"/>
      <c r="F484" s="22">
        <v>0</v>
      </c>
    </row>
    <row r="485" spans="1:6">
      <c r="B485" s="20"/>
      <c r="D485" s="15" t="s">
        <v>743</v>
      </c>
      <c r="E485" s="22"/>
      <c r="F485" s="22">
        <v>0</v>
      </c>
    </row>
    <row r="486" spans="1:6">
      <c r="B486" s="20"/>
      <c r="D486" s="15" t="s">
        <v>701</v>
      </c>
      <c r="E486" s="22"/>
      <c r="F486" s="22">
        <v>0</v>
      </c>
    </row>
    <row r="487" spans="1:6">
      <c r="B487" s="20"/>
      <c r="D487" s="14" t="s">
        <v>673</v>
      </c>
      <c r="F487" s="21">
        <f>SUM(F479:F486)</f>
        <v>4132</v>
      </c>
    </row>
    <row r="488" spans="1:6">
      <c r="B488" s="20"/>
      <c r="F488" s="22"/>
    </row>
    <row r="489" spans="1:6">
      <c r="A489" s="15">
        <v>49614</v>
      </c>
      <c r="B489" s="20" t="s">
        <v>573</v>
      </c>
      <c r="F489" s="22"/>
    </row>
    <row r="490" spans="1:6">
      <c r="B490" s="20"/>
      <c r="C490" s="15" t="s">
        <v>555</v>
      </c>
      <c r="E490" s="22"/>
      <c r="F490" s="22"/>
    </row>
    <row r="491" spans="1:6">
      <c r="B491" s="20"/>
      <c r="D491" s="15" t="s">
        <v>573</v>
      </c>
      <c r="E491" s="22"/>
      <c r="F491" s="22">
        <v>21526</v>
      </c>
    </row>
    <row r="492" spans="1:6">
      <c r="B492" s="20"/>
      <c r="D492" s="15" t="s">
        <v>702</v>
      </c>
      <c r="E492" s="22"/>
      <c r="F492" s="22"/>
    </row>
    <row r="493" spans="1:6">
      <c r="B493" s="20"/>
      <c r="D493" s="14" t="s">
        <v>703</v>
      </c>
      <c r="F493" s="21">
        <f>SUM(F491:F492)</f>
        <v>21526</v>
      </c>
    </row>
    <row r="494" spans="1:6">
      <c r="B494" s="20"/>
      <c r="F494" s="22"/>
    </row>
    <row r="495" spans="1:6">
      <c r="A495" s="15">
        <v>49615</v>
      </c>
      <c r="B495" s="20" t="s">
        <v>704</v>
      </c>
      <c r="F495" s="22"/>
    </row>
    <row r="496" spans="1:6">
      <c r="B496" s="20"/>
      <c r="C496" s="15" t="s">
        <v>559</v>
      </c>
      <c r="F496" s="22"/>
    </row>
    <row r="497" spans="1:6">
      <c r="B497" s="20"/>
      <c r="D497" s="15" t="s">
        <v>705</v>
      </c>
      <c r="F497" s="22">
        <v>13074</v>
      </c>
    </row>
    <row r="498" spans="1:6">
      <c r="B498" s="20"/>
      <c r="C498" s="15" t="s">
        <v>555</v>
      </c>
      <c r="E498" s="22"/>
      <c r="F498" s="22"/>
    </row>
    <row r="499" spans="1:6">
      <c r="B499" s="20"/>
      <c r="D499" s="15" t="s">
        <v>706</v>
      </c>
      <c r="E499" s="22"/>
      <c r="F499" s="22">
        <v>47739</v>
      </c>
    </row>
    <row r="500" spans="1:6">
      <c r="B500" s="20"/>
      <c r="D500" s="15" t="s">
        <v>707</v>
      </c>
      <c r="E500" s="22"/>
      <c r="F500" s="22">
        <v>1637</v>
      </c>
    </row>
    <row r="501" spans="1:6">
      <c r="B501" s="20"/>
      <c r="D501" s="15" t="s">
        <v>708</v>
      </c>
      <c r="F501" s="22">
        <v>100</v>
      </c>
    </row>
    <row r="502" spans="1:6">
      <c r="B502" s="20"/>
      <c r="D502" s="14" t="s">
        <v>709</v>
      </c>
      <c r="F502" s="21">
        <f>SUM(F496:F501)</f>
        <v>62550</v>
      </c>
    </row>
    <row r="503" spans="1:6">
      <c r="B503" s="20"/>
      <c r="F503" s="22"/>
    </row>
    <row r="504" spans="1:6">
      <c r="A504" s="15">
        <v>49616</v>
      </c>
      <c r="B504" s="20" t="s">
        <v>710</v>
      </c>
      <c r="F504" s="22"/>
    </row>
    <row r="505" spans="1:6">
      <c r="B505" s="20"/>
      <c r="C505" s="15" t="s">
        <v>559</v>
      </c>
      <c r="F505" s="22"/>
    </row>
    <row r="506" spans="1:6">
      <c r="B506" s="20"/>
      <c r="D506" s="15" t="s">
        <v>711</v>
      </c>
      <c r="F506" s="22">
        <v>14530</v>
      </c>
    </row>
    <row r="507" spans="1:6">
      <c r="B507" s="20"/>
      <c r="D507" s="15" t="s">
        <v>712</v>
      </c>
      <c r="F507" s="22">
        <v>441</v>
      </c>
    </row>
    <row r="508" spans="1:6">
      <c r="B508" s="20"/>
      <c r="D508" s="15" t="s">
        <v>713</v>
      </c>
      <c r="F508" s="22">
        <v>769</v>
      </c>
    </row>
    <row r="509" spans="1:6">
      <c r="B509" s="20"/>
      <c r="D509" s="15" t="s">
        <v>714</v>
      </c>
      <c r="F509" s="22">
        <v>542</v>
      </c>
    </row>
    <row r="510" spans="1:6">
      <c r="B510" s="20"/>
      <c r="D510" s="15" t="s">
        <v>715</v>
      </c>
      <c r="F510" s="22">
        <v>108</v>
      </c>
    </row>
    <row r="511" spans="1:6">
      <c r="B511" s="20"/>
      <c r="D511" s="15" t="s">
        <v>716</v>
      </c>
      <c r="F511" s="22">
        <v>6</v>
      </c>
    </row>
    <row r="512" spans="1:6">
      <c r="B512" s="20"/>
      <c r="D512" s="15" t="s">
        <v>717</v>
      </c>
      <c r="F512" s="22">
        <v>66</v>
      </c>
    </row>
    <row r="513" spans="1:6">
      <c r="B513" s="20"/>
      <c r="D513" s="15" t="s">
        <v>718</v>
      </c>
      <c r="F513" s="22">
        <v>42</v>
      </c>
    </row>
    <row r="514" spans="1:6">
      <c r="B514" s="20"/>
      <c r="D514" s="15" t="s">
        <v>719</v>
      </c>
      <c r="F514" s="22">
        <v>0</v>
      </c>
    </row>
    <row r="515" spans="1:6" hidden="1">
      <c r="B515" s="20"/>
      <c r="D515" s="15" t="s">
        <v>720</v>
      </c>
      <c r="F515" s="22"/>
    </row>
    <row r="516" spans="1:6">
      <c r="B516" s="20"/>
      <c r="C516" s="15" t="s">
        <v>555</v>
      </c>
      <c r="E516" s="22"/>
      <c r="F516" s="22"/>
    </row>
    <row r="517" spans="1:6">
      <c r="B517" s="20"/>
      <c r="D517" s="15" t="s">
        <v>605</v>
      </c>
      <c r="E517" s="22"/>
      <c r="F517" s="22">
        <v>231</v>
      </c>
    </row>
    <row r="518" spans="1:6">
      <c r="B518" s="20"/>
      <c r="D518" s="15" t="s">
        <v>582</v>
      </c>
      <c r="E518" s="22"/>
      <c r="F518" s="22">
        <v>15384</v>
      </c>
    </row>
    <row r="519" spans="1:6">
      <c r="B519" s="20"/>
      <c r="D519" s="14" t="s">
        <v>721</v>
      </c>
      <c r="F519" s="21">
        <f>SUM(F505:F518)</f>
        <v>32119</v>
      </c>
    </row>
    <row r="520" spans="1:6">
      <c r="B520" s="20"/>
      <c r="F520" s="22"/>
    </row>
    <row r="521" spans="1:6">
      <c r="A521" s="15">
        <v>49617</v>
      </c>
      <c r="B521" s="20" t="s">
        <v>722</v>
      </c>
      <c r="F521" s="22"/>
    </row>
    <row r="522" spans="1:6">
      <c r="B522" s="20"/>
      <c r="C522" s="15" t="s">
        <v>555</v>
      </c>
      <c r="F522" s="22"/>
    </row>
    <row r="523" spans="1:6">
      <c r="B523" s="20"/>
      <c r="D523" s="15" t="s">
        <v>723</v>
      </c>
      <c r="F523" s="22">
        <v>17668</v>
      </c>
    </row>
    <row r="524" spans="1:6">
      <c r="B524" s="20"/>
      <c r="D524" s="14" t="s">
        <v>724</v>
      </c>
      <c r="F524" s="21">
        <f>SUM(F522:F523)</f>
        <v>17668</v>
      </c>
    </row>
    <row r="525" spans="1:6">
      <c r="B525" s="20"/>
      <c r="F525" s="22"/>
    </row>
    <row r="526" spans="1:6">
      <c r="A526" s="15">
        <v>49618</v>
      </c>
      <c r="B526" s="20" t="s">
        <v>725</v>
      </c>
      <c r="F526" s="22"/>
    </row>
    <row r="527" spans="1:6">
      <c r="B527" s="20"/>
      <c r="C527" s="15" t="s">
        <v>555</v>
      </c>
      <c r="F527" s="22"/>
    </row>
    <row r="528" spans="1:6">
      <c r="B528" s="20"/>
      <c r="D528" s="15" t="s">
        <v>605</v>
      </c>
      <c r="F528" s="22">
        <v>0</v>
      </c>
    </row>
    <row r="529" spans="1:6">
      <c r="B529" s="20"/>
      <c r="D529" s="15" t="s">
        <v>596</v>
      </c>
      <c r="F529" s="22">
        <v>1613</v>
      </c>
    </row>
    <row r="530" spans="1:6">
      <c r="B530" s="20"/>
      <c r="D530" s="15" t="s">
        <v>726</v>
      </c>
      <c r="F530" s="22"/>
    </row>
    <row r="531" spans="1:6">
      <c r="B531" s="20"/>
      <c r="D531" s="15" t="s">
        <v>727</v>
      </c>
      <c r="F531" s="22"/>
    </row>
    <row r="532" spans="1:6">
      <c r="B532" s="20"/>
      <c r="D532" s="14" t="s">
        <v>728</v>
      </c>
      <c r="F532" s="21">
        <f>SUM(F527:F531)</f>
        <v>1613</v>
      </c>
    </row>
    <row r="533" spans="1:6">
      <c r="B533" s="20"/>
      <c r="F533" s="22"/>
    </row>
    <row r="534" spans="1:6">
      <c r="A534" s="15">
        <v>49619</v>
      </c>
      <c r="B534" s="20" t="s">
        <v>729</v>
      </c>
      <c r="D534" s="14"/>
      <c r="F534" s="22"/>
    </row>
    <row r="535" spans="1:6">
      <c r="B535" s="20"/>
      <c r="C535" s="15" t="s">
        <v>559</v>
      </c>
      <c r="E535" s="22"/>
      <c r="F535" s="22"/>
    </row>
    <row r="536" spans="1:6">
      <c r="B536" s="20"/>
      <c r="D536" s="15" t="s">
        <v>730</v>
      </c>
      <c r="E536" s="22"/>
      <c r="F536" s="22">
        <v>3950</v>
      </c>
    </row>
    <row r="537" spans="1:6">
      <c r="B537" s="20"/>
      <c r="D537" s="15" t="s">
        <v>485</v>
      </c>
      <c r="E537" s="22"/>
      <c r="F537" s="22">
        <f>41+251</f>
        <v>292</v>
      </c>
    </row>
    <row r="538" spans="1:6">
      <c r="B538" s="20"/>
      <c r="C538" s="15" t="s">
        <v>553</v>
      </c>
      <c r="E538" s="22"/>
      <c r="F538" s="22"/>
    </row>
    <row r="539" spans="1:6">
      <c r="B539" s="20"/>
      <c r="D539" s="15" t="s">
        <v>687</v>
      </c>
      <c r="E539" s="22"/>
      <c r="F539" s="22">
        <v>304</v>
      </c>
    </row>
    <row r="540" spans="1:6">
      <c r="B540" s="20"/>
      <c r="D540" s="15" t="s">
        <v>626</v>
      </c>
      <c r="E540" s="22"/>
      <c r="F540" s="22">
        <v>0</v>
      </c>
    </row>
    <row r="541" spans="1:6">
      <c r="B541" s="20"/>
      <c r="C541" s="15" t="s">
        <v>555</v>
      </c>
      <c r="E541" s="22"/>
      <c r="F541" s="22"/>
    </row>
    <row r="542" spans="1:6">
      <c r="B542" s="20"/>
      <c r="D542" s="15" t="s">
        <v>605</v>
      </c>
      <c r="E542" s="22"/>
      <c r="F542" s="22">
        <v>0</v>
      </c>
    </row>
    <row r="543" spans="1:6">
      <c r="B543" s="20"/>
      <c r="D543" s="15" t="s">
        <v>731</v>
      </c>
      <c r="E543" s="22"/>
      <c r="F543" s="22">
        <v>13444</v>
      </c>
    </row>
    <row r="544" spans="1:6">
      <c r="B544" s="20"/>
      <c r="D544" s="15" t="s">
        <v>732</v>
      </c>
      <c r="E544" s="22"/>
      <c r="F544" s="22">
        <v>27199</v>
      </c>
    </row>
    <row r="545" spans="1:9">
      <c r="B545" s="20"/>
      <c r="D545" s="15" t="s">
        <v>733</v>
      </c>
      <c r="E545" s="22"/>
      <c r="F545" s="22"/>
    </row>
    <row r="546" spans="1:9">
      <c r="B546" s="20"/>
      <c r="D546" s="15" t="s">
        <v>582</v>
      </c>
      <c r="E546" s="22"/>
      <c r="F546" s="22"/>
    </row>
    <row r="547" spans="1:9">
      <c r="B547" s="20"/>
      <c r="D547" s="14" t="s">
        <v>734</v>
      </c>
      <c r="F547" s="21">
        <f>SUM(F536:F546)</f>
        <v>45189</v>
      </c>
    </row>
    <row r="548" spans="1:9">
      <c r="B548" s="20"/>
      <c r="F548" s="28"/>
    </row>
    <row r="549" spans="1:9" s="30" customFormat="1">
      <c r="B549" s="32"/>
      <c r="D549" s="30" t="s">
        <v>735</v>
      </c>
      <c r="F549" s="31">
        <f>+F458+F475+F487+F493+F502+F519+F524+F532+F547</f>
        <v>428842</v>
      </c>
      <c r="I549" s="264">
        <f>+F549-'Schedule 7'!D29</f>
        <v>-1</v>
      </c>
    </row>
    <row r="550" spans="1:9">
      <c r="B550" s="20"/>
      <c r="D550" s="14"/>
      <c r="F550" s="22"/>
    </row>
    <row r="551" spans="1:9" ht="15" customHeight="1">
      <c r="A551" s="15">
        <v>49641</v>
      </c>
      <c r="B551" s="20" t="s">
        <v>736</v>
      </c>
      <c r="D551" s="14"/>
      <c r="F551" s="22"/>
    </row>
    <row r="552" spans="1:9" ht="15" customHeight="1">
      <c r="B552" s="20"/>
      <c r="C552" s="15" t="s">
        <v>559</v>
      </c>
      <c r="E552" s="22"/>
      <c r="F552" s="22"/>
    </row>
    <row r="553" spans="1:9" ht="15" customHeight="1">
      <c r="B553" s="20"/>
      <c r="D553" s="15" t="s">
        <v>737</v>
      </c>
      <c r="E553" s="22"/>
      <c r="F553" s="22">
        <v>15487</v>
      </c>
    </row>
    <row r="554" spans="1:9">
      <c r="B554" s="20"/>
      <c r="D554" s="15" t="s">
        <v>676</v>
      </c>
      <c r="E554" s="22"/>
      <c r="F554" s="22">
        <v>2195</v>
      </c>
    </row>
    <row r="555" spans="1:9">
      <c r="B555" s="20"/>
      <c r="D555" s="15" t="s">
        <v>485</v>
      </c>
      <c r="E555" s="22"/>
      <c r="F555" s="22">
        <f>1295+1203+4265+12+79</f>
        <v>6854</v>
      </c>
    </row>
    <row r="556" spans="1:9">
      <c r="B556" s="20"/>
      <c r="C556" s="15" t="s">
        <v>553</v>
      </c>
      <c r="E556" s="22"/>
      <c r="F556" s="22"/>
    </row>
    <row r="557" spans="1:9">
      <c r="B557" s="20"/>
      <c r="D557" s="15" t="s">
        <v>687</v>
      </c>
      <c r="E557" s="22"/>
      <c r="F557" s="22">
        <v>0</v>
      </c>
    </row>
    <row r="558" spans="1:9">
      <c r="B558" s="20"/>
      <c r="D558" s="15" t="s">
        <v>738</v>
      </c>
      <c r="E558" s="22"/>
      <c r="F558" s="22">
        <v>0</v>
      </c>
    </row>
    <row r="559" spans="1:9">
      <c r="B559" s="20"/>
      <c r="C559" s="15" t="s">
        <v>555</v>
      </c>
      <c r="E559" s="22"/>
      <c r="F559" s="22"/>
    </row>
    <row r="560" spans="1:9">
      <c r="B560" s="20"/>
      <c r="D560" s="15" t="s">
        <v>605</v>
      </c>
      <c r="E560" s="22"/>
      <c r="F560" s="22">
        <v>5146</v>
      </c>
    </row>
    <row r="561" spans="1:6">
      <c r="B561" s="20"/>
      <c r="D561" s="15" t="s">
        <v>556</v>
      </c>
      <c r="E561" s="22"/>
      <c r="F561" s="22">
        <v>479</v>
      </c>
    </row>
    <row r="562" spans="1:6">
      <c r="B562" s="20"/>
      <c r="D562" s="15" t="s">
        <v>582</v>
      </c>
      <c r="E562" s="22"/>
      <c r="F562" s="22">
        <v>1388</v>
      </c>
    </row>
    <row r="563" spans="1:6">
      <c r="B563" s="20"/>
      <c r="D563" s="14" t="s">
        <v>739</v>
      </c>
      <c r="F563" s="21">
        <f>SUM(F553:F562)</f>
        <v>31549</v>
      </c>
    </row>
    <row r="564" spans="1:6">
      <c r="B564" s="20"/>
      <c r="D564" s="14"/>
      <c r="F564" s="22"/>
    </row>
    <row r="565" spans="1:6">
      <c r="A565" s="15">
        <v>49642</v>
      </c>
      <c r="B565" s="20" t="s">
        <v>740</v>
      </c>
      <c r="D565" s="14"/>
      <c r="F565" s="22"/>
    </row>
    <row r="566" spans="1:6">
      <c r="B566" s="20"/>
      <c r="C566" s="15" t="s">
        <v>559</v>
      </c>
      <c r="E566" s="22"/>
      <c r="F566" s="22"/>
    </row>
    <row r="567" spans="1:6">
      <c r="B567" s="20"/>
      <c r="D567" s="15" t="s">
        <v>737</v>
      </c>
      <c r="E567" s="22"/>
      <c r="F567" s="22">
        <v>101220</v>
      </c>
    </row>
    <row r="568" spans="1:6">
      <c r="B568" s="20"/>
      <c r="D568" s="15" t="s">
        <v>676</v>
      </c>
      <c r="E568" s="22"/>
      <c r="F568" s="22">
        <v>9167</v>
      </c>
    </row>
    <row r="569" spans="1:6">
      <c r="B569" s="20"/>
      <c r="D569" s="15" t="s">
        <v>485</v>
      </c>
      <c r="E569" s="22"/>
      <c r="F569" s="22">
        <f>8279+7714+29375+99+574</f>
        <v>46041</v>
      </c>
    </row>
    <row r="570" spans="1:6">
      <c r="B570" s="20"/>
      <c r="C570" s="15" t="s">
        <v>553</v>
      </c>
      <c r="E570" s="22"/>
      <c r="F570" s="22"/>
    </row>
    <row r="571" spans="1:6">
      <c r="B571" s="20"/>
      <c r="D571" s="15" t="s">
        <v>687</v>
      </c>
      <c r="E571" s="22"/>
      <c r="F571" s="22">
        <v>9795</v>
      </c>
    </row>
    <row r="572" spans="1:6">
      <c r="B572" s="20"/>
      <c r="D572" s="15" t="s">
        <v>741</v>
      </c>
      <c r="E572" s="22"/>
      <c r="F572" s="22">
        <v>1127</v>
      </c>
    </row>
    <row r="573" spans="1:6">
      <c r="B573" s="20"/>
      <c r="C573" s="15" t="s">
        <v>555</v>
      </c>
      <c r="E573" s="22"/>
      <c r="F573" s="22"/>
    </row>
    <row r="574" spans="1:6">
      <c r="B574" s="20"/>
      <c r="D574" s="15" t="s">
        <v>742</v>
      </c>
      <c r="E574" s="22"/>
      <c r="F574" s="22">
        <v>53006</v>
      </c>
    </row>
    <row r="575" spans="1:6">
      <c r="B575" s="20"/>
      <c r="D575" s="15" t="s">
        <v>743</v>
      </c>
      <c r="E575" s="22"/>
      <c r="F575" s="22">
        <v>17855</v>
      </c>
    </row>
    <row r="576" spans="1:6">
      <c r="B576" s="20"/>
      <c r="D576" s="15" t="s">
        <v>744</v>
      </c>
      <c r="E576" s="22"/>
      <c r="F576" s="22"/>
    </row>
    <row r="577" spans="1:9">
      <c r="B577" s="20"/>
      <c r="D577" s="15" t="s">
        <v>556</v>
      </c>
      <c r="E577" s="22"/>
      <c r="F577" s="22">
        <v>3151</v>
      </c>
    </row>
    <row r="578" spans="1:9">
      <c r="B578" s="20"/>
      <c r="D578" s="15" t="s">
        <v>689</v>
      </c>
      <c r="E578" s="22"/>
      <c r="F578" s="22">
        <v>12377</v>
      </c>
    </row>
    <row r="579" spans="1:9">
      <c r="B579" s="20"/>
      <c r="D579" s="15" t="s">
        <v>589</v>
      </c>
      <c r="E579" s="22"/>
      <c r="F579" s="22">
        <v>620</v>
      </c>
    </row>
    <row r="580" spans="1:9">
      <c r="B580" s="20"/>
      <c r="D580" s="15" t="s">
        <v>745</v>
      </c>
      <c r="E580" s="22"/>
      <c r="F580" s="22">
        <v>0</v>
      </c>
    </row>
    <row r="581" spans="1:9">
      <c r="B581" s="20"/>
      <c r="D581" s="15" t="s">
        <v>746</v>
      </c>
      <c r="E581" s="22"/>
      <c r="F581" s="22">
        <v>116</v>
      </c>
    </row>
    <row r="582" spans="1:9">
      <c r="B582" s="20"/>
      <c r="D582" s="15" t="s">
        <v>747</v>
      </c>
      <c r="E582" s="22"/>
      <c r="F582" s="22">
        <v>0</v>
      </c>
    </row>
    <row r="583" spans="1:9">
      <c r="B583" s="20"/>
      <c r="D583" s="15" t="s">
        <v>748</v>
      </c>
      <c r="E583" s="22"/>
      <c r="F583" s="22">
        <v>162</v>
      </c>
    </row>
    <row r="584" spans="1:9">
      <c r="B584" s="20"/>
      <c r="D584" s="14" t="s">
        <v>749</v>
      </c>
      <c r="F584" s="21">
        <f>SUM(F567:F583)</f>
        <v>254637</v>
      </c>
    </row>
    <row r="585" spans="1:9">
      <c r="B585" s="20"/>
      <c r="D585" s="14"/>
      <c r="F585" s="22"/>
    </row>
    <row r="586" spans="1:9">
      <c r="A586" s="15">
        <v>49643</v>
      </c>
      <c r="B586" s="20" t="s">
        <v>750</v>
      </c>
      <c r="D586" s="14"/>
      <c r="F586" s="22"/>
    </row>
    <row r="587" spans="1:9">
      <c r="B587" s="20"/>
      <c r="C587" s="15" t="s">
        <v>555</v>
      </c>
      <c r="E587" s="22"/>
      <c r="F587" s="22"/>
    </row>
    <row r="588" spans="1:9">
      <c r="B588" s="20"/>
      <c r="D588" s="15" t="s">
        <v>582</v>
      </c>
      <c r="E588" s="22"/>
      <c r="F588" s="22">
        <v>10982</v>
      </c>
    </row>
    <row r="589" spans="1:9">
      <c r="B589" s="20"/>
      <c r="D589" s="14" t="s">
        <v>751</v>
      </c>
      <c r="F589" s="21">
        <f>SUM(F587:F588)</f>
        <v>10982</v>
      </c>
    </row>
    <row r="590" spans="1:9">
      <c r="B590" s="20"/>
      <c r="F590" s="28"/>
    </row>
    <row r="591" spans="1:9" s="30" customFormat="1">
      <c r="B591" s="32"/>
      <c r="D591" s="30" t="s">
        <v>752</v>
      </c>
      <c r="F591" s="31">
        <f>+F563+F584+F589</f>
        <v>297168</v>
      </c>
      <c r="I591" s="264">
        <f>+F591-'Schedule 7'!D25</f>
        <v>2</v>
      </c>
    </row>
    <row r="592" spans="1:9">
      <c r="B592" s="20"/>
      <c r="F592" s="22"/>
    </row>
    <row r="593" spans="1:8">
      <c r="A593" s="17" t="s">
        <v>753</v>
      </c>
      <c r="B593" s="20"/>
      <c r="F593" s="22"/>
    </row>
    <row r="594" spans="1:8">
      <c r="A594" s="15">
        <v>49645</v>
      </c>
      <c r="B594" s="20" t="s">
        <v>754</v>
      </c>
      <c r="F594" s="22"/>
    </row>
    <row r="595" spans="1:8">
      <c r="B595" s="20"/>
      <c r="C595" s="15" t="s">
        <v>559</v>
      </c>
      <c r="E595" s="22"/>
      <c r="F595" s="22"/>
    </row>
    <row r="596" spans="1:8">
      <c r="B596" s="20"/>
      <c r="D596" s="15" t="s">
        <v>755</v>
      </c>
      <c r="E596" s="22"/>
      <c r="F596" s="22">
        <v>35934</v>
      </c>
    </row>
    <row r="597" spans="1:8">
      <c r="B597" s="20"/>
      <c r="D597" s="15" t="s">
        <v>485</v>
      </c>
      <c r="E597" s="22"/>
      <c r="F597" s="22">
        <f>2695+2419+7570+21+204</f>
        <v>12909</v>
      </c>
    </row>
    <row r="598" spans="1:8">
      <c r="B598" s="20"/>
      <c r="C598" s="15" t="s">
        <v>555</v>
      </c>
      <c r="E598" s="22"/>
      <c r="F598" s="22"/>
    </row>
    <row r="599" spans="1:8">
      <c r="B599" s="20"/>
      <c r="D599" s="15" t="s">
        <v>756</v>
      </c>
      <c r="E599" s="22"/>
      <c r="F599" s="22">
        <v>40000</v>
      </c>
    </row>
    <row r="600" spans="1:8">
      <c r="B600" s="20"/>
      <c r="D600" s="15" t="s">
        <v>556</v>
      </c>
      <c r="E600" s="22"/>
      <c r="F600" s="22">
        <v>489</v>
      </c>
    </row>
    <row r="601" spans="1:8">
      <c r="B601" s="20"/>
      <c r="D601" s="15" t="s">
        <v>589</v>
      </c>
      <c r="E601" s="22"/>
      <c r="F601" s="22">
        <v>2899</v>
      </c>
    </row>
    <row r="602" spans="1:8">
      <c r="B602" s="20"/>
      <c r="D602" s="15" t="s">
        <v>757</v>
      </c>
      <c r="E602" s="22"/>
      <c r="F602" s="22">
        <v>7440</v>
      </c>
    </row>
    <row r="603" spans="1:8">
      <c r="B603" s="20"/>
      <c r="D603" s="14" t="s">
        <v>758</v>
      </c>
      <c r="F603" s="21">
        <f>SUM(F596:F602)</f>
        <v>99671</v>
      </c>
    </row>
    <row r="604" spans="1:8">
      <c r="B604" s="20"/>
      <c r="D604" s="14"/>
      <c r="F604" s="22"/>
    </row>
    <row r="605" spans="1:8">
      <c r="A605" s="15">
        <v>49646</v>
      </c>
      <c r="B605" s="20" t="s">
        <v>759</v>
      </c>
      <c r="F605" s="22"/>
    </row>
    <row r="606" spans="1:8">
      <c r="B606" s="20"/>
      <c r="C606" s="15" t="s">
        <v>760</v>
      </c>
      <c r="F606" s="22">
        <v>7040</v>
      </c>
      <c r="H606" s="15" t="s">
        <v>797</v>
      </c>
    </row>
    <row r="607" spans="1:8">
      <c r="B607" s="20"/>
      <c r="D607" s="15" t="s">
        <v>761</v>
      </c>
      <c r="F607" s="22"/>
    </row>
    <row r="608" spans="1:8">
      <c r="B608" s="20"/>
      <c r="D608" s="15" t="s">
        <v>857</v>
      </c>
      <c r="F608" s="21">
        <f>+F606</f>
        <v>7040</v>
      </c>
    </row>
    <row r="609" spans="1:9">
      <c r="B609" s="20"/>
      <c r="F609" s="22"/>
    </row>
    <row r="610" spans="1:9" s="30" customFormat="1">
      <c r="B610" s="32"/>
      <c r="D610" s="30" t="s">
        <v>762</v>
      </c>
      <c r="F610" s="31">
        <f>+F603+F608</f>
        <v>106711</v>
      </c>
      <c r="I610" s="264">
        <f>+F610-'Schedule 7'!D27</f>
        <v>0</v>
      </c>
    </row>
    <row r="611" spans="1:9">
      <c r="B611" s="20"/>
      <c r="D611" s="14"/>
      <c r="F611" s="22"/>
    </row>
    <row r="612" spans="1:9">
      <c r="B612" s="14" t="s">
        <v>763</v>
      </c>
      <c r="C612" s="14"/>
      <c r="D612" s="14"/>
      <c r="F612" s="21">
        <v>908397</v>
      </c>
    </row>
    <row r="613" spans="1:9">
      <c r="B613" s="20"/>
      <c r="F613" s="22"/>
    </row>
    <row r="614" spans="1:9">
      <c r="A614" s="26"/>
      <c r="B614" s="16"/>
      <c r="F614" s="22"/>
    </row>
    <row r="615" spans="1:9">
      <c r="A615" s="420"/>
      <c r="B615" s="20"/>
      <c r="C615" s="20" t="s">
        <v>764</v>
      </c>
      <c r="D615" s="14"/>
      <c r="F615" s="21">
        <f>+F612+F610+F591+F549+F447+F308+F265+F95+F153+F362</f>
        <v>19370093</v>
      </c>
      <c r="H615" s="35"/>
    </row>
    <row r="616" spans="1:9">
      <c r="B616" s="16"/>
      <c r="F616" s="22"/>
    </row>
    <row r="617" spans="1:9">
      <c r="A617" s="36" t="s">
        <v>765</v>
      </c>
      <c r="B617" s="23"/>
      <c r="C617" s="23"/>
      <c r="D617" s="23"/>
      <c r="E617" s="23"/>
      <c r="F617" s="25">
        <f>F33-F615</f>
        <v>981065</v>
      </c>
      <c r="I617" s="35">
        <f>+F617-'Schedule 3'!C18-'Schedule 3'!C14</f>
        <v>-3</v>
      </c>
    </row>
    <row r="618" spans="1:9">
      <c r="A618" s="23"/>
      <c r="B618" s="24"/>
      <c r="C618" s="23"/>
      <c r="D618" s="23"/>
      <c r="E618" s="23"/>
      <c r="F618" s="22"/>
    </row>
    <row r="619" spans="1:9">
      <c r="A619" s="36" t="s">
        <v>766</v>
      </c>
      <c r="B619" s="24"/>
      <c r="C619" s="23"/>
      <c r="D619" s="23"/>
      <c r="E619" s="23"/>
      <c r="F619" s="22"/>
    </row>
    <row r="620" spans="1:9">
      <c r="A620" s="23"/>
      <c r="B620" s="24" t="s">
        <v>767</v>
      </c>
      <c r="C620" s="23"/>
      <c r="D620" s="23"/>
      <c r="E620" s="23"/>
      <c r="F620" s="22">
        <v>92853</v>
      </c>
    </row>
    <row r="621" spans="1:9">
      <c r="A621" s="23"/>
      <c r="B621" s="24" t="s">
        <v>768</v>
      </c>
      <c r="C621" s="23"/>
      <c r="D621" s="23"/>
      <c r="E621" s="23"/>
      <c r="F621" s="22">
        <v>-13650</v>
      </c>
    </row>
    <row r="622" spans="1:9">
      <c r="A622" s="23"/>
      <c r="B622" s="24" t="s">
        <v>769</v>
      </c>
      <c r="C622" s="23"/>
      <c r="D622" s="23"/>
      <c r="E622" s="23"/>
      <c r="F622" s="22">
        <v>0</v>
      </c>
    </row>
    <row r="623" spans="1:9">
      <c r="A623" s="23"/>
      <c r="B623" s="24" t="s">
        <v>770</v>
      </c>
      <c r="C623" s="23"/>
      <c r="D623" s="23"/>
      <c r="E623" s="23"/>
      <c r="F623" s="22">
        <v>3234</v>
      </c>
    </row>
    <row r="624" spans="1:9">
      <c r="A624" s="23"/>
      <c r="B624" s="24" t="s">
        <v>771</v>
      </c>
      <c r="C624" s="23"/>
      <c r="D624" s="23"/>
      <c r="E624" s="23"/>
      <c r="F624" s="22">
        <v>-1635</v>
      </c>
    </row>
    <row r="625" spans="1:8">
      <c r="A625" s="23"/>
      <c r="B625" s="24" t="s">
        <v>772</v>
      </c>
      <c r="C625" s="23"/>
      <c r="D625" s="23"/>
      <c r="E625" s="23"/>
      <c r="F625" s="22">
        <v>2202</v>
      </c>
    </row>
    <row r="626" spans="1:8">
      <c r="B626" s="24" t="s">
        <v>773</v>
      </c>
      <c r="F626" s="22">
        <v>293</v>
      </c>
    </row>
    <row r="627" spans="1:8">
      <c r="B627" s="24" t="s">
        <v>774</v>
      </c>
      <c r="F627" s="22">
        <v>0</v>
      </c>
    </row>
    <row r="628" spans="1:8">
      <c r="B628" s="24" t="s">
        <v>775</v>
      </c>
      <c r="F628" s="22">
        <v>0</v>
      </c>
    </row>
    <row r="629" spans="1:8">
      <c r="B629" s="24" t="s">
        <v>776</v>
      </c>
      <c r="F629" s="22">
        <v>27339</v>
      </c>
    </row>
    <row r="630" spans="1:8">
      <c r="B630" s="24" t="s">
        <v>777</v>
      </c>
      <c r="F630" s="22"/>
    </row>
    <row r="631" spans="1:8">
      <c r="B631" s="24" t="s">
        <v>778</v>
      </c>
      <c r="F631" s="22">
        <v>0</v>
      </c>
    </row>
    <row r="632" spans="1:8">
      <c r="A632" s="36" t="s">
        <v>779</v>
      </c>
      <c r="D632" s="23"/>
      <c r="E632" s="23"/>
      <c r="F632" s="21">
        <f>SUM(F620:F631)</f>
        <v>110636</v>
      </c>
    </row>
    <row r="633" spans="1:8">
      <c r="A633" s="23"/>
      <c r="B633" s="24"/>
      <c r="C633" s="36"/>
      <c r="D633" s="23"/>
      <c r="E633" s="23"/>
      <c r="F633" s="37"/>
    </row>
    <row r="634" spans="1:8">
      <c r="A634" s="36" t="s">
        <v>780</v>
      </c>
      <c r="B634" s="24"/>
      <c r="C634" s="23"/>
      <c r="D634" s="23"/>
      <c r="E634" s="23"/>
      <c r="F634" s="25">
        <f>F617+F632</f>
        <v>1091701</v>
      </c>
    </row>
    <row r="635" spans="1:8">
      <c r="A635" s="36"/>
      <c r="B635" s="24"/>
      <c r="C635" s="23"/>
      <c r="D635" s="23"/>
      <c r="E635" s="23"/>
      <c r="F635" s="37"/>
    </row>
    <row r="636" spans="1:8" ht="15" customHeight="1">
      <c r="A636" s="38" t="s">
        <v>120</v>
      </c>
      <c r="C636" s="23"/>
      <c r="D636" s="23"/>
      <c r="E636" s="23"/>
      <c r="F636" s="22"/>
    </row>
    <row r="637" spans="1:8" ht="15" customHeight="1">
      <c r="A637" s="23"/>
      <c r="B637" s="24" t="s">
        <v>781</v>
      </c>
      <c r="C637" s="23"/>
      <c r="D637" s="23"/>
      <c r="E637" s="23"/>
      <c r="F637" s="22">
        <v>-634821</v>
      </c>
      <c r="H637" s="15" t="s">
        <v>825</v>
      </c>
    </row>
    <row r="638" spans="1:8" ht="15" customHeight="1">
      <c r="A638" s="23"/>
      <c r="B638" s="24" t="s">
        <v>782</v>
      </c>
      <c r="C638" s="23"/>
      <c r="D638" s="23"/>
      <c r="E638" s="23"/>
      <c r="F638" s="22">
        <v>134400</v>
      </c>
      <c r="H638" s="485" t="s">
        <v>824</v>
      </c>
    </row>
    <row r="639" spans="1:8" ht="15" customHeight="1">
      <c r="A639" s="38"/>
      <c r="C639" s="23" t="s">
        <v>783</v>
      </c>
      <c r="D639" s="23"/>
      <c r="E639" s="23"/>
      <c r="F639" s="21">
        <f>SUM(F637:F638)</f>
        <v>-500421</v>
      </c>
      <c r="H639" s="485"/>
    </row>
    <row r="640" spans="1:8" ht="15" customHeight="1">
      <c r="A640" s="23"/>
      <c r="B640" s="24"/>
      <c r="C640" s="23"/>
      <c r="D640" s="23"/>
      <c r="E640" s="23"/>
      <c r="F640" s="22"/>
    </row>
    <row r="641" spans="1:6" ht="15" customHeight="1" thickBot="1">
      <c r="A641" s="36" t="s">
        <v>784</v>
      </c>
      <c r="B641" s="24"/>
      <c r="C641" s="23"/>
      <c r="D641" s="23"/>
      <c r="E641" s="23"/>
      <c r="F641" s="39">
        <f>+F634+F639</f>
        <v>591280</v>
      </c>
    </row>
    <row r="642" spans="1:6" ht="15" customHeight="1" thickTop="1"/>
    <row r="643" spans="1:6" ht="15" customHeight="1"/>
    <row r="644" spans="1:6" ht="15" customHeight="1"/>
    <row r="645" spans="1:6" ht="15" customHeight="1"/>
    <row r="646" spans="1:6" ht="15" customHeight="1"/>
    <row r="647" spans="1:6" ht="15" customHeight="1"/>
    <row r="648" spans="1:6" ht="15" customHeight="1"/>
    <row r="649" spans="1:6" ht="15" customHeight="1"/>
    <row r="650" spans="1:6" ht="15" customHeight="1"/>
    <row r="651" spans="1:6" ht="15" customHeight="1"/>
    <row r="652" spans="1:6" ht="15" customHeight="1"/>
    <row r="653" spans="1:6" ht="15" customHeight="1"/>
    <row r="654" spans="1:6" ht="15" customHeight="1"/>
    <row r="655" spans="1:6" ht="15" customHeight="1"/>
    <row r="656" spans="1: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sheetData>
  <mergeCells count="4">
    <mergeCell ref="A1:F1"/>
    <mergeCell ref="A2:F2"/>
    <mergeCell ref="A3:F3"/>
    <mergeCell ref="H638:H639"/>
  </mergeCells>
  <printOptions gridLines="1"/>
  <pageMargins left="0.1" right="0" top="0.53" bottom="0.1" header="0.3" footer="0.24"/>
  <pageSetup fitToHeight="10" orientation="portrait" r:id="rId1"/>
  <headerFooter alignWithMargins="0"/>
  <rowBreaks count="8" manualBreakCount="8">
    <brk id="62" max="27" man="1"/>
    <brk id="163" max="27" man="1"/>
    <brk id="234" max="27" man="1"/>
    <brk id="296" max="27" man="1"/>
    <brk id="379" max="27" man="1"/>
    <brk id="447" max="27" man="1"/>
    <brk id="519" max="27" man="1"/>
    <brk id="584"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90" zoomScaleNormal="90" workbookViewId="0">
      <selection activeCell="H29" sqref="H29"/>
    </sheetView>
  </sheetViews>
  <sheetFormatPr defaultColWidth="9.109375" defaultRowHeight="15.6"/>
  <cols>
    <col min="1" max="1" width="9.109375" style="4" bestFit="1" customWidth="1"/>
    <col min="2" max="2" width="49.88671875" style="1" customWidth="1"/>
    <col min="3" max="3" width="2.33203125" style="1" customWidth="1"/>
    <col min="4" max="4" width="13.44140625" style="9" customWidth="1"/>
    <col min="5" max="16384" width="9.109375" style="1"/>
  </cols>
  <sheetData>
    <row r="1" spans="1:7">
      <c r="A1" s="486" t="s">
        <v>476</v>
      </c>
      <c r="B1" s="487"/>
      <c r="C1" s="487"/>
      <c r="D1" s="487"/>
      <c r="E1" s="487"/>
    </row>
    <row r="2" spans="1:7">
      <c r="A2" s="487" t="s">
        <v>798</v>
      </c>
      <c r="B2" s="487"/>
      <c r="C2" s="487"/>
      <c r="D2" s="487"/>
      <c r="E2" s="487"/>
    </row>
    <row r="3" spans="1:7">
      <c r="A3" s="488" t="str">
        <f>+'Schedule 2'!A4:F4</f>
        <v>For the Year Ended December 31, 2015</v>
      </c>
      <c r="B3" s="488"/>
      <c r="C3" s="488"/>
      <c r="D3" s="488"/>
      <c r="E3" s="488"/>
    </row>
    <row r="4" spans="1:7">
      <c r="A4" s="489"/>
      <c r="B4" s="489"/>
      <c r="C4" s="489"/>
      <c r="D4" s="489"/>
      <c r="E4" s="489"/>
    </row>
    <row r="5" spans="1:7">
      <c r="A5" s="2" t="s">
        <v>799</v>
      </c>
    </row>
    <row r="6" spans="1:7">
      <c r="A6" s="3">
        <v>1</v>
      </c>
      <c r="B6" s="1" t="s">
        <v>800</v>
      </c>
      <c r="D6" s="269">
        <v>0</v>
      </c>
      <c r="G6" s="418"/>
    </row>
    <row r="7" spans="1:7">
      <c r="B7" s="1" t="s">
        <v>801</v>
      </c>
      <c r="D7" s="10"/>
    </row>
    <row r="8" spans="1:7">
      <c r="B8" s="1" t="s">
        <v>802</v>
      </c>
      <c r="D8" s="10"/>
    </row>
    <row r="9" spans="1:7">
      <c r="D9" s="10"/>
    </row>
    <row r="10" spans="1:7">
      <c r="A10" s="3">
        <v>2</v>
      </c>
      <c r="B10" s="1" t="s">
        <v>803</v>
      </c>
      <c r="D10" s="10"/>
    </row>
    <row r="11" spans="1:7">
      <c r="B11" s="1" t="s">
        <v>804</v>
      </c>
      <c r="D11" s="270">
        <v>0</v>
      </c>
    </row>
    <row r="12" spans="1:7">
      <c r="B12" s="1" t="s">
        <v>805</v>
      </c>
      <c r="D12" s="270">
        <v>0</v>
      </c>
    </row>
    <row r="13" spans="1:7">
      <c r="B13" s="1" t="s">
        <v>806</v>
      </c>
      <c r="D13" s="270">
        <v>0</v>
      </c>
    </row>
    <row r="14" spans="1:7">
      <c r="B14" s="1" t="s">
        <v>807</v>
      </c>
      <c r="D14" s="11">
        <f>SUM(D11:D13)</f>
        <v>0</v>
      </c>
    </row>
    <row r="15" spans="1:7">
      <c r="D15" s="10"/>
    </row>
    <row r="16" spans="1:7">
      <c r="A16" s="3">
        <v>3</v>
      </c>
      <c r="B16" s="1" t="s">
        <v>808</v>
      </c>
      <c r="D16" s="269">
        <v>1613</v>
      </c>
    </row>
    <row r="17" spans="1:14">
      <c r="B17" s="1" t="s">
        <v>809</v>
      </c>
      <c r="D17" s="10"/>
    </row>
    <row r="18" spans="1:14">
      <c r="D18" s="10"/>
    </row>
    <row r="19" spans="1:14">
      <c r="A19" s="3">
        <v>4</v>
      </c>
      <c r="B19" s="1" t="s">
        <v>808</v>
      </c>
      <c r="D19" s="269">
        <v>0</v>
      </c>
    </row>
    <row r="20" spans="1:14">
      <c r="B20" s="1" t="s">
        <v>810</v>
      </c>
      <c r="D20" s="10"/>
    </row>
    <row r="21" spans="1:14">
      <c r="B21" s="1" t="s">
        <v>809</v>
      </c>
      <c r="D21" s="10"/>
    </row>
    <row r="22" spans="1:14">
      <c r="D22" s="10"/>
    </row>
    <row r="23" spans="1:14">
      <c r="A23" s="3">
        <v>5</v>
      </c>
      <c r="B23" s="1" t="s">
        <v>811</v>
      </c>
      <c r="D23" s="10"/>
    </row>
    <row r="24" spans="1:14">
      <c r="B24" s="1" t="s">
        <v>812</v>
      </c>
      <c r="D24" s="270"/>
    </row>
    <row r="25" spans="1:14">
      <c r="B25" s="1" t="s">
        <v>813</v>
      </c>
      <c r="D25" s="270">
        <v>7040</v>
      </c>
      <c r="E25" s="454"/>
      <c r="F25" s="455"/>
      <c r="G25" s="455"/>
      <c r="H25" s="455"/>
      <c r="I25" s="455"/>
      <c r="J25" s="455"/>
      <c r="K25" s="455"/>
      <c r="L25" s="455"/>
      <c r="M25" s="455"/>
      <c r="N25" s="455"/>
    </row>
    <row r="26" spans="1:14">
      <c r="B26" s="1" t="s">
        <v>814</v>
      </c>
      <c r="D26" s="11">
        <f>SUM(D24:D25)</f>
        <v>7040</v>
      </c>
    </row>
    <row r="27" spans="1:14">
      <c r="D27" s="10"/>
    </row>
    <row r="28" spans="1:14">
      <c r="A28" s="3">
        <v>6</v>
      </c>
      <c r="B28" s="1" t="s">
        <v>815</v>
      </c>
      <c r="D28" s="269">
        <f>+'Acct 456.1'!D22</f>
        <v>523410.32999999996</v>
      </c>
      <c r="E28" s="1" t="s">
        <v>870</v>
      </c>
    </row>
    <row r="29" spans="1:14">
      <c r="B29" s="1" t="s">
        <v>816</v>
      </c>
      <c r="D29" s="10"/>
    </row>
    <row r="30" spans="1:14">
      <c r="D30" s="10"/>
    </row>
    <row r="31" spans="1:14">
      <c r="A31" s="3">
        <v>7</v>
      </c>
      <c r="B31" s="1" t="s">
        <v>817</v>
      </c>
      <c r="D31" s="269">
        <v>0</v>
      </c>
    </row>
    <row r="32" spans="1:14">
      <c r="B32" s="1" t="s">
        <v>818</v>
      </c>
    </row>
  </sheetData>
  <mergeCells count="4">
    <mergeCell ref="A1:E1"/>
    <mergeCell ref="A2:E2"/>
    <mergeCell ref="A3:E3"/>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Nonlevelized-EIA 412</vt:lpstr>
      <vt:lpstr>Schedule 2</vt:lpstr>
      <vt:lpstr>Schedule 3</vt:lpstr>
      <vt:lpstr>Schedule 4</vt:lpstr>
      <vt:lpstr>Schedule 5</vt:lpstr>
      <vt:lpstr>Schedule 7</vt:lpstr>
      <vt:lpstr>Salaries</vt:lpstr>
      <vt:lpstr>Detailed Rev. and O&amp;M</vt:lpstr>
      <vt:lpstr>Other Data</vt:lpstr>
      <vt:lpstr>Acct 456.1</vt:lpstr>
      <vt:lpstr>'Detailed Rev. and O&amp;M'!Print_Area</vt:lpstr>
      <vt:lpstr>'Nonlevelized-EIA 412'!Print_Area</vt:lpstr>
      <vt:lpstr>'Other Data'!Print_Area</vt:lpstr>
      <vt:lpstr>Salaries!Print_Area</vt:lpstr>
      <vt:lpstr>'Schedule 2'!Print_Area</vt:lpstr>
      <vt:lpstr>'Schedule 3'!Print_Area</vt:lpstr>
      <vt:lpstr>'Detailed Rev. and O&amp;M'!Print_Titles</vt:lpstr>
    </vt:vector>
  </TitlesOfParts>
  <Company>Michigan Public Power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Kristina Sipma</cp:lastModifiedBy>
  <cp:lastPrinted>2017-03-03T21:28:49Z</cp:lastPrinted>
  <dcterms:created xsi:type="dcterms:W3CDTF">2005-04-15T13:36:01Z</dcterms:created>
  <dcterms:modified xsi:type="dcterms:W3CDTF">2017-04-21T12:20:43Z</dcterms:modified>
</cp:coreProperties>
</file>