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120" windowHeight="9120" tabRatio="944"/>
  </bookViews>
  <sheets>
    <sheet name="Nonlevelized EIA 412" sheetId="9" r:id="rId1"/>
    <sheet name="Balance sheet" sheetId="1" r:id="rId2"/>
    <sheet name="Income Statement" sheetId="4" r:id="rId3"/>
    <sheet name="Electric Plant" sheetId="8" r:id="rId4"/>
    <sheet name="Taxes" sheetId="7" r:id="rId5"/>
    <sheet name="Op &amp; Maint" sheetId="5" r:id="rId6"/>
    <sheet name="Salaries" sheetId="10" r:id="rId7"/>
    <sheet name="Notes" sheetId="3" r:id="rId8"/>
  </sheets>
  <externalReferences>
    <externalReference r:id="rId9"/>
    <externalReference r:id="rId10"/>
    <externalReference r:id="rId11"/>
    <externalReference r:id="rId12"/>
    <externalReference r:id="rId13"/>
    <externalReference r:id="rId14"/>
    <externalReference r:id="rId15"/>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djusted_KW">[4]CALCULATIONS!$C$29</definedName>
    <definedName name="CIP_Year">OFFSET(#REF!,0,0,COUNTA(#REF!)-1,1)</definedName>
    <definedName name="Coincidence_Factor">[4]CALCULATIONS!#REF!</definedName>
    <definedName name="CROD_S">'[5]Brewster Purchases'!#REF!</definedName>
    <definedName name="Current_Year">'[6]Electric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2">'Income Statement'!$A$1:$C$31</definedName>
    <definedName name="_xlnm.Print_Area">#REF!</definedName>
    <definedName name="Print_Area_MI">#REF!</definedName>
    <definedName name="Print_Titles_MI">#REF!</definedName>
    <definedName name="PROSPECT">#REF!</definedName>
    <definedName name="queryp1">[2]DANDE!#REF!</definedName>
    <definedName name="Reading_Date">[4]CALCULATIONS!$C$8</definedName>
    <definedName name="revreq">#REF!</definedName>
    <definedName name="Service_Metered">[4]CALCULATIONS!$C$19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hidden="1">{#N/A,#N/A,FALSE,"ARREC"}</definedName>
    <definedName name="wrn.EMPPAY." hidden="1">{#N/A,#N/A,FALSE,"EMPPAY"}</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G245" i="9" l="1"/>
  <c r="D244" i="9"/>
  <c r="D231" i="9"/>
  <c r="D230" i="9"/>
  <c r="D229" i="9"/>
  <c r="D228" i="9"/>
  <c r="D158" i="9"/>
  <c r="D157" i="9"/>
  <c r="D150" i="9"/>
  <c r="D115" i="9"/>
  <c r="D90" i="9"/>
  <c r="D89" i="9"/>
  <c r="D88" i="9"/>
  <c r="D87" i="9"/>
  <c r="D82" i="9"/>
  <c r="D81" i="9"/>
  <c r="D80" i="9"/>
  <c r="D79" i="9"/>
  <c r="I58" i="10"/>
  <c r="G58" i="10"/>
  <c r="K56" i="10"/>
  <c r="K55" i="10"/>
  <c r="K54" i="10"/>
  <c r="H54" i="10"/>
  <c r="K53" i="10"/>
  <c r="H52" i="10"/>
  <c r="K52" i="10" s="1"/>
  <c r="H51" i="10"/>
  <c r="K51" i="10" s="1"/>
  <c r="K48" i="10"/>
  <c r="H48" i="10"/>
  <c r="K47" i="10"/>
  <c r="H46" i="10"/>
  <c r="K46" i="10" s="1"/>
  <c r="E46" i="10"/>
  <c r="H45" i="10"/>
  <c r="E45" i="10"/>
  <c r="K45" i="10" s="1"/>
  <c r="M48" i="10" s="1"/>
  <c r="H42" i="10"/>
  <c r="F42" i="10"/>
  <c r="K42" i="10" s="1"/>
  <c r="H40" i="10"/>
  <c r="F40" i="10"/>
  <c r="K40" i="10" s="1"/>
  <c r="K39" i="10"/>
  <c r="H38" i="10"/>
  <c r="F38" i="10"/>
  <c r="K38" i="10" s="1"/>
  <c r="K37" i="10"/>
  <c r="H36" i="10"/>
  <c r="F36" i="10"/>
  <c r="K36" i="10" s="1"/>
  <c r="K35" i="10"/>
  <c r="H35" i="10"/>
  <c r="K33" i="10"/>
  <c r="H32" i="10"/>
  <c r="K32" i="10" s="1"/>
  <c r="E32" i="10"/>
  <c r="K31" i="10"/>
  <c r="K30" i="10"/>
  <c r="K29" i="10"/>
  <c r="H29" i="10"/>
  <c r="K28" i="10"/>
  <c r="H27" i="10"/>
  <c r="K27" i="10" s="1"/>
  <c r="K23" i="10"/>
  <c r="M23" i="10" s="1"/>
  <c r="K22" i="10"/>
  <c r="H19" i="10"/>
  <c r="F19" i="10"/>
  <c r="K19" i="10" s="1"/>
  <c r="K18" i="10"/>
  <c r="H17" i="10"/>
  <c r="K17" i="10" s="1"/>
  <c r="H16" i="10"/>
  <c r="H58" i="10" s="1"/>
  <c r="K14" i="10"/>
  <c r="K13" i="10"/>
  <c r="E13" i="10"/>
  <c r="E58" i="10" s="1"/>
  <c r="K12" i="10"/>
  <c r="K11" i="10"/>
  <c r="A2" i="10"/>
  <c r="A1" i="10"/>
  <c r="D16" i="5"/>
  <c r="D15" i="5"/>
  <c r="C19" i="8"/>
  <c r="E18" i="8"/>
  <c r="C18" i="8"/>
  <c r="E17" i="8"/>
  <c r="D17" i="8"/>
  <c r="C17" i="8"/>
  <c r="C14" i="8"/>
  <c r="K19" i="8"/>
  <c r="I19" i="8"/>
  <c r="K18" i="8"/>
  <c r="I18" i="8"/>
  <c r="K17" i="8"/>
  <c r="K14" i="8"/>
  <c r="K15" i="8" s="1"/>
  <c r="K20" i="8" s="1"/>
  <c r="K25" i="8" s="1"/>
  <c r="K28" i="8" s="1"/>
  <c r="I14" i="8"/>
  <c r="I15" i="8" s="1"/>
  <c r="I20" i="8" s="1"/>
  <c r="I25" i="8" s="1"/>
  <c r="I28" i="8" s="1"/>
  <c r="C25" i="4"/>
  <c r="C19" i="4"/>
  <c r="C14" i="4"/>
  <c r="C11" i="4"/>
  <c r="A4" i="1"/>
  <c r="A1" i="1"/>
  <c r="F15" i="1"/>
  <c r="F20" i="1"/>
  <c r="F38" i="1"/>
  <c r="C35" i="1"/>
  <c r="C33" i="1"/>
  <c r="C11" i="1"/>
  <c r="M42" i="10" l="1"/>
  <c r="M19" i="10"/>
  <c r="F58" i="10"/>
  <c r="K16" i="10"/>
  <c r="K58" i="10" s="1"/>
  <c r="D272" i="9"/>
  <c r="D271" i="9"/>
  <c r="K270" i="9"/>
  <c r="C270" i="9"/>
  <c r="B270" i="9"/>
  <c r="I264" i="9"/>
  <c r="D15" i="9" s="1"/>
  <c r="I255" i="9"/>
  <c r="D246" i="9"/>
  <c r="E245" i="9"/>
  <c r="E246" i="9" s="1"/>
  <c r="G244" i="9"/>
  <c r="I244" i="9" s="1"/>
  <c r="E244" i="9"/>
  <c r="D238" i="9"/>
  <c r="G236" i="9" s="1"/>
  <c r="D232" i="9"/>
  <c r="G231" i="9"/>
  <c r="G230" i="9"/>
  <c r="G228" i="9"/>
  <c r="L227" i="9"/>
  <c r="L220" i="9"/>
  <c r="L222" i="9" s="1"/>
  <c r="L228" i="9" s="1"/>
  <c r="I219" i="9"/>
  <c r="I221" i="9" s="1"/>
  <c r="I211" i="9"/>
  <c r="D207" i="9"/>
  <c r="D205" i="9"/>
  <c r="K204" i="9"/>
  <c r="D204" i="9"/>
  <c r="B204" i="9"/>
  <c r="D174" i="9"/>
  <c r="D178" i="9" s="1"/>
  <c r="D182" i="9" s="1"/>
  <c r="D171" i="9"/>
  <c r="F169" i="9"/>
  <c r="F165" i="9"/>
  <c r="D160" i="9"/>
  <c r="B159" i="9"/>
  <c r="B157" i="9"/>
  <c r="D154" i="9"/>
  <c r="I153" i="9"/>
  <c r="F151" i="9"/>
  <c r="F150" i="9"/>
  <c r="F149" i="9"/>
  <c r="I146" i="9"/>
  <c r="D140" i="9"/>
  <c r="D138" i="9"/>
  <c r="K137" i="9"/>
  <c r="D137" i="9"/>
  <c r="B137" i="9"/>
  <c r="D113" i="9"/>
  <c r="D116" i="9" s="1"/>
  <c r="F110" i="9"/>
  <c r="D108" i="9"/>
  <c r="F106" i="9"/>
  <c r="D99" i="9"/>
  <c r="D98" i="9"/>
  <c r="D97" i="9"/>
  <c r="D96" i="9"/>
  <c r="B96" i="9"/>
  <c r="D95" i="9"/>
  <c r="D92" i="9"/>
  <c r="F91" i="9"/>
  <c r="B91" i="9"/>
  <c r="B99" i="9" s="1"/>
  <c r="F90" i="9"/>
  <c r="B90" i="9"/>
  <c r="B98" i="9" s="1"/>
  <c r="G89" i="9"/>
  <c r="F89" i="9"/>
  <c r="B89" i="9"/>
  <c r="B97" i="9" s="1"/>
  <c r="F88" i="9"/>
  <c r="B88" i="9"/>
  <c r="G87" i="9"/>
  <c r="F87" i="9"/>
  <c r="B87" i="9"/>
  <c r="B95" i="9" s="1"/>
  <c r="D84" i="9"/>
  <c r="D74" i="9"/>
  <c r="D72" i="9"/>
  <c r="K71" i="9"/>
  <c r="D71" i="9"/>
  <c r="B71" i="9"/>
  <c r="I42" i="9"/>
  <c r="I41" i="9"/>
  <c r="I30" i="9"/>
  <c r="F15" i="9"/>
  <c r="D14" i="9"/>
  <c r="I245" i="9" l="1"/>
  <c r="I246" i="9" s="1"/>
  <c r="D100" i="9"/>
  <c r="D118" i="9" s="1"/>
  <c r="I223" i="9"/>
  <c r="I214" i="9"/>
  <c r="I216" i="9" s="1"/>
  <c r="D175" i="9" l="1"/>
  <c r="I249" i="9"/>
  <c r="D185" i="9"/>
  <c r="G14" i="9"/>
  <c r="E229" i="9"/>
  <c r="G229" i="9" s="1"/>
  <c r="G232" i="9" s="1"/>
  <c r="I232" i="9" s="1"/>
  <c r="G150" i="9" s="1"/>
  <c r="I150" i="9" s="1"/>
  <c r="I224" i="9"/>
  <c r="I225" i="9" s="1"/>
  <c r="G114" i="9" s="1"/>
  <c r="I114" i="9" s="1"/>
  <c r="G80" i="9"/>
  <c r="G88" i="9" s="1"/>
  <c r="G16" i="9"/>
  <c r="I16" i="9" s="1"/>
  <c r="I14" i="9"/>
  <c r="G17" i="9"/>
  <c r="I17" i="9" s="1"/>
  <c r="G15" i="9"/>
  <c r="I15" i="9" s="1"/>
  <c r="D181" i="9" l="1"/>
  <c r="D183" i="9" s="1"/>
  <c r="D188" i="9" s="1"/>
  <c r="D197" i="9" s="1"/>
  <c r="I236" i="9"/>
  <c r="K236" i="9" s="1"/>
  <c r="G152" i="9" s="1"/>
  <c r="G82" i="9"/>
  <c r="G90" i="9" s="1"/>
  <c r="I90" i="9" s="1"/>
  <c r="G145" i="9"/>
  <c r="G147" i="9" s="1"/>
  <c r="I147" i="9" s="1"/>
  <c r="G148" i="9"/>
  <c r="G158" i="9" s="1"/>
  <c r="G149" i="9"/>
  <c r="I149" i="9" s="1"/>
  <c r="I80" i="9"/>
  <c r="I18" i="9"/>
  <c r="G83" i="9"/>
  <c r="I82" i="9"/>
  <c r="G151" i="9"/>
  <c r="I151" i="9" s="1"/>
  <c r="I145" i="9"/>
  <c r="I88" i="9"/>
  <c r="G110" i="9"/>
  <c r="I148" i="9" l="1"/>
  <c r="G91" i="9"/>
  <c r="I91" i="9" s="1"/>
  <c r="I92" i="9" s="1"/>
  <c r="I83" i="9"/>
  <c r="I99" i="9" s="1"/>
  <c r="I98" i="9"/>
  <c r="G159" i="9"/>
  <c r="I159" i="9" s="1"/>
  <c r="I152" i="9"/>
  <c r="I158" i="9"/>
  <c r="G164" i="9"/>
  <c r="I110" i="9"/>
  <c r="G157" i="9"/>
  <c r="I157" i="9" s="1"/>
  <c r="I96" i="9"/>
  <c r="I154" i="9" l="1"/>
  <c r="I113" i="9" s="1"/>
  <c r="I100" i="9"/>
  <c r="G100" i="9" s="1"/>
  <c r="G182" i="9" s="1"/>
  <c r="I182" i="9" s="1"/>
  <c r="I160" i="9"/>
  <c r="I164" i="9"/>
  <c r="G165" i="9"/>
  <c r="I165" i="9" s="1"/>
  <c r="I84" i="9"/>
  <c r="G84" i="9" s="1"/>
  <c r="G104" i="9" l="1"/>
  <c r="I104" i="9" s="1"/>
  <c r="G167" i="9"/>
  <c r="G115" i="9"/>
  <c r="I115" i="9" s="1"/>
  <c r="I116" i="9" s="1"/>
  <c r="G105" i="9" l="1"/>
  <c r="I105" i="9" s="1"/>
  <c r="I167" i="9"/>
  <c r="G169" i="9"/>
  <c r="G107" i="9" l="1"/>
  <c r="I107" i="9" s="1"/>
  <c r="G106" i="9"/>
  <c r="I106" i="9" s="1"/>
  <c r="I169" i="9"/>
  <c r="G170" i="9"/>
  <c r="I170" i="9" s="1"/>
  <c r="I108" i="9" l="1"/>
  <c r="I118" i="9" s="1"/>
  <c r="I185" i="9" s="1"/>
  <c r="I181" i="9" s="1"/>
  <c r="I183" i="9" s="1"/>
  <c r="I171" i="9"/>
  <c r="I188" i="9" l="1"/>
  <c r="I197" i="9" s="1"/>
  <c r="I11" i="9" s="1"/>
  <c r="I20" i="9" s="1"/>
  <c r="D32" i="9" s="1"/>
  <c r="D36" i="9" s="1"/>
  <c r="D33" i="9" l="1"/>
  <c r="I36" i="9"/>
  <c r="D37" i="9"/>
  <c r="D38" i="9"/>
  <c r="I37" i="9"/>
  <c r="I38" i="9"/>
  <c r="E20" i="8" l="1"/>
  <c r="E25" i="8" s="1"/>
  <c r="E28" i="8" s="1"/>
  <c r="C46" i="1"/>
  <c r="D19" i="5"/>
  <c r="D31" i="5"/>
  <c r="E19" i="5"/>
  <c r="E31" i="5" s="1"/>
  <c r="C19" i="5"/>
  <c r="F18" i="5"/>
  <c r="F16" i="5"/>
  <c r="F13" i="5"/>
  <c r="F11" i="5"/>
  <c r="G9" i="8"/>
  <c r="F16" i="1"/>
  <c r="F28" i="1"/>
  <c r="F45" i="1"/>
  <c r="F54" i="1"/>
  <c r="F33" i="1"/>
  <c r="C16" i="1"/>
  <c r="C22" i="1"/>
  <c r="C30" i="1"/>
  <c r="C54" i="1"/>
  <c r="C15" i="8"/>
  <c r="C20" i="8" s="1"/>
  <c r="D15" i="8"/>
  <c r="D20" i="8" s="1"/>
  <c r="D25" i="8" s="1"/>
  <c r="D28" i="8" s="1"/>
  <c r="E15" i="8"/>
  <c r="F15" i="8"/>
  <c r="F20" i="8" s="1"/>
  <c r="F25" i="8" s="1"/>
  <c r="F28" i="8" s="1"/>
  <c r="G27" i="8"/>
  <c r="G19" i="8"/>
  <c r="G17" i="8"/>
  <c r="G15" i="8"/>
  <c r="G14" i="8"/>
  <c r="G13" i="8"/>
  <c r="G12" i="8"/>
  <c r="G11" i="8"/>
  <c r="G18" i="8"/>
  <c r="A1" i="8"/>
  <c r="A4" i="8"/>
  <c r="G24" i="8"/>
  <c r="G23" i="8"/>
  <c r="G22" i="8"/>
  <c r="A1" i="4"/>
  <c r="A4" i="4"/>
  <c r="C27" i="4"/>
  <c r="C15" i="4"/>
  <c r="C16" i="4" s="1"/>
  <c r="C18" i="4" s="1"/>
  <c r="C23" i="4" s="1"/>
  <c r="F29" i="5"/>
  <c r="F27" i="5"/>
  <c r="F28" i="5"/>
  <c r="F25" i="5"/>
  <c r="F23" i="5"/>
  <c r="F19" i="5"/>
  <c r="F15" i="5"/>
  <c r="F10" i="5"/>
  <c r="A1" i="5"/>
  <c r="A4" i="5"/>
  <c r="F21" i="5"/>
  <c r="A1" i="7"/>
  <c r="A4" i="7"/>
  <c r="F31" i="5" l="1"/>
  <c r="C28" i="4"/>
  <c r="C31" i="4" s="1"/>
  <c r="F56" i="1"/>
  <c r="C56" i="1"/>
  <c r="C25" i="8"/>
  <c r="G20" i="8"/>
  <c r="F57" i="1" l="1"/>
  <c r="G25" i="8"/>
  <c r="C28" i="8"/>
  <c r="G28" i="8" s="1"/>
</calcChain>
</file>

<file path=xl/comments1.xml><?xml version="1.0" encoding="utf-8"?>
<comments xmlns="http://schemas.openxmlformats.org/spreadsheetml/2006/main">
  <authors>
    <author>karen</author>
  </authors>
  <commentList>
    <comment ref="F38" authorId="0">
      <text>
        <r>
          <rPr>
            <sz val="10"/>
            <color indexed="81"/>
            <rFont val="Tahoma"/>
            <family val="2"/>
          </rPr>
          <t>A/P, Accrued Payroll</t>
        </r>
      </text>
    </comment>
  </commentList>
</comments>
</file>

<file path=xl/comments2.xml><?xml version="1.0" encoding="utf-8"?>
<comments xmlns="http://schemas.openxmlformats.org/spreadsheetml/2006/main">
  <authors>
    <author>karen</author>
  </authors>
  <commentList>
    <comment ref="C25" authorId="0">
      <text>
        <r>
          <rPr>
            <sz val="10"/>
            <color indexed="81"/>
            <rFont val="Tahoma"/>
            <family val="2"/>
          </rPr>
          <t>Fiscal agent fees, credit for Amortized premium on bonds</t>
        </r>
      </text>
    </comment>
  </commentList>
</comments>
</file>

<file path=xl/comments3.xml><?xml version="1.0" encoding="utf-8"?>
<comments xmlns="http://schemas.openxmlformats.org/spreadsheetml/2006/main">
  <authors>
    <author>karen</author>
  </authors>
  <commentList>
    <comment ref="D21" authorId="0">
      <text>
        <r>
          <rPr>
            <sz val="11"/>
            <color indexed="81"/>
            <rFont val="Tahoma"/>
            <family val="2"/>
          </rPr>
          <t>wheeling expense</t>
        </r>
      </text>
    </comment>
  </commentList>
</comments>
</file>

<file path=xl/sharedStrings.xml><?xml version="1.0" encoding="utf-8"?>
<sst xmlns="http://schemas.openxmlformats.org/spreadsheetml/2006/main" count="746" uniqueCount="569">
  <si>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</si>
  <si>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</si>
  <si>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</si>
  <si>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</si>
  <si>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</si>
  <si>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</si>
  <si>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</si>
  <si>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</si>
  <si>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</si>
  <si>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</si>
  <si>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</si>
  <si>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</si>
  <si>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</si>
  <si>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</si>
  <si>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</si>
  <si>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</si>
  <si>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</si>
  <si>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</si>
  <si>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</si>
  <si>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</si>
  <si>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</si>
  <si>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</si>
  <si>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</si>
  <si>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</si>
  <si>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</si>
  <si>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</si>
  <si>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</si>
  <si>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</si>
  <si>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</si>
  <si>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</si>
  <si>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</si>
  <si>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</si>
  <si>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</si>
  <si>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</si>
  <si>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</si>
  <si>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</si>
  <si>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</si>
  <si>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</si>
  <si>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</si>
  <si>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</si>
  <si>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</si>
  <si>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</si>
  <si>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</si>
  <si>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</si>
  <si>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</si>
  <si>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</si>
  <si>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</si>
  <si>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</si>
  <si>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</si>
  <si>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</si>
  <si>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</si>
  <si>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</si>
  <si>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</si>
  <si>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</si>
  <si>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</si>
  <si>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</si>
  <si>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</si>
  <si>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</si>
  <si>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</si>
  <si>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</si>
  <si>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</si>
  <si>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</si>
  <si>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</si>
  <si>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</si>
  <si>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</si>
  <si>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</si>
  <si>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</si>
  <si>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</si>
  <si>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</si>
  <si>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</si>
  <si>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</si>
  <si>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</si>
  <si>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</si>
  <si>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</si>
  <si>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</si>
  <si>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</si>
  <si>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</si>
  <si>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</si>
  <si>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</si>
  <si>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</si>
  <si>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</si>
  <si>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</si>
  <si>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</si>
  <si>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</si>
  <si>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</si>
  <si>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</si>
  <si>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</si>
  <si>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</si>
  <si>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</si>
  <si>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</si>
  <si>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</si>
  <si>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</si>
  <si>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</si>
  <si>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</si>
  <si>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</si>
  <si>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</si>
  <si>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</si>
  <si>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</si>
  <si>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</si>
  <si>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</si>
  <si>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</si>
  <si>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</si>
  <si>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</si>
  <si>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</si>
  <si>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</si>
  <si>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</si>
  <si>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</si>
  <si>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</si>
  <si>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</si>
  <si>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</si>
  <si>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</si>
  <si>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</si>
  <si>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</si>
  <si>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</si>
  <si>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</si>
  <si>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</si>
  <si>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</si>
  <si>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</si>
  <si>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</si>
  <si>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</si>
  <si>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</si>
  <si>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</si>
  <si>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</si>
  <si>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</si>
  <si>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</si>
  <si>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</si>
  <si>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</si>
  <si>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</si>
  <si>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</si>
  <si>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</si>
  <si>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</si>
  <si>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</si>
  <si>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</si>
  <si>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</si>
  <si>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</si>
  <si>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</si>
  <si>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</si>
  <si>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</si>
  <si>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</si>
  <si>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</si>
  <si>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</si>
  <si>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</si>
  <si>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</si>
  <si>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</si>
  <si>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</si>
  <si>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</si>
  <si>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</si>
  <si>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</si>
  <si>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</si>
  <si>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</si>
  <si>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</si>
  <si>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</si>
  <si>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</si>
  <si>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</si>
  <si>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</si>
  <si>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</si>
  <si>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</si>
  <si>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</si>
  <si>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</si>
  <si>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</si>
  <si>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</si>
  <si>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</si>
  <si>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</si>
  <si>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</si>
  <si>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</si>
  <si>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</si>
  <si>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</si>
  <si>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</si>
  <si>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</si>
  <si>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</si>
  <si>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</si>
  <si>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Other </t>
  </si>
  <si>
    <t xml:space="preserve"> </t>
  </si>
  <si>
    <t>Note for Line 8 - Sternberg Sub</t>
  </si>
  <si>
    <t>XXXXXXXXXXXXX</t>
  </si>
  <si>
    <t>XXXXXXXXXXX</t>
  </si>
  <si>
    <t>Schedule 2</t>
  </si>
  <si>
    <t>Schedule 3</t>
  </si>
  <si>
    <t>Schedule 4</t>
  </si>
  <si>
    <t>Schedule 5</t>
  </si>
  <si>
    <t>Schedule 7</t>
  </si>
  <si>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</si>
  <si>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</si>
  <si>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</si>
  <si>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</si>
  <si>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</si>
  <si>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</si>
  <si>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</si>
  <si>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</si>
  <si>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</si>
  <si>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</si>
  <si>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</si>
  <si>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</si>
  <si>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</si>
  <si>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</si>
  <si>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</si>
  <si>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</si>
  <si>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Line 4 supported by schedules.</t>
  </si>
  <si>
    <t>Revenues from service provided by the ISO at a discount</t>
  </si>
  <si>
    <t>Line 5 supported by schedules.</t>
  </si>
  <si>
    <t>TOTAL REVENUE CREDITS  (sum lines 2-5)</t>
  </si>
  <si>
    <t>NET REVENUE REQUIREMENT</t>
  </si>
  <si>
    <t>(line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</si>
  <si>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</si>
  <si>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</si>
  <si>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</si>
  <si>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</si>
  <si>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</si>
  <si>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</si>
  <si>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</si>
  <si>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</si>
  <si>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</si>
  <si>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</si>
  <si>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</si>
  <si>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</si>
  <si>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</si>
  <si>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</si>
  <si>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</si>
  <si>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</si>
  <si>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</si>
  <si>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</si>
  <si>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</si>
  <si>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</si>
  <si>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</si>
  <si>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</si>
  <si>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</si>
  <si>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</si>
  <si>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</si>
  <si>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</si>
  <si>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</si>
  <si>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</si>
  <si>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</si>
  <si>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</si>
  <si>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</si>
  <si>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</si>
  <si>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</si>
  <si>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</si>
  <si>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</si>
  <si>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</si>
  <si>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</si>
  <si>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</si>
  <si>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</si>
  <si>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</si>
  <si>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</si>
  <si>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</si>
  <si>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</si>
  <si>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</si>
  <si>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</si>
  <si>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</si>
  <si>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</si>
  <si>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</si>
  <si>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</si>
  <si>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</si>
  <si>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</si>
  <si>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</si>
  <si>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</si>
  <si>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</si>
  <si>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</si>
  <si>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</si>
  <si>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</si>
  <si>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</si>
  <si>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</si>
  <si>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</si>
  <si>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</si>
  <si>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</si>
  <si>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</si>
  <si>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</si>
  <si>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</si>
  <si>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</si>
  <si>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</si>
  <si>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</si>
  <si>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</si>
  <si>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</si>
  <si>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</si>
  <si>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</si>
  <si>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</si>
  <si>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</si>
  <si>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</si>
  <si>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</si>
  <si>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</si>
  <si>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</si>
  <si>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</si>
  <si>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</si>
  <si>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</si>
  <si>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</si>
  <si>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</si>
  <si>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</si>
  <si>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</si>
  <si>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</si>
  <si>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</si>
  <si>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</si>
  <si>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</si>
  <si>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</si>
  <si>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</si>
  <si>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</si>
  <si>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</si>
  <si>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</si>
  <si>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</si>
  <si>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</si>
  <si>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</si>
  <si>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</si>
  <si>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</si>
  <si>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</si>
  <si>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</si>
  <si>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</si>
  <si>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</si>
  <si>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</si>
  <si>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</si>
  <si>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</si>
  <si>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</si>
  <si>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</si>
  <si>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</si>
  <si>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</si>
  <si>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</si>
  <si>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</si>
  <si>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</si>
  <si>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</si>
  <si>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</si>
  <si>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</si>
  <si>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</si>
  <si>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</si>
  <si>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</si>
  <si>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</si>
  <si>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</si>
  <si>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</si>
  <si>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</si>
  <si>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</si>
  <si>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</si>
  <si>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</si>
  <si>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</si>
  <si>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</si>
  <si>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</si>
  <si>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</si>
  <si>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</si>
  <si>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</si>
  <si>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</si>
  <si>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</si>
  <si>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</si>
  <si>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</si>
  <si>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</si>
  <si>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</si>
  <si>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</si>
  <si>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</si>
  <si>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</si>
  <si>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</si>
  <si>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</si>
  <si>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</si>
  <si>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</si>
  <si>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</si>
  <si>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</si>
  <si>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</si>
  <si>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</si>
  <si>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</si>
  <si>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</si>
  <si>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</si>
  <si>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</si>
  <si>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</si>
  <si>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</si>
  <si>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Total transmission expenses  (page 3, line 1, column 3)</t>
  </si>
  <si>
    <t>Schedule 1 Recoveralbe Expenses</t>
  </si>
  <si>
    <t>Less transmission expenses included in OATT Ancillary Services  (Note L)</t>
  </si>
  <si>
    <t>Acct 561 included in Line 7?</t>
  </si>
  <si>
    <t>Included transmission expenses (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</si>
  <si>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</si>
  <si>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</si>
  <si>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</si>
  <si>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</si>
  <si>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</si>
  <si>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</si>
  <si>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</si>
  <si>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</si>
  <si>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</si>
  <si>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</si>
  <si>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</si>
  <si>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
  </si>
  <si>
    <t>Allocation</t>
  </si>
  <si>
    <t>total Revenue Credits</t>
  </si>
  <si>
    <t>Net Schedule 1 Expenses (Acct 561 minus Credits)</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</si>
  <si>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</si>
  <si>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</si>
  <si>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</si>
  <si>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</si>
  <si>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</si>
  <si>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</si>
  <si>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</si>
  <si>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</si>
  <si>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</si>
  <si>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</si>
  <si>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</si>
  <si>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</si>
  <si>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</si>
  <si>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</si>
  <si>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</si>
  <si>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</si>
  <si>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</si>
  <si>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</si>
  <si>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</si>
  <si>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</si>
  <si>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</si>
  <si>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</si>
  <si>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</si>
  <si>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</si>
  <si>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</si>
  <si>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</si>
  <si>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</si>
  <si>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</si>
  <si>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</si>
  <si>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</si>
  <si>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</si>
  <si>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</si>
  <si>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</si>
  <si>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</si>
  <si>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</si>
  <si>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</si>
  <si>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</si>
  <si>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</si>
  <si>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</si>
  <si>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</si>
  <si>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</si>
  <si>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</si>
  <si>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</si>
  <si>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</si>
  <si>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</si>
  <si>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</si>
  <si>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</si>
  <si>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</si>
  <si>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</si>
  <si>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</si>
  <si>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</si>
  <si>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</si>
  <si>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</si>
  <si>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</si>
  <si>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</si>
  <si>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</si>
  <si>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</si>
  <si>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</si>
  <si>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</si>
  <si>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</si>
  <si>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</si>
  <si>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</si>
  <si>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</si>
  <si>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</si>
  <si>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</si>
  <si>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</si>
  <si>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</si>
  <si>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</si>
  <si>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</si>
  <si>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</si>
  <si>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</si>
  <si>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</si>
  <si>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</si>
  <si>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</si>
  <si>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</si>
  <si>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</si>
  <si>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</si>
  <si>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</si>
  <si>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</si>
  <si>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</si>
  <si>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</si>
  <si>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</si>
  <si>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</si>
  <si>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</si>
  <si>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</si>
  <si>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</si>
  <si>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</si>
  <si>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</si>
  <si>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</si>
  <si>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</si>
  <si>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</si>
  <si>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</si>
  <si>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</si>
  <si>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</si>
  <si>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</si>
  <si>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</si>
  <si>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</si>
  <si>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</si>
  <si>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</si>
  <si>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</si>
  <si>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</si>
  <si>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</si>
  <si>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</si>
  <si>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</si>
  <si>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</si>
  <si>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</si>
  <si>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</si>
  <si>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</si>
  <si>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</si>
  <si>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</si>
  <si>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</si>
  <si>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</si>
  <si>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</si>
  <si>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</si>
  <si>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</si>
  <si>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</si>
  <si>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</si>
  <si>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</si>
  <si>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Worthington (Minnesota) Public Utilities</t>
  </si>
  <si>
    <t>For the 12 months ended 12/31/2012</t>
  </si>
  <si>
    <t>Line 11: Includes the Street Lighting Fund transfer in from the City of Worthington</t>
  </si>
  <si>
    <t>Accumulated</t>
  </si>
  <si>
    <t>2012 Depreciation</t>
  </si>
  <si>
    <t>Depreciation</t>
  </si>
  <si>
    <t>Expense</t>
  </si>
  <si>
    <t xml:space="preserve">Salaries and Benefits - Supplemental Data for Att O's Wages &amp; Salary Allocator </t>
  </si>
  <si>
    <t>Salaries</t>
  </si>
  <si>
    <t>FICA</t>
  </si>
  <si>
    <t>Retirement</t>
  </si>
  <si>
    <t>Accounts</t>
  </si>
  <si>
    <t>Taxes</t>
  </si>
  <si>
    <t>Benefits</t>
  </si>
  <si>
    <t>Benefits (PERA)</t>
  </si>
  <si>
    <t>Production</t>
  </si>
  <si>
    <t>Operations</t>
  </si>
  <si>
    <t>Supervision &amp; Engineering - 546</t>
  </si>
  <si>
    <t>Fuel - 547</t>
  </si>
  <si>
    <t>Generation - 548</t>
  </si>
  <si>
    <t>Miscellaneous - 549</t>
  </si>
  <si>
    <t>Supervision &amp; Engineering - 551</t>
  </si>
  <si>
    <t>Structures - 552</t>
  </si>
  <si>
    <t>Equipment - 553</t>
  </si>
  <si>
    <t>Miscellaneous - 554</t>
  </si>
  <si>
    <t>Transmission - 560</t>
  </si>
  <si>
    <t>Distribution:</t>
  </si>
  <si>
    <t>Supervision &amp; Engineering - 580</t>
  </si>
  <si>
    <t>Station Expense - 582</t>
  </si>
  <si>
    <t>Overhead Line Expense - 583</t>
  </si>
  <si>
    <t>Underground Line Expense - 584</t>
  </si>
  <si>
    <t>Meter Expense - 586</t>
  </si>
  <si>
    <t>Other Expense - 588</t>
  </si>
  <si>
    <t>Customer Installation - 587</t>
  </si>
  <si>
    <t>Supervision &amp; Engineering - 590</t>
  </si>
  <si>
    <t>Station Equipment - 592</t>
  </si>
  <si>
    <t>Overhead Line Expense - 593</t>
  </si>
  <si>
    <t>Underground Lines - 594</t>
  </si>
  <si>
    <t>Line Tranformers - 595</t>
  </si>
  <si>
    <t>Street Lighting &amp; Signals - 596</t>
  </si>
  <si>
    <t>Meter Expense - 597</t>
  </si>
  <si>
    <t>Distribution</t>
  </si>
  <si>
    <t>Miscellaneous - 598</t>
  </si>
  <si>
    <t>Customer Accounts</t>
  </si>
  <si>
    <t>Meter Reading - 902</t>
  </si>
  <si>
    <t>Records &amp; Collection Expense - 903</t>
  </si>
  <si>
    <t>Uncollectilve Accounts - 904</t>
  </si>
  <si>
    <t>Other Salaries</t>
  </si>
  <si>
    <t>Customer Services/Assistance - 908</t>
  </si>
  <si>
    <t>Administrative &amp; General</t>
  </si>
  <si>
    <t>General Administration - 920</t>
  </si>
  <si>
    <t>Office Supplies &amp; Expense - 921</t>
  </si>
  <si>
    <t>Professional Services - 923</t>
  </si>
  <si>
    <t>Employee Pension &amp; Benefits - 926</t>
  </si>
  <si>
    <t>Regulatory Expense - 928</t>
  </si>
  <si>
    <t>Miscellaneous Expense - 930</t>
  </si>
  <si>
    <r>
      <t xml:space="preserve">FICA, other payroll taxes, and retirement benefits include only those expenses that are </t>
    </r>
    <r>
      <rPr>
        <b/>
        <u/>
        <sz val="10"/>
        <rFont val="Arial"/>
        <family val="2"/>
      </rPr>
      <t>directly</t>
    </r>
    <r>
      <rPr>
        <b/>
        <sz val="10"/>
        <rFont val="Arial"/>
        <family val="2"/>
      </rPr>
      <t xml:space="preserve"> allocated to each account.</t>
    </r>
  </si>
  <si>
    <t>No Common Plant</t>
  </si>
  <si>
    <t>None</t>
  </si>
  <si>
    <t>2012 Audit, pg 9</t>
  </si>
  <si>
    <t>2012 Audit, pg 11</t>
  </si>
  <si>
    <t>2012 Audit, pg. 30, Note pg. 4</t>
  </si>
  <si>
    <t>Wages &amp; Salary detail is shown in Salaries Tab</t>
  </si>
  <si>
    <t>No Common Plant between the utilities</t>
  </si>
  <si>
    <t>Sched 4, Electric Plant Tab, 2012 Audit page 29</t>
  </si>
  <si>
    <t>2012 Audit, page 29</t>
  </si>
  <si>
    <t>2012 Audit, page 11</t>
  </si>
  <si>
    <t>2012 Audit, page 10</t>
  </si>
  <si>
    <t>No revenues in 2012</t>
  </si>
  <si>
    <t>No rent revenue related to transmission facilities.</t>
  </si>
  <si>
    <t>2012</t>
  </si>
  <si>
    <t xml:space="preserve">The transfer covers the street lighting costs.  </t>
  </si>
  <si>
    <t>Electric Plant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</si>
</sst>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 numFmtId="167" formatCode="#,##0.000"/>
    <numFmt numFmtId="168" formatCode="&quot;$&quot;#,##0.000"/>
    <numFmt numFmtId="169" formatCode="#,##0.00000"/>
    <numFmt numFmtId="170" formatCode="0.000%"/>
    <numFmt numFmtId="171" formatCode="0.0000"/>
    <numFmt numFmtId="172" formatCode="#,##0.0000"/>
    <numFmt numFmtId="173" formatCode="&quot;$&quot;#,##0"/>
    <numFmt numFmtId="174" formatCode="&quot;$&quot;#,##0.00"/>
    <numFmt numFmtId="176" formatCode="#,###,##0.00;\(#,###,##0.00\)"/>
    <numFmt numFmtId="178" formatCode="#,##0.0"/>
    <numFmt numFmtId="179" formatCode="0.00_)"/>
  </numFmts>
  <fonts count="57">
    <font>
      <sz val="10"/>
      <name val="Arial"/>
    </font>
    <font>
      <sz val="11"/>
      <color theme="1"/>
      <name val="Calibri"/>
      <family val="2"/>
      <scheme val="minor"/>
    </font>
    <font>
      <sz val="10"/>
      <name val="Arial"/>
      <family val="2"/>
    </font>
    <font>
      <b/>
      <sz val="10"/>
      <name val="Arial"/>
      <family val="2"/>
    </font>
    <font>
      <sz val="12"/>
      <name val="Arial"/>
      <family val="2"/>
    </font>
    <font>
      <b/>
      <sz val="11"/>
      <name val="Arial"/>
      <family val="2"/>
    </font>
    <font>
      <b/>
      <sz val="12"/>
      <color indexed="12"/>
      <name val="Arial"/>
      <family val="2"/>
    </font>
    <font>
      <sz val="10"/>
      <name val="Arial"/>
      <family val="2"/>
    </font>
    <font>
      <sz val="10"/>
      <color indexed="12"/>
      <name val="Arial"/>
      <family val="2"/>
    </font>
    <font>
      <sz val="10"/>
      <color indexed="12"/>
      <name val="Arial"/>
      <family val="2"/>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0"/>
      <name val="Arial MT"/>
    </font>
    <font>
      <sz val="10"/>
      <color indexed="81"/>
      <name val="Tahoma"/>
      <family val="2"/>
    </font>
    <font>
      <b/>
      <u/>
      <sz val="10"/>
      <name val="Arial"/>
      <family val="2"/>
    </font>
    <font>
      <sz val="11"/>
      <color indexed="81"/>
      <name val="Tahoma"/>
      <family val="2"/>
    </font>
    <font>
      <sz val="12"/>
      <color rgb="FFFF0000"/>
      <name val="Times New Roman"/>
      <family val="1"/>
    </font>
    <font>
      <sz val="12"/>
      <color theme="1"/>
      <name val="Times New Roman"/>
      <family val="1"/>
    </font>
    <font>
      <sz val="12"/>
      <name val="CG Times"/>
      <family val="1"/>
    </font>
    <font>
      <sz val="10"/>
      <color indexed="0"/>
      <name val="Arial"/>
      <family val="2"/>
    </font>
    <font>
      <sz val="10"/>
      <name val="Times New Roman"/>
      <family val="1"/>
    </font>
    <font>
      <sz val="12"/>
      <name val="Arial MT"/>
    </font>
    <font>
      <sz val="11"/>
      <color indexed="8"/>
      <name val="Calibri"/>
      <family val="2"/>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double">
        <color indexed="64"/>
      </top>
      <bottom/>
      <diagonal/>
    </border>
  </borders>
  <cellStyleXfs count="200">
    <xf numFmtId="0" fontId="0" fillId="0" borderId="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9"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76" fontId="25" fillId="0" borderId="0"/>
    <xf numFmtId="0" fontId="2"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0" borderId="0"/>
    <xf numFmtId="174" fontId="27" fillId="0" borderId="0" applyProtection="0"/>
    <xf numFmtId="174" fontId="29" fillId="0" borderId="0" applyFill="0"/>
    <xf numFmtId="174" fontId="29" fillId="0" borderId="0">
      <alignment horizontal="center"/>
    </xf>
    <xf numFmtId="0" fontId="29" fillId="0" borderId="0" applyFill="0">
      <alignment horizontal="center"/>
    </xf>
    <xf numFmtId="174" fontId="30" fillId="0" borderId="31" applyFill="0"/>
    <xf numFmtId="0" fontId="2" fillId="0" borderId="0" applyFont="0" applyAlignment="0"/>
    <xf numFmtId="0" fontId="31" fillId="0" borderId="0" applyFill="0">
      <alignment vertical="top"/>
    </xf>
    <xf numFmtId="0" fontId="30" fillId="0" borderId="0" applyFill="0">
      <alignment horizontal="left" vertical="top"/>
    </xf>
    <xf numFmtId="174" fontId="32" fillId="0" borderId="19" applyFill="0"/>
    <xf numFmtId="0" fontId="2" fillId="0" borderId="0" applyNumberFormat="0" applyFont="0" applyAlignment="0"/>
    <xf numFmtId="0" fontId="31" fillId="0" borderId="0" applyFill="0">
      <alignment wrapText="1"/>
    </xf>
    <xf numFmtId="0" fontId="30" fillId="0" borderId="0" applyFill="0">
      <alignment horizontal="left" vertical="top" wrapText="1"/>
    </xf>
    <xf numFmtId="174" fontId="5" fillId="0" borderId="0" applyFill="0"/>
    <xf numFmtId="0" fontId="33" fillId="0" borderId="0" applyNumberFormat="0" applyFont="0" applyAlignment="0">
      <alignment horizontal="center"/>
    </xf>
    <xf numFmtId="0" fontId="34" fillId="0" borderId="0" applyFill="0">
      <alignment vertical="top" wrapText="1"/>
    </xf>
    <xf numFmtId="0" fontId="32" fillId="0" borderId="0" applyFill="0">
      <alignment horizontal="left" vertical="top" wrapText="1"/>
    </xf>
    <xf numFmtId="174" fontId="2" fillId="0" borderId="0" applyFill="0"/>
    <xf numFmtId="0" fontId="33" fillId="0" borderId="0" applyNumberFormat="0" applyFont="0" applyAlignment="0">
      <alignment horizontal="center"/>
    </xf>
    <xf numFmtId="0" fontId="35" fillId="0" borderId="0" applyFill="0">
      <alignment vertical="center" wrapText="1"/>
    </xf>
    <xf numFmtId="0" fontId="4" fillId="0" borderId="0">
      <alignment horizontal="left" vertical="center" wrapText="1"/>
    </xf>
    <xf numFmtId="174" fontId="36" fillId="0" borderId="0" applyFill="0"/>
    <xf numFmtId="0" fontId="33" fillId="0" borderId="0" applyNumberFormat="0" applyFont="0" applyAlignment="0">
      <alignment horizontal="center"/>
    </xf>
    <xf numFmtId="0" fontId="37" fillId="0" borderId="0" applyFill="0">
      <alignment horizontal="center" vertical="center" wrapText="1"/>
    </xf>
    <xf numFmtId="0" fontId="2" fillId="0" borderId="0" applyFill="0">
      <alignment horizontal="center" vertical="center" wrapText="1"/>
    </xf>
    <xf numFmtId="174" fontId="38" fillId="0" borderId="0" applyFill="0"/>
    <xf numFmtId="0" fontId="33" fillId="0" borderId="0" applyNumberFormat="0" applyFont="0" applyAlignment="0">
      <alignment horizontal="center"/>
    </xf>
    <xf numFmtId="0" fontId="39" fillId="0" borderId="0" applyFill="0">
      <alignment horizontal="center" vertical="center" wrapText="1"/>
    </xf>
    <xf numFmtId="0" fontId="40" fillId="0" borderId="0" applyFill="0">
      <alignment horizontal="center" vertical="center" wrapText="1"/>
    </xf>
    <xf numFmtId="174" fontId="41" fillId="0" borderId="0" applyFill="0"/>
    <xf numFmtId="0" fontId="33" fillId="0" borderId="0" applyNumberFormat="0" applyFont="0" applyAlignment="0">
      <alignment horizontal="center"/>
    </xf>
    <xf numFmtId="0" fontId="42" fillId="0" borderId="0">
      <alignment horizontal="center" wrapText="1"/>
    </xf>
    <xf numFmtId="0" fontId="38" fillId="0" borderId="0" applyFill="0">
      <alignment horizontal="center" wrapText="1"/>
    </xf>
    <xf numFmtId="39"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8" fontId="2"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 fillId="0" borderId="0" applyFont="0" applyFill="0" applyBorder="0" applyAlignment="0" applyProtection="0"/>
    <xf numFmtId="7"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38" fontId="29" fillId="3" borderId="0" applyNumberFormat="0" applyBorder="0" applyAlignment="0" applyProtection="0"/>
    <xf numFmtId="0" fontId="44" fillId="0" borderId="27"/>
    <xf numFmtId="0" fontId="45" fillId="0" borderId="0"/>
    <xf numFmtId="10" fontId="29" fillId="4" borderId="5" applyNumberFormat="0" applyBorder="0" applyAlignment="0" applyProtection="0"/>
    <xf numFmtId="179" fontId="46" fillId="0" borderId="0"/>
    <xf numFmtId="0" fontId="28" fillId="0" borderId="0"/>
    <xf numFmtId="0" fontId="28" fillId="0" borderId="0"/>
    <xf numFmtId="0" fontId="28" fillId="0" borderId="0"/>
    <xf numFmtId="0" fontId="2" fillId="0" borderId="0"/>
    <xf numFmtId="0" fontId="1" fillId="0" borderId="0"/>
    <xf numFmtId="0" fontId="1" fillId="0" borderId="0"/>
    <xf numFmtId="0" fontId="27" fillId="0" borderId="0"/>
    <xf numFmtId="10"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2" fillId="0" borderId="0">
      <alignment horizontal="left" vertical="top"/>
    </xf>
    <xf numFmtId="0" fontId="47" fillId="0" borderId="27">
      <alignment horizontal="center"/>
    </xf>
    <xf numFmtId="3" fontId="43" fillId="0" borderId="0" applyFont="0" applyFill="0" applyBorder="0" applyAlignment="0" applyProtection="0"/>
    <xf numFmtId="0" fontId="43" fillId="5" borderId="0" applyNumberFormat="0" applyFont="0" applyBorder="0" applyAlignment="0" applyProtection="0"/>
    <xf numFmtId="3" fontId="2" fillId="0" borderId="0">
      <alignment horizontal="right" vertical="top"/>
    </xf>
    <xf numFmtId="41" fontId="4" fillId="3" borderId="3" applyFill="0"/>
    <xf numFmtId="0" fontId="48" fillId="0" borderId="0">
      <alignment horizontal="left" indent="7"/>
    </xf>
    <xf numFmtId="41" fontId="4" fillId="0" borderId="3" applyFill="0">
      <alignment horizontal="left" indent="2"/>
    </xf>
    <xf numFmtId="174" fontId="49" fillId="0" borderId="1" applyFill="0">
      <alignment horizontal="right"/>
    </xf>
    <xf numFmtId="0" fontId="3" fillId="0" borderId="5" applyNumberFormat="0" applyFont="0" applyBorder="0">
      <alignment horizontal="right"/>
    </xf>
    <xf numFmtId="0" fontId="50" fillId="0" borderId="0" applyFill="0"/>
    <xf numFmtId="0" fontId="32" fillId="0" borderId="0" applyFill="0"/>
    <xf numFmtId="4" fontId="49" fillId="0" borderId="1" applyFill="0"/>
    <xf numFmtId="0" fontId="2" fillId="0" borderId="0" applyNumberFormat="0" applyFont="0" applyBorder="0" applyAlignment="0"/>
    <xf numFmtId="0" fontId="34" fillId="0" borderId="0" applyFill="0">
      <alignment horizontal="left" indent="1"/>
    </xf>
    <xf numFmtId="0" fontId="51" fillId="0" borderId="0" applyFill="0">
      <alignment horizontal="left" indent="1"/>
    </xf>
    <xf numFmtId="4" fontId="36" fillId="0" borderId="0" applyFill="0"/>
    <xf numFmtId="0" fontId="2" fillId="0" borderId="0" applyNumberFormat="0" applyFont="0" applyFill="0" applyBorder="0" applyAlignment="0"/>
    <xf numFmtId="0" fontId="34" fillId="0" borderId="0" applyFill="0">
      <alignment horizontal="left" indent="2"/>
    </xf>
    <xf numFmtId="0" fontId="32" fillId="0" borderId="0" applyFill="0">
      <alignment horizontal="left" indent="2"/>
    </xf>
    <xf numFmtId="4" fontId="36" fillId="0" borderId="0" applyFill="0"/>
    <xf numFmtId="0" fontId="2" fillId="0" borderId="0" applyNumberFormat="0" applyFont="0" applyBorder="0" applyAlignment="0"/>
    <xf numFmtId="0" fontId="52" fillId="0" borderId="0">
      <alignment horizontal="left" indent="3"/>
    </xf>
    <xf numFmtId="0" fontId="53" fillId="0" borderId="0" applyFill="0">
      <alignment horizontal="left" indent="3"/>
    </xf>
    <xf numFmtId="4" fontId="36" fillId="0" borderId="0" applyFill="0"/>
    <xf numFmtId="0" fontId="2" fillId="0" borderId="0" applyNumberFormat="0" applyFont="0" applyBorder="0" applyAlignment="0"/>
    <xf numFmtId="0" fontId="37" fillId="0" borderId="0">
      <alignment horizontal="left" indent="4"/>
    </xf>
    <xf numFmtId="0" fontId="2" fillId="0" borderId="0" applyFill="0">
      <alignment horizontal="left" indent="4"/>
    </xf>
    <xf numFmtId="4" fontId="38" fillId="0" borderId="0" applyFill="0"/>
    <xf numFmtId="0" fontId="2" fillId="0" borderId="0" applyNumberFormat="0" applyFont="0" applyBorder="0" applyAlignment="0"/>
    <xf numFmtId="0" fontId="39" fillId="0" borderId="0">
      <alignment horizontal="left" indent="5"/>
    </xf>
    <xf numFmtId="0" fontId="40" fillId="0" borderId="0" applyFill="0">
      <alignment horizontal="left" indent="5"/>
    </xf>
    <xf numFmtId="4" fontId="41" fillId="0" borderId="0" applyFill="0"/>
    <xf numFmtId="0" fontId="2" fillId="0" borderId="0" applyNumberFormat="0" applyFont="0" applyFill="0" applyBorder="0" applyAlignment="0"/>
    <xf numFmtId="0" fontId="42" fillId="0" borderId="0" applyFill="0">
      <alignment horizontal="left" indent="6"/>
    </xf>
    <xf numFmtId="0" fontId="38" fillId="0" borderId="0" applyFill="0">
      <alignment horizontal="left" indent="6"/>
    </xf>
    <xf numFmtId="0" fontId="54" fillId="0" borderId="0" applyNumberFormat="0" applyBorder="0" applyAlignment="0"/>
    <xf numFmtId="0" fontId="55" fillId="0" borderId="0" applyNumberFormat="0" applyBorder="0" applyAlignment="0"/>
    <xf numFmtId="0" fontId="56" fillId="0" borderId="0" applyNumberFormat="0" applyBorder="0" applyAlignment="0"/>
    <xf numFmtId="0" fontId="54" fillId="0" borderId="0" applyNumberFormat="0" applyBorder="0" applyAlignment="0"/>
  </cellStyleXfs>
  <cellXfs count="36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Fill="1" applyBorder="1"/>
    <xf numFmtId="0" fontId="3" fillId="0" borderId="3" xfId="0" applyFont="1" applyBorder="1" applyAlignment="1">
      <alignment horizontal="center"/>
    </xf>
    <xf numFmtId="0" fontId="3" fillId="0" borderId="6" xfId="0" applyFont="1" applyBorder="1" applyAlignment="1">
      <alignment horizontal="center"/>
    </xf>
    <xf numFmtId="37" fontId="0" fillId="0" borderId="0" xfId="0" applyNumberFormat="1"/>
    <xf numFmtId="0" fontId="4" fillId="0" borderId="0" xfId="0" applyFont="1" applyAlignment="1">
      <alignment horizontal="center"/>
    </xf>
    <xf numFmtId="0" fontId="3" fillId="0" borderId="3" xfId="0" applyFont="1" applyBorder="1"/>
    <xf numFmtId="0" fontId="3" fillId="0" borderId="5" xfId="0" applyFont="1" applyBorder="1"/>
    <xf numFmtId="43" fontId="0" fillId="0" borderId="6" xfId="1" applyFont="1" applyBorder="1"/>
    <xf numFmtId="37" fontId="0" fillId="0" borderId="3" xfId="1" applyNumberFormat="1" applyFont="1" applyBorder="1"/>
    <xf numFmtId="37" fontId="0" fillId="0" borderId="4" xfId="1" applyNumberFormat="1" applyFont="1" applyBorder="1"/>
    <xf numFmtId="37" fontId="0" fillId="0" borderId="0" xfId="1" applyNumberFormat="1" applyFont="1" applyBorder="1"/>
    <xf numFmtId="43" fontId="0" fillId="0" borderId="0" xfId="1" applyFont="1" applyBorder="1"/>
    <xf numFmtId="37" fontId="0" fillId="0" borderId="0" xfId="0" applyNumberFormat="1" applyBorder="1"/>
    <xf numFmtId="0" fontId="0" fillId="0" borderId="3" xfId="0" applyFill="1" applyBorder="1"/>
    <xf numFmtId="0" fontId="3" fillId="0" borderId="3" xfId="0" applyFont="1" applyFill="1" applyBorder="1" applyAlignment="1">
      <alignment horizontal="center"/>
    </xf>
    <xf numFmtId="0" fontId="3" fillId="0" borderId="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14" fontId="4" fillId="0" borderId="0" xfId="0" applyNumberFormat="1" applyFont="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0" fontId="0" fillId="0" borderId="9" xfId="0" applyBorder="1" applyAlignment="1">
      <alignment horizontal="center"/>
    </xf>
    <xf numFmtId="0" fontId="0" fillId="0" borderId="0" xfId="0"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5" fillId="0" borderId="0" xfId="0" applyFont="1" applyBorder="1" applyAlignment="1">
      <alignment horizontal="left"/>
    </xf>
    <xf numFmtId="37" fontId="0" fillId="0" borderId="1" xfId="0" applyNumberFormat="1" applyBorder="1"/>
    <xf numFmtId="0" fontId="0" fillId="0" borderId="10" xfId="0" applyBorder="1"/>
    <xf numFmtId="0" fontId="0" fillId="0" borderId="8" xfId="0" applyBorder="1"/>
    <xf numFmtId="0" fontId="0" fillId="0" borderId="10" xfId="0" applyBorder="1" applyAlignment="1">
      <alignment horizontal="center"/>
    </xf>
    <xf numFmtId="37" fontId="0" fillId="0" borderId="7" xfId="0" applyNumberFormat="1" applyBorder="1"/>
    <xf numFmtId="0" fontId="0" fillId="0" borderId="11" xfId="0" applyBorder="1"/>
    <xf numFmtId="0" fontId="0" fillId="0" borderId="0" xfId="0" applyFill="1" applyBorder="1"/>
    <xf numFmtId="0" fontId="0" fillId="0" borderId="12" xfId="0" applyFill="1" applyBorder="1"/>
    <xf numFmtId="0" fontId="0" fillId="0" borderId="4" xfId="0" applyFill="1" applyBorder="1" applyAlignment="1">
      <alignment horizontal="center"/>
    </xf>
    <xf numFmtId="37" fontId="0" fillId="0" borderId="6" xfId="0" applyNumberFormat="1" applyBorder="1"/>
    <xf numFmtId="0" fontId="0" fillId="0" borderId="13" xfId="0" applyBorder="1"/>
    <xf numFmtId="0" fontId="3" fillId="0" borderId="13" xfId="0" applyFont="1" applyBorder="1"/>
    <xf numFmtId="0" fontId="7" fillId="0" borderId="13" xfId="0" applyFont="1" applyBorder="1"/>
    <xf numFmtId="0" fontId="0" fillId="0" borderId="6" xfId="0" applyBorder="1"/>
    <xf numFmtId="0" fontId="0" fillId="0" borderId="14" xfId="0" applyBorder="1" applyAlignment="1">
      <alignment horizontal="center"/>
    </xf>
    <xf numFmtId="0" fontId="7" fillId="0" borderId="14" xfId="0" applyFont="1" applyBorder="1" applyAlignment="1">
      <alignment horizontal="center"/>
    </xf>
    <xf numFmtId="0" fontId="3" fillId="0" borderId="15" xfId="0" applyFont="1" applyFill="1" applyBorder="1"/>
    <xf numFmtId="0" fontId="0" fillId="0" borderId="11" xfId="0" applyFill="1" applyBorder="1" applyAlignment="1">
      <alignment horizontal="center"/>
    </xf>
    <xf numFmtId="37" fontId="3" fillId="0" borderId="16" xfId="1" applyNumberFormat="1" applyFont="1" applyBorder="1"/>
    <xf numFmtId="0" fontId="0" fillId="0" borderId="17" xfId="0" applyBorder="1"/>
    <xf numFmtId="0" fontId="3" fillId="0" borderId="18" xfId="0" applyFont="1" applyFill="1" applyBorder="1"/>
    <xf numFmtId="0" fontId="0" fillId="0" borderId="6" xfId="0" applyFill="1" applyBorder="1" applyAlignment="1">
      <alignment horizontal="center"/>
    </xf>
    <xf numFmtId="0" fontId="3" fillId="0" borderId="15" xfId="0" applyFont="1" applyBorder="1"/>
    <xf numFmtId="0" fontId="3" fillId="0" borderId="2" xfId="0" applyFont="1" applyBorder="1"/>
    <xf numFmtId="0" fontId="0" fillId="0" borderId="19" xfId="0" applyBorder="1" applyAlignment="1">
      <alignment horizontal="center"/>
    </xf>
    <xf numFmtId="37" fontId="3" fillId="0" borderId="6" xfId="1" applyNumberFormat="1" applyFont="1" applyBorder="1"/>
    <xf numFmtId="0" fontId="3" fillId="0" borderId="20" xfId="0" applyFont="1" applyBorder="1"/>
    <xf numFmtId="0" fontId="3" fillId="0" borderId="6" xfId="0" applyFont="1" applyBorder="1"/>
    <xf numFmtId="0" fontId="0" fillId="0" borderId="3" xfId="0" applyBorder="1" applyAlignment="1">
      <alignment horizontal="left" indent="1"/>
    </xf>
    <xf numFmtId="0" fontId="0" fillId="0" borderId="4" xfId="0" applyBorder="1" applyAlignment="1">
      <alignment horizontal="left" indent="1"/>
    </xf>
    <xf numFmtId="0" fontId="0" fillId="0" borderId="4" xfId="0" applyFill="1" applyBorder="1" applyAlignment="1">
      <alignment horizontal="left" indent="1"/>
    </xf>
    <xf numFmtId="0" fontId="0" fillId="0" borderId="4" xfId="0" quotePrefix="1" applyBorder="1" applyAlignment="1">
      <alignment horizontal="left" indent="1"/>
    </xf>
    <xf numFmtId="0" fontId="3" fillId="0" borderId="2" xfId="0" applyFont="1" applyFill="1" applyBorder="1"/>
    <xf numFmtId="0" fontId="3" fillId="0" borderId="21" xfId="0" applyFont="1" applyBorder="1"/>
    <xf numFmtId="37" fontId="8" fillId="0" borderId="3" xfId="1" applyNumberFormat="1" applyFont="1" applyBorder="1"/>
    <xf numFmtId="37" fontId="8" fillId="0" borderId="7" xfId="1" applyNumberFormat="1" applyFont="1" applyBorder="1"/>
    <xf numFmtId="164" fontId="8" fillId="0" borderId="4" xfId="1" applyNumberFormat="1" applyFont="1" applyBorder="1"/>
    <xf numFmtId="164" fontId="0" fillId="0" borderId="3" xfId="1" applyNumberFormat="1" applyFont="1" applyBorder="1"/>
    <xf numFmtId="164" fontId="8" fillId="0" borderId="6" xfId="1" applyNumberFormat="1" applyFont="1" applyBorder="1"/>
    <xf numFmtId="164" fontId="3" fillId="0" borderId="16" xfId="1" applyNumberFormat="1" applyFont="1" applyBorder="1"/>
    <xf numFmtId="164" fontId="8" fillId="0" borderId="5" xfId="1" applyNumberFormat="1" applyFont="1" applyBorder="1"/>
    <xf numFmtId="164" fontId="8" fillId="0" borderId="3" xfId="1" applyNumberFormat="1" applyFont="1" applyBorder="1"/>
    <xf numFmtId="164" fontId="3" fillId="0" borderId="3" xfId="1" applyNumberFormat="1" applyFont="1" applyBorder="1"/>
    <xf numFmtId="165" fontId="8" fillId="0" borderId="4" xfId="2" applyNumberFormat="1" applyFont="1" applyBorder="1"/>
    <xf numFmtId="164" fontId="0" fillId="0" borderId="4" xfId="1" applyNumberFormat="1" applyFont="1" applyBorder="1"/>
    <xf numFmtId="0" fontId="0" fillId="0" borderId="22" xfId="0" applyBorder="1" applyAlignment="1">
      <alignment horizontal="center"/>
    </xf>
    <xf numFmtId="165" fontId="3" fillId="0" borderId="16" xfId="2" applyNumberFormat="1" applyFont="1" applyBorder="1"/>
    <xf numFmtId="164" fontId="3" fillId="0" borderId="23" xfId="1" applyNumberFormat="1" applyFont="1" applyBorder="1"/>
    <xf numFmtId="164" fontId="0" fillId="0" borderId="7" xfId="1" applyNumberFormat="1" applyFont="1" applyBorder="1"/>
    <xf numFmtId="164" fontId="0" fillId="0" borderId="8" xfId="1" applyNumberFormat="1" applyFont="1" applyBorder="1"/>
    <xf numFmtId="165" fontId="3" fillId="0" borderId="24" xfId="2" applyNumberFormat="1" applyFont="1" applyBorder="1"/>
    <xf numFmtId="165" fontId="0" fillId="0" borderId="5" xfId="2" applyNumberFormat="1" applyFont="1" applyBorder="1"/>
    <xf numFmtId="165" fontId="3" fillId="0" borderId="5" xfId="2" applyNumberFormat="1" applyFont="1" applyBorder="1"/>
    <xf numFmtId="164" fontId="3" fillId="0" borderId="5" xfId="1" applyNumberFormat="1" applyFont="1" applyBorder="1"/>
    <xf numFmtId="164" fontId="3" fillId="0" borderId="6" xfId="1" applyNumberFormat="1" applyFont="1" applyBorder="1"/>
    <xf numFmtId="165" fontId="3" fillId="0" borderId="4" xfId="2" applyNumberFormat="1" applyFont="1" applyBorder="1"/>
    <xf numFmtId="165" fontId="3" fillId="0" borderId="25" xfId="2" applyNumberFormat="1" applyFont="1" applyBorder="1"/>
    <xf numFmtId="165" fontId="3" fillId="0" borderId="14" xfId="2" applyNumberFormat="1" applyFont="1" applyBorder="1"/>
    <xf numFmtId="37" fontId="3" fillId="0" borderId="4" xfId="0" applyNumberFormat="1" applyFont="1" applyBorder="1"/>
    <xf numFmtId="37" fontId="8" fillId="0" borderId="10" xfId="0" applyNumberFormat="1" applyFont="1" applyBorder="1"/>
    <xf numFmtId="37" fontId="8" fillId="0" borderId="8" xfId="0" applyNumberFormat="1" applyFont="1" applyBorder="1"/>
    <xf numFmtId="0" fontId="0" fillId="0" borderId="12" xfId="0" applyBorder="1"/>
    <xf numFmtId="165" fontId="3" fillId="0" borderId="13" xfId="2" applyNumberFormat="1" applyFont="1" applyBorder="1"/>
    <xf numFmtId="165" fontId="3" fillId="0" borderId="23" xfId="2" applyNumberFormat="1" applyFont="1" applyBorder="1"/>
    <xf numFmtId="0" fontId="0" fillId="0" borderId="1" xfId="0" applyBorder="1" applyAlignment="1">
      <alignment horizontal="left" indent="1"/>
    </xf>
    <xf numFmtId="0" fontId="0" fillId="0" borderId="1" xfId="0" applyFill="1" applyBorder="1" applyAlignment="1">
      <alignment horizontal="left" indent="1"/>
    </xf>
    <xf numFmtId="0" fontId="0" fillId="0" borderId="8" xfId="0" applyBorder="1" applyAlignment="1">
      <alignment horizontal="left" indent="1"/>
    </xf>
    <xf numFmtId="164" fontId="8" fillId="0" borderId="7" xfId="1" applyNumberFormat="1" applyFont="1" applyBorder="1"/>
    <xf numFmtId="164" fontId="8" fillId="0" borderId="8" xfId="1" applyNumberFormat="1" applyFont="1" applyBorder="1"/>
    <xf numFmtId="164" fontId="9" fillId="0" borderId="5" xfId="1" applyNumberFormat="1" applyFont="1" applyBorder="1"/>
    <xf numFmtId="164" fontId="9" fillId="0" borderId="6" xfId="1" applyNumberFormat="1" applyFont="1" applyBorder="1"/>
    <xf numFmtId="165" fontId="8" fillId="0" borderId="5" xfId="2" applyNumberFormat="1" applyFont="1" applyBorder="1"/>
    <xf numFmtId="165" fontId="8" fillId="0" borderId="8" xfId="2" applyNumberFormat="1" applyFont="1" applyBorder="1"/>
    <xf numFmtId="37" fontId="8" fillId="0" borderId="7" xfId="0" applyNumberFormat="1" applyFont="1" applyBorder="1"/>
    <xf numFmtId="164" fontId="8" fillId="0" borderId="11" xfId="1" applyNumberFormat="1" applyFont="1" applyBorder="1" applyAlignment="1">
      <alignment horizontal="right"/>
    </xf>
    <xf numFmtId="165" fontId="2" fillId="0" borderId="8" xfId="2" applyNumberFormat="1" applyFont="1" applyBorder="1"/>
    <xf numFmtId="164" fontId="2" fillId="0" borderId="8" xfId="1" applyNumberFormat="1" applyFont="1" applyBorder="1"/>
    <xf numFmtId="164" fontId="2" fillId="0" borderId="7" xfId="1" applyNumberFormat="1" applyFont="1" applyBorder="1"/>
    <xf numFmtId="164" fontId="2" fillId="0" borderId="11" xfId="1" applyNumberFormat="1" applyFont="1" applyBorder="1"/>
    <xf numFmtId="164" fontId="8" fillId="0" borderId="8" xfId="1" applyNumberFormat="1" applyFont="1" applyBorder="1" applyAlignment="1">
      <alignment horizontal="right"/>
    </xf>
    <xf numFmtId="164" fontId="8" fillId="0" borderId="7" xfId="1" applyNumberFormat="1" applyFont="1" applyBorder="1" applyAlignment="1">
      <alignment horizontal="right"/>
    </xf>
    <xf numFmtId="37" fontId="8" fillId="0" borderId="7" xfId="0" applyNumberFormat="1" applyFont="1" applyBorder="1" applyAlignment="1">
      <alignment horizontal="right"/>
    </xf>
    <xf numFmtId="0" fontId="10" fillId="0" borderId="0" xfId="0" applyFont="1" applyAlignment="1"/>
    <xf numFmtId="0" fontId="10" fillId="0" borderId="0" xfId="0" applyFont="1" applyAlignment="1">
      <alignment horizontal="right"/>
    </xf>
    <xf numFmtId="0" fontId="10" fillId="0" borderId="0" xfId="0" applyNumberFormat="1" applyFont="1" applyAlignment="1" applyProtection="1">
      <protection locked="0"/>
    </xf>
    <xf numFmtId="0" fontId="10" fillId="0" borderId="0" xfId="0" applyNumberFormat="1" applyFont="1" applyAlignment="1" applyProtection="1">
      <alignment horizontal="left"/>
      <protection locked="0"/>
    </xf>
    <xf numFmtId="0" fontId="10" fillId="0" borderId="0" xfId="0" applyNumberFormat="1" applyFont="1" applyProtection="1">
      <protection locked="0"/>
    </xf>
    <xf numFmtId="0" fontId="10" fillId="0" borderId="0" xfId="0" applyNumberFormat="1" applyFont="1"/>
    <xf numFmtId="0" fontId="10" fillId="0" borderId="0" xfId="0" applyNumberFormat="1" applyFont="1" applyAlignment="1">
      <alignment horizontal="right"/>
    </xf>
    <xf numFmtId="0" fontId="10" fillId="0" borderId="0" xfId="0" applyNumberFormat="1" applyFont="1" applyAlignment="1">
      <alignment horizontal="center"/>
    </xf>
    <xf numFmtId="0" fontId="10" fillId="2" borderId="0" xfId="0" applyNumberFormat="1" applyFont="1" applyFill="1" applyProtection="1">
      <protection locked="0"/>
    </xf>
    <xf numFmtId="0" fontId="10" fillId="2" borderId="0" xfId="0" applyFont="1" applyFill="1" applyAlignment="1"/>
    <xf numFmtId="0" fontId="10" fillId="2" borderId="0" xfId="0" applyNumberFormat="1" applyFont="1" applyFill="1"/>
    <xf numFmtId="0" fontId="10" fillId="2" borderId="0" xfId="0" applyNumberFormat="1" applyFont="1" applyFill="1" applyAlignment="1" applyProtection="1">
      <alignment horizontal="right"/>
      <protection locked="0"/>
    </xf>
    <xf numFmtId="3" fontId="10" fillId="0" borderId="0" xfId="0" applyNumberFormat="1" applyFont="1" applyAlignment="1"/>
    <xf numFmtId="0" fontId="10" fillId="0" borderId="0" xfId="0" applyNumberFormat="1" applyFont="1" applyAlignment="1" applyProtection="1">
      <alignment horizontal="center"/>
      <protection locked="0"/>
    </xf>
    <xf numFmtId="49" fontId="10" fillId="0" borderId="0" xfId="0" applyNumberFormat="1" applyFont="1"/>
    <xf numFmtId="0" fontId="10" fillId="0" borderId="27" xfId="0" applyNumberFormat="1" applyFont="1" applyBorder="1" applyAlignment="1" applyProtection="1">
      <alignment horizontal="center"/>
      <protection locked="0"/>
    </xf>
    <xf numFmtId="3" fontId="10" fillId="0" borderId="0" xfId="0" applyNumberFormat="1" applyFont="1"/>
    <xf numFmtId="42" fontId="10" fillId="0" borderId="0" xfId="0" applyNumberFormat="1" applyFont="1"/>
    <xf numFmtId="0" fontId="10" fillId="0" borderId="0" xfId="0" applyNumberFormat="1" applyFont="1" applyAlignment="1"/>
    <xf numFmtId="0" fontId="10" fillId="0" borderId="27" xfId="0" applyNumberFormat="1" applyFont="1" applyBorder="1" applyAlignment="1" applyProtection="1">
      <alignment horizontal="centerContinuous"/>
      <protection locked="0"/>
    </xf>
    <xf numFmtId="166" fontId="10" fillId="0" borderId="0" xfId="0" applyNumberFormat="1" applyFont="1" applyAlignment="1"/>
    <xf numFmtId="3" fontId="10" fillId="2" borderId="0" xfId="0" applyNumberFormat="1" applyFont="1" applyFill="1"/>
    <xf numFmtId="0" fontId="11" fillId="0" borderId="0" xfId="0" applyNumberFormat="1" applyFont="1"/>
    <xf numFmtId="3" fontId="10" fillId="0" borderId="27" xfId="0" applyNumberFormat="1" applyFont="1" applyBorder="1" applyAlignment="1"/>
    <xf numFmtId="3" fontId="10" fillId="0" borderId="0" xfId="0" applyNumberFormat="1" applyFont="1" applyAlignment="1">
      <alignment horizontal="fill"/>
    </xf>
    <xf numFmtId="42" fontId="10" fillId="0" borderId="28" xfId="0" applyNumberFormat="1" applyFont="1" applyBorder="1" applyAlignment="1" applyProtection="1">
      <alignment horizontal="right"/>
      <protection locked="0"/>
    </xf>
    <xf numFmtId="3" fontId="10" fillId="0" borderId="0" xfId="0" applyNumberFormat="1" applyFont="1" applyFill="1" applyBorder="1"/>
    <xf numFmtId="3" fontId="10" fillId="2" borderId="0" xfId="0" applyNumberFormat="1" applyFont="1" applyFill="1" applyBorder="1"/>
    <xf numFmtId="3" fontId="10" fillId="2" borderId="27" xfId="0" applyNumberFormat="1" applyFont="1" applyFill="1" applyBorder="1"/>
    <xf numFmtId="167" fontId="10" fillId="0" borderId="0" xfId="0" applyNumberFormat="1" applyFont="1"/>
    <xf numFmtId="167" fontId="10" fillId="0" borderId="0" xfId="0" applyNumberFormat="1" applyFont="1" applyAlignment="1">
      <alignment horizontal="center"/>
    </xf>
    <xf numFmtId="0" fontId="10" fillId="0" borderId="0" xfId="0" applyFont="1" applyAlignment="1">
      <alignment horizontal="center"/>
    </xf>
    <xf numFmtId="168" fontId="10" fillId="0" borderId="0" xfId="0" applyNumberFormat="1" applyFont="1" applyAlignment="1"/>
    <xf numFmtId="168" fontId="10" fillId="2" borderId="0" xfId="0" applyNumberFormat="1" applyFont="1" applyFill="1" applyProtection="1">
      <protection locked="0"/>
    </xf>
    <xf numFmtId="168" fontId="10" fillId="0" borderId="0" xfId="0" applyNumberFormat="1" applyFont="1" applyProtection="1">
      <protection locked="0"/>
    </xf>
    <xf numFmtId="0" fontId="10" fillId="0" borderId="0" xfId="0" applyNumberFormat="1" applyFont="1" applyAlignment="1">
      <alignment horizontal="left"/>
    </xf>
    <xf numFmtId="49" fontId="10" fillId="0" borderId="0" xfId="0" applyNumberFormat="1" applyFont="1" applyAlignment="1">
      <alignment horizontal="left"/>
    </xf>
    <xf numFmtId="49" fontId="10" fillId="0" borderId="0" xfId="0" applyNumberFormat="1" applyFont="1" applyAlignment="1">
      <alignment horizontal="center"/>
    </xf>
    <xf numFmtId="3" fontId="12" fillId="0" borderId="0" xfId="0" applyNumberFormat="1" applyFont="1" applyAlignment="1">
      <alignment horizontal="center"/>
    </xf>
    <xf numFmtId="0" fontId="12" fillId="0" borderId="0" xfId="0" applyNumberFormat="1" applyFont="1" applyAlignment="1" applyProtection="1">
      <alignment horizontal="center"/>
      <protection locked="0"/>
    </xf>
    <xf numFmtId="0" fontId="12" fillId="0" borderId="0" xfId="0" applyNumberFormat="1" applyFont="1" applyAlignment="1"/>
    <xf numFmtId="0" fontId="12" fillId="0" borderId="0" xfId="0" applyFont="1" applyAlignment="1">
      <alignment horizontal="center"/>
    </xf>
    <xf numFmtId="3" fontId="12" fillId="0" borderId="0" xfId="0" applyNumberFormat="1" applyFont="1" applyAlignment="1"/>
    <xf numFmtId="3" fontId="10" fillId="2" borderId="0" xfId="0" applyNumberFormat="1" applyFont="1" applyFill="1" applyBorder="1" applyAlignment="1"/>
    <xf numFmtId="169" fontId="10" fillId="0" borderId="0" xfId="0" applyNumberFormat="1" applyFont="1" applyAlignment="1"/>
    <xf numFmtId="3" fontId="10" fillId="2" borderId="27" xfId="0" applyNumberFormat="1" applyFont="1" applyFill="1" applyBorder="1" applyAlignment="1"/>
    <xf numFmtId="170" fontId="10" fillId="0" borderId="0" xfId="0" applyNumberFormat="1" applyFont="1" applyAlignment="1">
      <alignment horizontal="center"/>
    </xf>
    <xf numFmtId="3" fontId="10" fillId="2" borderId="0" xfId="0" applyNumberFormat="1" applyFont="1" applyFill="1" applyAlignment="1"/>
    <xf numFmtId="0" fontId="10" fillId="0" borderId="0" xfId="0" applyNumberFormat="1" applyFont="1" applyAlignment="1">
      <alignment horizontal="fill"/>
    </xf>
    <xf numFmtId="169" fontId="10" fillId="0" borderId="0" xfId="0" applyNumberFormat="1" applyFont="1" applyAlignment="1">
      <alignment horizontal="right"/>
    </xf>
    <xf numFmtId="3" fontId="10" fillId="0" borderId="0" xfId="0" applyNumberFormat="1" applyFont="1" applyAlignment="1">
      <alignment horizontal="center"/>
    </xf>
    <xf numFmtId="0" fontId="10" fillId="0" borderId="27" xfId="0" applyFont="1" applyBorder="1" applyAlignment="1"/>
    <xf numFmtId="3" fontId="10" fillId="0" borderId="28" xfId="0" applyNumberFormat="1" applyFont="1" applyBorder="1" applyAlignment="1"/>
    <xf numFmtId="3" fontId="10" fillId="0" borderId="0" xfId="0" applyNumberFormat="1" applyFont="1" applyAlignment="1">
      <alignment horizontal="right"/>
    </xf>
    <xf numFmtId="0" fontId="10" fillId="0" borderId="0" xfId="0" applyNumberFormat="1" applyFont="1" applyFill="1" applyAlignment="1" applyProtection="1">
      <alignment horizontal="center"/>
      <protection locked="0"/>
    </xf>
    <xf numFmtId="0" fontId="10" fillId="0" borderId="0" xfId="0" applyNumberFormat="1" applyFont="1" applyFill="1" applyAlignment="1"/>
    <xf numFmtId="0" fontId="10" fillId="0" borderId="0" xfId="0" applyFont="1" applyFill="1" applyAlignment="1"/>
    <xf numFmtId="3" fontId="13" fillId="0" borderId="0" xfId="0" applyNumberFormat="1" applyFont="1" applyAlignment="1"/>
    <xf numFmtId="3" fontId="10" fillId="0" borderId="0" xfId="0" applyNumberFormat="1" applyFont="1" applyFill="1" applyAlignment="1"/>
    <xf numFmtId="0" fontId="10" fillId="0" borderId="0" xfId="0" applyNumberFormat="1" applyFont="1" applyFill="1" applyAlignment="1">
      <alignment horizontal="fill"/>
    </xf>
    <xf numFmtId="3" fontId="10" fillId="0" borderId="0" xfId="0" applyNumberFormat="1" applyFont="1" applyAlignment="1">
      <alignment horizontal="left"/>
    </xf>
    <xf numFmtId="166" fontId="10" fillId="0" borderId="0" xfId="0" applyNumberFormat="1" applyFont="1" applyAlignment="1">
      <alignment horizontal="right"/>
    </xf>
    <xf numFmtId="10" fontId="10" fillId="0" borderId="0" xfId="0" applyNumberFormat="1" applyFont="1" applyAlignment="1">
      <alignment horizontal="left"/>
    </xf>
    <xf numFmtId="166" fontId="10" fillId="0" borderId="0" xfId="0" applyNumberFormat="1" applyFont="1" applyAlignment="1">
      <alignment horizontal="center"/>
    </xf>
    <xf numFmtId="170" fontId="10" fillId="0" borderId="0" xfId="0" applyNumberFormat="1" applyFont="1" applyAlignment="1">
      <alignment horizontal="left"/>
    </xf>
    <xf numFmtId="10" fontId="10" fillId="0" borderId="0" xfId="0" applyNumberFormat="1" applyFont="1" applyFill="1" applyAlignment="1">
      <alignment horizontal="right"/>
    </xf>
    <xf numFmtId="171" fontId="10" fillId="0" borderId="0" xfId="0" applyNumberFormat="1" applyFont="1" applyFill="1" applyAlignment="1">
      <alignment horizontal="right"/>
    </xf>
    <xf numFmtId="170" fontId="10" fillId="0" borderId="0" xfId="0" applyNumberFormat="1" applyFont="1" applyAlignment="1" applyProtection="1">
      <alignment horizontal="left"/>
      <protection locked="0"/>
    </xf>
    <xf numFmtId="3" fontId="10" fillId="0" borderId="0" xfId="0" applyNumberFormat="1" applyFont="1" applyFill="1" applyAlignment="1">
      <alignment horizontal="right"/>
    </xf>
    <xf numFmtId="172" fontId="10" fillId="0" borderId="0" xfId="0" applyNumberFormat="1" applyFont="1" applyAlignment="1"/>
    <xf numFmtId="3" fontId="10" fillId="0" borderId="0" xfId="0" applyNumberFormat="1" applyFont="1" applyBorder="1" applyAlignment="1"/>
    <xf numFmtId="0" fontId="10" fillId="2" borderId="0" xfId="0" applyNumberFormat="1" applyFont="1" applyFill="1" applyBorder="1" applyAlignment="1"/>
    <xf numFmtId="0" fontId="10" fillId="2" borderId="27" xfId="0" applyNumberFormat="1" applyFont="1" applyFill="1" applyBorder="1" applyAlignment="1"/>
    <xf numFmtId="3" fontId="10" fillId="0" borderId="28" xfId="0" applyNumberFormat="1" applyFont="1" applyFill="1" applyBorder="1" applyAlignment="1"/>
    <xf numFmtId="0" fontId="10" fillId="0" borderId="0" xfId="0" applyNumberFormat="1" applyFont="1" applyFill="1"/>
    <xf numFmtId="0" fontId="14" fillId="0" borderId="0" xfId="0" applyNumberFormat="1" applyFont="1" applyAlignment="1" applyProtection="1">
      <alignment horizontal="center"/>
      <protection locked="0"/>
    </xf>
    <xf numFmtId="0"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0" fontId="15" fillId="0" borderId="0" xfId="0" applyNumberFormat="1" applyFont="1"/>
    <xf numFmtId="0" fontId="10" fillId="0" borderId="27" xfId="0" applyNumberFormat="1" applyFont="1" applyBorder="1" applyProtection="1">
      <protection locked="0"/>
    </xf>
    <xf numFmtId="0" fontId="10" fillId="0" borderId="27" xfId="0" applyNumberFormat="1" applyFont="1" applyBorder="1"/>
    <xf numFmtId="49" fontId="10" fillId="0" borderId="0" xfId="0" applyNumberFormat="1" applyFont="1" applyAlignment="1"/>
    <xf numFmtId="0" fontId="16" fillId="0" borderId="0" xfId="0" applyFont="1" applyAlignment="1"/>
    <xf numFmtId="173" fontId="10" fillId="0" borderId="17" xfId="0" applyNumberFormat="1" applyFont="1" applyBorder="1" applyAlignment="1"/>
    <xf numFmtId="3" fontId="11" fillId="0" borderId="0" xfId="0" applyNumberFormat="1" applyFont="1" applyBorder="1" applyAlignment="1"/>
    <xf numFmtId="0" fontId="10" fillId="0" borderId="0" xfId="0" applyNumberFormat="1" applyFont="1" applyBorder="1"/>
    <xf numFmtId="0" fontId="10" fillId="0" borderId="0" xfId="0" applyNumberFormat="1" applyFont="1" applyBorder="1" applyAlignment="1"/>
    <xf numFmtId="0" fontId="10" fillId="0" borderId="7" xfId="0" applyFont="1" applyBorder="1" applyAlignment="1"/>
    <xf numFmtId="173" fontId="10" fillId="2" borderId="2" xfId="0" applyNumberFormat="1" applyFont="1" applyFill="1" applyBorder="1" applyAlignment="1"/>
    <xf numFmtId="0" fontId="11" fillId="0" borderId="0" xfId="0" applyFont="1" applyBorder="1" applyAlignment="1"/>
    <xf numFmtId="0" fontId="10" fillId="0" borderId="0" xfId="0" applyFont="1" applyBorder="1" applyAlignment="1"/>
    <xf numFmtId="0" fontId="10" fillId="0" borderId="17" xfId="0" applyNumberFormat="1" applyFont="1" applyBorder="1" applyAlignment="1">
      <alignment horizontal="center"/>
    </xf>
    <xf numFmtId="0" fontId="17" fillId="0" borderId="0" xfId="0" applyFont="1" applyBorder="1"/>
    <xf numFmtId="0" fontId="10" fillId="0" borderId="0" xfId="0" applyNumberFormat="1" applyFont="1" applyBorder="1" applyAlignment="1">
      <alignment horizontal="center"/>
    </xf>
    <xf numFmtId="0" fontId="10" fillId="0" borderId="7" xfId="0" applyNumberFormat="1" applyFont="1" applyBorder="1" applyAlignment="1">
      <alignment horizontal="center"/>
    </xf>
    <xf numFmtId="169" fontId="10" fillId="0" borderId="0" xfId="0" applyNumberFormat="1" applyFont="1"/>
    <xf numFmtId="173" fontId="10" fillId="2" borderId="17" xfId="0" applyNumberFormat="1" applyFont="1" applyFill="1" applyBorder="1" applyAlignment="1"/>
    <xf numFmtId="0" fontId="11" fillId="0" borderId="0" xfId="0" applyFont="1" applyBorder="1"/>
    <xf numFmtId="166" fontId="10" fillId="0" borderId="0" xfId="0" applyNumberFormat="1" applyFont="1"/>
    <xf numFmtId="3" fontId="10" fillId="0" borderId="27" xfId="0" applyNumberFormat="1" applyFont="1" applyBorder="1" applyAlignment="1">
      <alignment horizontal="center"/>
    </xf>
    <xf numFmtId="173" fontId="10" fillId="0" borderId="17" xfId="0" applyNumberFormat="1" applyFont="1" applyFill="1" applyBorder="1" applyAlignment="1"/>
    <xf numFmtId="4" fontId="10" fillId="0" borderId="0" xfId="0" applyNumberFormat="1" applyFont="1" applyAlignment="1"/>
    <xf numFmtId="173" fontId="10" fillId="0" borderId="2" xfId="0" applyNumberFormat="1" applyFont="1" applyBorder="1" applyAlignment="1"/>
    <xf numFmtId="0" fontId="11" fillId="0" borderId="1" xfId="0" applyFont="1" applyBorder="1" applyAlignment="1"/>
    <xf numFmtId="0" fontId="10" fillId="0" borderId="1" xfId="0" applyFont="1" applyBorder="1" applyAlignment="1"/>
    <xf numFmtId="0" fontId="10" fillId="0" borderId="8" xfId="0" applyFont="1" applyBorder="1" applyAlignment="1"/>
    <xf numFmtId="173" fontId="10" fillId="0" borderId="0" xfId="0" applyNumberFormat="1" applyFont="1" applyBorder="1" applyAlignment="1"/>
    <xf numFmtId="3" fontId="10" fillId="0" borderId="0" xfId="0" applyNumberFormat="1" applyFont="1" applyBorder="1" applyAlignment="1">
      <alignment horizontal="center"/>
    </xf>
    <xf numFmtId="166" fontId="10" fillId="0" borderId="0" xfId="0" applyNumberFormat="1" applyFont="1" applyAlignment="1" applyProtection="1">
      <alignment horizontal="center"/>
      <protection locked="0"/>
    </xf>
    <xf numFmtId="0" fontId="10" fillId="0" borderId="27" xfId="0" applyNumberFormat="1" applyFont="1" applyBorder="1" applyAlignment="1"/>
    <xf numFmtId="173" fontId="10" fillId="2" borderId="0" xfId="0" applyNumberFormat="1" applyFont="1" applyFill="1" applyAlignment="1"/>
    <xf numFmtId="9" fontId="10" fillId="0" borderId="0" xfId="0" applyNumberFormat="1" applyFont="1" applyAlignment="1"/>
    <xf numFmtId="171" fontId="10" fillId="0" borderId="0" xfId="0" applyNumberFormat="1" applyFont="1" applyAlignment="1"/>
    <xf numFmtId="10" fontId="10" fillId="0" borderId="0" xfId="0" applyNumberFormat="1" applyFont="1" applyAlignment="1"/>
    <xf numFmtId="3" fontId="10" fillId="0" borderId="0" xfId="0" quotePrefix="1" applyNumberFormat="1" applyFont="1" applyAlignment="1"/>
    <xf numFmtId="9" fontId="10" fillId="0" borderId="27" xfId="0" applyNumberFormat="1" applyFont="1" applyBorder="1" applyAlignment="1"/>
    <xf numFmtId="171" fontId="10" fillId="0" borderId="27" xfId="0" applyNumberFormat="1" applyFont="1" applyBorder="1" applyAlignment="1"/>
    <xf numFmtId="9" fontId="10" fillId="0" borderId="0" xfId="0" applyNumberFormat="1" applyFont="1" applyFill="1" applyAlignment="1"/>
    <xf numFmtId="10" fontId="10" fillId="2" borderId="0" xfId="0" applyNumberFormat="1" applyFont="1" applyFill="1" applyAlignment="1"/>
    <xf numFmtId="0" fontId="14" fillId="0" borderId="0" xfId="0" applyNumberFormat="1" applyFont="1" applyProtection="1">
      <protection locked="0"/>
    </xf>
    <xf numFmtId="0" fontId="10" fillId="0" borderId="0" xfId="0" applyFont="1" applyFill="1" applyAlignment="1" applyProtection="1"/>
    <xf numFmtId="0" fontId="10" fillId="0" borderId="0" xfId="0" applyNumberFormat="1" applyFont="1" applyBorder="1" applyProtection="1">
      <protection locked="0"/>
    </xf>
    <xf numFmtId="168" fontId="10" fillId="0" borderId="0" xfId="0" applyNumberFormat="1" applyFont="1" applyBorder="1" applyProtection="1">
      <protection locked="0"/>
    </xf>
    <xf numFmtId="173" fontId="10" fillId="0" borderId="0" xfId="0" applyNumberFormat="1" applyFont="1" applyFill="1" applyBorder="1" applyProtection="1"/>
    <xf numFmtId="173" fontId="10" fillId="2" borderId="0" xfId="0" applyNumberFormat="1" applyFont="1" applyFill="1" applyBorder="1" applyProtection="1"/>
    <xf numFmtId="173" fontId="10" fillId="2" borderId="0" xfId="0" applyNumberFormat="1" applyFont="1" applyFill="1" applyBorder="1" applyAlignment="1" applyProtection="1">
      <protection locked="0"/>
    </xf>
    <xf numFmtId="3" fontId="11" fillId="0" borderId="0" xfId="0" applyNumberFormat="1" applyFont="1" applyAlignment="1">
      <alignment horizontal="left"/>
    </xf>
    <xf numFmtId="0" fontId="10" fillId="0" borderId="0" xfId="0" applyNumberFormat="1" applyFont="1" applyBorder="1" applyAlignment="1" applyProtection="1">
      <protection locked="0"/>
    </xf>
    <xf numFmtId="0" fontId="10" fillId="0" borderId="0" xfId="0" applyNumberFormat="1" applyFont="1" applyFill="1" applyBorder="1" applyAlignment="1" applyProtection="1">
      <protection locked="0"/>
    </xf>
    <xf numFmtId="0" fontId="10" fillId="0" borderId="0" xfId="0" applyNumberFormat="1" applyFont="1" applyFill="1" applyBorder="1" applyProtection="1">
      <protection locked="0"/>
    </xf>
    <xf numFmtId="0" fontId="10" fillId="0" borderId="27" xfId="0" applyNumberFormat="1" applyFont="1" applyFill="1" applyBorder="1" applyAlignment="1" applyProtection="1">
      <protection locked="0"/>
    </xf>
    <xf numFmtId="0" fontId="10" fillId="0" borderId="27" xfId="0" applyNumberFormat="1" applyFont="1" applyFill="1" applyBorder="1" applyProtection="1">
      <protection locked="0"/>
    </xf>
    <xf numFmtId="173" fontId="10" fillId="2" borderId="27" xfId="0" applyNumberFormat="1" applyFont="1" applyFill="1" applyBorder="1" applyAlignment="1" applyProtection="1">
      <protection locked="0"/>
    </xf>
    <xf numFmtId="173" fontId="10" fillId="0" borderId="0" xfId="0" applyNumberFormat="1" applyFont="1" applyFill="1" applyBorder="1" applyAlignment="1" applyProtection="1"/>
    <xf numFmtId="174" fontId="10" fillId="0" borderId="0" xfId="0" applyNumberFormat="1" applyFont="1" applyAlignment="1" applyProtection="1">
      <protection locked="0"/>
    </xf>
    <xf numFmtId="0" fontId="14" fillId="0" borderId="0" xfId="0" applyNumberFormat="1" applyFont="1" applyAlignment="1" applyProtection="1">
      <protection locked="0"/>
    </xf>
    <xf numFmtId="0" fontId="14" fillId="0" borderId="0" xfId="0" applyNumberFormat="1" applyFont="1" applyAlignment="1"/>
    <xf numFmtId="3" fontId="10" fillId="0" borderId="0" xfId="0" applyNumberFormat="1" applyFont="1" applyProtection="1">
      <protection locked="0"/>
    </xf>
    <xf numFmtId="173" fontId="10" fillId="0" borderId="0" xfId="0" applyNumberFormat="1" applyFont="1" applyAlignment="1" applyProtection="1">
      <alignment horizontal="right"/>
      <protection locked="0"/>
    </xf>
    <xf numFmtId="173" fontId="10" fillId="0" borderId="0" xfId="0" applyNumberFormat="1" applyFont="1" applyProtection="1">
      <protection locked="0"/>
    </xf>
    <xf numFmtId="3" fontId="10" fillId="0" borderId="0" xfId="0" applyNumberFormat="1" applyFont="1" applyFill="1" applyAlignment="1" applyProtection="1"/>
    <xf numFmtId="0" fontId="10" fillId="0" borderId="0" xfId="0" applyNumberFormat="1" applyFont="1" applyAlignment="1" applyProtection="1">
      <alignment horizontal="left" indent="8"/>
      <protection locked="0"/>
    </xf>
    <xf numFmtId="0" fontId="10" fillId="0" borderId="0" xfId="0" applyNumberFormat="1" applyFont="1" applyAlignment="1" applyProtection="1">
      <alignment horizontal="center" vertical="top" wrapText="1"/>
      <protection locked="0"/>
    </xf>
    <xf numFmtId="0" fontId="10" fillId="0" borderId="0" xfId="0" applyNumberFormat="1" applyFont="1" applyFill="1" applyAlignment="1" applyProtection="1">
      <alignment horizontal="left" vertical="top" wrapText="1" indent="8"/>
      <protection locked="0"/>
    </xf>
    <xf numFmtId="0" fontId="10" fillId="0" borderId="0" xfId="0" applyNumberFormat="1" applyFont="1" applyFill="1" applyAlignment="1" applyProtection="1">
      <alignment vertical="top" wrapText="1"/>
      <protection locked="0"/>
    </xf>
    <xf numFmtId="10" fontId="10" fillId="2" borderId="0" xfId="0" applyNumberFormat="1" applyFont="1" applyFill="1" applyAlignment="1" applyProtection="1">
      <alignment vertical="top" wrapText="1"/>
      <protection locked="0"/>
    </xf>
    <xf numFmtId="3" fontId="10" fillId="0" borderId="0" xfId="0" applyNumberFormat="1" applyFont="1" applyAlignment="1">
      <alignment vertical="top" wrapText="1"/>
    </xf>
    <xf numFmtId="0" fontId="10" fillId="0" borderId="0" xfId="0" applyNumberFormat="1" applyFont="1" applyAlignment="1" applyProtection="1">
      <alignment vertical="top" wrapText="1"/>
      <protection locked="0"/>
    </xf>
    <xf numFmtId="0" fontId="11" fillId="0" borderId="0" xfId="0" applyNumberFormat="1" applyFont="1" applyFill="1" applyAlignment="1" applyProtection="1">
      <alignment horizontal="left"/>
      <protection locked="0"/>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0" fillId="0" borderId="0" xfId="0" applyNumberFormat="1" applyFont="1" applyFill="1" applyAlignment="1">
      <alignment horizontal="left" vertical="top"/>
    </xf>
    <xf numFmtId="0" fontId="14" fillId="0" borderId="0" xfId="0" applyNumberFormat="1" applyFont="1" applyAlignment="1" applyProtection="1">
      <alignment vertical="top" wrapText="1"/>
      <protection locked="0"/>
    </xf>
    <xf numFmtId="0" fontId="10" fillId="0" borderId="0" xfId="0" applyNumberFormat="1" applyFont="1" applyFill="1" applyAlignment="1">
      <alignment vertical="top"/>
    </xf>
    <xf numFmtId="0" fontId="14" fillId="0" borderId="0" xfId="0" applyFont="1" applyAlignment="1">
      <alignment horizontal="center" vertical="top" wrapText="1"/>
    </xf>
    <xf numFmtId="0" fontId="14" fillId="0" borderId="0" xfId="0" applyNumberFormat="1" applyFont="1" applyFill="1" applyAlignment="1">
      <alignment vertical="top" wrapText="1"/>
    </xf>
    <xf numFmtId="0" fontId="10" fillId="0" borderId="0" xfId="0" applyNumberFormat="1" applyFont="1" applyFill="1" applyAlignment="1">
      <alignment vertical="top" wrapText="1"/>
    </xf>
    <xf numFmtId="165" fontId="9" fillId="0" borderId="4" xfId="3" applyNumberFormat="1" applyFont="1" applyFill="1" applyBorder="1"/>
    <xf numFmtId="37" fontId="9" fillId="0" borderId="5" xfId="4" applyNumberFormat="1" applyFont="1" applyFill="1" applyBorder="1"/>
    <xf numFmtId="37" fontId="0" fillId="0" borderId="3" xfId="4" applyNumberFormat="1" applyFont="1" applyFill="1" applyBorder="1"/>
    <xf numFmtId="37" fontId="9" fillId="0" borderId="3" xfId="4" applyNumberFormat="1" applyFont="1" applyFill="1" applyBorder="1"/>
    <xf numFmtId="164" fontId="9" fillId="0" borderId="4" xfId="4" applyNumberFormat="1" applyFont="1" applyFill="1" applyBorder="1"/>
    <xf numFmtId="164" fontId="0" fillId="0" borderId="3" xfId="4" applyNumberFormat="1" applyFont="1" applyFill="1" applyBorder="1"/>
    <xf numFmtId="164" fontId="9" fillId="0" borderId="5" xfId="4" applyNumberFormat="1" applyFont="1" applyFill="1" applyBorder="1"/>
    <xf numFmtId="164" fontId="18" fillId="0" borderId="3" xfId="4" applyNumberFormat="1" applyFont="1" applyFill="1" applyBorder="1"/>
    <xf numFmtId="37" fontId="9" fillId="0" borderId="4" xfId="4" applyNumberFormat="1" applyFont="1" applyFill="1" applyBorder="1"/>
    <xf numFmtId="37" fontId="18" fillId="0" borderId="5" xfId="4" applyNumberFormat="1" applyFont="1" applyFill="1" applyBorder="1"/>
    <xf numFmtId="37" fontId="18" fillId="0" borderId="3" xfId="4" applyNumberFormat="1" applyFont="1" applyFill="1" applyBorder="1"/>
    <xf numFmtId="165" fontId="9" fillId="0" borderId="8" xfId="3" applyNumberFormat="1" applyFont="1" applyFill="1" applyBorder="1"/>
    <xf numFmtId="164" fontId="9" fillId="0" borderId="8" xfId="4" applyNumberFormat="1" applyFont="1" applyFill="1" applyBorder="1"/>
    <xf numFmtId="164" fontId="9" fillId="0" borderId="11" xfId="4" applyNumberFormat="1" applyFont="1" applyFill="1" applyBorder="1"/>
    <xf numFmtId="164" fontId="9" fillId="0" borderId="7" xfId="4" applyNumberFormat="1" applyFont="1" applyFill="1" applyBorder="1"/>
    <xf numFmtId="0" fontId="7" fillId="0" borderId="0" xfId="5" applyFont="1"/>
    <xf numFmtId="0" fontId="7" fillId="0" borderId="0" xfId="5"/>
    <xf numFmtId="0" fontId="7" fillId="0" borderId="6" xfId="5" applyFont="1" applyBorder="1" applyAlignment="1">
      <alignment horizontal="center"/>
    </xf>
    <xf numFmtId="0" fontId="7" fillId="0" borderId="3" xfId="5" applyFont="1" applyFill="1" applyBorder="1" applyAlignment="1">
      <alignment horizontal="center"/>
    </xf>
    <xf numFmtId="0" fontId="20" fillId="0" borderId="0" xfId="5" applyFont="1"/>
    <xf numFmtId="165" fontId="7" fillId="0" borderId="5" xfId="3" applyNumberFormat="1" applyFont="1" applyBorder="1"/>
    <xf numFmtId="165" fontId="7" fillId="0" borderId="5" xfId="3" applyNumberFormat="1" applyFont="1" applyFill="1" applyBorder="1"/>
    <xf numFmtId="0" fontId="7" fillId="0" borderId="0" xfId="5" applyFont="1" applyFill="1"/>
    <xf numFmtId="165" fontId="7" fillId="0" borderId="6" xfId="3" applyNumberFormat="1" applyFont="1" applyFill="1" applyBorder="1"/>
    <xf numFmtId="0" fontId="7" fillId="0" borderId="0" xfId="5" applyFont="1" applyFill="1" applyBorder="1"/>
    <xf numFmtId="165" fontId="3" fillId="0" borderId="16" xfId="3" applyNumberFormat="1" applyFont="1" applyFill="1" applyBorder="1"/>
    <xf numFmtId="165" fontId="7" fillId="0" borderId="0" xfId="3" applyNumberFormat="1" applyFont="1" applyFill="1" applyBorder="1"/>
    <xf numFmtId="0" fontId="7" fillId="0" borderId="1" xfId="5" applyFont="1" applyFill="1" applyBorder="1"/>
    <xf numFmtId="165" fontId="3" fillId="0" borderId="29" xfId="3" applyNumberFormat="1" applyFont="1" applyFill="1" applyBorder="1"/>
    <xf numFmtId="165" fontId="7" fillId="0" borderId="4" xfId="3" applyNumberFormat="1" applyFont="1" applyFill="1" applyBorder="1"/>
    <xf numFmtId="165" fontId="7" fillId="0" borderId="4" xfId="3" applyNumberFormat="1" applyFont="1" applyBorder="1"/>
    <xf numFmtId="165" fontId="7" fillId="0" borderId="6" xfId="3" applyNumberFormat="1" applyFont="1" applyBorder="1"/>
    <xf numFmtId="165" fontId="3" fillId="0" borderId="16" xfId="3" applyNumberFormat="1" applyFont="1" applyBorder="1"/>
    <xf numFmtId="165" fontId="7" fillId="0" borderId="0" xfId="5" applyNumberFormat="1" applyFont="1"/>
    <xf numFmtId="165" fontId="7" fillId="0" borderId="0" xfId="2" applyNumberFormat="1" applyFont="1" applyBorder="1"/>
    <xf numFmtId="0" fontId="7" fillId="0" borderId="0" xfId="5" applyBorder="1"/>
    <xf numFmtId="164" fontId="9" fillId="0" borderId="6" xfId="4" applyNumberFormat="1" applyFont="1" applyBorder="1"/>
    <xf numFmtId="164" fontId="9" fillId="0" borderId="5" xfId="4" applyNumberFormat="1" applyFont="1" applyBorder="1"/>
    <xf numFmtId="165" fontId="7" fillId="0" borderId="0" xfId="3" applyNumberFormat="1" applyFont="1"/>
    <xf numFmtId="0" fontId="3" fillId="0" borderId="0" xfId="5" applyFont="1" applyAlignment="1">
      <alignment horizontal="center"/>
    </xf>
    <xf numFmtId="14" fontId="3" fillId="0" borderId="0" xfId="5" applyNumberFormat="1" applyFont="1" applyAlignment="1">
      <alignment horizontal="center"/>
    </xf>
    <xf numFmtId="0" fontId="7" fillId="0" borderId="26" xfId="5" applyFont="1" applyBorder="1"/>
    <xf numFmtId="0" fontId="7" fillId="0" borderId="19" xfId="5" applyFont="1" applyBorder="1"/>
    <xf numFmtId="0" fontId="7" fillId="0" borderId="10" xfId="5" applyFont="1" applyBorder="1"/>
    <xf numFmtId="0" fontId="7" fillId="0" borderId="0" xfId="5" applyFont="1" applyBorder="1"/>
    <xf numFmtId="0" fontId="7" fillId="0" borderId="26" xfId="5" applyFont="1" applyBorder="1" applyAlignment="1">
      <alignment horizontal="center"/>
    </xf>
    <xf numFmtId="0" fontId="7" fillId="0" borderId="0" xfId="5" applyFont="1" applyBorder="1" applyAlignment="1">
      <alignment horizontal="center"/>
    </xf>
    <xf numFmtId="0" fontId="7" fillId="0" borderId="0" xfId="5" applyFont="1" applyBorder="1" applyAlignment="1">
      <alignment horizontal="left"/>
    </xf>
    <xf numFmtId="0" fontId="7" fillId="0" borderId="5" xfId="5" applyFont="1" applyBorder="1" applyAlignment="1">
      <alignment horizontal="center"/>
    </xf>
    <xf numFmtId="0" fontId="7" fillId="0" borderId="2" xfId="5" applyFont="1" applyBorder="1" applyAlignment="1">
      <alignment horizontal="center"/>
    </xf>
    <xf numFmtId="0" fontId="7" fillId="0" borderId="4" xfId="5" applyFont="1" applyBorder="1" applyAlignment="1">
      <alignment horizontal="center"/>
    </xf>
    <xf numFmtId="165" fontId="7" fillId="0" borderId="0" xfId="3" applyNumberFormat="1" applyFont="1" applyBorder="1"/>
    <xf numFmtId="165" fontId="7" fillId="0" borderId="30" xfId="3" applyNumberFormat="1" applyFont="1" applyBorder="1"/>
    <xf numFmtId="0" fontId="22" fillId="0" borderId="0" xfId="0" applyNumberFormat="1" applyFont="1" applyAlignment="1"/>
    <xf numFmtId="0" fontId="23" fillId="0" borderId="0" xfId="0" applyNumberFormat="1" applyFont="1" applyFill="1" applyAlignment="1"/>
    <xf numFmtId="3" fontId="22" fillId="0" borderId="0" xfId="0" applyNumberFormat="1" applyFont="1" applyFill="1" applyAlignment="1"/>
    <xf numFmtId="3" fontId="22" fillId="0" borderId="0" xfId="0" applyNumberFormat="1" applyFont="1" applyAlignment="1"/>
    <xf numFmtId="0" fontId="23" fillId="0" borderId="0" xfId="0" applyFont="1" applyAlignment="1"/>
    <xf numFmtId="0" fontId="22" fillId="0" borderId="0" xfId="0" applyFont="1" applyAlignment="1"/>
    <xf numFmtId="0" fontId="11" fillId="0" borderId="0" xfId="0" quotePrefix="1" applyFont="1" applyAlignment="1"/>
    <xf numFmtId="0" fontId="2" fillId="0" borderId="0" xfId="5" applyFont="1"/>
    <xf numFmtId="0" fontId="10" fillId="0" borderId="0" xfId="0" applyNumberFormat="1" applyFont="1" applyFill="1" applyAlignment="1">
      <alignment vertical="top" wrapText="1"/>
    </xf>
    <xf numFmtId="0" fontId="10" fillId="0" borderId="0" xfId="0" applyNumberFormat="1" applyFont="1" applyFill="1" applyAlignment="1" applyProtection="1">
      <alignment vertical="top" wrapText="1"/>
      <protection locked="0"/>
    </xf>
    <xf numFmtId="0" fontId="10" fillId="0" borderId="0" xfId="0" applyNumberFormat="1" applyFont="1" applyAlignment="1" applyProtection="1">
      <alignment vertical="top" wrapText="1"/>
      <protection locked="0"/>
    </xf>
    <xf numFmtId="0" fontId="10" fillId="0" borderId="26" xfId="0" applyNumberFormat="1" applyFont="1" applyBorder="1" applyAlignment="1">
      <alignment horizontal="center"/>
    </xf>
    <xf numFmtId="0" fontId="10" fillId="0" borderId="19" xfId="0" applyNumberFormat="1" applyFont="1" applyBorder="1" applyAlignment="1">
      <alignment horizontal="center"/>
    </xf>
    <xf numFmtId="0" fontId="10" fillId="0" borderId="10" xfId="0" applyNumberFormat="1" applyFont="1" applyBorder="1" applyAlignment="1">
      <alignment horizontal="center"/>
    </xf>
    <xf numFmtId="3" fontId="10" fillId="0" borderId="0" xfId="0" applyNumberFormat="1" applyFont="1" applyAlignment="1">
      <alignment horizontal="right"/>
    </xf>
    <xf numFmtId="3" fontId="6" fillId="0" borderId="0" xfId="0" applyNumberFormat="1" applyFont="1" applyAlignment="1">
      <alignment horizontal="center"/>
    </xf>
    <xf numFmtId="0" fontId="6" fillId="0" borderId="0" xfId="0" applyFont="1" applyAlignment="1">
      <alignment horizontal="center"/>
    </xf>
    <xf numFmtId="0" fontId="4" fillId="0" borderId="0" xfId="0" applyFont="1" applyAlignment="1">
      <alignment horizontal="center"/>
    </xf>
    <xf numFmtId="14" fontId="6" fillId="0" borderId="0" xfId="0" applyNumberFormat="1" applyFont="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0" fillId="0" borderId="26" xfId="0" applyBorder="1" applyAlignment="1">
      <alignment horizontal="left"/>
    </xf>
    <xf numFmtId="0" fontId="0" fillId="0" borderId="19" xfId="0" applyBorder="1" applyAlignment="1">
      <alignment horizontal="left"/>
    </xf>
    <xf numFmtId="0" fontId="7" fillId="0" borderId="2" xfId="5" applyFont="1" applyBorder="1" applyAlignment="1">
      <alignment horizontal="left"/>
    </xf>
    <xf numFmtId="0" fontId="7" fillId="0" borderId="1" xfId="5" applyFont="1" applyBorder="1" applyAlignment="1">
      <alignment horizontal="left"/>
    </xf>
    <xf numFmtId="0" fontId="7" fillId="0" borderId="8" xfId="5" applyFont="1" applyBorder="1" applyAlignment="1">
      <alignment horizontal="left"/>
    </xf>
    <xf numFmtId="0" fontId="3" fillId="0" borderId="0" xfId="5" applyFont="1" applyAlignment="1">
      <alignment horizontal="center"/>
    </xf>
    <xf numFmtId="14" fontId="3" fillId="0" borderId="0" xfId="5" applyNumberFormat="1" applyFont="1" applyAlignment="1">
      <alignment horizontal="center"/>
    </xf>
    <xf numFmtId="0" fontId="7" fillId="0" borderId="5" xfId="5" applyFont="1" applyBorder="1" applyAlignment="1">
      <alignment horizontal="center"/>
    </xf>
  </cellXfs>
  <cellStyles count="200">
    <cellStyle name="C00A" xfId="19"/>
    <cellStyle name="C00B" xfId="20"/>
    <cellStyle name="C00L" xfId="21"/>
    <cellStyle name="C01A" xfId="22"/>
    <cellStyle name="C01B" xfId="23"/>
    <cellStyle name="C01H" xfId="24"/>
    <cellStyle name="C01L" xfId="25"/>
    <cellStyle name="C02A" xfId="26"/>
    <cellStyle name="C02B" xfId="27"/>
    <cellStyle name="C02H" xfId="28"/>
    <cellStyle name="C02L" xfId="29"/>
    <cellStyle name="C03A" xfId="30"/>
    <cellStyle name="C03B" xfId="31"/>
    <cellStyle name="C03H" xfId="32"/>
    <cellStyle name="C03L" xfId="33"/>
    <cellStyle name="C04A" xfId="34"/>
    <cellStyle name="C04B" xfId="35"/>
    <cellStyle name="C04H" xfId="36"/>
    <cellStyle name="C04L" xfId="37"/>
    <cellStyle name="C05A" xfId="38"/>
    <cellStyle name="C05B" xfId="39"/>
    <cellStyle name="C05H" xfId="40"/>
    <cellStyle name="C05L" xfId="41"/>
    <cellStyle name="C06A" xfId="42"/>
    <cellStyle name="C06B" xfId="43"/>
    <cellStyle name="C06H" xfId="44"/>
    <cellStyle name="C06L" xfId="45"/>
    <cellStyle name="C07A" xfId="46"/>
    <cellStyle name="C07B" xfId="47"/>
    <cellStyle name="C07H" xfId="48"/>
    <cellStyle name="C07L" xfId="49"/>
    <cellStyle name="Comma" xfId="1" builtinId="3"/>
    <cellStyle name="Comma [2]" xfId="50"/>
    <cellStyle name="Comma 10" xfId="51"/>
    <cellStyle name="Comma 11" xfId="52"/>
    <cellStyle name="Comma 12" xfId="53"/>
    <cellStyle name="Comma 13" xfId="54"/>
    <cellStyle name="Comma 14" xfId="55"/>
    <cellStyle name="Comma 15" xfId="56"/>
    <cellStyle name="Comma 16" xfId="57"/>
    <cellStyle name="Comma 17" xfId="58"/>
    <cellStyle name="Comma 18" xfId="59"/>
    <cellStyle name="Comma 19" xfId="60"/>
    <cellStyle name="Comma 2" xfId="4"/>
    <cellStyle name="Comma 2 2" xfId="7"/>
    <cellStyle name="Comma 20" xfId="61"/>
    <cellStyle name="Comma 21" xfId="62"/>
    <cellStyle name="Comma 22" xfId="63"/>
    <cellStyle name="Comma 23" xfId="64"/>
    <cellStyle name="Comma 24" xfId="65"/>
    <cellStyle name="Comma 25" xfId="66"/>
    <cellStyle name="Comma 26" xfId="67"/>
    <cellStyle name="Comma 27" xfId="68"/>
    <cellStyle name="Comma 28" xfId="69"/>
    <cellStyle name="Comma 29" xfId="70"/>
    <cellStyle name="Comma 3" xfId="8"/>
    <cellStyle name="Comma 30" xfId="71"/>
    <cellStyle name="Comma 31" xfId="72"/>
    <cellStyle name="Comma 32" xfId="73"/>
    <cellStyle name="Comma 33" xfId="74"/>
    <cellStyle name="Comma 34" xfId="75"/>
    <cellStyle name="Comma 35" xfId="76"/>
    <cellStyle name="Comma 36" xfId="77"/>
    <cellStyle name="Comma 37" xfId="78"/>
    <cellStyle name="Comma 38" xfId="79"/>
    <cellStyle name="Comma 39" xfId="80"/>
    <cellStyle name="Comma 4" xfId="81"/>
    <cellStyle name="Comma 40" xfId="82"/>
    <cellStyle name="Comma 41" xfId="83"/>
    <cellStyle name="Comma 42" xfId="84"/>
    <cellStyle name="Comma 43" xfId="85"/>
    <cellStyle name="Comma 44" xfId="86"/>
    <cellStyle name="Comma 45" xfId="87"/>
    <cellStyle name="Comma 46" xfId="88"/>
    <cellStyle name="Comma 47" xfId="89"/>
    <cellStyle name="Comma 48" xfId="90"/>
    <cellStyle name="Comma 49" xfId="91"/>
    <cellStyle name="Comma 5" xfId="92"/>
    <cellStyle name="Comma 50" xfId="93"/>
    <cellStyle name="Comma 51" xfId="94"/>
    <cellStyle name="Comma 52" xfId="95"/>
    <cellStyle name="Comma 53" xfId="96"/>
    <cellStyle name="Comma 54" xfId="97"/>
    <cellStyle name="Comma 55" xfId="98"/>
    <cellStyle name="Comma 56" xfId="99"/>
    <cellStyle name="Comma 57" xfId="100"/>
    <cellStyle name="Comma 58" xfId="101"/>
    <cellStyle name="Comma 59" xfId="102"/>
    <cellStyle name="Comma 6" xfId="103"/>
    <cellStyle name="Comma 6 2" xfId="104"/>
    <cellStyle name="Comma 60" xfId="105"/>
    <cellStyle name="Comma 61" xfId="106"/>
    <cellStyle name="Comma 62" xfId="107"/>
    <cellStyle name="Comma 63" xfId="108"/>
    <cellStyle name="Comma 64" xfId="109"/>
    <cellStyle name="Comma 65" xfId="110"/>
    <cellStyle name="Comma 66" xfId="111"/>
    <cellStyle name="Comma 67" xfId="112"/>
    <cellStyle name="Comma 68" xfId="113"/>
    <cellStyle name="Comma 69" xfId="114"/>
    <cellStyle name="Comma 7" xfId="115"/>
    <cellStyle name="Comma 70" xfId="116"/>
    <cellStyle name="Comma 71" xfId="117"/>
    <cellStyle name="Comma 72" xfId="118"/>
    <cellStyle name="Comma 73" xfId="119"/>
    <cellStyle name="Comma 74" xfId="120"/>
    <cellStyle name="Comma 75" xfId="121"/>
    <cellStyle name="Comma 76" xfId="122"/>
    <cellStyle name="Comma 77" xfId="123"/>
    <cellStyle name="Comma 78" xfId="124"/>
    <cellStyle name="Comma 79" xfId="125"/>
    <cellStyle name="Comma 8" xfId="126"/>
    <cellStyle name="Comma 80" xfId="127"/>
    <cellStyle name="Comma 81" xfId="128"/>
    <cellStyle name="Comma 82" xfId="129"/>
    <cellStyle name="Comma 83" xfId="130"/>
    <cellStyle name="Comma 84" xfId="131"/>
    <cellStyle name="Comma 85" xfId="132"/>
    <cellStyle name="Comma 9" xfId="133"/>
    <cellStyle name="Comma0" xfId="134"/>
    <cellStyle name="Currency" xfId="2" builtinId="4"/>
    <cellStyle name="Currency [2]" xfId="135"/>
    <cellStyle name="Currency 2" xfId="3"/>
    <cellStyle name="Currency 3" xfId="9"/>
    <cellStyle name="Currency 3 2" xfId="136"/>
    <cellStyle name="Currency 4" xfId="137"/>
    <cellStyle name="Currency 5" xfId="138"/>
    <cellStyle name="Currency0" xfId="139"/>
    <cellStyle name="Date" xfId="140"/>
    <cellStyle name="Fixed" xfId="141"/>
    <cellStyle name="FRxAmtStyle" xfId="10"/>
    <cellStyle name="Grey" xfId="142"/>
    <cellStyle name="Heading1" xfId="143"/>
    <cellStyle name="Heading2" xfId="144"/>
    <cellStyle name="Input [yellow]" xfId="145"/>
    <cellStyle name="Normal" xfId="0" builtinId="0"/>
    <cellStyle name="Normal - Style1" xfId="146"/>
    <cellStyle name="Normal 11" xfId="147"/>
    <cellStyle name="Normal 2" xfId="5"/>
    <cellStyle name="Normal 2 2" xfId="18"/>
    <cellStyle name="Normal 3" xfId="11"/>
    <cellStyle name="Normal 33" xfId="148"/>
    <cellStyle name="Normal 34" xfId="149"/>
    <cellStyle name="Normal 4" xfId="12"/>
    <cellStyle name="Normal 4 2" xfId="150"/>
    <cellStyle name="Normal 5" xfId="13"/>
    <cellStyle name="Normal 6" xfId="17"/>
    <cellStyle name="Normal 6 2" xfId="151"/>
    <cellStyle name="Normal 7" xfId="152"/>
    <cellStyle name="Normal 8" xfId="153"/>
    <cellStyle name="Percent [2]" xfId="154"/>
    <cellStyle name="Percent 2" xfId="6"/>
    <cellStyle name="Percent 3" xfId="14"/>
    <cellStyle name="Percent 3 2" xfId="155"/>
    <cellStyle name="Percent 4" xfId="15"/>
    <cellStyle name="Percent 5" xfId="16"/>
    <cellStyle name="Percent 6" xfId="156"/>
    <cellStyle name="PSChar" xfId="157"/>
    <cellStyle name="PSDate" xfId="158"/>
    <cellStyle name="PSDec" xfId="159"/>
    <cellStyle name="PSdesc" xfId="160"/>
    <cellStyle name="PSHeading" xfId="161"/>
    <cellStyle name="PSInt" xfId="162"/>
    <cellStyle name="PSSpacer" xfId="163"/>
    <cellStyle name="PStest" xfId="164"/>
    <cellStyle name="R00A" xfId="165"/>
    <cellStyle name="R00B" xfId="166"/>
    <cellStyle name="R00L" xfId="167"/>
    <cellStyle name="R01A" xfId="168"/>
    <cellStyle name="R01B" xfId="169"/>
    <cellStyle name="R01H" xfId="170"/>
    <cellStyle name="R01L" xfId="171"/>
    <cellStyle name="R02A" xfId="172"/>
    <cellStyle name="R02B" xfId="173"/>
    <cellStyle name="R02H" xfId="174"/>
    <cellStyle name="R02L" xfId="175"/>
    <cellStyle name="R03A" xfId="176"/>
    <cellStyle name="R03B" xfId="177"/>
    <cellStyle name="R03H" xfId="178"/>
    <cellStyle name="R03L" xfId="179"/>
    <cellStyle name="R04A" xfId="180"/>
    <cellStyle name="R04B" xfId="181"/>
    <cellStyle name="R04H" xfId="182"/>
    <cellStyle name="R04L" xfId="183"/>
    <cellStyle name="R05A" xfId="184"/>
    <cellStyle name="R05B" xfId="185"/>
    <cellStyle name="R05H" xfId="186"/>
    <cellStyle name="R05L" xfId="187"/>
    <cellStyle name="R06A" xfId="188"/>
    <cellStyle name="R06B" xfId="189"/>
    <cellStyle name="R06H" xfId="190"/>
    <cellStyle name="R06L" xfId="191"/>
    <cellStyle name="R07A" xfId="192"/>
    <cellStyle name="R07B" xfId="193"/>
    <cellStyle name="R07H" xfId="194"/>
    <cellStyle name="R07L" xfId="195"/>
    <cellStyle name="STYLE1" xfId="196"/>
    <cellStyle name="STYLE2" xfId="197"/>
    <cellStyle name="STYLE3" xfId="198"/>
    <cellStyle name="STYLE4" xfId="19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b36\rate%20studies\RATE%20STUDY_1\Dande%202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TE%20STUDY_1\Worthington%20-%202013%20Electric\Excel\Wgton_Study_Approved%20Rates%202013-12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en\AppData\Local\Microsoft\Windows\Temporary%20Internet%20Files\Content.IE5\4BY68WKG\Worthington%20MN%20Attach%20O%20-%20EIA%20Non-Levelized_DRAFT%202014-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5_003"/>
      <sheetName val="M01_057"/>
      <sheetName val="M01_056"/>
      <sheetName val="M01_055"/>
      <sheetName val="M01_054"/>
      <sheetName val="M01_053"/>
      <sheetName val="M01_052"/>
      <sheetName val="M01_051"/>
      <sheetName val="M01_050"/>
      <sheetName val="M01_049"/>
      <sheetName val="M01_048"/>
      <sheetName val="M01_047"/>
      <sheetName val="M01_046"/>
      <sheetName val="M01_045"/>
      <sheetName val="M00_001"/>
      <sheetName val="DANDE"/>
      <sheetName val="M01_044"/>
      <sheetName val="M01_043"/>
      <sheetName val="M01_042"/>
      <sheetName val="M01_041"/>
      <sheetName val="M01_040"/>
      <sheetName val="M01_039"/>
      <sheetName val="M01_038"/>
      <sheetName val="M01_037"/>
      <sheetName val="M01_036"/>
      <sheetName val="M01_035"/>
      <sheetName val="M01_034"/>
      <sheetName val="M01_033"/>
      <sheetName val="M01_032"/>
      <sheetName val="M01_031"/>
      <sheetName val="M01_030"/>
      <sheetName val="M01_029"/>
      <sheetName val="M01_028"/>
      <sheetName val="M01_027"/>
      <sheetName val="M01_026"/>
      <sheetName val="M01_025"/>
      <sheetName val="M01_024"/>
      <sheetName val="M01_023"/>
      <sheetName val="M01_022"/>
      <sheetName val="M01_021"/>
      <sheetName val="M01_020"/>
      <sheetName val="M01_019"/>
      <sheetName val="M01_018"/>
      <sheetName val="M01_017"/>
      <sheetName val="M01_016"/>
      <sheetName val="M01_015"/>
      <sheetName val="M01_014"/>
      <sheetName val="M01_013"/>
      <sheetName val="M01_012"/>
      <sheetName val="M01_011"/>
      <sheetName val="M01_010"/>
      <sheetName val="M01_009"/>
      <sheetName val="M01_008"/>
      <sheetName val="M01_007"/>
      <sheetName val="M01_006"/>
      <sheetName val="M01_005"/>
      <sheetName val="M01_004"/>
      <sheetName val="M01_003"/>
      <sheetName val="M01_002"/>
      <sheetName val="M01_001"/>
      <sheetName val="M01_058"/>
      <sheetName val="Sioux Center - outlet"/>
      <sheetName val="Sioux Center - towngate"/>
      <sheetName val="M00_002"/>
      <sheetName val="M00_003"/>
      <sheetName val="el"/>
      <sheetName val="M00_004"/>
      <sheetName val="M00_005"/>
      <sheetName val="M00_006"/>
      <sheetName val="M00_057"/>
      <sheetName val="M00_056"/>
      <sheetName val="M00_055"/>
      <sheetName val="M00_054"/>
      <sheetName val="M00_053"/>
      <sheetName val="M00_052"/>
      <sheetName val="M00_051"/>
      <sheetName val="M00_050"/>
      <sheetName val="M00_049"/>
      <sheetName val="M00_048"/>
      <sheetName val="M00_047"/>
      <sheetName val="M00_046"/>
      <sheetName val="M00_045"/>
      <sheetName val="M00_044"/>
      <sheetName val="M00_043"/>
      <sheetName val="M00_042"/>
      <sheetName val="M00_041"/>
      <sheetName val="M00_040"/>
      <sheetName val="M00_039"/>
      <sheetName val="M00_038"/>
      <sheetName val="M00_037"/>
      <sheetName val="M00_036"/>
      <sheetName val="M00_035"/>
      <sheetName val="M00_034"/>
      <sheetName val="M00_033"/>
      <sheetName val="M00_032"/>
      <sheetName val="M00_031"/>
      <sheetName val="M00_030"/>
      <sheetName val="M00_029"/>
      <sheetName val="M00_028"/>
      <sheetName val="M00_027"/>
      <sheetName val="M00_026"/>
      <sheetName val="M00_025"/>
      <sheetName val="M00_024"/>
      <sheetName val="M00_023"/>
      <sheetName val="M00_022"/>
      <sheetName val="M00_021"/>
      <sheetName val="M00_020"/>
      <sheetName val="M00_019"/>
      <sheetName val="M00_018"/>
      <sheetName val="M00_017"/>
      <sheetName val="M00_016"/>
      <sheetName val="M00_015"/>
      <sheetName val="M00_014"/>
      <sheetName val="M00_013"/>
      <sheetName val="M00_012"/>
      <sheetName val="M00_011"/>
      <sheetName val="M00_010"/>
      <sheetName val="M00_009"/>
      <sheetName val="M00_008"/>
      <sheetName val="M00_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ow r="44">
          <cell r="Q44">
            <v>3234</v>
          </cell>
        </row>
      </sheetData>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EIA 412"/>
      <sheetName val="Balance sheet Sched 2"/>
      <sheetName val="Income Sched 3"/>
      <sheetName val="Plant Sched 4"/>
      <sheetName val="Op &amp; Maint Sched 7"/>
      <sheetName val="Load Data"/>
      <sheetName val="Salaries"/>
      <sheetName val="Taxes"/>
    </sheetNames>
    <sheetDataSet>
      <sheetData sheetId="0" refreshError="1"/>
      <sheetData sheetId="1">
        <row r="1">
          <cell r="A1" t="str">
            <v>Worthington (Minnesota) Public Utilities</v>
          </cell>
        </row>
        <row r="4">
          <cell r="A4">
            <v>41274</v>
          </cell>
        </row>
      </sheetData>
      <sheetData sheetId="2" refreshError="1"/>
      <sheetData sheetId="3" refreshError="1"/>
      <sheetData sheetId="4">
        <row r="31">
          <cell r="C31">
            <v>49073</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7"/>
  <sheetViews>
    <sheetView tabSelected="1" zoomScale="80" zoomScaleNormal="80" workbookViewId="0">
      <selection activeCell="N32" sqref="N32"/>
    </sheetView>
  </sheetViews>
  <sheetFormatPr defaultRowHeight="15.75"/>
  <cols>
    <col min="1" max="1" width="7.7109375" style="120" customWidth="1"/>
    <col min="2" max="2" width="36.5703125" style="120" customWidth="1"/>
    <col min="3" max="3" width="41.85546875" style="120" customWidth="1"/>
    <col min="4" max="4" width="15.28515625" style="120" customWidth="1"/>
    <col min="5" max="5" width="6.28515625" style="120" customWidth="1"/>
    <col min="6" max="6" width="6" style="120" customWidth="1"/>
    <col min="7" max="7" width="10.28515625" style="120" customWidth="1"/>
    <col min="8" max="8" width="5" style="120" customWidth="1"/>
    <col min="9" max="9" width="14" style="120" customWidth="1"/>
    <col min="10" max="10" width="2.7109375" style="120" customWidth="1"/>
    <col min="11" max="11" width="11.85546875" style="120" customWidth="1"/>
    <col min="12" max="13" width="9.140625" style="120"/>
    <col min="14" max="14" width="21.5703125" style="120" customWidth="1"/>
    <col min="15" max="16384" width="9.140625" style="120"/>
  </cols>
  <sheetData>
    <row r="1" spans="1:16">
      <c r="K1" s="121" t="s">
        <v>181</v>
      </c>
    </row>
    <row r="2" spans="1:16">
      <c r="B2" s="122"/>
      <c r="C2" s="122"/>
      <c r="D2" s="123"/>
      <c r="E2" s="122"/>
      <c r="F2" s="122"/>
      <c r="G2" s="122"/>
      <c r="H2" s="124"/>
      <c r="I2" s="125"/>
      <c r="K2" s="126" t="s">
        <v>182</v>
      </c>
      <c r="L2" s="125"/>
      <c r="N2" s="125"/>
      <c r="O2" s="125"/>
      <c r="P2" s="125"/>
    </row>
    <row r="3" spans="1:16">
      <c r="B3" s="122"/>
      <c r="C3" s="122"/>
      <c r="D3" s="123"/>
      <c r="E3" s="122"/>
      <c r="F3" s="122"/>
      <c r="G3" s="122"/>
      <c r="H3" s="124"/>
      <c r="I3" s="124"/>
      <c r="J3" s="125"/>
      <c r="K3" s="127"/>
      <c r="L3" s="125"/>
      <c r="N3" s="125"/>
      <c r="O3" s="125"/>
      <c r="P3" s="125"/>
    </row>
    <row r="4" spans="1:16">
      <c r="B4" s="122" t="s">
        <v>183</v>
      </c>
      <c r="C4" s="122"/>
      <c r="D4" s="123" t="s">
        <v>184</v>
      </c>
      <c r="E4" s="122"/>
      <c r="F4" s="122"/>
      <c r="G4" s="122"/>
      <c r="H4" s="128"/>
      <c r="I4" s="129"/>
      <c r="J4" s="130"/>
      <c r="K4" s="131" t="s">
        <v>497</v>
      </c>
      <c r="L4" s="125"/>
      <c r="N4" s="125"/>
      <c r="O4" s="125"/>
      <c r="P4" s="125"/>
    </row>
    <row r="5" spans="1:16">
      <c r="B5" s="122"/>
      <c r="C5" s="132" t="s">
        <v>172</v>
      </c>
      <c r="D5" s="132" t="s">
        <v>185</v>
      </c>
      <c r="E5" s="132"/>
      <c r="F5" s="132"/>
      <c r="G5" s="132"/>
      <c r="H5" s="124"/>
      <c r="I5" s="124"/>
      <c r="J5" s="125"/>
      <c r="K5" s="125"/>
      <c r="L5" s="125"/>
      <c r="N5" s="125"/>
      <c r="O5" s="125"/>
      <c r="P5" s="125"/>
    </row>
    <row r="6" spans="1:16">
      <c r="B6" s="125"/>
      <c r="C6" s="125"/>
      <c r="D6" s="125"/>
      <c r="E6" s="125"/>
      <c r="F6" s="125"/>
      <c r="G6" s="125"/>
      <c r="H6" s="125"/>
      <c r="I6" s="125"/>
      <c r="J6" s="125"/>
      <c r="K6" s="125"/>
      <c r="L6" s="125"/>
      <c r="N6" s="125"/>
      <c r="O6" s="125"/>
      <c r="P6" s="125"/>
    </row>
    <row r="7" spans="1:16">
      <c r="A7" s="133"/>
      <c r="B7" s="125"/>
      <c r="C7" s="125"/>
      <c r="D7" s="130" t="s">
        <v>496</v>
      </c>
      <c r="E7" s="130"/>
      <c r="F7" s="125"/>
      <c r="G7" s="125"/>
      <c r="H7" s="125"/>
      <c r="I7" s="125"/>
      <c r="J7" s="125"/>
      <c r="K7" s="125"/>
      <c r="L7" s="125"/>
      <c r="N7" s="125"/>
      <c r="O7" s="125"/>
      <c r="P7" s="125"/>
    </row>
    <row r="8" spans="1:16">
      <c r="A8" s="133"/>
      <c r="B8" s="125"/>
      <c r="C8" s="125"/>
      <c r="D8" s="134"/>
      <c r="E8" s="125"/>
      <c r="F8" s="125"/>
      <c r="G8" s="125"/>
      <c r="H8" s="125"/>
      <c r="I8" s="125"/>
      <c r="J8" s="125"/>
      <c r="K8" s="125"/>
      <c r="L8" s="125"/>
      <c r="N8" s="125"/>
      <c r="O8" s="125"/>
      <c r="P8" s="125"/>
    </row>
    <row r="9" spans="1:16">
      <c r="A9" s="133" t="s">
        <v>1</v>
      </c>
      <c r="B9" s="125"/>
      <c r="C9" s="125"/>
      <c r="D9" s="134"/>
      <c r="E9" s="125"/>
      <c r="F9" s="125"/>
      <c r="G9" s="125"/>
      <c r="H9" s="125"/>
      <c r="I9" s="133" t="s">
        <v>186</v>
      </c>
      <c r="J9" s="125"/>
      <c r="K9" s="125"/>
      <c r="L9" s="125"/>
      <c r="N9" s="125"/>
      <c r="O9" s="125"/>
      <c r="P9" s="125"/>
    </row>
    <row r="10" spans="1:16" ht="16.5" thickBot="1">
      <c r="A10" s="135" t="s">
        <v>2</v>
      </c>
      <c r="B10" s="125"/>
      <c r="C10" s="125"/>
      <c r="D10" s="125"/>
      <c r="E10" s="125"/>
      <c r="F10" s="125"/>
      <c r="G10" s="125"/>
      <c r="H10" s="125"/>
      <c r="I10" s="135" t="s">
        <v>93</v>
      </c>
      <c r="J10" s="125"/>
      <c r="K10" s="125"/>
      <c r="L10" s="125"/>
      <c r="N10" s="125"/>
      <c r="O10" s="125"/>
      <c r="P10" s="125"/>
    </row>
    <row r="11" spans="1:16">
      <c r="A11" s="133">
        <v>1</v>
      </c>
      <c r="B11" s="125" t="s">
        <v>187</v>
      </c>
      <c r="C11" s="125"/>
      <c r="D11" s="136"/>
      <c r="E11" s="125"/>
      <c r="F11" s="125"/>
      <c r="G11" s="125"/>
      <c r="H11" s="125"/>
      <c r="I11" s="137">
        <f>+I197</f>
        <v>452827.44636599877</v>
      </c>
      <c r="J11" s="125"/>
      <c r="K11" s="125"/>
      <c r="L11" s="125"/>
      <c r="N11" s="125"/>
      <c r="O11" s="125"/>
      <c r="P11" s="125"/>
    </row>
    <row r="12" spans="1:16">
      <c r="A12" s="133"/>
      <c r="B12" s="125"/>
      <c r="C12" s="125"/>
      <c r="D12" s="125"/>
      <c r="E12" s="125"/>
      <c r="F12" s="125"/>
      <c r="G12" s="125"/>
      <c r="H12" s="125"/>
      <c r="I12" s="136"/>
      <c r="J12" s="125"/>
      <c r="K12" s="125"/>
      <c r="L12" s="125"/>
      <c r="N12" s="125"/>
      <c r="O12" s="125"/>
      <c r="P12" s="125"/>
    </row>
    <row r="13" spans="1:16" ht="16.5" thickBot="1">
      <c r="A13" s="133" t="s">
        <v>172</v>
      </c>
      <c r="B13" s="138" t="s">
        <v>188</v>
      </c>
      <c r="C13" s="132" t="s">
        <v>189</v>
      </c>
      <c r="D13" s="135" t="s">
        <v>144</v>
      </c>
      <c r="E13" s="132"/>
      <c r="F13" s="139" t="s">
        <v>190</v>
      </c>
      <c r="G13" s="139"/>
      <c r="H13" s="125"/>
      <c r="I13" s="136"/>
      <c r="J13" s="125"/>
      <c r="K13" s="125"/>
      <c r="L13" s="125"/>
      <c r="N13" s="125"/>
      <c r="O13" s="125"/>
      <c r="P13" s="125"/>
    </row>
    <row r="14" spans="1:16">
      <c r="A14" s="133">
        <v>2</v>
      </c>
      <c r="B14" s="138" t="s">
        <v>191</v>
      </c>
      <c r="C14" s="132" t="s">
        <v>192</v>
      </c>
      <c r="D14" s="132">
        <f>I257</f>
        <v>0</v>
      </c>
      <c r="E14" s="132"/>
      <c r="F14" s="132" t="s">
        <v>193</v>
      </c>
      <c r="G14" s="140">
        <f>I216</f>
        <v>1</v>
      </c>
      <c r="H14" s="132"/>
      <c r="I14" s="132">
        <f>+G14*D14</f>
        <v>0</v>
      </c>
      <c r="J14" s="125"/>
      <c r="K14" s="125"/>
      <c r="L14" s="125"/>
      <c r="N14" s="125"/>
      <c r="O14" s="125"/>
      <c r="P14" s="125"/>
    </row>
    <row r="15" spans="1:16">
      <c r="A15" s="133">
        <v>3</v>
      </c>
      <c r="B15" s="138" t="s">
        <v>194</v>
      </c>
      <c r="C15" s="132" t="s">
        <v>195</v>
      </c>
      <c r="D15" s="132">
        <f>I264</f>
        <v>0</v>
      </c>
      <c r="E15" s="132"/>
      <c r="F15" s="132" t="str">
        <f>+F14</f>
        <v>TP</v>
      </c>
      <c r="G15" s="140">
        <f>+G14</f>
        <v>1</v>
      </c>
      <c r="H15" s="132"/>
      <c r="I15" s="132">
        <f>+G15*D15</f>
        <v>0</v>
      </c>
      <c r="J15" s="125"/>
      <c r="K15" s="125"/>
      <c r="N15" s="125"/>
      <c r="O15" s="125"/>
      <c r="P15" s="125"/>
    </row>
    <row r="16" spans="1:16">
      <c r="A16" s="133">
        <v>4</v>
      </c>
      <c r="B16" s="138" t="s">
        <v>196</v>
      </c>
      <c r="C16" s="132"/>
      <c r="D16" s="141">
        <v>0</v>
      </c>
      <c r="E16" s="132"/>
      <c r="F16" s="132" t="s">
        <v>193</v>
      </c>
      <c r="G16" s="140">
        <f>+G14</f>
        <v>1</v>
      </c>
      <c r="H16" s="132"/>
      <c r="I16" s="132">
        <f>+G16*D16</f>
        <v>0</v>
      </c>
      <c r="J16" s="125"/>
      <c r="K16" s="125"/>
      <c r="L16" s="142" t="s">
        <v>197</v>
      </c>
      <c r="N16" s="125"/>
      <c r="O16" s="125"/>
      <c r="P16" s="125"/>
    </row>
    <row r="17" spans="1:16" ht="16.5" thickBot="1">
      <c r="A17" s="133">
        <v>5</v>
      </c>
      <c r="B17" s="138" t="s">
        <v>198</v>
      </c>
      <c r="C17" s="132"/>
      <c r="D17" s="141">
        <v>0</v>
      </c>
      <c r="E17" s="132"/>
      <c r="F17" s="132" t="s">
        <v>193</v>
      </c>
      <c r="G17" s="140">
        <f>+G14</f>
        <v>1</v>
      </c>
      <c r="H17" s="132"/>
      <c r="I17" s="143">
        <f>+G17*D17</f>
        <v>0</v>
      </c>
      <c r="J17" s="125"/>
      <c r="K17" s="125"/>
      <c r="L17" s="142" t="s">
        <v>199</v>
      </c>
      <c r="N17" s="125"/>
      <c r="O17" s="125"/>
      <c r="P17" s="125"/>
    </row>
    <row r="18" spans="1:16">
      <c r="A18" s="133">
        <v>6</v>
      </c>
      <c r="B18" s="138" t="s">
        <v>200</v>
      </c>
      <c r="C18" s="125"/>
      <c r="D18" s="144" t="s">
        <v>172</v>
      </c>
      <c r="E18" s="132"/>
      <c r="F18" s="132"/>
      <c r="G18" s="140"/>
      <c r="H18" s="132"/>
      <c r="I18" s="132">
        <f>SUM(I14:I17)</f>
        <v>0</v>
      </c>
      <c r="J18" s="125"/>
      <c r="K18" s="125"/>
      <c r="L18" s="125"/>
      <c r="N18" s="125"/>
      <c r="O18" s="125"/>
      <c r="P18" s="125"/>
    </row>
    <row r="19" spans="1:16">
      <c r="A19" s="133"/>
      <c r="B19" s="138"/>
      <c r="C19" s="125"/>
      <c r="I19" s="132"/>
      <c r="J19" s="125"/>
      <c r="K19" s="125"/>
      <c r="L19" s="125"/>
      <c r="N19" s="125"/>
      <c r="O19" s="125"/>
      <c r="P19" s="125"/>
    </row>
    <row r="20" spans="1:16" ht="16.5" thickBot="1">
      <c r="A20" s="133">
        <v>7</v>
      </c>
      <c r="B20" s="138" t="s">
        <v>201</v>
      </c>
      <c r="C20" s="125" t="s">
        <v>202</v>
      </c>
      <c r="D20" s="144" t="s">
        <v>172</v>
      </c>
      <c r="E20" s="132"/>
      <c r="F20" s="132"/>
      <c r="G20" s="132"/>
      <c r="H20" s="132"/>
      <c r="I20" s="145">
        <f>+I11-I18</f>
        <v>452827.44636599877</v>
      </c>
      <c r="J20" s="125"/>
      <c r="K20" s="125"/>
      <c r="L20" s="125"/>
      <c r="N20" s="125"/>
      <c r="O20" s="125"/>
      <c r="P20" s="125"/>
    </row>
    <row r="21" spans="1:16" ht="16.5" thickTop="1">
      <c r="A21" s="133"/>
      <c r="B21" s="138"/>
      <c r="C21" s="132"/>
      <c r="I21" s="132"/>
      <c r="J21" s="125"/>
      <c r="K21" s="125"/>
      <c r="L21" s="125"/>
      <c r="N21" s="125"/>
      <c r="O21" s="125"/>
      <c r="P21" s="125"/>
    </row>
    <row r="22" spans="1:16">
      <c r="A22" s="133" t="s">
        <v>172</v>
      </c>
      <c r="B22" s="138" t="s">
        <v>203</v>
      </c>
      <c r="C22" s="125"/>
      <c r="D22" s="136"/>
      <c r="E22" s="125"/>
      <c r="F22" s="125"/>
      <c r="G22" s="125"/>
      <c r="H22" s="125"/>
      <c r="I22" s="136"/>
      <c r="J22" s="125"/>
      <c r="K22" s="125"/>
      <c r="L22" s="125"/>
      <c r="N22" s="125"/>
      <c r="O22" s="125"/>
      <c r="P22" s="125"/>
    </row>
    <row r="23" spans="1:16">
      <c r="A23" s="133">
        <v>8</v>
      </c>
      <c r="B23" s="138" t="s">
        <v>204</v>
      </c>
      <c r="D23" s="136"/>
      <c r="E23" s="125"/>
      <c r="F23" s="125"/>
      <c r="G23" s="124" t="s">
        <v>205</v>
      </c>
      <c r="H23" s="125"/>
      <c r="I23" s="141">
        <v>36604</v>
      </c>
      <c r="J23" s="125"/>
      <c r="K23" s="125"/>
      <c r="L23" s="338" t="s">
        <v>566</v>
      </c>
      <c r="O23" s="125"/>
      <c r="P23" s="125"/>
    </row>
    <row r="24" spans="1:16">
      <c r="A24" s="133">
        <v>9</v>
      </c>
      <c r="B24" s="138" t="s">
        <v>206</v>
      </c>
      <c r="C24" s="132"/>
      <c r="D24" s="132"/>
      <c r="E24" s="132"/>
      <c r="F24" s="132"/>
      <c r="G24" s="132" t="s">
        <v>207</v>
      </c>
      <c r="H24" s="132"/>
      <c r="I24" s="141">
        <v>0</v>
      </c>
      <c r="J24" s="125"/>
      <c r="K24" s="125"/>
      <c r="L24" s="125"/>
      <c r="O24" s="125"/>
      <c r="P24" s="125"/>
    </row>
    <row r="25" spans="1:16">
      <c r="A25" s="133">
        <v>10</v>
      </c>
      <c r="B25" s="138" t="s">
        <v>208</v>
      </c>
      <c r="C25" s="125"/>
      <c r="D25" s="125"/>
      <c r="E25" s="125"/>
      <c r="F25" s="125"/>
      <c r="G25" s="124" t="s">
        <v>209</v>
      </c>
      <c r="H25" s="125"/>
      <c r="I25" s="141">
        <v>0</v>
      </c>
      <c r="J25" s="125"/>
      <c r="K25" s="125"/>
      <c r="L25" s="125"/>
      <c r="O25" s="125"/>
      <c r="P25" s="125"/>
    </row>
    <row r="26" spans="1:16">
      <c r="A26" s="133">
        <v>11</v>
      </c>
      <c r="B26" s="146" t="s">
        <v>210</v>
      </c>
      <c r="C26" s="125"/>
      <c r="D26" s="125"/>
      <c r="E26" s="125"/>
      <c r="F26" s="125"/>
      <c r="G26" s="124" t="s">
        <v>211</v>
      </c>
      <c r="H26" s="125"/>
      <c r="I26" s="141">
        <v>0</v>
      </c>
      <c r="J26" s="125"/>
      <c r="K26" s="125"/>
      <c r="L26" s="125"/>
      <c r="O26" s="125"/>
      <c r="P26" s="125"/>
    </row>
    <row r="27" spans="1:16">
      <c r="A27" s="133">
        <v>12</v>
      </c>
      <c r="B27" s="146" t="s">
        <v>212</v>
      </c>
      <c r="C27" s="125"/>
      <c r="D27" s="125"/>
      <c r="E27" s="125"/>
      <c r="F27" s="125"/>
      <c r="G27" s="124"/>
      <c r="H27" s="125"/>
      <c r="I27" s="141">
        <v>0</v>
      </c>
      <c r="J27" s="125"/>
      <c r="K27" s="125"/>
      <c r="L27" s="125"/>
      <c r="O27" s="125"/>
      <c r="P27" s="125"/>
    </row>
    <row r="28" spans="1:16">
      <c r="A28" s="133">
        <v>13</v>
      </c>
      <c r="B28" s="146" t="s">
        <v>213</v>
      </c>
      <c r="C28" s="125"/>
      <c r="D28" s="125"/>
      <c r="E28" s="125"/>
      <c r="F28" s="125"/>
      <c r="G28" s="124"/>
      <c r="H28" s="125"/>
      <c r="I28" s="147">
        <v>0</v>
      </c>
      <c r="J28" s="125"/>
      <c r="K28" s="125"/>
      <c r="L28" s="125"/>
      <c r="O28" s="125"/>
      <c r="P28" s="125"/>
    </row>
    <row r="29" spans="1:16" ht="16.5" thickBot="1">
      <c r="A29" s="133">
        <v>14</v>
      </c>
      <c r="B29" s="122" t="s">
        <v>214</v>
      </c>
      <c r="C29" s="125"/>
      <c r="D29" s="125"/>
      <c r="E29" s="125"/>
      <c r="F29" s="125"/>
      <c r="G29" s="125"/>
      <c r="H29" s="125"/>
      <c r="I29" s="148">
        <v>0</v>
      </c>
      <c r="J29" s="125"/>
      <c r="K29" s="125"/>
      <c r="L29" s="125"/>
      <c r="O29" s="125"/>
      <c r="P29" s="125"/>
    </row>
    <row r="30" spans="1:16">
      <c r="A30" s="133">
        <v>15</v>
      </c>
      <c r="B30" s="138" t="s">
        <v>215</v>
      </c>
      <c r="C30" s="125"/>
      <c r="D30" s="125"/>
      <c r="E30" s="125"/>
      <c r="F30" s="125"/>
      <c r="G30" s="125"/>
      <c r="H30" s="125"/>
      <c r="I30" s="136">
        <f>SUM(I23:I29)</f>
        <v>36604</v>
      </c>
      <c r="J30" s="125"/>
      <c r="K30" s="125"/>
      <c r="L30" s="125"/>
      <c r="O30" s="125"/>
      <c r="P30" s="125"/>
    </row>
    <row r="31" spans="1:16">
      <c r="A31" s="133"/>
      <c r="B31" s="138"/>
      <c r="C31" s="125"/>
      <c r="D31" s="125"/>
      <c r="E31" s="125"/>
      <c r="F31" s="125"/>
      <c r="G31" s="125"/>
      <c r="H31" s="125"/>
      <c r="I31" s="136"/>
      <c r="J31" s="125"/>
      <c r="K31" s="125"/>
      <c r="L31" s="125"/>
      <c r="N31" s="125"/>
      <c r="O31" s="125"/>
      <c r="P31" s="125"/>
    </row>
    <row r="32" spans="1:16">
      <c r="A32" s="133">
        <v>16</v>
      </c>
      <c r="B32" s="138" t="s">
        <v>216</v>
      </c>
      <c r="C32" s="125" t="s">
        <v>217</v>
      </c>
      <c r="D32" s="149">
        <f>IF(I30&gt;0,I20/I30,0)</f>
        <v>12.370982580209779</v>
      </c>
      <c r="E32" s="125"/>
      <c r="F32" s="125"/>
      <c r="G32" s="125"/>
      <c r="H32" s="125"/>
      <c r="J32" s="125"/>
      <c r="K32" s="125"/>
      <c r="L32" s="125"/>
      <c r="N32" s="125"/>
      <c r="O32" s="125"/>
      <c r="P32" s="125"/>
    </row>
    <row r="33" spans="1:16">
      <c r="A33" s="133">
        <v>17</v>
      </c>
      <c r="B33" s="138" t="s">
        <v>218</v>
      </c>
      <c r="C33" s="125"/>
      <c r="D33" s="149">
        <f>+D32/12</f>
        <v>1.0309152150174816</v>
      </c>
      <c r="E33" s="125"/>
      <c r="F33" s="125"/>
      <c r="G33" s="125"/>
      <c r="H33" s="125"/>
      <c r="J33" s="125"/>
      <c r="K33" s="125"/>
      <c r="L33" s="125"/>
      <c r="N33" s="125"/>
      <c r="O33" s="125"/>
      <c r="P33" s="125"/>
    </row>
    <row r="34" spans="1:16">
      <c r="A34" s="133"/>
      <c r="B34" s="138"/>
      <c r="C34" s="125"/>
      <c r="D34" s="149"/>
      <c r="E34" s="125"/>
      <c r="F34" s="125"/>
      <c r="G34" s="125"/>
      <c r="H34" s="125"/>
      <c r="J34" s="125"/>
      <c r="K34" s="125"/>
      <c r="L34" s="125"/>
      <c r="N34" s="125"/>
      <c r="O34" s="125"/>
      <c r="P34" s="125"/>
    </row>
    <row r="35" spans="1:16">
      <c r="A35" s="133"/>
      <c r="B35" s="138"/>
      <c r="C35" s="125"/>
      <c r="D35" s="150" t="s">
        <v>219</v>
      </c>
      <c r="E35" s="125"/>
      <c r="F35" s="125"/>
      <c r="G35" s="125"/>
      <c r="H35" s="125"/>
      <c r="I35" s="151" t="s">
        <v>220</v>
      </c>
      <c r="J35" s="125"/>
      <c r="K35" s="125"/>
      <c r="L35" s="125"/>
      <c r="N35" s="125"/>
      <c r="O35" s="125"/>
      <c r="P35" s="125"/>
    </row>
    <row r="36" spans="1:16">
      <c r="A36" s="133">
        <v>18</v>
      </c>
      <c r="B36" s="138" t="s">
        <v>221</v>
      </c>
      <c r="C36" s="125" t="s">
        <v>222</v>
      </c>
      <c r="D36" s="149">
        <f>+D32/52</f>
        <v>0.23790351115788036</v>
      </c>
      <c r="E36" s="125"/>
      <c r="F36" s="125"/>
      <c r="G36" s="125"/>
      <c r="H36" s="125"/>
      <c r="I36" s="152">
        <f>+D32/52</f>
        <v>0.23790351115788036</v>
      </c>
      <c r="J36" s="125"/>
      <c r="K36" s="125"/>
      <c r="L36" s="125"/>
      <c r="N36" s="125"/>
      <c r="O36" s="125"/>
      <c r="P36" s="125"/>
    </row>
    <row r="37" spans="1:16">
      <c r="A37" s="133">
        <v>19</v>
      </c>
      <c r="B37" s="138" t="s">
        <v>223</v>
      </c>
      <c r="C37" s="125" t="s">
        <v>224</v>
      </c>
      <c r="D37" s="149">
        <f>+D32/260</f>
        <v>4.7580702231576073E-2</v>
      </c>
      <c r="E37" s="125" t="s">
        <v>225</v>
      </c>
      <c r="G37" s="125"/>
      <c r="H37" s="125"/>
      <c r="I37" s="152">
        <f>+D32/365</f>
        <v>3.3893102959478845E-2</v>
      </c>
      <c r="J37" s="125"/>
      <c r="K37" s="125"/>
      <c r="L37" s="125"/>
      <c r="N37" s="125"/>
      <c r="O37" s="125"/>
      <c r="P37" s="125"/>
    </row>
    <row r="38" spans="1:16">
      <c r="A38" s="133">
        <v>20</v>
      </c>
      <c r="B38" s="138" t="s">
        <v>226</v>
      </c>
      <c r="C38" s="125" t="s">
        <v>227</v>
      </c>
      <c r="D38" s="149">
        <f>+D32/4160*1000</f>
        <v>2.9737938894735048</v>
      </c>
      <c r="E38" s="125" t="s">
        <v>228</v>
      </c>
      <c r="G38" s="125"/>
      <c r="H38" s="125"/>
      <c r="I38" s="152">
        <f>+D32/8760*1000</f>
        <v>1.4122126233116186</v>
      </c>
      <c r="J38" s="125"/>
      <c r="K38" s="125" t="s">
        <v>172</v>
      </c>
      <c r="L38" s="125"/>
      <c r="N38" s="125"/>
      <c r="O38" s="125"/>
      <c r="P38" s="125"/>
    </row>
    <row r="39" spans="1:16">
      <c r="A39" s="133"/>
      <c r="B39" s="138"/>
      <c r="C39" s="125" t="s">
        <v>229</v>
      </c>
      <c r="D39" s="125"/>
      <c r="E39" s="125" t="s">
        <v>230</v>
      </c>
      <c r="G39" s="125"/>
      <c r="H39" s="125"/>
      <c r="J39" s="125"/>
      <c r="K39" s="125" t="s">
        <v>172</v>
      </c>
      <c r="L39" s="125"/>
      <c r="N39" s="125"/>
      <c r="O39" s="125"/>
      <c r="P39" s="125"/>
    </row>
    <row r="40" spans="1:16">
      <c r="A40" s="133"/>
      <c r="B40" s="138"/>
      <c r="C40" s="125"/>
      <c r="D40" s="125"/>
      <c r="E40" s="125"/>
      <c r="G40" s="125"/>
      <c r="H40" s="125"/>
      <c r="J40" s="125"/>
      <c r="K40" s="125" t="s">
        <v>172</v>
      </c>
      <c r="L40" s="125"/>
      <c r="N40" s="125"/>
      <c r="O40" s="125"/>
      <c r="P40" s="125"/>
    </row>
    <row r="41" spans="1:16">
      <c r="A41" s="133">
        <v>21</v>
      </c>
      <c r="B41" s="138" t="s">
        <v>231</v>
      </c>
      <c r="C41" s="125" t="s">
        <v>232</v>
      </c>
      <c r="D41" s="153">
        <v>0</v>
      </c>
      <c r="E41" s="154" t="s">
        <v>233</v>
      </c>
      <c r="F41" s="154"/>
      <c r="G41" s="154"/>
      <c r="H41" s="154"/>
      <c r="I41" s="154">
        <f>D41</f>
        <v>0</v>
      </c>
      <c r="J41" s="154" t="s">
        <v>233</v>
      </c>
      <c r="K41" s="125"/>
      <c r="L41" s="125"/>
      <c r="N41" s="125"/>
      <c r="O41" s="125"/>
      <c r="P41" s="125"/>
    </row>
    <row r="42" spans="1:16">
      <c r="A42" s="133">
        <v>22</v>
      </c>
      <c r="B42" s="138"/>
      <c r="C42" s="125"/>
      <c r="D42" s="153">
        <v>0</v>
      </c>
      <c r="E42" s="154" t="s">
        <v>234</v>
      </c>
      <c r="F42" s="154"/>
      <c r="G42" s="154"/>
      <c r="H42" s="154"/>
      <c r="I42" s="154">
        <f>D42</f>
        <v>0</v>
      </c>
      <c r="J42" s="154" t="s">
        <v>234</v>
      </c>
      <c r="K42" s="125"/>
      <c r="L42" s="125"/>
      <c r="N42" s="125"/>
      <c r="O42" s="125"/>
      <c r="P42" s="125"/>
    </row>
    <row r="43" spans="1:16">
      <c r="J43" s="124"/>
      <c r="K43" s="125"/>
      <c r="L43" s="125"/>
      <c r="N43" s="125"/>
      <c r="O43" s="125"/>
      <c r="P43" s="125"/>
    </row>
    <row r="44" spans="1:16">
      <c r="J44" s="124"/>
      <c r="K44" s="125"/>
      <c r="L44" s="125"/>
      <c r="N44" s="125"/>
      <c r="O44" s="125"/>
      <c r="P44" s="125"/>
    </row>
    <row r="45" spans="1:16">
      <c r="J45" s="124"/>
      <c r="K45" s="125"/>
      <c r="L45" s="125"/>
      <c r="N45" s="125"/>
      <c r="O45" s="125"/>
      <c r="P45" s="125"/>
    </row>
    <row r="46" spans="1:16">
      <c r="J46" s="124"/>
      <c r="K46" s="125"/>
      <c r="L46" s="125"/>
      <c r="N46" s="125"/>
      <c r="O46" s="125"/>
      <c r="P46" s="125"/>
    </row>
    <row r="47" spans="1:16">
      <c r="J47" s="124"/>
      <c r="K47" s="125"/>
      <c r="L47" s="125"/>
      <c r="N47" s="125"/>
      <c r="O47" s="125"/>
      <c r="P47" s="125"/>
    </row>
    <row r="48" spans="1:16">
      <c r="J48" s="124"/>
      <c r="K48" s="125"/>
      <c r="L48" s="125"/>
      <c r="N48" s="125"/>
      <c r="O48" s="125"/>
      <c r="P48" s="125"/>
    </row>
    <row r="49" spans="10:16">
      <c r="J49" s="124"/>
      <c r="K49" s="125"/>
      <c r="L49" s="125"/>
      <c r="N49" s="125"/>
      <c r="O49" s="125"/>
      <c r="P49" s="125"/>
    </row>
    <row r="50" spans="10:16">
      <c r="J50" s="124"/>
      <c r="K50" s="125"/>
      <c r="L50" s="125"/>
      <c r="N50" s="125"/>
      <c r="O50" s="125"/>
      <c r="P50" s="125"/>
    </row>
    <row r="51" spans="10:16">
      <c r="J51" s="124"/>
      <c r="K51" s="125"/>
      <c r="L51" s="125"/>
      <c r="N51" s="125"/>
      <c r="O51" s="125"/>
      <c r="P51" s="125"/>
    </row>
    <row r="52" spans="10:16">
      <c r="J52" s="124"/>
      <c r="K52" s="125"/>
      <c r="L52" s="125"/>
      <c r="N52" s="125"/>
      <c r="O52" s="125"/>
      <c r="P52" s="125"/>
    </row>
    <row r="53" spans="10:16">
      <c r="J53" s="124"/>
      <c r="K53" s="125"/>
      <c r="L53" s="125"/>
      <c r="N53" s="125"/>
      <c r="O53" s="125"/>
      <c r="P53" s="125"/>
    </row>
    <row r="54" spans="10:16">
      <c r="J54" s="124"/>
      <c r="K54" s="125"/>
      <c r="L54" s="125"/>
      <c r="N54" s="125"/>
      <c r="O54" s="125"/>
      <c r="P54" s="125"/>
    </row>
    <row r="55" spans="10:16">
      <c r="J55" s="124"/>
      <c r="K55" s="125"/>
      <c r="L55" s="125"/>
      <c r="N55" s="125"/>
      <c r="O55" s="125"/>
      <c r="P55" s="125"/>
    </row>
    <row r="56" spans="10:16">
      <c r="J56" s="124"/>
      <c r="K56" s="125"/>
      <c r="L56" s="125"/>
      <c r="N56" s="125"/>
      <c r="O56" s="125"/>
      <c r="P56" s="125"/>
    </row>
    <row r="57" spans="10:16">
      <c r="J57" s="124"/>
      <c r="K57" s="125"/>
      <c r="L57" s="125"/>
      <c r="N57" s="125"/>
      <c r="O57" s="125"/>
      <c r="P57" s="125"/>
    </row>
    <row r="58" spans="10:16">
      <c r="J58" s="124"/>
      <c r="K58" s="125"/>
      <c r="L58" s="125"/>
      <c r="N58" s="125"/>
      <c r="O58" s="125"/>
      <c r="P58" s="125"/>
    </row>
    <row r="59" spans="10:16">
      <c r="J59" s="124"/>
      <c r="K59" s="125"/>
      <c r="L59" s="125"/>
      <c r="N59" s="125"/>
      <c r="O59" s="125"/>
      <c r="P59" s="125"/>
    </row>
    <row r="60" spans="10:16">
      <c r="J60" s="124"/>
      <c r="K60" s="125"/>
      <c r="L60" s="125"/>
      <c r="N60" s="125"/>
      <c r="O60" s="125"/>
      <c r="P60" s="125"/>
    </row>
    <row r="61" spans="10:16">
      <c r="J61" s="124"/>
      <c r="K61" s="125"/>
      <c r="L61" s="125"/>
      <c r="N61" s="125"/>
      <c r="O61" s="125"/>
      <c r="P61" s="125"/>
    </row>
    <row r="62" spans="10:16">
      <c r="J62" s="124"/>
      <c r="K62" s="125"/>
      <c r="L62" s="125"/>
      <c r="N62" s="125"/>
      <c r="O62" s="125"/>
      <c r="P62" s="125"/>
    </row>
    <row r="63" spans="10:16">
      <c r="J63" s="124"/>
      <c r="K63" s="125"/>
      <c r="L63" s="125"/>
      <c r="N63" s="125"/>
      <c r="O63" s="125"/>
      <c r="P63" s="125"/>
    </row>
    <row r="64" spans="10:16">
      <c r="J64" s="124"/>
      <c r="K64" s="125"/>
      <c r="L64" s="125"/>
      <c r="N64" s="125"/>
      <c r="O64" s="125"/>
      <c r="P64" s="125"/>
    </row>
    <row r="65" spans="1:16">
      <c r="J65" s="124"/>
      <c r="K65" s="125"/>
      <c r="L65" s="125"/>
      <c r="N65" s="125"/>
      <c r="O65" s="125"/>
      <c r="P65" s="125"/>
    </row>
    <row r="66" spans="1:16">
      <c r="J66" s="124"/>
      <c r="K66" s="125"/>
      <c r="L66" s="125"/>
      <c r="N66" s="125"/>
      <c r="O66" s="125"/>
      <c r="P66" s="125"/>
    </row>
    <row r="67" spans="1:16">
      <c r="J67" s="124"/>
      <c r="K67" s="125"/>
      <c r="L67" s="125"/>
      <c r="N67" s="125"/>
      <c r="O67" s="125"/>
      <c r="P67" s="125"/>
    </row>
    <row r="68" spans="1:16">
      <c r="J68" s="124"/>
      <c r="K68" s="121" t="s">
        <v>181</v>
      </c>
      <c r="L68" s="125"/>
      <c r="N68" s="125"/>
      <c r="O68" s="125"/>
      <c r="P68" s="125"/>
    </row>
    <row r="69" spans="1:16">
      <c r="B69" s="122"/>
      <c r="C69" s="122"/>
      <c r="D69" s="123"/>
      <c r="E69" s="122"/>
      <c r="F69" s="122"/>
      <c r="G69" s="122"/>
      <c r="H69" s="124"/>
      <c r="I69" s="124"/>
      <c r="K69" s="126" t="s">
        <v>235</v>
      </c>
      <c r="L69" s="126"/>
      <c r="N69" s="125"/>
      <c r="O69" s="125"/>
      <c r="P69" s="125"/>
    </row>
    <row r="70" spans="1:16">
      <c r="B70" s="125"/>
      <c r="C70" s="125"/>
      <c r="D70" s="125"/>
      <c r="E70" s="125"/>
      <c r="F70" s="125"/>
      <c r="G70" s="125"/>
      <c r="H70" s="125"/>
      <c r="I70" s="125"/>
      <c r="J70" s="125"/>
      <c r="K70" s="125"/>
      <c r="L70" s="125"/>
      <c r="N70" s="125"/>
      <c r="O70" s="125"/>
      <c r="P70" s="125"/>
    </row>
    <row r="71" spans="1:16">
      <c r="B71" s="138" t="str">
        <f>B4</f>
        <v xml:space="preserve">Formula Rate - Non-Levelized </v>
      </c>
      <c r="C71" s="138"/>
      <c r="D71" s="155" t="str">
        <f>D4</f>
        <v xml:space="preserve">   Rate Formula Template</v>
      </c>
      <c r="E71" s="138"/>
      <c r="F71" s="138"/>
      <c r="G71" s="138"/>
      <c r="H71" s="138"/>
      <c r="J71" s="138"/>
      <c r="K71" s="126" t="str">
        <f>K4</f>
        <v>For the 12 months ended 12/31/2012</v>
      </c>
      <c r="L71" s="125"/>
      <c r="N71" s="138"/>
      <c r="O71" s="138"/>
      <c r="P71" s="138"/>
    </row>
    <row r="72" spans="1:16">
      <c r="B72" s="138"/>
      <c r="C72" s="132" t="s">
        <v>172</v>
      </c>
      <c r="D72" s="132" t="str">
        <f>D5</f>
        <v>Utilizing EIA Form 412 Data</v>
      </c>
      <c r="E72" s="132"/>
      <c r="F72" s="132"/>
      <c r="G72" s="132"/>
      <c r="H72" s="132"/>
      <c r="I72" s="132"/>
      <c r="J72" s="132"/>
      <c r="K72" s="132"/>
      <c r="L72" s="125"/>
      <c r="N72" s="125"/>
      <c r="O72" s="132"/>
      <c r="P72" s="138"/>
    </row>
    <row r="73" spans="1:16">
      <c r="B73" s="138"/>
      <c r="C73" s="132" t="s">
        <v>172</v>
      </c>
      <c r="D73" s="132" t="s">
        <v>172</v>
      </c>
      <c r="E73" s="132"/>
      <c r="F73" s="132"/>
      <c r="G73" s="132" t="s">
        <v>172</v>
      </c>
      <c r="H73" s="132"/>
      <c r="I73" s="132"/>
      <c r="J73" s="132"/>
      <c r="K73" s="132"/>
      <c r="L73" s="138"/>
      <c r="N73" s="132"/>
      <c r="O73" s="132"/>
      <c r="P73" s="138"/>
    </row>
    <row r="74" spans="1:16">
      <c r="B74" s="138"/>
      <c r="C74" s="125"/>
      <c r="D74" s="132" t="str">
        <f>D7</f>
        <v>Worthington (Minnesota) Public Utilities</v>
      </c>
      <c r="E74" s="132"/>
      <c r="F74" s="132"/>
      <c r="G74" s="132"/>
      <c r="H74" s="132"/>
      <c r="I74" s="132"/>
      <c r="J74" s="132"/>
      <c r="K74" s="132"/>
      <c r="L74" s="138"/>
      <c r="N74" s="132"/>
      <c r="O74" s="132"/>
      <c r="P74" s="138"/>
    </row>
    <row r="75" spans="1:16">
      <c r="B75" s="127" t="s">
        <v>236</v>
      </c>
      <c r="C75" s="127" t="s">
        <v>237</v>
      </c>
      <c r="D75" s="127" t="s">
        <v>238</v>
      </c>
      <c r="E75" s="132" t="s">
        <v>172</v>
      </c>
      <c r="F75" s="132"/>
      <c r="G75" s="156" t="s">
        <v>239</v>
      </c>
      <c r="H75" s="132"/>
      <c r="I75" s="157" t="s">
        <v>240</v>
      </c>
      <c r="J75" s="132"/>
      <c r="K75" s="127"/>
      <c r="L75" s="138"/>
      <c r="N75" s="127"/>
      <c r="O75" s="132"/>
      <c r="P75" s="138"/>
    </row>
    <row r="76" spans="1:16">
      <c r="A76" s="133" t="s">
        <v>1</v>
      </c>
      <c r="B76" s="138"/>
      <c r="C76" s="158" t="s">
        <v>241</v>
      </c>
      <c r="D76" s="132"/>
      <c r="E76" s="132"/>
      <c r="F76" s="132"/>
      <c r="G76" s="133"/>
      <c r="H76" s="132"/>
      <c r="I76" s="159" t="s">
        <v>242</v>
      </c>
      <c r="J76" s="132"/>
      <c r="K76" s="127"/>
      <c r="L76" s="138"/>
      <c r="N76" s="127"/>
      <c r="O76" s="127"/>
      <c r="P76" s="138"/>
    </row>
    <row r="77" spans="1:16" ht="16.5" thickBot="1">
      <c r="A77" s="135" t="s">
        <v>2</v>
      </c>
      <c r="B77" s="160" t="s">
        <v>243</v>
      </c>
      <c r="C77" s="161" t="s">
        <v>244</v>
      </c>
      <c r="D77" s="159" t="s">
        <v>245</v>
      </c>
      <c r="E77" s="162"/>
      <c r="F77" s="159" t="s">
        <v>246</v>
      </c>
      <c r="H77" s="162"/>
      <c r="I77" s="133" t="s">
        <v>247</v>
      </c>
      <c r="J77" s="132"/>
      <c r="K77" s="127"/>
      <c r="L77" s="138"/>
      <c r="N77" s="127"/>
      <c r="O77" s="127"/>
      <c r="P77" s="138"/>
    </row>
    <row r="78" spans="1:16">
      <c r="A78" s="133"/>
      <c r="B78" s="138" t="s">
        <v>248</v>
      </c>
      <c r="C78" s="132"/>
      <c r="D78" s="132"/>
      <c r="E78" s="132"/>
      <c r="F78" s="132"/>
      <c r="G78" s="132"/>
      <c r="H78" s="132"/>
      <c r="I78" s="132"/>
      <c r="J78" s="132"/>
      <c r="K78" s="132"/>
      <c r="L78" s="138"/>
      <c r="N78" s="132"/>
      <c r="O78" s="132"/>
      <c r="P78" s="138"/>
    </row>
    <row r="79" spans="1:16">
      <c r="A79" s="133">
        <v>1</v>
      </c>
      <c r="B79" s="138" t="s">
        <v>249</v>
      </c>
      <c r="C79" s="132" t="s">
        <v>250</v>
      </c>
      <c r="D79" s="163">
        <f>+'Electric Plant'!G14</f>
        <v>6092763.3899999997</v>
      </c>
      <c r="E79" s="132"/>
      <c r="F79" s="132" t="s">
        <v>251</v>
      </c>
      <c r="G79" s="164" t="s">
        <v>172</v>
      </c>
      <c r="H79" s="132"/>
      <c r="I79" s="132" t="s">
        <v>172</v>
      </c>
      <c r="J79" s="132"/>
      <c r="K79" s="132"/>
      <c r="L79" s="138" t="s">
        <v>568</v>
      </c>
      <c r="O79" s="132"/>
      <c r="P79" s="138"/>
    </row>
    <row r="80" spans="1:16">
      <c r="A80" s="133">
        <v>2</v>
      </c>
      <c r="B80" s="138" t="s">
        <v>252</v>
      </c>
      <c r="C80" s="132" t="s">
        <v>253</v>
      </c>
      <c r="D80" s="163">
        <f>+'Electric Plant'!G17</f>
        <v>2940891.0000000005</v>
      </c>
      <c r="E80" s="132"/>
      <c r="F80" s="132" t="s">
        <v>193</v>
      </c>
      <c r="G80" s="164">
        <f>I216</f>
        <v>1</v>
      </c>
      <c r="H80" s="132"/>
      <c r="I80" s="132">
        <f>+G80*D80</f>
        <v>2940891.0000000005</v>
      </c>
      <c r="J80" s="132"/>
      <c r="K80" s="132"/>
      <c r="L80" s="138" t="s">
        <v>568</v>
      </c>
      <c r="O80" s="132"/>
      <c r="P80" s="138"/>
    </row>
    <row r="81" spans="1:16">
      <c r="A81" s="133">
        <v>3</v>
      </c>
      <c r="B81" s="138" t="s">
        <v>254</v>
      </c>
      <c r="C81" s="132" t="s">
        <v>255</v>
      </c>
      <c r="D81" s="163">
        <f>+'Electric Plant'!G18</f>
        <v>18065956.940000001</v>
      </c>
      <c r="E81" s="132"/>
      <c r="F81" s="132" t="s">
        <v>251</v>
      </c>
      <c r="G81" s="164" t="s">
        <v>172</v>
      </c>
      <c r="H81" s="132"/>
      <c r="I81" s="132" t="s">
        <v>172</v>
      </c>
      <c r="J81" s="132"/>
      <c r="K81" s="132"/>
      <c r="L81" s="138" t="s">
        <v>568</v>
      </c>
      <c r="O81" s="132"/>
      <c r="P81" s="138"/>
    </row>
    <row r="82" spans="1:16">
      <c r="A82" s="133">
        <v>4</v>
      </c>
      <c r="B82" s="138" t="s">
        <v>256</v>
      </c>
      <c r="C82" s="132" t="s">
        <v>257</v>
      </c>
      <c r="D82" s="163">
        <f>+'Electric Plant'!G19</f>
        <v>1322805.18</v>
      </c>
      <c r="E82" s="132"/>
      <c r="F82" s="132" t="s">
        <v>258</v>
      </c>
      <c r="G82" s="164">
        <f>I232</f>
        <v>0</v>
      </c>
      <c r="H82" s="132"/>
      <c r="I82" s="132">
        <f>+G82*D82</f>
        <v>0</v>
      </c>
      <c r="J82" s="132"/>
      <c r="K82" s="132"/>
      <c r="L82" s="138" t="s">
        <v>568</v>
      </c>
      <c r="O82" s="127"/>
      <c r="P82" s="138"/>
    </row>
    <row r="83" spans="1:16" ht="16.5" thickBot="1">
      <c r="A83" s="133">
        <v>5</v>
      </c>
      <c r="B83" s="138" t="s">
        <v>259</v>
      </c>
      <c r="C83" s="132"/>
      <c r="D83" s="163">
        <v>0</v>
      </c>
      <c r="E83" s="132"/>
      <c r="F83" s="132" t="s">
        <v>260</v>
      </c>
      <c r="G83" s="164">
        <f>K236</f>
        <v>0</v>
      </c>
      <c r="H83" s="132"/>
      <c r="I83" s="143">
        <f>+G83*D83</f>
        <v>0</v>
      </c>
      <c r="J83" s="132"/>
      <c r="K83" s="132"/>
      <c r="L83" s="138" t="s">
        <v>553</v>
      </c>
      <c r="O83" s="127"/>
      <c r="P83" s="138"/>
    </row>
    <row r="84" spans="1:16">
      <c r="A84" s="133">
        <v>6</v>
      </c>
      <c r="B84" s="122" t="s">
        <v>261</v>
      </c>
      <c r="C84" s="132"/>
      <c r="D84" s="132">
        <f>SUM(D79:D83)</f>
        <v>28422416.510000002</v>
      </c>
      <c r="E84" s="132"/>
      <c r="F84" s="132" t="s">
        <v>262</v>
      </c>
      <c r="G84" s="166">
        <f>IF(I84&gt;0,I84/D84,0)</f>
        <v>0.10347082905372568</v>
      </c>
      <c r="H84" s="132"/>
      <c r="I84" s="132">
        <f>SUM(I79:I83)</f>
        <v>2940891.0000000005</v>
      </c>
      <c r="J84" s="132"/>
      <c r="K84" s="166"/>
      <c r="L84" s="138"/>
      <c r="N84" s="132"/>
      <c r="O84" s="132"/>
      <c r="P84" s="138"/>
    </row>
    <row r="85" spans="1:16">
      <c r="B85" s="138"/>
      <c r="C85" s="132"/>
      <c r="D85" s="132"/>
      <c r="E85" s="132"/>
      <c r="F85" s="132"/>
      <c r="G85" s="166"/>
      <c r="H85" s="132"/>
      <c r="I85" s="132"/>
      <c r="J85" s="132"/>
      <c r="K85" s="166"/>
      <c r="L85" s="138"/>
      <c r="N85" s="132"/>
      <c r="O85" s="132"/>
      <c r="P85" s="138"/>
    </row>
    <row r="86" spans="1:16">
      <c r="B86" s="138" t="s">
        <v>263</v>
      </c>
      <c r="C86" s="132"/>
      <c r="D86" s="132"/>
      <c r="E86" s="132"/>
      <c r="F86" s="132"/>
      <c r="G86" s="132"/>
      <c r="H86" s="132"/>
      <c r="I86" s="132"/>
      <c r="J86" s="132"/>
      <c r="K86" s="132"/>
      <c r="L86" s="138"/>
      <c r="N86" s="132"/>
      <c r="O86" s="132"/>
      <c r="P86" s="138"/>
    </row>
    <row r="87" spans="1:16">
      <c r="A87" s="133">
        <v>7</v>
      </c>
      <c r="B87" s="138" t="str">
        <f>+B79</f>
        <v xml:space="preserve">  Production</v>
      </c>
      <c r="D87" s="167">
        <f>+'Electric Plant'!I14</f>
        <v>1572745</v>
      </c>
      <c r="E87" s="132"/>
      <c r="F87" s="132" t="str">
        <f t="shared" ref="F87:G91" si="0">+F79</f>
        <v>NA</v>
      </c>
      <c r="G87" s="164" t="str">
        <f t="shared" si="0"/>
        <v xml:space="preserve"> </v>
      </c>
      <c r="H87" s="132"/>
      <c r="I87" s="132" t="s">
        <v>172</v>
      </c>
      <c r="J87" s="132"/>
      <c r="K87" s="132"/>
      <c r="L87" s="138" t="s">
        <v>568</v>
      </c>
      <c r="N87" s="132"/>
      <c r="O87" s="132"/>
      <c r="P87" s="138"/>
    </row>
    <row r="88" spans="1:16">
      <c r="A88" s="133">
        <v>8</v>
      </c>
      <c r="B88" s="138" t="str">
        <f>+B80</f>
        <v xml:space="preserve">  Transmission</v>
      </c>
      <c r="D88" s="167">
        <f>+'Electric Plant'!I17</f>
        <v>283089</v>
      </c>
      <c r="E88" s="132"/>
      <c r="F88" s="132" t="str">
        <f t="shared" si="0"/>
        <v>TP</v>
      </c>
      <c r="G88" s="164">
        <f t="shared" si="0"/>
        <v>1</v>
      </c>
      <c r="H88" s="132"/>
      <c r="I88" s="132">
        <f>+G88*D88</f>
        <v>283089</v>
      </c>
      <c r="J88" s="132"/>
      <c r="K88" s="132"/>
      <c r="L88" s="138" t="s">
        <v>568</v>
      </c>
      <c r="N88" s="132"/>
      <c r="O88" s="132"/>
      <c r="P88" s="138"/>
    </row>
    <row r="89" spans="1:16">
      <c r="A89" s="133">
        <v>9</v>
      </c>
      <c r="B89" s="138" t="str">
        <f>+B81</f>
        <v xml:space="preserve">  Distribution</v>
      </c>
      <c r="D89" s="167">
        <f>+'Electric Plant'!I18</f>
        <v>8927990</v>
      </c>
      <c r="E89" s="132"/>
      <c r="F89" s="132" t="str">
        <f t="shared" si="0"/>
        <v>NA</v>
      </c>
      <c r="G89" s="164" t="str">
        <f t="shared" si="0"/>
        <v xml:space="preserve"> </v>
      </c>
      <c r="H89" s="132"/>
      <c r="I89" s="132" t="s">
        <v>172</v>
      </c>
      <c r="J89" s="132"/>
      <c r="K89" s="132"/>
      <c r="L89" s="138" t="s">
        <v>568</v>
      </c>
      <c r="N89" s="132"/>
      <c r="O89" s="132"/>
      <c r="P89" s="138"/>
    </row>
    <row r="90" spans="1:16">
      <c r="A90" s="133">
        <v>10</v>
      </c>
      <c r="B90" s="138" t="str">
        <f>+B82</f>
        <v xml:space="preserve">  General &amp; Intangible</v>
      </c>
      <c r="D90" s="167">
        <f>+'Electric Plant'!I19</f>
        <v>779612</v>
      </c>
      <c r="E90" s="132"/>
      <c r="F90" s="132" t="str">
        <f t="shared" si="0"/>
        <v>W/S</v>
      </c>
      <c r="G90" s="164">
        <f t="shared" si="0"/>
        <v>0</v>
      </c>
      <c r="H90" s="132"/>
      <c r="I90" s="132">
        <f>+G90*D90</f>
        <v>0</v>
      </c>
      <c r="J90" s="132"/>
      <c r="K90" s="132"/>
      <c r="L90" s="138" t="s">
        <v>568</v>
      </c>
      <c r="N90" s="132"/>
      <c r="O90" s="127"/>
      <c r="P90" s="138"/>
    </row>
    <row r="91" spans="1:16" ht="16.5" thickBot="1">
      <c r="A91" s="133">
        <v>11</v>
      </c>
      <c r="B91" s="138" t="str">
        <f>+B83</f>
        <v xml:space="preserve">  Common</v>
      </c>
      <c r="C91" s="132"/>
      <c r="D91" s="165">
        <v>0</v>
      </c>
      <c r="E91" s="132"/>
      <c r="F91" s="132" t="str">
        <f t="shared" si="0"/>
        <v>CE</v>
      </c>
      <c r="G91" s="164">
        <f t="shared" si="0"/>
        <v>0</v>
      </c>
      <c r="H91" s="132"/>
      <c r="I91" s="143">
        <f>+G91*D91</f>
        <v>0</v>
      </c>
      <c r="J91" s="132"/>
      <c r="K91" s="132"/>
      <c r="L91" s="138"/>
      <c r="N91" s="132"/>
      <c r="O91" s="127"/>
      <c r="P91" s="138"/>
    </row>
    <row r="92" spans="1:16">
      <c r="A92" s="133">
        <v>12</v>
      </c>
      <c r="B92" s="138" t="s">
        <v>264</v>
      </c>
      <c r="C92" s="132"/>
      <c r="D92" s="132">
        <f>SUM(D87:D91)</f>
        <v>11563436</v>
      </c>
      <c r="E92" s="132"/>
      <c r="F92" s="132"/>
      <c r="G92" s="132"/>
      <c r="H92" s="132"/>
      <c r="I92" s="132">
        <f>SUM(I87:I91)</f>
        <v>283089</v>
      </c>
      <c r="J92" s="132"/>
      <c r="K92" s="132"/>
      <c r="L92" s="138"/>
      <c r="N92" s="168"/>
      <c r="O92" s="132"/>
      <c r="P92" s="138"/>
    </row>
    <row r="93" spans="1:16">
      <c r="A93" s="133"/>
      <c r="C93" s="132" t="s">
        <v>172</v>
      </c>
      <c r="E93" s="132"/>
      <c r="F93" s="132"/>
      <c r="G93" s="166"/>
      <c r="H93" s="132"/>
      <c r="J93" s="132"/>
      <c r="K93" s="166"/>
      <c r="L93" s="138"/>
      <c r="N93" s="132"/>
      <c r="O93" s="132"/>
      <c r="P93" s="138"/>
    </row>
    <row r="94" spans="1:16">
      <c r="A94" s="133"/>
      <c r="B94" s="138" t="s">
        <v>265</v>
      </c>
      <c r="C94" s="132"/>
      <c r="D94" s="132"/>
      <c r="E94" s="132"/>
      <c r="F94" s="132"/>
      <c r="G94" s="132"/>
      <c r="H94" s="132"/>
      <c r="I94" s="132"/>
      <c r="J94" s="132"/>
      <c r="K94" s="132"/>
      <c r="L94" s="138"/>
      <c r="N94" s="132"/>
      <c r="O94" s="132"/>
      <c r="P94" s="138"/>
    </row>
    <row r="95" spans="1:16">
      <c r="A95" s="133">
        <v>13</v>
      </c>
      <c r="B95" s="138" t="str">
        <f>+B87</f>
        <v xml:space="preserve">  Production</v>
      </c>
      <c r="C95" s="132" t="s">
        <v>266</v>
      </c>
      <c r="D95" s="132">
        <f>D79-D87</f>
        <v>4520018.3899999997</v>
      </c>
      <c r="E95" s="132"/>
      <c r="F95" s="132"/>
      <c r="G95" s="166"/>
      <c r="H95" s="132"/>
      <c r="I95" s="132" t="s">
        <v>172</v>
      </c>
      <c r="J95" s="132"/>
      <c r="K95" s="166"/>
      <c r="L95" s="138"/>
      <c r="N95" s="132"/>
      <c r="O95" s="132"/>
      <c r="P95" s="138"/>
    </row>
    <row r="96" spans="1:16">
      <c r="A96" s="133">
        <v>14</v>
      </c>
      <c r="B96" s="138" t="str">
        <f>+B88</f>
        <v xml:space="preserve">  Transmission</v>
      </c>
      <c r="C96" s="132" t="s">
        <v>267</v>
      </c>
      <c r="D96" s="132">
        <f>D80-D88</f>
        <v>2657802.0000000005</v>
      </c>
      <c r="E96" s="132"/>
      <c r="F96" s="132"/>
      <c r="G96" s="164"/>
      <c r="H96" s="132"/>
      <c r="I96" s="132">
        <f>I80-I88</f>
        <v>2657802.0000000005</v>
      </c>
      <c r="J96" s="132"/>
      <c r="K96" s="166"/>
      <c r="L96" s="138"/>
      <c r="N96" s="132"/>
      <c r="O96" s="132"/>
      <c r="P96" s="138"/>
    </row>
    <row r="97" spans="1:16">
      <c r="A97" s="133">
        <v>15</v>
      </c>
      <c r="B97" s="138" t="str">
        <f>+B89</f>
        <v xml:space="preserve">  Distribution</v>
      </c>
      <c r="C97" s="132" t="s">
        <v>268</v>
      </c>
      <c r="D97" s="132">
        <f>D81-D89</f>
        <v>9137966.9400000013</v>
      </c>
      <c r="E97" s="132"/>
      <c r="F97" s="132"/>
      <c r="G97" s="166"/>
      <c r="H97" s="132"/>
      <c r="I97" s="132" t="s">
        <v>172</v>
      </c>
      <c r="J97" s="132"/>
      <c r="K97" s="166"/>
      <c r="L97" s="138"/>
      <c r="N97" s="132"/>
      <c r="O97" s="132"/>
      <c r="P97" s="138"/>
    </row>
    <row r="98" spans="1:16">
      <c r="A98" s="133">
        <v>16</v>
      </c>
      <c r="B98" s="138" t="str">
        <f>+B90</f>
        <v xml:space="preserve">  General &amp; Intangible</v>
      </c>
      <c r="C98" s="132" t="s">
        <v>269</v>
      </c>
      <c r="D98" s="132">
        <f>D82-D90</f>
        <v>543193.17999999993</v>
      </c>
      <c r="E98" s="132"/>
      <c r="F98" s="132"/>
      <c r="G98" s="166"/>
      <c r="H98" s="132"/>
      <c r="I98" s="132">
        <f>I82-I90</f>
        <v>0</v>
      </c>
      <c r="J98" s="132"/>
      <c r="K98" s="166"/>
      <c r="L98" s="138"/>
      <c r="N98" s="132"/>
      <c r="O98" s="127"/>
      <c r="P98" s="138"/>
    </row>
    <row r="99" spans="1:16" ht="16.5" thickBot="1">
      <c r="A99" s="133">
        <v>17</v>
      </c>
      <c r="B99" s="138" t="str">
        <f>+B91</f>
        <v xml:space="preserve">  Common</v>
      </c>
      <c r="C99" s="132" t="s">
        <v>270</v>
      </c>
      <c r="D99" s="143">
        <f>D83-D91</f>
        <v>0</v>
      </c>
      <c r="E99" s="132"/>
      <c r="F99" s="132"/>
      <c r="G99" s="166"/>
      <c r="H99" s="132"/>
      <c r="I99" s="143">
        <f>I83-I91</f>
        <v>0</v>
      </c>
      <c r="J99" s="132"/>
      <c r="K99" s="166"/>
      <c r="L99" s="138"/>
      <c r="N99" s="132"/>
      <c r="O99" s="127"/>
      <c r="P99" s="138"/>
    </row>
    <row r="100" spans="1:16">
      <c r="A100" s="133">
        <v>18</v>
      </c>
      <c r="B100" s="138" t="s">
        <v>271</v>
      </c>
      <c r="C100" s="132"/>
      <c r="D100" s="132">
        <f>SUM(D95:D99)</f>
        <v>16858980.510000002</v>
      </c>
      <c r="E100" s="132"/>
      <c r="F100" s="132" t="s">
        <v>272</v>
      </c>
      <c r="G100" s="166">
        <f>IF(I100&gt;0,I100/D100,0)</f>
        <v>0.15764903449668916</v>
      </c>
      <c r="H100" s="132"/>
      <c r="I100" s="132">
        <f>SUM(I95:I99)</f>
        <v>2657802.0000000005</v>
      </c>
      <c r="J100" s="132"/>
      <c r="K100" s="132"/>
      <c r="L100" s="138"/>
      <c r="N100" s="144"/>
      <c r="O100" s="132"/>
      <c r="P100" s="138"/>
    </row>
    <row r="101" spans="1:16">
      <c r="A101" s="133"/>
      <c r="C101" s="132"/>
      <c r="E101" s="132"/>
      <c r="H101" s="132"/>
      <c r="J101" s="132"/>
      <c r="K101" s="166"/>
      <c r="L101" s="138"/>
      <c r="N101" s="132"/>
      <c r="O101" s="132"/>
      <c r="P101" s="138"/>
    </row>
    <row r="102" spans="1:16">
      <c r="A102" s="133"/>
      <c r="B102" s="122" t="s">
        <v>273</v>
      </c>
      <c r="C102" s="132"/>
      <c r="D102" s="132"/>
      <c r="E102" s="132"/>
      <c r="F102" s="132"/>
      <c r="G102" s="132"/>
      <c r="H102" s="132"/>
      <c r="I102" s="132"/>
      <c r="J102" s="132"/>
      <c r="K102" s="132"/>
      <c r="L102" s="138"/>
      <c r="N102" s="132" t="s">
        <v>172</v>
      </c>
      <c r="O102" s="132"/>
      <c r="P102" s="138"/>
    </row>
    <row r="103" spans="1:16">
      <c r="A103" s="133">
        <v>19</v>
      </c>
      <c r="B103" s="138" t="s">
        <v>274</v>
      </c>
      <c r="C103" s="132"/>
      <c r="D103" s="167">
        <v>0</v>
      </c>
      <c r="E103" s="132"/>
      <c r="F103" s="132"/>
      <c r="G103" s="169" t="s">
        <v>275</v>
      </c>
      <c r="H103" s="132"/>
      <c r="I103" s="132">
        <v>0</v>
      </c>
      <c r="J103" s="132"/>
      <c r="K103" s="166"/>
      <c r="L103" s="138"/>
      <c r="N103" s="166"/>
      <c r="O103" s="127"/>
      <c r="P103" s="138"/>
    </row>
    <row r="104" spans="1:16">
      <c r="A104" s="133">
        <v>20</v>
      </c>
      <c r="B104" s="138" t="s">
        <v>276</v>
      </c>
      <c r="C104" s="132"/>
      <c r="D104" s="167">
        <v>0</v>
      </c>
      <c r="E104" s="132"/>
      <c r="F104" s="132" t="s">
        <v>277</v>
      </c>
      <c r="G104" s="164">
        <f>+G100</f>
        <v>0.15764903449668916</v>
      </c>
      <c r="H104" s="132"/>
      <c r="I104" s="132">
        <f>D104*G104</f>
        <v>0</v>
      </c>
      <c r="J104" s="132"/>
      <c r="K104" s="166"/>
      <c r="L104" s="138"/>
      <c r="N104" s="166"/>
      <c r="O104" s="127"/>
      <c r="P104" s="138"/>
    </row>
    <row r="105" spans="1:16">
      <c r="A105" s="133">
        <v>21</v>
      </c>
      <c r="B105" s="138" t="s">
        <v>278</v>
      </c>
      <c r="C105" s="132"/>
      <c r="D105" s="163">
        <v>0</v>
      </c>
      <c r="E105" s="132"/>
      <c r="F105" s="132" t="s">
        <v>277</v>
      </c>
      <c r="G105" s="164">
        <f>+G104</f>
        <v>0.15764903449668916</v>
      </c>
      <c r="H105" s="132"/>
      <c r="I105" s="132">
        <f>D105*G105</f>
        <v>0</v>
      </c>
      <c r="J105" s="132"/>
      <c r="K105" s="166"/>
      <c r="L105" s="138"/>
      <c r="N105" s="166"/>
      <c r="O105" s="127"/>
      <c r="P105" s="138"/>
    </row>
    <row r="106" spans="1:16">
      <c r="A106" s="133">
        <v>22</v>
      </c>
      <c r="B106" s="138" t="s">
        <v>279</v>
      </c>
      <c r="C106" s="132"/>
      <c r="D106" s="163">
        <v>0</v>
      </c>
      <c r="E106" s="132"/>
      <c r="F106" s="132" t="str">
        <f>+F105</f>
        <v>NP</v>
      </c>
      <c r="G106" s="164">
        <f>+G105</f>
        <v>0.15764903449668916</v>
      </c>
      <c r="H106" s="132"/>
      <c r="I106" s="132">
        <f>D106*G106</f>
        <v>0</v>
      </c>
      <c r="J106" s="132"/>
      <c r="K106" s="166"/>
      <c r="L106" s="138"/>
      <c r="N106" s="166"/>
      <c r="O106" s="127"/>
      <c r="P106" s="138"/>
    </row>
    <row r="107" spans="1:16" ht="16.5" thickBot="1">
      <c r="A107" s="133">
        <v>23</v>
      </c>
      <c r="B107" s="120" t="s">
        <v>280</v>
      </c>
      <c r="D107" s="165">
        <v>0</v>
      </c>
      <c r="E107" s="132"/>
      <c r="F107" s="132" t="s">
        <v>277</v>
      </c>
      <c r="G107" s="164">
        <f>+G105</f>
        <v>0.15764903449668916</v>
      </c>
      <c r="H107" s="132"/>
      <c r="I107" s="143">
        <f>D107*G107</f>
        <v>0</v>
      </c>
      <c r="J107" s="132"/>
      <c r="K107" s="132"/>
      <c r="L107" s="138"/>
      <c r="N107" s="168"/>
      <c r="O107" s="132"/>
      <c r="P107" s="138"/>
    </row>
    <row r="108" spans="1:16">
      <c r="A108" s="133">
        <v>24</v>
      </c>
      <c r="B108" s="138" t="s">
        <v>281</v>
      </c>
      <c r="C108" s="132"/>
      <c r="D108" s="132">
        <f>SUM(D103:D107)</f>
        <v>0</v>
      </c>
      <c r="E108" s="132"/>
      <c r="F108" s="132"/>
      <c r="G108" s="132"/>
      <c r="H108" s="132"/>
      <c r="I108" s="132">
        <f>SUM(I103:I107)</f>
        <v>0</v>
      </c>
      <c r="J108" s="132"/>
      <c r="K108" s="166"/>
      <c r="L108" s="138"/>
      <c r="N108" s="132"/>
      <c r="O108" s="132"/>
      <c r="P108" s="138"/>
    </row>
    <row r="109" spans="1:16">
      <c r="A109" s="133"/>
      <c r="B109" s="138"/>
      <c r="C109" s="132"/>
      <c r="D109" s="132"/>
      <c r="E109" s="132"/>
      <c r="F109" s="132"/>
      <c r="G109" s="132"/>
      <c r="H109" s="132"/>
      <c r="I109" s="132"/>
      <c r="J109" s="132"/>
      <c r="K109" s="166"/>
      <c r="L109" s="138"/>
      <c r="N109" s="132"/>
      <c r="O109" s="132"/>
      <c r="P109" s="138"/>
    </row>
    <row r="110" spans="1:16">
      <c r="A110" s="133">
        <v>25</v>
      </c>
      <c r="B110" s="122" t="s">
        <v>282</v>
      </c>
      <c r="C110" s="132" t="s">
        <v>283</v>
      </c>
      <c r="D110" s="167">
        <v>0</v>
      </c>
      <c r="E110" s="132"/>
      <c r="F110" s="132" t="str">
        <f>+F88</f>
        <v>TP</v>
      </c>
      <c r="G110" s="164">
        <f>+G88</f>
        <v>1</v>
      </c>
      <c r="H110" s="132"/>
      <c r="I110" s="132">
        <f>+G110*D110</f>
        <v>0</v>
      </c>
      <c r="J110" s="132"/>
      <c r="K110" s="132"/>
      <c r="L110" s="138"/>
      <c r="N110" s="132"/>
      <c r="O110" s="132"/>
      <c r="P110" s="138"/>
    </row>
    <row r="111" spans="1:16">
      <c r="A111" s="133"/>
      <c r="B111" s="138"/>
      <c r="C111" s="132"/>
      <c r="D111" s="132"/>
      <c r="E111" s="132"/>
      <c r="F111" s="132"/>
      <c r="G111" s="132"/>
      <c r="H111" s="132"/>
      <c r="I111" s="132"/>
      <c r="J111" s="132"/>
      <c r="K111" s="132"/>
      <c r="L111" s="138"/>
      <c r="N111" s="132"/>
      <c r="O111" s="132"/>
      <c r="P111" s="138"/>
    </row>
    <row r="112" spans="1:16">
      <c r="A112" s="133"/>
      <c r="B112" s="138" t="s">
        <v>284</v>
      </c>
      <c r="C112" s="132" t="s">
        <v>285</v>
      </c>
      <c r="D112" s="132"/>
      <c r="E112" s="132"/>
      <c r="F112" s="132"/>
      <c r="G112" s="132"/>
      <c r="H112" s="132"/>
      <c r="I112" s="132"/>
      <c r="J112" s="132"/>
      <c r="K112" s="132"/>
      <c r="L112" s="138"/>
      <c r="N112" s="132"/>
      <c r="O112" s="132"/>
      <c r="P112" s="138"/>
    </row>
    <row r="113" spans="1:16">
      <c r="A113" s="133">
        <v>26</v>
      </c>
      <c r="B113" s="138" t="s">
        <v>286</v>
      </c>
      <c r="D113" s="132">
        <f>D154/8</f>
        <v>46770.125</v>
      </c>
      <c r="E113" s="132"/>
      <c r="F113" s="132"/>
      <c r="G113" s="166"/>
      <c r="H113" s="132"/>
      <c r="I113" s="132">
        <f>I154/8</f>
        <v>0</v>
      </c>
      <c r="J113" s="125"/>
      <c r="K113" s="166"/>
      <c r="L113" s="138"/>
      <c r="N113" s="170"/>
      <c r="O113" s="155"/>
      <c r="P113" s="138"/>
    </row>
    <row r="114" spans="1:16">
      <c r="A114" s="133">
        <v>27</v>
      </c>
      <c r="B114" s="138" t="s">
        <v>287</v>
      </c>
      <c r="C114" s="120" t="s">
        <v>288</v>
      </c>
      <c r="D114" s="167">
        <v>0</v>
      </c>
      <c r="E114" s="132"/>
      <c r="F114" s="132" t="s">
        <v>289</v>
      </c>
      <c r="G114" s="164">
        <f>I225</f>
        <v>1</v>
      </c>
      <c r="H114" s="132"/>
      <c r="I114" s="132">
        <f>G114*D114</f>
        <v>0</v>
      </c>
      <c r="J114" s="132" t="s">
        <v>172</v>
      </c>
      <c r="K114" s="166"/>
      <c r="L114" s="138" t="s">
        <v>554</v>
      </c>
      <c r="N114" s="170"/>
      <c r="O114" s="127"/>
      <c r="P114" s="138"/>
    </row>
    <row r="115" spans="1:16" ht="16.5" thickBot="1">
      <c r="A115" s="133">
        <v>28</v>
      </c>
      <c r="B115" s="138" t="s">
        <v>290</v>
      </c>
      <c r="C115" s="120" t="s">
        <v>291</v>
      </c>
      <c r="D115" s="165">
        <f>+'Balance sheet'!C43</f>
        <v>30546</v>
      </c>
      <c r="E115" s="132"/>
      <c r="F115" s="132" t="s">
        <v>292</v>
      </c>
      <c r="G115" s="164">
        <f>+G84</f>
        <v>0.10347082905372568</v>
      </c>
      <c r="H115" s="132"/>
      <c r="I115" s="143">
        <f>+G115*D115</f>
        <v>3160.6199442751044</v>
      </c>
      <c r="J115" s="132"/>
      <c r="K115" s="166"/>
      <c r="L115" s="138" t="s">
        <v>555</v>
      </c>
      <c r="N115" s="170"/>
      <c r="O115" s="127"/>
      <c r="P115" s="138"/>
    </row>
    <row r="116" spans="1:16">
      <c r="A116" s="133">
        <v>29</v>
      </c>
      <c r="B116" s="138" t="s">
        <v>293</v>
      </c>
      <c r="C116" s="125"/>
      <c r="D116" s="132">
        <f>D113+D114+D115</f>
        <v>77316.125</v>
      </c>
      <c r="E116" s="125"/>
      <c r="F116" s="125"/>
      <c r="G116" s="125"/>
      <c r="H116" s="125"/>
      <c r="I116" s="132">
        <f>I113+I114+I115</f>
        <v>3160.6199442751044</v>
      </c>
      <c r="J116" s="125"/>
      <c r="K116" s="125"/>
      <c r="L116" s="138"/>
      <c r="N116" s="168"/>
      <c r="O116" s="132"/>
      <c r="P116" s="138"/>
    </row>
    <row r="117" spans="1:16" ht="16.5" thickBot="1">
      <c r="C117" s="132"/>
      <c r="D117" s="171"/>
      <c r="E117" s="132"/>
      <c r="F117" s="132"/>
      <c r="G117" s="132"/>
      <c r="H117" s="132"/>
      <c r="I117" s="171"/>
      <c r="J117" s="132"/>
      <c r="K117" s="132"/>
      <c r="L117" s="138"/>
      <c r="N117" s="132"/>
      <c r="O117" s="132"/>
      <c r="P117" s="138"/>
    </row>
    <row r="118" spans="1:16" ht="16.5" thickBot="1">
      <c r="A118" s="133">
        <v>30</v>
      </c>
      <c r="B118" s="138" t="s">
        <v>294</v>
      </c>
      <c r="C118" s="132"/>
      <c r="D118" s="172">
        <f>+D116+D110+D108+D100</f>
        <v>16936296.635000002</v>
      </c>
      <c r="E118" s="132"/>
      <c r="F118" s="132"/>
      <c r="G118" s="166"/>
      <c r="H118" s="132"/>
      <c r="I118" s="172">
        <f>+I116+I110+I108+I100</f>
        <v>2660962.6199442754</v>
      </c>
      <c r="J118" s="132"/>
      <c r="K118" s="166"/>
      <c r="L118" s="138"/>
      <c r="N118" s="132"/>
      <c r="O118" s="132"/>
      <c r="P118" s="138"/>
    </row>
    <row r="119" spans="1:16" ht="16.5" thickTop="1">
      <c r="A119" s="133"/>
      <c r="B119" s="138"/>
      <c r="C119" s="132"/>
      <c r="D119" s="132"/>
      <c r="E119" s="132"/>
      <c r="F119" s="132"/>
      <c r="G119" s="132"/>
      <c r="H119" s="132"/>
      <c r="I119" s="132"/>
      <c r="J119" s="132"/>
      <c r="K119" s="132"/>
      <c r="L119" s="125"/>
      <c r="N119" s="132"/>
      <c r="O119" s="132"/>
      <c r="P119" s="138"/>
    </row>
    <row r="120" spans="1:16">
      <c r="A120" s="133"/>
      <c r="B120" s="138"/>
      <c r="C120" s="132"/>
      <c r="D120" s="132"/>
      <c r="E120" s="132"/>
      <c r="F120" s="132"/>
      <c r="G120" s="132"/>
      <c r="H120" s="132"/>
      <c r="I120" s="132"/>
      <c r="J120" s="132"/>
      <c r="K120" s="132"/>
      <c r="L120" s="125"/>
      <c r="N120" s="132"/>
      <c r="O120" s="132"/>
      <c r="P120" s="138"/>
    </row>
    <row r="121" spans="1:16">
      <c r="A121" s="133"/>
      <c r="B121" s="138"/>
      <c r="C121" s="132"/>
      <c r="D121" s="132"/>
      <c r="E121" s="132"/>
      <c r="F121" s="132"/>
      <c r="G121" s="132"/>
      <c r="H121" s="132"/>
      <c r="I121" s="132"/>
      <c r="J121" s="132"/>
      <c r="K121" s="132"/>
      <c r="L121" s="125"/>
      <c r="N121" s="132"/>
      <c r="O121" s="132"/>
      <c r="P121" s="138"/>
    </row>
    <row r="122" spans="1:16">
      <c r="A122" s="133"/>
      <c r="B122" s="138"/>
      <c r="C122" s="132"/>
      <c r="D122" s="132"/>
      <c r="E122" s="132"/>
      <c r="F122" s="132"/>
      <c r="G122" s="132"/>
      <c r="H122" s="132"/>
      <c r="I122" s="132"/>
      <c r="J122" s="132"/>
      <c r="K122" s="132"/>
      <c r="L122" s="125"/>
      <c r="N122" s="132"/>
      <c r="O122" s="132"/>
      <c r="P122" s="138"/>
    </row>
    <row r="123" spans="1:16">
      <c r="A123" s="133"/>
      <c r="B123" s="138"/>
      <c r="C123" s="132"/>
      <c r="D123" s="132"/>
      <c r="E123" s="132"/>
      <c r="F123" s="132"/>
      <c r="G123" s="132"/>
      <c r="H123" s="132"/>
      <c r="I123" s="132"/>
      <c r="J123" s="132"/>
      <c r="K123" s="132"/>
      <c r="L123" s="125"/>
      <c r="N123" s="132"/>
      <c r="O123" s="132"/>
      <c r="P123" s="138"/>
    </row>
    <row r="124" spans="1:16">
      <c r="A124" s="133"/>
      <c r="B124" s="138"/>
      <c r="C124" s="132"/>
      <c r="D124" s="132"/>
      <c r="E124" s="132"/>
      <c r="F124" s="132"/>
      <c r="G124" s="132"/>
      <c r="H124" s="132"/>
      <c r="I124" s="132"/>
      <c r="J124" s="132"/>
      <c r="K124" s="132"/>
      <c r="L124" s="125"/>
      <c r="N124" s="132"/>
      <c r="O124" s="132"/>
      <c r="P124" s="138"/>
    </row>
    <row r="125" spans="1:16">
      <c r="A125" s="133"/>
      <c r="B125" s="138"/>
      <c r="C125" s="132"/>
      <c r="D125" s="132"/>
      <c r="E125" s="132"/>
      <c r="F125" s="132"/>
      <c r="G125" s="132"/>
      <c r="H125" s="132"/>
      <c r="I125" s="132"/>
      <c r="J125" s="132"/>
      <c r="K125" s="132"/>
      <c r="L125" s="125"/>
      <c r="N125" s="132"/>
      <c r="O125" s="132"/>
      <c r="P125" s="138"/>
    </row>
    <row r="126" spans="1:16">
      <c r="A126" s="133"/>
      <c r="B126" s="138"/>
      <c r="C126" s="132"/>
      <c r="D126" s="132"/>
      <c r="E126" s="132"/>
      <c r="F126" s="132"/>
      <c r="G126" s="132"/>
      <c r="H126" s="132"/>
      <c r="I126" s="132"/>
      <c r="J126" s="132"/>
      <c r="K126" s="132"/>
      <c r="L126" s="125"/>
      <c r="N126" s="132"/>
      <c r="O126" s="132"/>
      <c r="P126" s="138"/>
    </row>
    <row r="127" spans="1:16">
      <c r="A127" s="133"/>
      <c r="B127" s="138"/>
      <c r="C127" s="132"/>
      <c r="D127" s="132"/>
      <c r="E127" s="132"/>
      <c r="F127" s="132"/>
      <c r="G127" s="132"/>
      <c r="H127" s="132"/>
      <c r="I127" s="132"/>
      <c r="J127" s="132"/>
      <c r="K127" s="132"/>
      <c r="L127" s="125"/>
      <c r="N127" s="132"/>
      <c r="O127" s="132"/>
      <c r="P127" s="138"/>
    </row>
    <row r="128" spans="1:16">
      <c r="A128" s="133"/>
      <c r="B128" s="138"/>
      <c r="C128" s="132"/>
      <c r="D128" s="132"/>
      <c r="E128" s="132"/>
      <c r="F128" s="132"/>
      <c r="G128" s="132"/>
      <c r="H128" s="132"/>
      <c r="I128" s="132"/>
      <c r="J128" s="132"/>
      <c r="K128" s="132"/>
      <c r="L128" s="125"/>
      <c r="N128" s="132"/>
      <c r="O128" s="132"/>
      <c r="P128" s="138"/>
    </row>
    <row r="129" spans="1:16">
      <c r="A129" s="133"/>
      <c r="B129" s="138"/>
      <c r="C129" s="132"/>
      <c r="D129" s="132"/>
      <c r="E129" s="132"/>
      <c r="F129" s="132"/>
      <c r="G129" s="132"/>
      <c r="H129" s="132"/>
      <c r="I129" s="132"/>
      <c r="J129" s="132"/>
      <c r="K129" s="132"/>
      <c r="L129" s="125"/>
      <c r="N129" s="132"/>
      <c r="O129" s="132"/>
      <c r="P129" s="138"/>
    </row>
    <row r="130" spans="1:16">
      <c r="A130" s="133"/>
      <c r="B130" s="138"/>
      <c r="C130" s="132"/>
      <c r="D130" s="132"/>
      <c r="E130" s="132"/>
      <c r="F130" s="132"/>
      <c r="G130" s="132"/>
      <c r="H130" s="132"/>
      <c r="I130" s="132"/>
      <c r="J130" s="132"/>
      <c r="K130" s="132"/>
      <c r="L130" s="125"/>
      <c r="N130" s="132"/>
      <c r="O130" s="132"/>
      <c r="P130" s="138"/>
    </row>
    <row r="131" spans="1:16">
      <c r="A131" s="133"/>
      <c r="B131" s="138"/>
      <c r="C131" s="132"/>
      <c r="D131" s="132"/>
      <c r="E131" s="132"/>
      <c r="F131" s="132"/>
      <c r="G131" s="132"/>
      <c r="H131" s="132"/>
      <c r="I131" s="132"/>
      <c r="J131" s="132"/>
      <c r="K131" s="132"/>
      <c r="L131" s="125"/>
      <c r="N131" s="132"/>
      <c r="O131" s="132"/>
      <c r="P131" s="138"/>
    </row>
    <row r="132" spans="1:16">
      <c r="A132" s="133"/>
      <c r="B132" s="138"/>
      <c r="C132" s="132"/>
      <c r="D132" s="132"/>
      <c r="E132" s="132"/>
      <c r="F132" s="132"/>
      <c r="G132" s="132"/>
      <c r="H132" s="132"/>
      <c r="I132" s="132"/>
      <c r="J132" s="132"/>
      <c r="K132" s="132"/>
      <c r="L132" s="125"/>
      <c r="N132" s="132"/>
      <c r="O132" s="132"/>
      <c r="P132" s="138"/>
    </row>
    <row r="133" spans="1:16">
      <c r="A133" s="133"/>
      <c r="B133" s="138"/>
      <c r="C133" s="132"/>
      <c r="D133" s="132"/>
      <c r="E133" s="132"/>
      <c r="F133" s="132"/>
      <c r="G133" s="132"/>
      <c r="H133" s="132"/>
      <c r="I133" s="132"/>
      <c r="J133" s="132"/>
      <c r="K133" s="132"/>
      <c r="L133" s="125"/>
      <c r="N133" s="132"/>
      <c r="O133" s="132"/>
      <c r="P133" s="138"/>
    </row>
    <row r="134" spans="1:16">
      <c r="A134" s="133"/>
      <c r="B134" s="138"/>
      <c r="C134" s="132"/>
      <c r="D134" s="132"/>
      <c r="E134" s="132"/>
      <c r="F134" s="132"/>
      <c r="G134" s="132"/>
      <c r="H134" s="132"/>
      <c r="I134" s="132"/>
      <c r="J134" s="132"/>
      <c r="K134" s="121" t="s">
        <v>181</v>
      </c>
      <c r="L134" s="125"/>
      <c r="N134" s="132"/>
      <c r="O134" s="132"/>
      <c r="P134" s="138"/>
    </row>
    <row r="135" spans="1:16">
      <c r="B135" s="122"/>
      <c r="C135" s="122"/>
      <c r="D135" s="123"/>
      <c r="E135" s="122"/>
      <c r="F135" s="122"/>
      <c r="G135" s="122"/>
      <c r="H135" s="124"/>
      <c r="I135" s="125"/>
      <c r="K135" s="126" t="s">
        <v>295</v>
      </c>
      <c r="L135" s="125"/>
      <c r="N135" s="125"/>
      <c r="O135" s="125"/>
      <c r="P135" s="125"/>
    </row>
    <row r="136" spans="1:16">
      <c r="A136" s="133"/>
      <c r="B136" s="138"/>
      <c r="C136" s="132"/>
      <c r="D136" s="132"/>
      <c r="E136" s="132"/>
      <c r="F136" s="132"/>
      <c r="G136" s="132"/>
      <c r="H136" s="132"/>
      <c r="I136" s="132"/>
      <c r="J136" s="132"/>
      <c r="K136" s="132"/>
      <c r="L136" s="125"/>
      <c r="N136" s="132"/>
      <c r="O136" s="132"/>
      <c r="P136" s="138"/>
    </row>
    <row r="137" spans="1:16">
      <c r="A137" s="133"/>
      <c r="B137" s="138" t="str">
        <f>B4</f>
        <v xml:space="preserve">Formula Rate - Non-Levelized </v>
      </c>
      <c r="C137" s="132"/>
      <c r="D137" s="132" t="str">
        <f>D4</f>
        <v xml:space="preserve">   Rate Formula Template</v>
      </c>
      <c r="E137" s="132"/>
      <c r="F137" s="132"/>
      <c r="G137" s="132"/>
      <c r="H137" s="132"/>
      <c r="J137" s="132"/>
      <c r="K137" s="173" t="str">
        <f>K4</f>
        <v>For the 12 months ended 12/31/2012</v>
      </c>
      <c r="L137" s="138"/>
      <c r="N137" s="132"/>
      <c r="O137" s="132"/>
      <c r="P137" s="138"/>
    </row>
    <row r="138" spans="1:16">
      <c r="A138" s="133"/>
      <c r="B138" s="138"/>
      <c r="C138" s="132"/>
      <c r="D138" s="132" t="str">
        <f>D5</f>
        <v>Utilizing EIA Form 412 Data</v>
      </c>
      <c r="E138" s="132"/>
      <c r="F138" s="132"/>
      <c r="G138" s="132"/>
      <c r="H138" s="132"/>
      <c r="I138" s="132"/>
      <c r="J138" s="132"/>
      <c r="K138" s="132"/>
      <c r="L138" s="138"/>
      <c r="N138" s="132"/>
      <c r="O138" s="132"/>
      <c r="P138" s="138"/>
    </row>
    <row r="139" spans="1:16">
      <c r="A139" s="133"/>
      <c r="C139" s="132"/>
      <c r="D139" s="132"/>
      <c r="E139" s="132"/>
      <c r="F139" s="132"/>
      <c r="G139" s="132"/>
      <c r="H139" s="132"/>
      <c r="I139" s="132"/>
      <c r="J139" s="132"/>
      <c r="K139" s="132"/>
      <c r="L139" s="138"/>
      <c r="N139" s="132"/>
      <c r="O139" s="132"/>
      <c r="P139" s="138"/>
    </row>
    <row r="140" spans="1:16">
      <c r="A140" s="133"/>
      <c r="D140" s="120" t="str">
        <f>D7</f>
        <v>Worthington (Minnesota) Public Utilities</v>
      </c>
      <c r="J140" s="132"/>
      <c r="K140" s="132"/>
      <c r="L140" s="138"/>
      <c r="N140" s="132"/>
      <c r="O140" s="132"/>
      <c r="P140" s="138"/>
    </row>
    <row r="141" spans="1:16">
      <c r="A141" s="133"/>
      <c r="B141" s="127" t="s">
        <v>236</v>
      </c>
      <c r="C141" s="127" t="s">
        <v>237</v>
      </c>
      <c r="D141" s="127" t="s">
        <v>238</v>
      </c>
      <c r="E141" s="132" t="s">
        <v>172</v>
      </c>
      <c r="F141" s="132"/>
      <c r="G141" s="156" t="s">
        <v>239</v>
      </c>
      <c r="H141" s="132"/>
      <c r="I141" s="157" t="s">
        <v>240</v>
      </c>
      <c r="J141" s="132"/>
      <c r="K141" s="132"/>
      <c r="L141" s="138"/>
      <c r="N141" s="125"/>
      <c r="O141" s="132"/>
      <c r="P141" s="138"/>
    </row>
    <row r="142" spans="1:16">
      <c r="A142" s="133" t="s">
        <v>1</v>
      </c>
      <c r="B142" s="138"/>
      <c r="C142" s="158" t="s">
        <v>241</v>
      </c>
      <c r="D142" s="132"/>
      <c r="E142" s="132"/>
      <c r="F142" s="132"/>
      <c r="G142" s="133"/>
      <c r="H142" s="132"/>
      <c r="I142" s="159" t="s">
        <v>242</v>
      </c>
      <c r="J142" s="132"/>
      <c r="K142" s="159"/>
      <c r="L142" s="138"/>
      <c r="N142" s="133"/>
      <c r="O142" s="132"/>
      <c r="P142" s="138"/>
    </row>
    <row r="143" spans="1:16" ht="16.5" thickBot="1">
      <c r="A143" s="135" t="s">
        <v>2</v>
      </c>
      <c r="B143" s="138"/>
      <c r="C143" s="161" t="s">
        <v>244</v>
      </c>
      <c r="D143" s="159" t="s">
        <v>245</v>
      </c>
      <c r="E143" s="162"/>
      <c r="F143" s="159" t="s">
        <v>246</v>
      </c>
      <c r="H143" s="162"/>
      <c r="I143" s="133" t="s">
        <v>247</v>
      </c>
      <c r="J143" s="132"/>
      <c r="K143" s="159"/>
      <c r="L143" s="132" t="s">
        <v>172</v>
      </c>
      <c r="N143" s="159"/>
      <c r="O143" s="132"/>
      <c r="P143" s="138"/>
    </row>
    <row r="144" spans="1:16">
      <c r="A144" s="133"/>
      <c r="B144" s="138" t="s">
        <v>296</v>
      </c>
      <c r="C144" s="132"/>
      <c r="D144" s="132"/>
      <c r="E144" s="132"/>
      <c r="F144" s="132"/>
      <c r="G144" s="132"/>
      <c r="H144" s="132"/>
      <c r="I144" s="132"/>
      <c r="J144" s="132"/>
      <c r="K144" s="132"/>
      <c r="L144" s="138"/>
      <c r="N144" s="132"/>
      <c r="O144" s="132"/>
      <c r="P144" s="138"/>
    </row>
    <row r="145" spans="1:16">
      <c r="A145" s="133">
        <v>1</v>
      </c>
      <c r="B145" s="138" t="s">
        <v>297</v>
      </c>
      <c r="C145" s="120" t="s">
        <v>298</v>
      </c>
      <c r="D145" s="167">
        <v>3188616</v>
      </c>
      <c r="E145" s="132"/>
      <c r="F145" s="132" t="s">
        <v>289</v>
      </c>
      <c r="G145" s="164">
        <f>I225</f>
        <v>1</v>
      </c>
      <c r="H145" s="132"/>
      <c r="I145" s="132">
        <f t="shared" ref="I145:I153" si="1">+G145*D145</f>
        <v>3188616</v>
      </c>
      <c r="J145" s="125"/>
      <c r="K145" s="132"/>
      <c r="L145" s="175" t="s">
        <v>556</v>
      </c>
      <c r="N145" s="132"/>
      <c r="O145" s="127"/>
      <c r="P145" s="132" t="s">
        <v>172</v>
      </c>
    </row>
    <row r="146" spans="1:16">
      <c r="A146" s="174" t="s">
        <v>299</v>
      </c>
      <c r="B146" s="175" t="s">
        <v>300</v>
      </c>
      <c r="C146" s="176"/>
      <c r="D146" s="167">
        <v>0</v>
      </c>
      <c r="E146" s="132"/>
      <c r="F146" s="177"/>
      <c r="G146" s="164">
        <v>1</v>
      </c>
      <c r="H146" s="132"/>
      <c r="I146" s="132">
        <f>+G146*D146</f>
        <v>0</v>
      </c>
      <c r="J146" s="125"/>
      <c r="K146" s="132"/>
      <c r="L146" s="332"/>
      <c r="N146" s="132"/>
      <c r="O146" s="127"/>
      <c r="P146" s="132"/>
    </row>
    <row r="147" spans="1:16">
      <c r="A147" s="133">
        <v>2</v>
      </c>
      <c r="B147" s="138" t="s">
        <v>301</v>
      </c>
      <c r="C147" s="120" t="s">
        <v>172</v>
      </c>
      <c r="D147" s="167">
        <v>3188616</v>
      </c>
      <c r="E147" s="132"/>
      <c r="F147" s="132" t="s">
        <v>289</v>
      </c>
      <c r="G147" s="164">
        <f>+G145</f>
        <v>1</v>
      </c>
      <c r="H147" s="132"/>
      <c r="I147" s="132">
        <f t="shared" si="1"/>
        <v>3188616</v>
      </c>
      <c r="J147" s="125"/>
      <c r="K147" s="132"/>
      <c r="L147" s="333" t="s">
        <v>556</v>
      </c>
      <c r="N147" s="132"/>
      <c r="O147" s="127"/>
      <c r="P147" s="132"/>
    </row>
    <row r="148" spans="1:16">
      <c r="A148" s="133">
        <v>3</v>
      </c>
      <c r="B148" s="138" t="s">
        <v>302</v>
      </c>
      <c r="C148" s="120" t="s">
        <v>303</v>
      </c>
      <c r="D148" s="167">
        <v>379415</v>
      </c>
      <c r="E148" s="132"/>
      <c r="F148" s="132" t="s">
        <v>258</v>
      </c>
      <c r="G148" s="164">
        <f>I232</f>
        <v>0</v>
      </c>
      <c r="H148" s="132"/>
      <c r="I148" s="132">
        <f t="shared" si="1"/>
        <v>0</v>
      </c>
      <c r="J148" s="132"/>
      <c r="K148" s="132" t="s">
        <v>172</v>
      </c>
      <c r="L148" s="333" t="s">
        <v>556</v>
      </c>
      <c r="N148" s="132"/>
      <c r="O148" s="127"/>
      <c r="P148" s="138"/>
    </row>
    <row r="149" spans="1:16">
      <c r="A149" s="133">
        <v>4</v>
      </c>
      <c r="B149" s="138" t="s">
        <v>304</v>
      </c>
      <c r="C149" s="132"/>
      <c r="D149" s="167">
        <v>0</v>
      </c>
      <c r="E149" s="132"/>
      <c r="F149" s="132" t="str">
        <f>+F148</f>
        <v>W/S</v>
      </c>
      <c r="G149" s="164">
        <f>I232</f>
        <v>0</v>
      </c>
      <c r="H149" s="132"/>
      <c r="I149" s="132">
        <f t="shared" si="1"/>
        <v>0</v>
      </c>
      <c r="J149" s="132"/>
      <c r="K149" s="132"/>
      <c r="L149" s="332"/>
      <c r="N149" s="132"/>
      <c r="O149" s="127"/>
      <c r="P149" s="138"/>
    </row>
    <row r="150" spans="1:16">
      <c r="A150" s="133">
        <v>5</v>
      </c>
      <c r="B150" s="138" t="s">
        <v>305</v>
      </c>
      <c r="C150" s="132"/>
      <c r="D150" s="167">
        <f>3070+2184</f>
        <v>5254</v>
      </c>
      <c r="E150" s="132"/>
      <c r="F150" s="132" t="str">
        <f>+F149</f>
        <v>W/S</v>
      </c>
      <c r="G150" s="164">
        <f>I232</f>
        <v>0</v>
      </c>
      <c r="H150" s="132"/>
      <c r="I150" s="132">
        <f t="shared" si="1"/>
        <v>0</v>
      </c>
      <c r="J150" s="132"/>
      <c r="K150" s="132"/>
      <c r="L150" s="332"/>
      <c r="N150" s="132"/>
      <c r="O150" s="127"/>
      <c r="P150" s="138"/>
    </row>
    <row r="151" spans="1:16">
      <c r="A151" s="133" t="s">
        <v>306</v>
      </c>
      <c r="B151" s="138" t="s">
        <v>307</v>
      </c>
      <c r="C151" s="132"/>
      <c r="D151" s="167">
        <v>0</v>
      </c>
      <c r="E151" s="132"/>
      <c r="F151" s="132" t="str">
        <f>+F145</f>
        <v>TE</v>
      </c>
      <c r="G151" s="164">
        <f>+G145</f>
        <v>1</v>
      </c>
      <c r="H151" s="132"/>
      <c r="I151" s="132">
        <f t="shared" si="1"/>
        <v>0</v>
      </c>
      <c r="J151" s="132"/>
      <c r="K151" s="132"/>
      <c r="L151" s="332"/>
      <c r="N151" s="132"/>
      <c r="O151" s="127"/>
      <c r="P151" s="138"/>
    </row>
    <row r="152" spans="1:16">
      <c r="A152" s="133">
        <v>6</v>
      </c>
      <c r="B152" s="138" t="s">
        <v>259</v>
      </c>
      <c r="C152" s="132"/>
      <c r="D152" s="167">
        <v>0</v>
      </c>
      <c r="E152" s="132"/>
      <c r="F152" s="132" t="s">
        <v>260</v>
      </c>
      <c r="G152" s="164">
        <f>K236</f>
        <v>0</v>
      </c>
      <c r="H152" s="132"/>
      <c r="I152" s="132">
        <f t="shared" si="1"/>
        <v>0</v>
      </c>
      <c r="J152" s="132"/>
      <c r="K152" s="132"/>
      <c r="L152" s="332"/>
      <c r="N152" s="132"/>
      <c r="O152" s="127"/>
      <c r="P152" s="138"/>
    </row>
    <row r="153" spans="1:16" ht="16.5" thickBot="1">
      <c r="A153" s="133">
        <v>7</v>
      </c>
      <c r="B153" s="138" t="s">
        <v>308</v>
      </c>
      <c r="C153" s="132"/>
      <c r="D153" s="165">
        <v>0</v>
      </c>
      <c r="E153" s="132"/>
      <c r="F153" s="132" t="s">
        <v>251</v>
      </c>
      <c r="G153" s="164">
        <v>1</v>
      </c>
      <c r="H153" s="132"/>
      <c r="I153" s="143">
        <f t="shared" si="1"/>
        <v>0</v>
      </c>
      <c r="J153" s="132"/>
      <c r="K153" s="132"/>
      <c r="L153" s="332"/>
      <c r="N153" s="132"/>
      <c r="O153" s="155"/>
      <c r="P153" s="138"/>
    </row>
    <row r="154" spans="1:16">
      <c r="A154" s="174">
        <v>8</v>
      </c>
      <c r="B154" s="175" t="s">
        <v>309</v>
      </c>
      <c r="C154" s="178"/>
      <c r="D154" s="178">
        <f>+D145-D147+D148-D149-D150+D151+D152+D153-D146</f>
        <v>374161</v>
      </c>
      <c r="E154" s="178"/>
      <c r="F154" s="178"/>
      <c r="G154" s="178"/>
      <c r="H154" s="178"/>
      <c r="I154" s="178">
        <f>+I145-I147+I148-I149-I150+I151+I152+I153-I146</f>
        <v>0</v>
      </c>
      <c r="J154" s="178"/>
      <c r="K154" s="178"/>
      <c r="L154" s="334"/>
      <c r="M154" s="176"/>
      <c r="N154" s="179"/>
      <c r="O154" s="180"/>
      <c r="P154" s="138"/>
    </row>
    <row r="155" spans="1:16">
      <c r="A155" s="133"/>
      <c r="C155" s="132"/>
      <c r="E155" s="132"/>
      <c r="F155" s="132"/>
      <c r="G155" s="132"/>
      <c r="H155" s="132"/>
      <c r="J155" s="132"/>
      <c r="K155" s="132"/>
      <c r="L155" s="335" t="s">
        <v>172</v>
      </c>
      <c r="N155" s="132"/>
      <c r="O155" s="132"/>
      <c r="P155" s="138"/>
    </row>
    <row r="156" spans="1:16">
      <c r="A156" s="133"/>
      <c r="B156" s="138" t="s">
        <v>310</v>
      </c>
      <c r="C156" s="132"/>
      <c r="D156" s="132"/>
      <c r="E156" s="132"/>
      <c r="F156" s="132"/>
      <c r="G156" s="132"/>
      <c r="H156" s="132"/>
      <c r="I156" s="132"/>
      <c r="J156" s="132"/>
      <c r="K156" s="132"/>
      <c r="L156" s="335" t="s">
        <v>172</v>
      </c>
      <c r="N156" s="132"/>
      <c r="O156" s="132"/>
      <c r="P156" s="138"/>
    </row>
    <row r="157" spans="1:16">
      <c r="A157" s="133">
        <v>9</v>
      </c>
      <c r="B157" s="138" t="str">
        <f>+B145</f>
        <v xml:space="preserve">  Transmission </v>
      </c>
      <c r="C157" s="120" t="s">
        <v>172</v>
      </c>
      <c r="D157" s="167">
        <f>+'Electric Plant'!K17</f>
        <v>63773</v>
      </c>
      <c r="E157" s="132"/>
      <c r="F157" s="132" t="s">
        <v>193</v>
      </c>
      <c r="G157" s="164">
        <f>+G110</f>
        <v>1</v>
      </c>
      <c r="H157" s="132"/>
      <c r="I157" s="132">
        <f>+G157*D157</f>
        <v>63773</v>
      </c>
      <c r="J157" s="132"/>
      <c r="K157" s="166"/>
      <c r="L157" s="138" t="s">
        <v>568</v>
      </c>
      <c r="N157" s="132"/>
      <c r="O157" s="127"/>
      <c r="P157" s="132" t="s">
        <v>172</v>
      </c>
    </row>
    <row r="158" spans="1:16">
      <c r="A158" s="133">
        <v>10</v>
      </c>
      <c r="B158" s="138" t="s">
        <v>311</v>
      </c>
      <c r="C158" s="120" t="s">
        <v>172</v>
      </c>
      <c r="D158" s="167">
        <f>+'Electric Plant'!K19</f>
        <v>93763</v>
      </c>
      <c r="E158" s="132"/>
      <c r="F158" s="132" t="s">
        <v>258</v>
      </c>
      <c r="G158" s="164">
        <f>+G148</f>
        <v>0</v>
      </c>
      <c r="H158" s="132"/>
      <c r="I158" s="132">
        <f>+G158*D158</f>
        <v>0</v>
      </c>
      <c r="J158" s="132"/>
      <c r="K158" s="166"/>
      <c r="L158" s="138" t="s">
        <v>568</v>
      </c>
      <c r="N158" s="132"/>
      <c r="O158" s="127"/>
      <c r="P158" s="132" t="s">
        <v>172</v>
      </c>
    </row>
    <row r="159" spans="1:16" ht="16.5" thickBot="1">
      <c r="A159" s="133">
        <v>11</v>
      </c>
      <c r="B159" s="138" t="str">
        <f>+B152</f>
        <v xml:space="preserve">  Common</v>
      </c>
      <c r="C159" s="132"/>
      <c r="D159" s="165">
        <v>0</v>
      </c>
      <c r="E159" s="132"/>
      <c r="F159" s="132" t="s">
        <v>260</v>
      </c>
      <c r="G159" s="164">
        <f>+G152</f>
        <v>0</v>
      </c>
      <c r="H159" s="132"/>
      <c r="I159" s="143">
        <f>+G159*D159</f>
        <v>0</v>
      </c>
      <c r="J159" s="132"/>
      <c r="K159" s="166"/>
      <c r="L159" s="138"/>
      <c r="N159" s="132"/>
      <c r="O159" s="127"/>
      <c r="P159" s="132" t="s">
        <v>172</v>
      </c>
    </row>
    <row r="160" spans="1:16">
      <c r="A160" s="133">
        <v>12</v>
      </c>
      <c r="B160" s="138" t="s">
        <v>312</v>
      </c>
      <c r="C160" s="132"/>
      <c r="D160" s="132">
        <f>SUM(D157:D159)</f>
        <v>157536</v>
      </c>
      <c r="E160" s="132"/>
      <c r="F160" s="132"/>
      <c r="G160" s="132"/>
      <c r="H160" s="132"/>
      <c r="I160" s="132">
        <f>SUM(I157:I159)</f>
        <v>63773</v>
      </c>
      <c r="J160" s="132"/>
      <c r="K160" s="132"/>
      <c r="L160" s="138"/>
      <c r="N160" s="168"/>
      <c r="O160" s="132"/>
      <c r="P160" s="138"/>
    </row>
    <row r="161" spans="1:16">
      <c r="A161" s="133"/>
      <c r="B161" s="138"/>
      <c r="C161" s="132"/>
      <c r="D161" s="132"/>
      <c r="E161" s="132"/>
      <c r="F161" s="132"/>
      <c r="G161" s="132"/>
      <c r="H161" s="132"/>
      <c r="I161" s="132"/>
      <c r="J161" s="132"/>
      <c r="K161" s="132"/>
      <c r="L161" s="138"/>
      <c r="N161" s="132"/>
      <c r="O161" s="132"/>
      <c r="P161" s="138"/>
    </row>
    <row r="162" spans="1:16">
      <c r="A162" s="133" t="s">
        <v>172</v>
      </c>
      <c r="B162" s="138" t="s">
        <v>313</v>
      </c>
      <c r="D162" s="132"/>
      <c r="E162" s="132"/>
      <c r="F162" s="132"/>
      <c r="G162" s="132"/>
      <c r="H162" s="132"/>
      <c r="I162" s="132"/>
      <c r="J162" s="132"/>
      <c r="K162" s="132"/>
      <c r="L162" s="138"/>
      <c r="N162" s="132"/>
      <c r="O162" s="132"/>
      <c r="P162" s="138"/>
    </row>
    <row r="163" spans="1:16">
      <c r="A163" s="133"/>
      <c r="B163" s="138" t="s">
        <v>314</v>
      </c>
      <c r="E163" s="132"/>
      <c r="F163" s="132"/>
      <c r="H163" s="132"/>
      <c r="J163" s="132"/>
      <c r="K163" s="166"/>
      <c r="L163" s="138"/>
      <c r="N163" s="170"/>
      <c r="O163" s="127"/>
      <c r="P163" s="138"/>
    </row>
    <row r="164" spans="1:16">
      <c r="A164" s="133">
        <v>13</v>
      </c>
      <c r="B164" s="138" t="s">
        <v>315</v>
      </c>
      <c r="C164" s="132"/>
      <c r="D164" s="167">
        <v>0</v>
      </c>
      <c r="E164" s="132"/>
      <c r="F164" s="132" t="s">
        <v>258</v>
      </c>
      <c r="G164" s="140">
        <f>+G158</f>
        <v>0</v>
      </c>
      <c r="H164" s="132"/>
      <c r="I164" s="132">
        <f>+G164*D164</f>
        <v>0</v>
      </c>
      <c r="J164" s="132"/>
      <c r="K164" s="166"/>
      <c r="L164" s="138"/>
      <c r="N164" s="170"/>
      <c r="O164" s="127"/>
      <c r="P164" s="138"/>
    </row>
    <row r="165" spans="1:16">
      <c r="A165" s="133">
        <v>14</v>
      </c>
      <c r="B165" s="138" t="s">
        <v>316</v>
      </c>
      <c r="C165" s="132"/>
      <c r="D165" s="167">
        <v>0</v>
      </c>
      <c r="E165" s="132"/>
      <c r="F165" s="132" t="str">
        <f>+F164</f>
        <v>W/S</v>
      </c>
      <c r="G165" s="140">
        <f>+G164</f>
        <v>0</v>
      </c>
      <c r="H165" s="132"/>
      <c r="I165" s="132">
        <f>+G165*D165</f>
        <v>0</v>
      </c>
      <c r="J165" s="132"/>
      <c r="K165" s="166"/>
      <c r="L165" s="138"/>
      <c r="N165" s="170"/>
      <c r="O165" s="127"/>
      <c r="P165" s="138"/>
    </row>
    <row r="166" spans="1:16">
      <c r="A166" s="133">
        <v>15</v>
      </c>
      <c r="B166" s="138" t="s">
        <v>317</v>
      </c>
      <c r="C166" s="132"/>
      <c r="E166" s="132"/>
      <c r="F166" s="132"/>
      <c r="H166" s="132"/>
      <c r="J166" s="132"/>
      <c r="K166" s="166"/>
      <c r="L166" s="138"/>
      <c r="N166" s="170"/>
      <c r="O166" s="127"/>
      <c r="P166" s="138"/>
    </row>
    <row r="167" spans="1:16">
      <c r="A167" s="133">
        <v>16</v>
      </c>
      <c r="B167" s="138" t="s">
        <v>318</v>
      </c>
      <c r="C167" s="132"/>
      <c r="D167" s="167">
        <v>0</v>
      </c>
      <c r="E167" s="132"/>
      <c r="F167" s="132" t="s">
        <v>292</v>
      </c>
      <c r="G167" s="140">
        <f>+G84</f>
        <v>0.10347082905372568</v>
      </c>
      <c r="H167" s="132"/>
      <c r="I167" s="132">
        <f>+G167*D167</f>
        <v>0</v>
      </c>
      <c r="J167" s="132"/>
      <c r="K167" s="166"/>
      <c r="L167" s="138"/>
      <c r="N167" s="170"/>
      <c r="O167" s="127"/>
      <c r="P167" s="138"/>
    </row>
    <row r="168" spans="1:16">
      <c r="A168" s="133">
        <v>17</v>
      </c>
      <c r="B168" s="138" t="s">
        <v>319</v>
      </c>
      <c r="C168" s="132"/>
      <c r="D168" s="167">
        <v>0</v>
      </c>
      <c r="E168" s="132"/>
      <c r="F168" s="132" t="s">
        <v>251</v>
      </c>
      <c r="G168" s="181" t="s">
        <v>275</v>
      </c>
      <c r="H168" s="132"/>
      <c r="I168" s="132">
        <v>0</v>
      </c>
      <c r="J168" s="132"/>
      <c r="K168" s="166"/>
      <c r="L168" s="138"/>
      <c r="N168" s="170"/>
      <c r="O168" s="127"/>
      <c r="P168" s="138"/>
    </row>
    <row r="169" spans="1:16">
      <c r="A169" s="133">
        <v>18</v>
      </c>
      <c r="B169" s="138" t="s">
        <v>320</v>
      </c>
      <c r="C169" s="132"/>
      <c r="D169" s="167">
        <v>0</v>
      </c>
      <c r="E169" s="132"/>
      <c r="F169" s="132" t="str">
        <f>+F167</f>
        <v>GP</v>
      </c>
      <c r="G169" s="140">
        <f>+G167</f>
        <v>0.10347082905372568</v>
      </c>
      <c r="H169" s="132"/>
      <c r="I169" s="132">
        <f>+G169*D169</f>
        <v>0</v>
      </c>
      <c r="J169" s="132"/>
      <c r="K169" s="166"/>
      <c r="L169" s="138"/>
      <c r="N169" s="170"/>
      <c r="O169" s="127"/>
      <c r="P169" s="138"/>
    </row>
    <row r="170" spans="1:16" ht="16.5" thickBot="1">
      <c r="A170" s="133">
        <v>19</v>
      </c>
      <c r="B170" s="138" t="s">
        <v>321</v>
      </c>
      <c r="C170" s="132"/>
      <c r="D170" s="165">
        <v>645697</v>
      </c>
      <c r="E170" s="132"/>
      <c r="F170" s="132" t="s">
        <v>292</v>
      </c>
      <c r="G170" s="140">
        <f>+G169</f>
        <v>0.10347082905372568</v>
      </c>
      <c r="H170" s="132"/>
      <c r="I170" s="143">
        <f>+G170*D170</f>
        <v>66810.803907503505</v>
      </c>
      <c r="J170" s="132"/>
      <c r="K170" s="166"/>
      <c r="L170" s="138" t="s">
        <v>557</v>
      </c>
      <c r="N170" s="170"/>
      <c r="O170" s="127"/>
      <c r="P170" s="138"/>
    </row>
    <row r="171" spans="1:16">
      <c r="A171" s="133">
        <v>20</v>
      </c>
      <c r="B171" s="138" t="s">
        <v>322</v>
      </c>
      <c r="C171" s="132"/>
      <c r="D171" s="132">
        <f>SUM(D164:D170)</f>
        <v>645697</v>
      </c>
      <c r="E171" s="132"/>
      <c r="F171" s="132"/>
      <c r="G171" s="140"/>
      <c r="H171" s="132"/>
      <c r="I171" s="132">
        <f>SUM(I164:I170)</f>
        <v>66810.803907503505</v>
      </c>
      <c r="J171" s="132"/>
      <c r="K171" s="132"/>
      <c r="L171" s="132" t="s">
        <v>172</v>
      </c>
      <c r="N171" s="168"/>
      <c r="O171" s="132"/>
      <c r="P171" s="138"/>
    </row>
    <row r="172" spans="1:16">
      <c r="A172" s="133" t="s">
        <v>323</v>
      </c>
      <c r="B172" s="138"/>
      <c r="C172" s="132"/>
      <c r="D172" s="132"/>
      <c r="E172" s="132"/>
      <c r="F172" s="132"/>
      <c r="G172" s="140"/>
      <c r="H172" s="132"/>
      <c r="I172" s="132"/>
      <c r="J172" s="132"/>
      <c r="K172" s="132"/>
      <c r="L172" s="132"/>
      <c r="N172" s="132"/>
      <c r="O172" s="132"/>
      <c r="P172" s="138"/>
    </row>
    <row r="173" spans="1:16">
      <c r="A173" s="133" t="s">
        <v>172</v>
      </c>
      <c r="B173" s="138" t="s">
        <v>324</v>
      </c>
      <c r="C173" s="182" t="s">
        <v>325</v>
      </c>
      <c r="D173" s="132"/>
      <c r="E173" s="132"/>
      <c r="F173" s="132" t="s">
        <v>251</v>
      </c>
      <c r="G173" s="183"/>
      <c r="H173" s="132"/>
      <c r="I173" s="132"/>
      <c r="J173" s="132"/>
      <c r="L173" s="132"/>
      <c r="N173" s="132"/>
      <c r="O173" s="155"/>
      <c r="P173" s="132" t="s">
        <v>172</v>
      </c>
    </row>
    <row r="174" spans="1:16">
      <c r="A174" s="133">
        <v>21</v>
      </c>
      <c r="B174" s="184" t="s">
        <v>326</v>
      </c>
      <c r="C174" s="132"/>
      <c r="D174" s="185">
        <f>IF(D289&gt;0,1-(((1-D290)*(1-D289))/(1-D290*D289*D291)),0)</f>
        <v>0</v>
      </c>
      <c r="E174" s="132"/>
      <c r="G174" s="183"/>
      <c r="H174" s="132"/>
      <c r="J174" s="132"/>
      <c r="L174" s="132"/>
      <c r="N174" s="132"/>
      <c r="O174" s="155"/>
      <c r="P174" s="132"/>
    </row>
    <row r="175" spans="1:16">
      <c r="A175" s="133">
        <v>22</v>
      </c>
      <c r="B175" s="120" t="s">
        <v>327</v>
      </c>
      <c r="C175" s="132"/>
      <c r="D175" s="185">
        <f>IF(I246&gt;0,(D174/(1-D174))*(1-I244/I246),0)</f>
        <v>0</v>
      </c>
      <c r="E175" s="132"/>
      <c r="G175" s="183"/>
      <c r="H175" s="132"/>
      <c r="J175" s="132"/>
      <c r="L175" s="132"/>
      <c r="N175" s="132"/>
      <c r="O175" s="127"/>
      <c r="P175" s="132"/>
    </row>
    <row r="176" spans="1:16">
      <c r="A176" s="133"/>
      <c r="B176" s="138" t="s">
        <v>328</v>
      </c>
      <c r="C176" s="132"/>
      <c r="D176" s="132"/>
      <c r="E176" s="132"/>
      <c r="G176" s="183"/>
      <c r="H176" s="132"/>
      <c r="J176" s="132"/>
      <c r="L176" s="132"/>
      <c r="N176" s="132"/>
      <c r="O176" s="127"/>
      <c r="P176" s="132"/>
    </row>
    <row r="177" spans="1:16">
      <c r="A177" s="133"/>
      <c r="B177" s="138" t="s">
        <v>329</v>
      </c>
      <c r="C177" s="132"/>
      <c r="D177" s="132"/>
      <c r="E177" s="132"/>
      <c r="G177" s="183"/>
      <c r="H177" s="132"/>
      <c r="J177" s="132"/>
      <c r="L177" s="132"/>
      <c r="N177" s="132"/>
      <c r="O177" s="127"/>
      <c r="P177" s="132"/>
    </row>
    <row r="178" spans="1:16">
      <c r="A178" s="133">
        <v>23</v>
      </c>
      <c r="B178" s="184" t="s">
        <v>330</v>
      </c>
      <c r="C178" s="132"/>
      <c r="D178" s="186">
        <f>IF(D174&gt;0,1/(1-D174),0)</f>
        <v>0</v>
      </c>
      <c r="E178" s="132"/>
      <c r="G178" s="183"/>
      <c r="H178" s="132"/>
      <c r="J178" s="132"/>
      <c r="L178" s="138"/>
      <c r="N178" s="132"/>
      <c r="O178" s="127"/>
      <c r="P178" s="132"/>
    </row>
    <row r="179" spans="1:16">
      <c r="A179" s="133">
        <v>24</v>
      </c>
      <c r="B179" s="175" t="s">
        <v>331</v>
      </c>
      <c r="C179" s="132"/>
      <c r="D179" s="167">
        <v>0</v>
      </c>
      <c r="E179" s="132"/>
      <c r="G179" s="183"/>
      <c r="H179" s="132"/>
      <c r="J179" s="132"/>
      <c r="L179" s="138"/>
      <c r="N179" s="132"/>
      <c r="O179" s="127"/>
      <c r="P179" s="132"/>
    </row>
    <row r="180" spans="1:16">
      <c r="A180" s="133"/>
      <c r="B180" s="138"/>
      <c r="C180" s="132"/>
      <c r="D180" s="132"/>
      <c r="E180" s="132"/>
      <c r="G180" s="183"/>
      <c r="H180" s="132"/>
      <c r="J180" s="132"/>
      <c r="L180" s="138"/>
      <c r="N180" s="132"/>
      <c r="O180" s="127"/>
      <c r="P180" s="132"/>
    </row>
    <row r="181" spans="1:16">
      <c r="A181" s="133">
        <v>25</v>
      </c>
      <c r="B181" s="184" t="s">
        <v>332</v>
      </c>
      <c r="C181" s="182"/>
      <c r="D181" s="132">
        <f>D175*D185</f>
        <v>0</v>
      </c>
      <c r="E181" s="132"/>
      <c r="F181" s="132" t="s">
        <v>251</v>
      </c>
      <c r="G181" s="140"/>
      <c r="H181" s="132"/>
      <c r="I181" s="132">
        <f>D175*I185</f>
        <v>0</v>
      </c>
      <c r="J181" s="132"/>
      <c r="L181" s="138"/>
      <c r="N181" s="132"/>
      <c r="O181" s="127"/>
      <c r="P181" s="132"/>
    </row>
    <row r="182" spans="1:16" ht="16.5" thickBot="1">
      <c r="A182" s="133">
        <v>26</v>
      </c>
      <c r="B182" s="120" t="s">
        <v>333</v>
      </c>
      <c r="C182" s="182"/>
      <c r="D182" s="143">
        <f>D178*D179</f>
        <v>0</v>
      </c>
      <c r="E182" s="132"/>
      <c r="F182" s="120" t="s">
        <v>277</v>
      </c>
      <c r="G182" s="140">
        <f>G100</f>
        <v>0.15764903449668916</v>
      </c>
      <c r="H182" s="132"/>
      <c r="I182" s="143">
        <f>G182*D182</f>
        <v>0</v>
      </c>
      <c r="J182" s="132"/>
      <c r="L182" s="132" t="s">
        <v>172</v>
      </c>
      <c r="N182" s="132"/>
      <c r="O182" s="127"/>
      <c r="P182" s="132"/>
    </row>
    <row r="183" spans="1:16">
      <c r="A183" s="133">
        <v>27</v>
      </c>
      <c r="B183" s="187" t="s">
        <v>334</v>
      </c>
      <c r="C183" s="120" t="s">
        <v>335</v>
      </c>
      <c r="D183" s="188">
        <f>+D181+D182</f>
        <v>0</v>
      </c>
      <c r="E183" s="132"/>
      <c r="F183" s="132" t="s">
        <v>172</v>
      </c>
      <c r="G183" s="140" t="s">
        <v>172</v>
      </c>
      <c r="H183" s="132"/>
      <c r="I183" s="188">
        <f>+I181+I182</f>
        <v>0</v>
      </c>
      <c r="J183" s="132"/>
      <c r="L183" s="132"/>
      <c r="N183" s="132"/>
      <c r="O183" s="127"/>
      <c r="P183" s="132"/>
    </row>
    <row r="184" spans="1:16">
      <c r="A184" s="133" t="s">
        <v>172</v>
      </c>
      <c r="C184" s="189"/>
      <c r="D184" s="132"/>
      <c r="E184" s="132"/>
      <c r="F184" s="132"/>
      <c r="G184" s="140"/>
      <c r="H184" s="132"/>
      <c r="I184" s="132"/>
      <c r="J184" s="132"/>
      <c r="K184" s="132"/>
      <c r="L184" s="132"/>
      <c r="N184" s="132"/>
      <c r="O184" s="132"/>
      <c r="P184" s="138"/>
    </row>
    <row r="185" spans="1:16">
      <c r="A185" s="133">
        <v>28</v>
      </c>
      <c r="B185" s="138" t="s">
        <v>336</v>
      </c>
      <c r="C185" s="166"/>
      <c r="D185" s="132">
        <f>+$I246*D118</f>
        <v>2050992.3275563517</v>
      </c>
      <c r="E185" s="132"/>
      <c r="F185" s="132" t="s">
        <v>251</v>
      </c>
      <c r="G185" s="183"/>
      <c r="H185" s="132"/>
      <c r="I185" s="132">
        <f>+$I246*I118</f>
        <v>322243.64245849528</v>
      </c>
      <c r="J185" s="132"/>
      <c r="L185" s="138"/>
      <c r="N185" s="132"/>
      <c r="O185" s="127"/>
      <c r="P185" s="132" t="s">
        <v>172</v>
      </c>
    </row>
    <row r="186" spans="1:16">
      <c r="A186" s="133"/>
      <c r="B186" s="187" t="s">
        <v>337</v>
      </c>
      <c r="D186" s="132"/>
      <c r="E186" s="132"/>
      <c r="F186" s="132"/>
      <c r="G186" s="183"/>
      <c r="H186" s="132"/>
      <c r="I186" s="132"/>
      <c r="J186" s="132"/>
      <c r="K186" s="166"/>
      <c r="L186" s="125"/>
      <c r="N186" s="132"/>
      <c r="O186" s="127"/>
      <c r="P186" s="132"/>
    </row>
    <row r="187" spans="1:16">
      <c r="A187" s="133"/>
      <c r="B187" s="138"/>
      <c r="D187" s="190"/>
      <c r="E187" s="132"/>
      <c r="F187" s="132"/>
      <c r="G187" s="183"/>
      <c r="H187" s="132"/>
      <c r="I187" s="190"/>
      <c r="J187" s="132"/>
      <c r="K187" s="166"/>
      <c r="L187" s="125"/>
      <c r="N187" s="132"/>
      <c r="O187" s="127"/>
      <c r="P187" s="132"/>
    </row>
    <row r="188" spans="1:16">
      <c r="A188" s="133">
        <v>29</v>
      </c>
      <c r="B188" s="138" t="s">
        <v>338</v>
      </c>
      <c r="C188" s="132"/>
      <c r="D188" s="190">
        <f>+D185+D183+D171+D160+D154</f>
        <v>3228386.3275563517</v>
      </c>
      <c r="E188" s="132"/>
      <c r="F188" s="132"/>
      <c r="G188" s="132"/>
      <c r="H188" s="132"/>
      <c r="I188" s="190">
        <f>+I185+I183+I171+I160+I154</f>
        <v>452827.44636599877</v>
      </c>
      <c r="J188" s="125"/>
      <c r="K188" s="125"/>
      <c r="L188" s="125"/>
      <c r="N188" s="125"/>
      <c r="O188" s="155"/>
      <c r="P188" s="138"/>
    </row>
    <row r="189" spans="1:16">
      <c r="A189" s="133"/>
      <c r="B189" s="138"/>
      <c r="C189" s="132"/>
      <c r="D189" s="190"/>
      <c r="E189" s="132"/>
      <c r="F189" s="132"/>
      <c r="G189" s="132"/>
      <c r="H189" s="132"/>
      <c r="I189" s="190"/>
      <c r="J189" s="125"/>
      <c r="K189" s="125"/>
      <c r="L189" s="125"/>
      <c r="N189" s="125"/>
      <c r="O189" s="155"/>
      <c r="P189" s="138"/>
    </row>
    <row r="190" spans="1:16">
      <c r="A190" s="133">
        <v>30</v>
      </c>
      <c r="B190" s="120" t="s">
        <v>339</v>
      </c>
      <c r="J190" s="125"/>
      <c r="K190" s="125"/>
      <c r="L190" s="125"/>
      <c r="N190" s="125"/>
      <c r="O190" s="155"/>
      <c r="P190" s="138"/>
    </row>
    <row r="191" spans="1:16">
      <c r="A191" s="133"/>
      <c r="B191" s="120" t="s">
        <v>340</v>
      </c>
      <c r="J191" s="125"/>
      <c r="K191" s="125"/>
      <c r="L191" s="125"/>
      <c r="N191" s="125"/>
      <c r="O191" s="155"/>
      <c r="P191" s="138"/>
    </row>
    <row r="192" spans="1:16">
      <c r="A192" s="133"/>
      <c r="B192" s="120" t="s">
        <v>341</v>
      </c>
      <c r="D192" s="191">
        <v>0</v>
      </c>
      <c r="E192" s="138"/>
      <c r="F192" s="138"/>
      <c r="G192" s="138"/>
      <c r="H192" s="138"/>
      <c r="I192" s="191">
        <v>0</v>
      </c>
      <c r="J192" s="125"/>
      <c r="K192" s="125"/>
      <c r="L192" s="125"/>
      <c r="N192" s="125"/>
      <c r="O192" s="155"/>
      <c r="P192" s="138"/>
    </row>
    <row r="193" spans="1:16">
      <c r="A193" s="133"/>
      <c r="B193" s="138"/>
      <c r="C193" s="132"/>
      <c r="D193" s="190"/>
      <c r="E193" s="132"/>
      <c r="F193" s="132"/>
      <c r="G193" s="132"/>
      <c r="H193" s="132"/>
      <c r="I193" s="190"/>
      <c r="J193" s="125"/>
      <c r="K193" s="125"/>
      <c r="L193" s="125"/>
      <c r="N193" s="125"/>
      <c r="O193" s="155"/>
      <c r="P193" s="138"/>
    </row>
    <row r="194" spans="1:16">
      <c r="A194" s="133" t="s">
        <v>342</v>
      </c>
      <c r="B194" s="176" t="s">
        <v>343</v>
      </c>
      <c r="C194" s="176"/>
      <c r="D194" s="176"/>
      <c r="J194" s="132"/>
      <c r="K194" s="132"/>
      <c r="L194" s="125"/>
      <c r="N194" s="132"/>
      <c r="O194" s="127"/>
      <c r="P194" s="132" t="s">
        <v>172</v>
      </c>
    </row>
    <row r="195" spans="1:16">
      <c r="A195" s="133"/>
      <c r="B195" s="120" t="s">
        <v>340</v>
      </c>
      <c r="J195" s="132"/>
      <c r="K195" s="132"/>
      <c r="L195" s="125"/>
      <c r="N195" s="132"/>
      <c r="O195" s="127"/>
      <c r="P195" s="132"/>
    </row>
    <row r="196" spans="1:16" ht="16.5" thickBot="1">
      <c r="A196" s="133"/>
      <c r="B196" s="120" t="s">
        <v>344</v>
      </c>
      <c r="D196" s="192">
        <v>0</v>
      </c>
      <c r="E196" s="138"/>
      <c r="F196" s="138"/>
      <c r="G196" s="138"/>
      <c r="H196" s="138"/>
      <c r="I196" s="192">
        <v>0</v>
      </c>
      <c r="J196" s="132"/>
      <c r="K196" s="132"/>
      <c r="L196" s="125"/>
      <c r="N196" s="132"/>
      <c r="O196" s="127"/>
      <c r="P196" s="132"/>
    </row>
    <row r="197" spans="1:16" ht="16.5" thickBot="1">
      <c r="A197" s="174">
        <v>31</v>
      </c>
      <c r="B197" s="176" t="s">
        <v>345</v>
      </c>
      <c r="C197" s="176"/>
      <c r="D197" s="193">
        <f>+D188-D192-D196</f>
        <v>3228386.3275563517</v>
      </c>
      <c r="E197" s="176"/>
      <c r="F197" s="176"/>
      <c r="G197" s="176"/>
      <c r="H197" s="176"/>
      <c r="I197" s="193">
        <f>+I188-I192-I196</f>
        <v>452827.44636599877</v>
      </c>
      <c r="J197" s="178"/>
      <c r="K197" s="178"/>
      <c r="L197" s="194"/>
      <c r="M197" s="176"/>
      <c r="N197" s="178"/>
      <c r="O197" s="127"/>
      <c r="P197" s="132"/>
    </row>
    <row r="198" spans="1:16" ht="16.5" thickTop="1">
      <c r="A198" s="133"/>
      <c r="B198" s="120" t="s">
        <v>346</v>
      </c>
      <c r="J198" s="132"/>
      <c r="K198" s="132"/>
      <c r="L198" s="125"/>
      <c r="N198" s="132"/>
      <c r="O198" s="127"/>
      <c r="P198" s="132"/>
    </row>
    <row r="199" spans="1:16" s="196" customFormat="1">
      <c r="A199" s="195"/>
      <c r="J199" s="197"/>
      <c r="K199" s="197"/>
      <c r="L199" s="198"/>
      <c r="N199" s="197"/>
      <c r="O199" s="199"/>
      <c r="P199" s="197"/>
    </row>
    <row r="200" spans="1:16" s="196" customFormat="1">
      <c r="A200" s="195"/>
      <c r="J200" s="197"/>
      <c r="K200" s="197"/>
      <c r="L200" s="198"/>
      <c r="N200" s="197"/>
      <c r="O200" s="199"/>
      <c r="P200" s="197"/>
    </row>
    <row r="201" spans="1:16" s="196" customFormat="1">
      <c r="A201" s="195"/>
      <c r="J201" s="197"/>
      <c r="K201" s="121" t="s">
        <v>181</v>
      </c>
      <c r="L201" s="198"/>
      <c r="N201" s="197"/>
      <c r="O201" s="199"/>
      <c r="P201" s="197"/>
    </row>
    <row r="202" spans="1:16">
      <c r="B202" s="122"/>
      <c r="C202" s="122"/>
      <c r="D202" s="123"/>
      <c r="E202" s="122"/>
      <c r="F202" s="122"/>
      <c r="G202" s="122"/>
      <c r="H202" s="124"/>
      <c r="I202" s="124"/>
      <c r="J202" s="125"/>
      <c r="K202" s="126" t="s">
        <v>347</v>
      </c>
      <c r="L202" s="138"/>
      <c r="N202" s="125"/>
      <c r="O202" s="125"/>
      <c r="P202" s="125"/>
    </row>
    <row r="203" spans="1:16">
      <c r="A203" s="133"/>
      <c r="J203" s="132"/>
      <c r="K203" s="132"/>
      <c r="L203" s="138"/>
      <c r="N203" s="132"/>
      <c r="O203" s="127"/>
      <c r="P203" s="132"/>
    </row>
    <row r="204" spans="1:16">
      <c r="A204" s="133"/>
      <c r="B204" s="138" t="str">
        <f>B4</f>
        <v xml:space="preserve">Formula Rate - Non-Levelized </v>
      </c>
      <c r="D204" s="120" t="str">
        <f>D4</f>
        <v xml:space="preserve">   Rate Formula Template</v>
      </c>
      <c r="J204" s="132"/>
      <c r="K204" s="121" t="str">
        <f>K4</f>
        <v>For the 12 months ended 12/31/2012</v>
      </c>
      <c r="L204" s="138"/>
      <c r="N204" s="132"/>
      <c r="O204" s="132"/>
      <c r="P204" s="138"/>
    </row>
    <row r="205" spans="1:16">
      <c r="A205" s="133"/>
      <c r="B205" s="138"/>
      <c r="D205" s="120" t="str">
        <f>D5</f>
        <v>Utilizing EIA Form 412 Data</v>
      </c>
      <c r="J205" s="132"/>
      <c r="K205" s="132"/>
      <c r="L205" s="138"/>
      <c r="N205" s="132"/>
      <c r="O205" s="132"/>
      <c r="P205" s="138"/>
    </row>
    <row r="206" spans="1:16" ht="9" customHeight="1">
      <c r="A206" s="133"/>
      <c r="J206" s="132"/>
      <c r="K206" s="132"/>
      <c r="L206" s="138"/>
      <c r="N206" s="132"/>
      <c r="O206" s="132"/>
      <c r="P206" s="138"/>
    </row>
    <row r="207" spans="1:16">
      <c r="A207" s="133"/>
      <c r="D207" s="120" t="str">
        <f>D7</f>
        <v>Worthington (Minnesota) Public Utilities</v>
      </c>
      <c r="J207" s="132"/>
      <c r="K207" s="132"/>
      <c r="L207" s="138"/>
      <c r="N207" s="132"/>
      <c r="O207" s="132"/>
      <c r="P207" s="138"/>
    </row>
    <row r="208" spans="1:16">
      <c r="A208" s="133" t="s">
        <v>1</v>
      </c>
      <c r="C208" s="138"/>
      <c r="D208" s="138"/>
      <c r="E208" s="138"/>
      <c r="F208" s="138"/>
      <c r="G208" s="138"/>
      <c r="H208" s="138"/>
      <c r="I208" s="138"/>
      <c r="J208" s="138"/>
      <c r="K208" s="138"/>
      <c r="L208" s="200"/>
      <c r="N208" s="138"/>
      <c r="O208" s="138"/>
      <c r="P208" s="138"/>
    </row>
    <row r="209" spans="1:17" ht="16.5" thickBot="1">
      <c r="A209" s="135" t="s">
        <v>2</v>
      </c>
      <c r="C209" s="160" t="s">
        <v>348</v>
      </c>
      <c r="E209" s="125"/>
      <c r="F209" s="125"/>
      <c r="G209" s="125"/>
      <c r="H209" s="125"/>
      <c r="I209" s="125"/>
      <c r="J209" s="132"/>
      <c r="K209" s="132"/>
      <c r="L209" s="200"/>
      <c r="N209" s="125"/>
      <c r="O209" s="132"/>
      <c r="P209" s="138"/>
    </row>
    <row r="210" spans="1:17">
      <c r="A210" s="133"/>
      <c r="B210" s="122" t="s">
        <v>349</v>
      </c>
      <c r="C210" s="125"/>
      <c r="D210" s="125"/>
      <c r="E210" s="125"/>
      <c r="F210" s="125"/>
      <c r="G210" s="125"/>
      <c r="H210" s="125"/>
      <c r="I210" s="125"/>
      <c r="J210" s="132"/>
      <c r="K210" s="132"/>
      <c r="L210" s="138"/>
      <c r="N210" s="125"/>
      <c r="O210" s="132"/>
      <c r="P210" s="138"/>
    </row>
    <row r="211" spans="1:17">
      <c r="A211" s="133">
        <v>1</v>
      </c>
      <c r="B211" s="124" t="s">
        <v>350</v>
      </c>
      <c r="C211" s="125"/>
      <c r="D211" s="132"/>
      <c r="E211" s="132"/>
      <c r="F211" s="132"/>
      <c r="G211" s="132"/>
      <c r="H211" s="132"/>
      <c r="I211" s="132">
        <f>D80</f>
        <v>2940891.0000000005</v>
      </c>
      <c r="J211" s="132"/>
      <c r="K211" s="132"/>
      <c r="L211" s="138"/>
      <c r="N211" s="125"/>
      <c r="O211" s="132"/>
      <c r="P211" s="138"/>
    </row>
    <row r="212" spans="1:17">
      <c r="A212" s="133">
        <v>2</v>
      </c>
      <c r="B212" s="124" t="s">
        <v>351</v>
      </c>
      <c r="I212" s="167">
        <v>0</v>
      </c>
      <c r="J212" s="132"/>
      <c r="K212" s="132"/>
      <c r="L212" s="138"/>
      <c r="N212" s="125"/>
      <c r="O212" s="132"/>
      <c r="P212" s="138"/>
    </row>
    <row r="213" spans="1:17" ht="16.5" thickBot="1">
      <c r="A213" s="133">
        <v>3</v>
      </c>
      <c r="B213" s="201" t="s">
        <v>352</v>
      </c>
      <c r="C213" s="202"/>
      <c r="D213" s="190"/>
      <c r="E213" s="132"/>
      <c r="F213" s="132"/>
      <c r="G213" s="170"/>
      <c r="H213" s="132"/>
      <c r="I213" s="165">
        <v>0</v>
      </c>
      <c r="J213" s="132"/>
      <c r="K213" s="132"/>
      <c r="L213" s="138"/>
      <c r="N213" s="125"/>
      <c r="O213" s="132"/>
      <c r="P213" s="138"/>
    </row>
    <row r="214" spans="1:17">
      <c r="A214" s="133">
        <v>4</v>
      </c>
      <c r="B214" s="124" t="s">
        <v>353</v>
      </c>
      <c r="C214" s="125"/>
      <c r="D214" s="132"/>
      <c r="E214" s="132"/>
      <c r="F214" s="132"/>
      <c r="G214" s="170"/>
      <c r="H214" s="132"/>
      <c r="I214" s="132">
        <f>I211-I212-I213</f>
        <v>2940891.0000000005</v>
      </c>
      <c r="J214" s="132"/>
      <c r="K214" s="132"/>
      <c r="L214" s="138"/>
      <c r="N214" s="125"/>
      <c r="O214" s="132"/>
      <c r="P214" s="138"/>
    </row>
    <row r="215" spans="1:17">
      <c r="A215" s="133"/>
      <c r="C215" s="125"/>
      <c r="D215" s="132"/>
      <c r="E215" s="132"/>
      <c r="F215" s="132"/>
      <c r="G215" s="170"/>
      <c r="H215" s="132"/>
      <c r="J215" s="132"/>
      <c r="K215" s="132"/>
    </row>
    <row r="216" spans="1:17">
      <c r="A216" s="133">
        <v>5</v>
      </c>
      <c r="B216" s="124" t="s">
        <v>354</v>
      </c>
      <c r="C216" s="134"/>
      <c r="D216" s="203"/>
      <c r="E216" s="203"/>
      <c r="F216" s="203"/>
      <c r="G216" s="157"/>
      <c r="H216" s="132" t="s">
        <v>355</v>
      </c>
      <c r="I216" s="169">
        <f>IF(I211&gt;0,I214/I211,0)</f>
        <v>1</v>
      </c>
      <c r="J216" s="132"/>
      <c r="K216" s="132"/>
    </row>
    <row r="217" spans="1:17">
      <c r="J217" s="132"/>
      <c r="K217" s="132"/>
      <c r="M217" s="204" t="s">
        <v>356</v>
      </c>
    </row>
    <row r="218" spans="1:17">
      <c r="B218" s="138" t="s">
        <v>357</v>
      </c>
      <c r="J218" s="132"/>
      <c r="K218" s="132"/>
    </row>
    <row r="219" spans="1:17">
      <c r="A219" s="133">
        <v>6</v>
      </c>
      <c r="B219" s="120" t="s">
        <v>358</v>
      </c>
      <c r="D219" s="125"/>
      <c r="E219" s="125"/>
      <c r="F219" s="125"/>
      <c r="G219" s="127"/>
      <c r="H219" s="125"/>
      <c r="I219" s="132">
        <f>D145</f>
        <v>3188616</v>
      </c>
      <c r="J219" s="132"/>
      <c r="K219" s="132"/>
      <c r="L219" s="343" t="s">
        <v>359</v>
      </c>
      <c r="M219" s="344"/>
      <c r="N219" s="344"/>
      <c r="O219" s="344"/>
      <c r="P219" s="344"/>
      <c r="Q219" s="345"/>
    </row>
    <row r="220" spans="1:17" ht="16.5" thickBot="1">
      <c r="A220" s="133">
        <v>7</v>
      </c>
      <c r="B220" s="201" t="s">
        <v>360</v>
      </c>
      <c r="C220" s="202"/>
      <c r="D220" s="190"/>
      <c r="E220" s="190"/>
      <c r="F220" s="132"/>
      <c r="G220" s="132"/>
      <c r="H220" s="132"/>
      <c r="I220" s="165">
        <v>0</v>
      </c>
      <c r="J220" s="132"/>
      <c r="K220" s="132"/>
      <c r="L220" s="205">
        <f>+I220</f>
        <v>0</v>
      </c>
      <c r="M220" s="206" t="s">
        <v>361</v>
      </c>
      <c r="N220" s="207"/>
      <c r="O220" s="190"/>
      <c r="P220" s="208"/>
      <c r="Q220" s="209"/>
    </row>
    <row r="221" spans="1:17">
      <c r="A221" s="133">
        <v>8</v>
      </c>
      <c r="B221" s="124" t="s">
        <v>362</v>
      </c>
      <c r="C221" s="134"/>
      <c r="D221" s="203"/>
      <c r="E221" s="203"/>
      <c r="F221" s="203"/>
      <c r="G221" s="157"/>
      <c r="H221" s="203"/>
      <c r="I221" s="132">
        <f>+I219-I220</f>
        <v>3188616</v>
      </c>
      <c r="J221" s="132"/>
      <c r="K221" s="132"/>
      <c r="L221" s="210">
        <v>0</v>
      </c>
      <c r="M221" s="211" t="s">
        <v>363</v>
      </c>
      <c r="N221" s="212"/>
      <c r="O221" s="212"/>
      <c r="P221" s="212"/>
      <c r="Q221" s="209"/>
    </row>
    <row r="222" spans="1:17">
      <c r="A222" s="133"/>
      <c r="B222" s="124"/>
      <c r="C222" s="125"/>
      <c r="D222" s="132"/>
      <c r="E222" s="132"/>
      <c r="F222" s="132"/>
      <c r="G222" s="132"/>
      <c r="J222" s="132"/>
      <c r="K222" s="132"/>
      <c r="L222" s="205">
        <f>L220-L221</f>
        <v>0</v>
      </c>
      <c r="M222" s="211" t="s">
        <v>364</v>
      </c>
      <c r="N222" s="212"/>
      <c r="O222" s="212"/>
      <c r="P222" s="212"/>
      <c r="Q222" s="209"/>
    </row>
    <row r="223" spans="1:17">
      <c r="A223" s="133">
        <v>9</v>
      </c>
      <c r="B223" s="124" t="s">
        <v>365</v>
      </c>
      <c r="C223" s="125"/>
      <c r="D223" s="132"/>
      <c r="E223" s="132"/>
      <c r="F223" s="132"/>
      <c r="G223" s="132"/>
      <c r="H223" s="132"/>
      <c r="I223" s="164">
        <f>IF(I219&gt;0,I221/I219,0)</f>
        <v>1</v>
      </c>
      <c r="J223" s="132"/>
      <c r="K223" s="132"/>
      <c r="L223" s="213"/>
      <c r="M223" s="214" t="s">
        <v>366</v>
      </c>
      <c r="N223" s="215"/>
      <c r="O223" s="215"/>
      <c r="P223" s="215"/>
      <c r="Q223" s="216"/>
    </row>
    <row r="224" spans="1:17">
      <c r="A224" s="133">
        <v>10</v>
      </c>
      <c r="B224" s="124" t="s">
        <v>367</v>
      </c>
      <c r="C224" s="125"/>
      <c r="D224" s="132"/>
      <c r="E224" s="132"/>
      <c r="F224" s="132"/>
      <c r="G224" s="132"/>
      <c r="H224" s="125" t="s">
        <v>193</v>
      </c>
      <c r="I224" s="217">
        <f>I216</f>
        <v>1</v>
      </c>
      <c r="J224" s="132"/>
      <c r="K224" s="132"/>
      <c r="L224" s="218">
        <v>0</v>
      </c>
      <c r="M224" s="219" t="s">
        <v>368</v>
      </c>
      <c r="N224" s="190"/>
      <c r="O224" s="208"/>
      <c r="P224" s="212"/>
      <c r="Q224" s="209"/>
    </row>
    <row r="225" spans="1:17">
      <c r="A225" s="133">
        <v>11</v>
      </c>
      <c r="B225" s="124" t="s">
        <v>369</v>
      </c>
      <c r="C225" s="125"/>
      <c r="D225" s="125"/>
      <c r="E225" s="125"/>
      <c r="F225" s="125"/>
      <c r="G225" s="125"/>
      <c r="H225" s="125" t="s">
        <v>370</v>
      </c>
      <c r="I225" s="220">
        <f>+I224*I223</f>
        <v>1</v>
      </c>
      <c r="J225" s="132"/>
      <c r="K225" s="132"/>
      <c r="L225" s="218">
        <v>0</v>
      </c>
      <c r="M225" s="219" t="s">
        <v>371</v>
      </c>
      <c r="N225" s="190"/>
      <c r="O225" s="208"/>
      <c r="P225" s="212"/>
      <c r="Q225" s="209"/>
    </row>
    <row r="226" spans="1:17">
      <c r="A226" s="133"/>
      <c r="C226" s="125"/>
      <c r="D226" s="132"/>
      <c r="E226" s="132"/>
      <c r="F226" s="132"/>
      <c r="G226" s="170"/>
      <c r="H226" s="132"/>
      <c r="L226" s="210">
        <v>0</v>
      </c>
      <c r="M226" s="219" t="s">
        <v>372</v>
      </c>
      <c r="N226" s="190"/>
      <c r="O226" s="208"/>
      <c r="P226" s="212"/>
      <c r="Q226" s="209"/>
    </row>
    <row r="227" spans="1:17" ht="16.5" thickBot="1">
      <c r="A227" s="133" t="s">
        <v>172</v>
      </c>
      <c r="B227" s="138" t="s">
        <v>373</v>
      </c>
      <c r="C227" s="132"/>
      <c r="D227" s="221" t="s">
        <v>374</v>
      </c>
      <c r="E227" s="221" t="s">
        <v>193</v>
      </c>
      <c r="F227" s="132"/>
      <c r="G227" s="221" t="s">
        <v>375</v>
      </c>
      <c r="H227" s="132"/>
      <c r="I227" s="132"/>
      <c r="L227" s="222">
        <f>SUM(L224:L226)</f>
        <v>0</v>
      </c>
      <c r="M227" s="211" t="s">
        <v>376</v>
      </c>
      <c r="N227" s="212"/>
      <c r="O227" s="212"/>
      <c r="P227" s="212"/>
      <c r="Q227" s="209"/>
    </row>
    <row r="228" spans="1:17">
      <c r="A228" s="133">
        <v>12</v>
      </c>
      <c r="B228" s="138" t="s">
        <v>249</v>
      </c>
      <c r="C228" s="132"/>
      <c r="D228" s="167">
        <f>+Salaries!M19</f>
        <v>18669</v>
      </c>
      <c r="E228" s="223">
        <v>0</v>
      </c>
      <c r="F228" s="223"/>
      <c r="G228" s="132">
        <f>D228*E228</f>
        <v>0</v>
      </c>
      <c r="H228" s="132"/>
      <c r="I228" s="132"/>
      <c r="J228" s="132"/>
      <c r="K228" s="132"/>
      <c r="L228" s="224">
        <f>L222-L227</f>
        <v>0</v>
      </c>
      <c r="M228" s="225" t="s">
        <v>377</v>
      </c>
      <c r="N228" s="226"/>
      <c r="O228" s="226"/>
      <c r="P228" s="226"/>
      <c r="Q228" s="227"/>
    </row>
    <row r="229" spans="1:17">
      <c r="A229" s="133">
        <v>13</v>
      </c>
      <c r="B229" s="138" t="s">
        <v>252</v>
      </c>
      <c r="C229" s="132"/>
      <c r="D229" s="167">
        <f>+Salaries!M23</f>
        <v>0</v>
      </c>
      <c r="E229" s="223">
        <f>+I216</f>
        <v>1</v>
      </c>
      <c r="F229" s="223"/>
      <c r="G229" s="132">
        <f>D229*E229</f>
        <v>0</v>
      </c>
      <c r="H229" s="132"/>
      <c r="I229" s="132"/>
      <c r="J229" s="132"/>
      <c r="K229" s="132"/>
      <c r="L229" s="228"/>
      <c r="M229" s="211"/>
      <c r="N229" s="190"/>
      <c r="O229" s="208"/>
      <c r="P229" s="212"/>
      <c r="Q229" s="212"/>
    </row>
    <row r="230" spans="1:17">
      <c r="A230" s="133">
        <v>14</v>
      </c>
      <c r="B230" s="138" t="s">
        <v>254</v>
      </c>
      <c r="C230" s="132"/>
      <c r="D230" s="167">
        <f>+Salaries!M42</f>
        <v>266084</v>
      </c>
      <c r="E230" s="223">
        <v>0</v>
      </c>
      <c r="F230" s="223"/>
      <c r="G230" s="132">
        <f>D230*E230</f>
        <v>0</v>
      </c>
      <c r="H230" s="132"/>
      <c r="I230" s="229" t="s">
        <v>378</v>
      </c>
      <c r="J230" s="132"/>
      <c r="K230" s="132"/>
      <c r="L230" s="138" t="s">
        <v>558</v>
      </c>
      <c r="N230" s="132"/>
      <c r="O230" s="132"/>
      <c r="P230" s="138"/>
    </row>
    <row r="231" spans="1:17" ht="16.5" thickBot="1">
      <c r="A231" s="133">
        <v>15</v>
      </c>
      <c r="B231" s="138" t="s">
        <v>379</v>
      </c>
      <c r="C231" s="132"/>
      <c r="D231" s="165">
        <f>+Salaries!M48</f>
        <v>195680</v>
      </c>
      <c r="E231" s="223">
        <v>0</v>
      </c>
      <c r="F231" s="223"/>
      <c r="G231" s="143">
        <f>D231*E231</f>
        <v>0</v>
      </c>
      <c r="H231" s="132"/>
      <c r="I231" s="135" t="s">
        <v>380</v>
      </c>
      <c r="J231" s="132"/>
      <c r="K231" s="132"/>
      <c r="L231" s="332"/>
      <c r="N231" s="132"/>
      <c r="O231" s="132"/>
      <c r="P231" s="138"/>
    </row>
    <row r="232" spans="1:17">
      <c r="A232" s="133">
        <v>16</v>
      </c>
      <c r="B232" s="138" t="s">
        <v>381</v>
      </c>
      <c r="C232" s="132"/>
      <c r="D232" s="132">
        <f>SUM(D228:D231)</f>
        <v>480433</v>
      </c>
      <c r="E232" s="132"/>
      <c r="F232" s="132"/>
      <c r="G232" s="132">
        <f>SUM(G228:G231)</f>
        <v>0</v>
      </c>
      <c r="H232" s="127" t="s">
        <v>382</v>
      </c>
      <c r="I232" s="164">
        <f>IF(G232&gt;0,G229/D232,0)</f>
        <v>0</v>
      </c>
      <c r="J232" s="132" t="s">
        <v>382</v>
      </c>
      <c r="K232" s="132" t="s">
        <v>258</v>
      </c>
      <c r="L232" s="332"/>
      <c r="N232" s="132"/>
      <c r="O232" s="132"/>
      <c r="P232" s="138"/>
    </row>
    <row r="233" spans="1:17">
      <c r="A233" s="133" t="s">
        <v>172</v>
      </c>
      <c r="B233" s="138" t="s">
        <v>172</v>
      </c>
      <c r="C233" s="132" t="s">
        <v>172</v>
      </c>
      <c r="E233" s="132"/>
      <c r="F233" s="132"/>
      <c r="L233" s="332"/>
      <c r="N233" s="132"/>
      <c r="O233" s="132"/>
      <c r="P233" s="138"/>
    </row>
    <row r="234" spans="1:17">
      <c r="A234" s="133"/>
      <c r="B234" s="138" t="s">
        <v>383</v>
      </c>
      <c r="C234" s="132"/>
      <c r="D234" s="158" t="s">
        <v>374</v>
      </c>
      <c r="E234" s="132"/>
      <c r="F234" s="132"/>
      <c r="G234" s="170" t="s">
        <v>384</v>
      </c>
      <c r="H234" s="183" t="s">
        <v>172</v>
      </c>
      <c r="I234" s="166" t="s">
        <v>385</v>
      </c>
      <c r="J234" s="132"/>
      <c r="K234" s="132"/>
      <c r="L234" s="138" t="s">
        <v>559</v>
      </c>
      <c r="N234" s="132"/>
      <c r="O234" s="132"/>
      <c r="P234" s="138"/>
    </row>
    <row r="235" spans="1:17">
      <c r="A235" s="133">
        <v>17</v>
      </c>
      <c r="B235" s="138" t="s">
        <v>386</v>
      </c>
      <c r="C235" s="132"/>
      <c r="D235" s="167">
        <v>16858980</v>
      </c>
      <c r="E235" s="132"/>
      <c r="G235" s="133" t="s">
        <v>387</v>
      </c>
      <c r="H235" s="230"/>
      <c r="I235" s="133" t="s">
        <v>388</v>
      </c>
      <c r="J235" s="132"/>
      <c r="K235" s="127" t="s">
        <v>260</v>
      </c>
      <c r="L235" s="138" t="s">
        <v>560</v>
      </c>
      <c r="N235" s="132"/>
      <c r="O235" s="132"/>
      <c r="P235" s="138"/>
    </row>
    <row r="236" spans="1:17">
      <c r="A236" s="133">
        <v>18</v>
      </c>
      <c r="B236" s="138" t="s">
        <v>389</v>
      </c>
      <c r="C236" s="132"/>
      <c r="D236" s="167">
        <v>0</v>
      </c>
      <c r="E236" s="132"/>
      <c r="G236" s="140">
        <f>IF(D238&gt;0,D235/D238,0)</f>
        <v>0.50708963829868892</v>
      </c>
      <c r="H236" s="170" t="s">
        <v>390</v>
      </c>
      <c r="I236" s="140">
        <f>I232</f>
        <v>0</v>
      </c>
      <c r="J236" s="183" t="s">
        <v>382</v>
      </c>
      <c r="K236" s="140">
        <f>I236*G236</f>
        <v>0</v>
      </c>
      <c r="N236" s="132"/>
      <c r="O236" s="132"/>
      <c r="P236" s="138"/>
    </row>
    <row r="237" spans="1:17" ht="16.5" thickBot="1">
      <c r="A237" s="133">
        <v>19</v>
      </c>
      <c r="B237" s="231" t="s">
        <v>391</v>
      </c>
      <c r="C237" s="143"/>
      <c r="D237" s="165">
        <v>16387568</v>
      </c>
      <c r="E237" s="132"/>
      <c r="F237" s="132"/>
      <c r="G237" s="132" t="s">
        <v>172</v>
      </c>
      <c r="H237" s="132"/>
      <c r="I237" s="132"/>
      <c r="L237" s="120" t="s">
        <v>561</v>
      </c>
      <c r="N237" s="132"/>
      <c r="O237" s="132"/>
      <c r="P237" s="138"/>
    </row>
    <row r="238" spans="1:17">
      <c r="A238" s="133">
        <v>20</v>
      </c>
      <c r="B238" s="138" t="s">
        <v>392</v>
      </c>
      <c r="C238" s="132"/>
      <c r="D238" s="132">
        <f>D235+D236+D237</f>
        <v>33246548</v>
      </c>
      <c r="E238" s="132"/>
      <c r="F238" s="132"/>
      <c r="G238" s="132"/>
      <c r="H238" s="132"/>
      <c r="I238" s="132"/>
      <c r="J238" s="132"/>
      <c r="K238" s="132"/>
      <c r="L238" s="332"/>
      <c r="N238" s="132"/>
      <c r="O238" s="132"/>
      <c r="P238" s="138"/>
    </row>
    <row r="239" spans="1:17">
      <c r="A239" s="133"/>
      <c r="B239" s="138" t="s">
        <v>172</v>
      </c>
      <c r="C239" s="132"/>
      <c r="E239" s="132"/>
      <c r="F239" s="132"/>
      <c r="G239" s="132"/>
      <c r="H239" s="132"/>
      <c r="I239" s="132" t="s">
        <v>172</v>
      </c>
      <c r="J239" s="132"/>
      <c r="K239" s="132"/>
      <c r="L239" s="332"/>
      <c r="N239" s="132"/>
      <c r="O239" s="132"/>
      <c r="P239" s="138"/>
    </row>
    <row r="240" spans="1:17" ht="16.5" thickBot="1">
      <c r="A240" s="133"/>
      <c r="B240" s="122" t="s">
        <v>393</v>
      </c>
      <c r="C240" s="132"/>
      <c r="D240" s="221" t="s">
        <v>374</v>
      </c>
      <c r="E240" s="132"/>
      <c r="F240" s="132"/>
      <c r="G240" s="132"/>
      <c r="H240" s="132"/>
      <c r="J240" s="132" t="s">
        <v>172</v>
      </c>
      <c r="K240" s="132"/>
      <c r="L240" s="332"/>
      <c r="N240" s="132"/>
      <c r="O240" s="132"/>
      <c r="P240" s="138"/>
    </row>
    <row r="241" spans="1:16">
      <c r="A241" s="133">
        <v>21</v>
      </c>
      <c r="B241" s="132" t="s">
        <v>394</v>
      </c>
      <c r="C241" s="124" t="s">
        <v>395</v>
      </c>
      <c r="D241" s="232">
        <v>32550</v>
      </c>
      <c r="E241" s="132"/>
      <c r="F241" s="132"/>
      <c r="G241" s="132"/>
      <c r="H241" s="132"/>
      <c r="I241" s="132"/>
      <c r="J241" s="132"/>
      <c r="K241" s="132"/>
      <c r="L241" s="120" t="s">
        <v>562</v>
      </c>
      <c r="N241" s="132"/>
      <c r="O241" s="132"/>
      <c r="P241" s="138"/>
    </row>
    <row r="242" spans="1:16">
      <c r="A242" s="133"/>
      <c r="B242" s="138"/>
      <c r="D242" s="132"/>
      <c r="E242" s="132"/>
      <c r="F242" s="132"/>
      <c r="G242" s="170" t="s">
        <v>396</v>
      </c>
      <c r="H242" s="132"/>
      <c r="I242" s="132"/>
      <c r="J242" s="132"/>
      <c r="K242" s="132"/>
      <c r="L242" s="332"/>
      <c r="N242" s="132"/>
      <c r="O242" s="132"/>
      <c r="P242" s="138"/>
    </row>
    <row r="243" spans="1:16" ht="16.5" thickBot="1">
      <c r="A243" s="133"/>
      <c r="B243" s="122"/>
      <c r="C243" s="124"/>
      <c r="D243" s="135" t="s">
        <v>374</v>
      </c>
      <c r="E243" s="135" t="s">
        <v>397</v>
      </c>
      <c r="F243" s="132"/>
      <c r="G243" s="135" t="s">
        <v>398</v>
      </c>
      <c r="H243" s="132"/>
      <c r="I243" s="135" t="s">
        <v>399</v>
      </c>
      <c r="J243" s="132"/>
      <c r="K243" s="132"/>
      <c r="L243" s="332"/>
      <c r="N243" s="132"/>
      <c r="O243" s="132"/>
      <c r="P243" s="138"/>
    </row>
    <row r="244" spans="1:16">
      <c r="A244" s="133">
        <v>22</v>
      </c>
      <c r="B244" s="122" t="s">
        <v>400</v>
      </c>
      <c r="C244" s="124" t="s">
        <v>401</v>
      </c>
      <c r="D244" s="167">
        <f>213234+677276</f>
        <v>890510</v>
      </c>
      <c r="E244" s="233">
        <f>IF($D$246&gt;0,D244/$D$246,0)</f>
        <v>3.0941694063917422E-2</v>
      </c>
      <c r="F244" s="234"/>
      <c r="G244" s="235">
        <f>IF(D244&gt;0,D241/D244,0)</f>
        <v>3.6552088129274234E-2</v>
      </c>
      <c r="I244" s="234">
        <f>G244*E244</f>
        <v>1.130983528293351E-3</v>
      </c>
      <c r="J244" s="236" t="s">
        <v>402</v>
      </c>
      <c r="K244" s="132"/>
      <c r="L244" s="120" t="s">
        <v>563</v>
      </c>
      <c r="N244" s="132"/>
      <c r="O244" s="132"/>
      <c r="P244" s="138"/>
    </row>
    <row r="245" spans="1:16" ht="16.5" thickBot="1">
      <c r="A245" s="133">
        <v>23</v>
      </c>
      <c r="B245" s="122" t="s">
        <v>403</v>
      </c>
      <c r="C245" s="124" t="s">
        <v>404</v>
      </c>
      <c r="D245" s="165">
        <v>27889750</v>
      </c>
      <c r="E245" s="237">
        <f>IF($D$246&gt;0,D245/$D$246,0)</f>
        <v>0.96905830593608255</v>
      </c>
      <c r="F245" s="234"/>
      <c r="G245" s="234">
        <f>I248</f>
        <v>0.12379999999999999</v>
      </c>
      <c r="I245" s="238">
        <f>G245*E245</f>
        <v>0.11996941827488701</v>
      </c>
      <c r="L245" s="120" t="s">
        <v>563</v>
      </c>
      <c r="N245" s="132"/>
      <c r="O245" s="132"/>
      <c r="P245" s="138"/>
    </row>
    <row r="246" spans="1:16">
      <c r="A246" s="133">
        <v>24</v>
      </c>
      <c r="B246" s="122" t="s">
        <v>405</v>
      </c>
      <c r="C246" s="124"/>
      <c r="D246" s="132">
        <f>SUM(D244:D245)</f>
        <v>28780260</v>
      </c>
      <c r="E246" s="239">
        <f>SUM(E244+E245)</f>
        <v>1</v>
      </c>
      <c r="F246" s="234"/>
      <c r="G246" s="234"/>
      <c r="I246" s="234">
        <f>SUM(I244:I245)</f>
        <v>0.12110040180318037</v>
      </c>
      <c r="J246" s="236" t="s">
        <v>406</v>
      </c>
      <c r="L246" s="138"/>
      <c r="N246" s="132"/>
      <c r="O246" s="132"/>
      <c r="P246" s="138"/>
    </row>
    <row r="247" spans="1:16">
      <c r="A247" s="133" t="s">
        <v>172</v>
      </c>
      <c r="B247" s="138"/>
      <c r="D247" s="132"/>
      <c r="E247" s="132" t="s">
        <v>172</v>
      </c>
      <c r="F247" s="132"/>
      <c r="G247" s="132"/>
      <c r="H247" s="132"/>
      <c r="I247" s="234"/>
      <c r="L247" s="138"/>
      <c r="N247" s="132"/>
      <c r="O247" s="132"/>
      <c r="P247" s="138"/>
    </row>
    <row r="248" spans="1:16">
      <c r="A248" s="133">
        <v>25</v>
      </c>
      <c r="E248" s="132"/>
      <c r="F248" s="132"/>
      <c r="G248" s="132"/>
      <c r="H248" s="173" t="s">
        <v>407</v>
      </c>
      <c r="I248" s="240">
        <v>0.12379999999999999</v>
      </c>
      <c r="L248" s="138"/>
      <c r="N248" s="132"/>
      <c r="O248" s="132"/>
      <c r="P248" s="138"/>
    </row>
    <row r="249" spans="1:16">
      <c r="A249" s="133">
        <v>26</v>
      </c>
      <c r="H249" s="121" t="s">
        <v>408</v>
      </c>
      <c r="I249" s="223">
        <f>IF(G244&gt;0,I246/G244,0)</f>
        <v>3.3130912076728158</v>
      </c>
      <c r="L249" s="138"/>
      <c r="N249" s="132"/>
      <c r="O249" s="132"/>
      <c r="P249" s="138"/>
    </row>
    <row r="250" spans="1:16">
      <c r="A250" s="133"/>
      <c r="B250" s="122" t="s">
        <v>409</v>
      </c>
      <c r="C250" s="124"/>
      <c r="D250" s="124"/>
      <c r="E250" s="124"/>
      <c r="F250" s="124"/>
      <c r="G250" s="124"/>
      <c r="H250" s="124"/>
      <c r="I250" s="124"/>
      <c r="K250" s="132"/>
      <c r="L250" s="138"/>
      <c r="N250" s="132"/>
      <c r="O250" s="132"/>
      <c r="P250" s="138"/>
    </row>
    <row r="251" spans="1:16" ht="16.5" thickBot="1">
      <c r="A251" s="133"/>
      <c r="B251" s="122"/>
      <c r="C251" s="122"/>
      <c r="D251" s="122"/>
      <c r="E251" s="122"/>
      <c r="F251" s="122"/>
      <c r="G251" s="122"/>
      <c r="H251" s="122"/>
      <c r="I251" s="135" t="s">
        <v>410</v>
      </c>
      <c r="J251" s="124"/>
      <c r="K251" s="124"/>
      <c r="L251" s="138"/>
      <c r="N251" s="132"/>
      <c r="O251" s="132"/>
      <c r="P251" s="138"/>
    </row>
    <row r="252" spans="1:16">
      <c r="A252" s="133"/>
      <c r="B252" s="122" t="s">
        <v>411</v>
      </c>
      <c r="C252" s="124"/>
      <c r="D252" s="124"/>
      <c r="E252" s="124"/>
      <c r="F252" s="124"/>
      <c r="G252" s="241" t="s">
        <v>172</v>
      </c>
      <c r="H252" s="196"/>
      <c r="I252" s="242"/>
      <c r="J252" s="122"/>
      <c r="K252" s="122"/>
      <c r="L252" s="138"/>
      <c r="N252" s="132"/>
      <c r="O252" s="132"/>
      <c r="P252" s="138"/>
    </row>
    <row r="253" spans="1:16">
      <c r="A253" s="133">
        <v>27</v>
      </c>
      <c r="B253" s="120" t="s">
        <v>412</v>
      </c>
      <c r="C253" s="124"/>
      <c r="D253" s="124"/>
      <c r="E253" s="124" t="s">
        <v>413</v>
      </c>
      <c r="F253" s="124"/>
      <c r="H253" s="196"/>
      <c r="I253" s="167">
        <v>0</v>
      </c>
      <c r="J253" s="122"/>
      <c r="K253" s="122"/>
      <c r="L253" s="138"/>
      <c r="N253" s="170"/>
      <c r="O253" s="132"/>
      <c r="P253" s="138"/>
    </row>
    <row r="254" spans="1:16" ht="16.5" thickBot="1">
      <c r="A254" s="133">
        <v>28</v>
      </c>
      <c r="B254" s="171" t="s">
        <v>414</v>
      </c>
      <c r="C254" s="202"/>
      <c r="D254" s="212"/>
      <c r="E254" s="243"/>
      <c r="F254" s="243"/>
      <c r="G254" s="243"/>
      <c r="H254" s="124"/>
      <c r="I254" s="165">
        <v>0</v>
      </c>
      <c r="J254" s="122"/>
      <c r="K254" s="122"/>
      <c r="L254" s="138"/>
      <c r="N254" s="122"/>
      <c r="O254" s="132"/>
      <c r="P254" s="138"/>
    </row>
    <row r="255" spans="1:16">
      <c r="A255" s="133">
        <v>29</v>
      </c>
      <c r="B255" s="120" t="s">
        <v>415</v>
      </c>
      <c r="C255" s="125"/>
      <c r="D255" s="212"/>
      <c r="E255" s="243"/>
      <c r="F255" s="243"/>
      <c r="G255" s="243"/>
      <c r="H255" s="124"/>
      <c r="I255" s="167">
        <f>+I253-I254</f>
        <v>0</v>
      </c>
      <c r="J255" s="122"/>
      <c r="K255" s="122"/>
      <c r="L255" s="138"/>
      <c r="N255" s="122"/>
      <c r="O255" s="132"/>
      <c r="P255" s="138"/>
    </row>
    <row r="256" spans="1:16">
      <c r="A256" s="133"/>
      <c r="B256" s="120" t="s">
        <v>172</v>
      </c>
      <c r="C256" s="125"/>
      <c r="D256" s="212"/>
      <c r="E256" s="243"/>
      <c r="F256" s="243"/>
      <c r="G256" s="244"/>
      <c r="H256" s="124"/>
      <c r="I256" s="245" t="s">
        <v>172</v>
      </c>
      <c r="J256" s="122"/>
      <c r="K256" s="122"/>
      <c r="L256" s="138"/>
      <c r="N256" s="122"/>
      <c r="O256" s="132"/>
      <c r="P256" s="138"/>
    </row>
    <row r="257" spans="1:17">
      <c r="A257" s="133">
        <v>30</v>
      </c>
      <c r="B257" s="122" t="s">
        <v>416</v>
      </c>
      <c r="C257" s="125"/>
      <c r="D257" s="212"/>
      <c r="E257" s="243"/>
      <c r="F257" s="243"/>
      <c r="G257" s="244"/>
      <c r="H257" s="124"/>
      <c r="I257" s="246">
        <v>0</v>
      </c>
      <c r="J257" s="122"/>
      <c r="K257" s="122"/>
      <c r="L257" s="336" t="s">
        <v>565</v>
      </c>
      <c r="N257" s="122"/>
      <c r="O257" s="132"/>
      <c r="P257" s="138"/>
    </row>
    <row r="258" spans="1:17">
      <c r="A258" s="133"/>
      <c r="C258" s="124"/>
      <c r="D258" s="243"/>
      <c r="E258" s="243"/>
      <c r="F258" s="243"/>
      <c r="G258" s="243"/>
      <c r="H258" s="124"/>
      <c r="I258" s="245"/>
      <c r="J258" s="122"/>
      <c r="K258" s="122"/>
      <c r="L258" s="337"/>
      <c r="N258" s="122"/>
      <c r="O258" s="132"/>
      <c r="P258" s="138"/>
    </row>
    <row r="259" spans="1:17">
      <c r="B259" s="122" t="s">
        <v>417</v>
      </c>
      <c r="C259" s="124"/>
      <c r="D259" s="243"/>
      <c r="E259" s="243"/>
      <c r="F259" s="243"/>
      <c r="G259" s="243"/>
      <c r="H259" s="124"/>
      <c r="J259" s="122"/>
      <c r="K259" s="122"/>
      <c r="L259" s="337"/>
      <c r="N259" s="122"/>
      <c r="O259" s="132"/>
      <c r="P259" s="138"/>
    </row>
    <row r="260" spans="1:17">
      <c r="A260" s="133">
        <v>31</v>
      </c>
      <c r="B260" s="122" t="s">
        <v>418</v>
      </c>
      <c r="C260" s="132"/>
      <c r="D260" s="190"/>
      <c r="E260" s="190"/>
      <c r="F260" s="190"/>
      <c r="G260" s="190"/>
      <c r="H260" s="132"/>
      <c r="I260" s="247">
        <v>0</v>
      </c>
      <c r="J260" s="122"/>
      <c r="K260" s="122"/>
      <c r="L260" s="120" t="s">
        <v>564</v>
      </c>
      <c r="N260" s="122"/>
      <c r="O260" s="132"/>
      <c r="P260" s="138"/>
    </row>
    <row r="261" spans="1:17">
      <c r="A261" s="133">
        <v>32</v>
      </c>
      <c r="B261" s="249" t="s">
        <v>419</v>
      </c>
      <c r="C261" s="243"/>
      <c r="D261" s="243"/>
      <c r="E261" s="243"/>
      <c r="F261" s="243"/>
      <c r="G261" s="243"/>
      <c r="H261" s="124"/>
      <c r="I261" s="247">
        <v>0</v>
      </c>
      <c r="J261" s="122"/>
      <c r="K261" s="122"/>
      <c r="N261" s="122"/>
      <c r="O261" s="132"/>
      <c r="P261" s="138"/>
    </row>
    <row r="262" spans="1:17">
      <c r="A262" s="133" t="s">
        <v>420</v>
      </c>
      <c r="B262" s="250" t="s">
        <v>421</v>
      </c>
      <c r="C262" s="251"/>
      <c r="D262" s="243"/>
      <c r="E262" s="243"/>
      <c r="F262" s="243"/>
      <c r="G262" s="243"/>
      <c r="H262" s="124"/>
      <c r="I262" s="247">
        <v>0</v>
      </c>
      <c r="J262" s="122"/>
      <c r="K262" s="122"/>
      <c r="L262" s="170"/>
      <c r="N262" s="122"/>
      <c r="O262" s="132"/>
      <c r="P262" s="138"/>
    </row>
    <row r="263" spans="1:17" ht="16.5" thickBot="1">
      <c r="A263" s="133" t="s">
        <v>422</v>
      </c>
      <c r="B263" s="252" t="s">
        <v>423</v>
      </c>
      <c r="C263" s="253"/>
      <c r="D263" s="243"/>
      <c r="E263" s="243"/>
      <c r="F263" s="243"/>
      <c r="G263" s="243"/>
      <c r="H263" s="124"/>
      <c r="I263" s="254">
        <v>0</v>
      </c>
      <c r="J263" s="122"/>
      <c r="K263" s="122"/>
      <c r="L263" s="170"/>
      <c r="N263" s="122"/>
      <c r="O263" s="132"/>
      <c r="P263" s="138"/>
    </row>
    <row r="264" spans="1:17" s="196" customFormat="1">
      <c r="A264" s="133">
        <v>33</v>
      </c>
      <c r="B264" s="120" t="s">
        <v>424</v>
      </c>
      <c r="C264" s="133"/>
      <c r="D264" s="190"/>
      <c r="E264" s="190"/>
      <c r="F264" s="190"/>
      <c r="G264" s="190"/>
      <c r="H264" s="124"/>
      <c r="I264" s="255">
        <f>+I260-I261-I262-I263</f>
        <v>0</v>
      </c>
      <c r="J264" s="122"/>
      <c r="K264" s="122"/>
      <c r="L264" s="248" t="s">
        <v>425</v>
      </c>
      <c r="M264" s="120"/>
      <c r="N264" s="122"/>
      <c r="O264" s="125"/>
      <c r="P264" s="138"/>
      <c r="Q264" s="120"/>
    </row>
    <row r="265" spans="1:17">
      <c r="A265" s="133"/>
      <c r="B265" s="256"/>
      <c r="C265" s="133"/>
      <c r="D265" s="190"/>
      <c r="E265" s="190"/>
      <c r="F265" s="190"/>
      <c r="G265" s="190"/>
      <c r="H265" s="124"/>
      <c r="I265" s="255"/>
      <c r="J265" s="122"/>
      <c r="K265" s="122"/>
      <c r="L265" s="248" t="s">
        <v>426</v>
      </c>
      <c r="M265" s="196"/>
      <c r="N265" s="257"/>
      <c r="O265" s="198"/>
      <c r="P265" s="258"/>
      <c r="Q265" s="196"/>
    </row>
    <row r="266" spans="1:17">
      <c r="A266" s="133"/>
      <c r="B266" s="256"/>
      <c r="C266" s="133"/>
      <c r="D266" s="190"/>
      <c r="E266" s="190"/>
      <c r="F266" s="190"/>
      <c r="G266" s="190"/>
      <c r="H266" s="124"/>
      <c r="I266" s="255"/>
      <c r="J266" s="122"/>
      <c r="K266" s="122"/>
      <c r="L266" s="248"/>
      <c r="N266" s="122"/>
      <c r="O266" s="125"/>
      <c r="P266" s="138"/>
    </row>
    <row r="267" spans="1:17">
      <c r="A267" s="133"/>
      <c r="B267" s="256"/>
      <c r="C267" s="133"/>
      <c r="D267" s="190"/>
      <c r="E267" s="190"/>
      <c r="F267" s="190"/>
      <c r="G267" s="190"/>
      <c r="H267" s="124"/>
      <c r="I267" s="255"/>
      <c r="J267" s="122"/>
      <c r="K267" s="122"/>
      <c r="L267" s="248"/>
      <c r="N267" s="122"/>
      <c r="O267" s="125"/>
      <c r="P267" s="138"/>
    </row>
    <row r="268" spans="1:17">
      <c r="A268" s="133"/>
      <c r="B268" s="256"/>
      <c r="C268" s="133"/>
      <c r="D268" s="190"/>
      <c r="E268" s="190"/>
      <c r="F268" s="190"/>
      <c r="G268" s="190"/>
      <c r="H268" s="124"/>
      <c r="I268" s="255"/>
      <c r="J268" s="122"/>
      <c r="K268" s="121" t="s">
        <v>181</v>
      </c>
      <c r="L268" s="248"/>
      <c r="N268" s="122"/>
      <c r="O268" s="125"/>
      <c r="P268" s="138"/>
    </row>
    <row r="269" spans="1:17">
      <c r="B269" s="122"/>
      <c r="C269" s="122"/>
      <c r="E269" s="122"/>
      <c r="F269" s="122"/>
      <c r="G269" s="122"/>
      <c r="H269" s="124"/>
      <c r="I269" s="124"/>
      <c r="K269" s="126" t="s">
        <v>427</v>
      </c>
      <c r="L269" s="125"/>
      <c r="N269" s="125"/>
      <c r="O269" s="125"/>
      <c r="P269" s="125"/>
    </row>
    <row r="270" spans="1:17">
      <c r="A270" s="133"/>
      <c r="B270" s="256" t="str">
        <f>B4</f>
        <v xml:space="preserve">Formula Rate - Non-Levelized </v>
      </c>
      <c r="C270" s="346" t="str">
        <f>D4</f>
        <v xml:space="preserve">   Rate Formula Template</v>
      </c>
      <c r="D270" s="346"/>
      <c r="E270" s="132"/>
      <c r="F270" s="132"/>
      <c r="G270" s="132"/>
      <c r="H270" s="259"/>
      <c r="J270" s="125"/>
      <c r="K270" s="260" t="str">
        <f>K4</f>
        <v>For the 12 months ended 12/31/2012</v>
      </c>
      <c r="L270" s="125"/>
      <c r="N270" s="125"/>
      <c r="O270" s="125"/>
      <c r="P270" s="125"/>
    </row>
    <row r="271" spans="1:17">
      <c r="A271" s="133"/>
      <c r="B271" s="256"/>
      <c r="C271" s="133"/>
      <c r="D271" s="132" t="str">
        <f>D5</f>
        <v>Utilizing EIA Form 412 Data</v>
      </c>
      <c r="E271" s="132"/>
      <c r="F271" s="132"/>
      <c r="G271" s="132"/>
      <c r="H271" s="124"/>
      <c r="I271" s="261"/>
      <c r="J271" s="242"/>
      <c r="K271" s="262"/>
      <c r="L271" s="125"/>
      <c r="N271" s="125"/>
      <c r="O271" s="125"/>
      <c r="P271" s="125"/>
    </row>
    <row r="272" spans="1:17">
      <c r="A272" s="133"/>
      <c r="B272" s="256"/>
      <c r="C272" s="133"/>
      <c r="D272" s="132" t="str">
        <f>D7</f>
        <v>Worthington (Minnesota) Public Utilities</v>
      </c>
      <c r="E272" s="132"/>
      <c r="F272" s="132"/>
      <c r="G272" s="132"/>
      <c r="H272" s="124"/>
      <c r="I272" s="261"/>
      <c r="J272" s="242"/>
      <c r="K272" s="262"/>
      <c r="L272" s="125"/>
      <c r="N272" s="125"/>
      <c r="O272" s="125"/>
      <c r="P272" s="125"/>
    </row>
    <row r="273" spans="1:16">
      <c r="A273" s="133"/>
      <c r="B273" s="122" t="s">
        <v>428</v>
      </c>
      <c r="C273" s="133"/>
      <c r="D273" s="132"/>
      <c r="E273" s="132"/>
      <c r="F273" s="132"/>
      <c r="G273" s="132"/>
      <c r="H273" s="124"/>
      <c r="I273" s="132"/>
      <c r="J273" s="242"/>
      <c r="K273" s="262"/>
      <c r="L273" s="125"/>
      <c r="N273" s="133"/>
      <c r="O273" s="125"/>
      <c r="P273" s="138"/>
    </row>
    <row r="274" spans="1:16">
      <c r="A274" s="133"/>
      <c r="B274" s="263" t="s">
        <v>429</v>
      </c>
      <c r="C274" s="133"/>
      <c r="D274" s="132"/>
      <c r="E274" s="132"/>
      <c r="F274" s="132"/>
      <c r="G274" s="132"/>
      <c r="H274" s="124"/>
      <c r="I274" s="132"/>
      <c r="J274" s="124"/>
      <c r="K274" s="132"/>
      <c r="L274" s="125"/>
      <c r="N274" s="133"/>
      <c r="O274" s="125"/>
      <c r="P274" s="138"/>
    </row>
    <row r="275" spans="1:16">
      <c r="B275" s="263" t="s">
        <v>430</v>
      </c>
      <c r="C275" s="133"/>
      <c r="D275" s="132"/>
      <c r="E275" s="132"/>
      <c r="F275" s="132"/>
      <c r="G275" s="132"/>
      <c r="H275" s="124"/>
      <c r="I275" s="132"/>
      <c r="J275" s="124"/>
      <c r="K275" s="132"/>
      <c r="L275" s="125"/>
      <c r="N275" s="133"/>
      <c r="O275" s="125"/>
      <c r="P275" s="125"/>
    </row>
    <row r="276" spans="1:16">
      <c r="A276" s="133" t="s">
        <v>431</v>
      </c>
      <c r="B276" s="122" t="s">
        <v>432</v>
      </c>
      <c r="C276" s="124"/>
      <c r="D276" s="132"/>
      <c r="E276" s="132"/>
      <c r="F276" s="132"/>
      <c r="G276" s="144"/>
      <c r="H276" s="124"/>
      <c r="I276" s="132"/>
      <c r="J276" s="124"/>
      <c r="K276" s="132"/>
      <c r="L276" s="125"/>
      <c r="N276" s="133"/>
      <c r="O276" s="125"/>
      <c r="P276" s="125"/>
    </row>
    <row r="277" spans="1:16" ht="16.5" thickBot="1">
      <c r="A277" s="135" t="s">
        <v>433</v>
      </c>
      <c r="C277" s="124"/>
      <c r="D277" s="132"/>
      <c r="E277" s="132"/>
      <c r="F277" s="132"/>
      <c r="G277" s="132"/>
      <c r="H277" s="124"/>
      <c r="I277" s="132"/>
      <c r="J277" s="124"/>
      <c r="K277" s="132"/>
      <c r="L277" s="125"/>
      <c r="N277" s="133"/>
      <c r="O277" s="125"/>
      <c r="P277" s="125"/>
    </row>
    <row r="278" spans="1:16" ht="32.25" customHeight="1">
      <c r="A278" s="264" t="s">
        <v>434</v>
      </c>
      <c r="B278" s="342" t="s">
        <v>435</v>
      </c>
      <c r="C278" s="342"/>
      <c r="D278" s="342"/>
      <c r="E278" s="342"/>
      <c r="F278" s="342"/>
      <c r="G278" s="342"/>
      <c r="H278" s="342"/>
      <c r="I278" s="342"/>
      <c r="J278" s="342"/>
      <c r="K278" s="342"/>
      <c r="L278" s="125"/>
      <c r="N278" s="133"/>
      <c r="O278" s="125"/>
      <c r="P278" s="125"/>
    </row>
    <row r="279" spans="1:16" ht="63" customHeight="1">
      <c r="A279" s="264" t="s">
        <v>436</v>
      </c>
      <c r="B279" s="342" t="s">
        <v>437</v>
      </c>
      <c r="C279" s="342"/>
      <c r="D279" s="342"/>
      <c r="E279" s="342"/>
      <c r="F279" s="342"/>
      <c r="G279" s="342"/>
      <c r="H279" s="342"/>
      <c r="I279" s="342"/>
      <c r="J279" s="342"/>
      <c r="K279" s="342"/>
      <c r="L279" s="125"/>
      <c r="N279" s="133"/>
      <c r="O279" s="125"/>
      <c r="P279" s="125"/>
    </row>
    <row r="280" spans="1:16">
      <c r="A280" s="264" t="s">
        <v>438</v>
      </c>
      <c r="B280" s="342" t="s">
        <v>439</v>
      </c>
      <c r="C280" s="342"/>
      <c r="D280" s="342"/>
      <c r="E280" s="342"/>
      <c r="F280" s="342"/>
      <c r="G280" s="342"/>
      <c r="H280" s="342"/>
      <c r="I280" s="342"/>
      <c r="J280" s="342"/>
      <c r="K280" s="342"/>
      <c r="L280" s="125"/>
      <c r="N280" s="133"/>
      <c r="O280" s="125"/>
      <c r="P280" s="125"/>
    </row>
    <row r="281" spans="1:16">
      <c r="A281" s="264" t="s">
        <v>440</v>
      </c>
      <c r="B281" s="342" t="s">
        <v>439</v>
      </c>
      <c r="C281" s="342"/>
      <c r="D281" s="342"/>
      <c r="E281" s="342"/>
      <c r="F281" s="342"/>
      <c r="G281" s="342"/>
      <c r="H281" s="342"/>
      <c r="I281" s="342"/>
      <c r="J281" s="342"/>
      <c r="K281" s="342"/>
      <c r="L281" s="125"/>
      <c r="N281" s="133"/>
      <c r="O281" s="125"/>
      <c r="P281" s="125"/>
    </row>
    <row r="282" spans="1:16">
      <c r="A282" s="264" t="s">
        <v>441</v>
      </c>
      <c r="B282" s="342" t="s">
        <v>442</v>
      </c>
      <c r="C282" s="342"/>
      <c r="D282" s="342"/>
      <c r="E282" s="342"/>
      <c r="F282" s="342"/>
      <c r="G282" s="342"/>
      <c r="H282" s="342"/>
      <c r="I282" s="342"/>
      <c r="J282" s="342"/>
      <c r="K282" s="342"/>
      <c r="L282" s="125"/>
      <c r="N282" s="133"/>
      <c r="O282" s="125"/>
      <c r="P282" s="125"/>
    </row>
    <row r="283" spans="1:16" ht="48" customHeight="1">
      <c r="A283" s="264" t="s">
        <v>443</v>
      </c>
      <c r="B283" s="341" t="s">
        <v>444</v>
      </c>
      <c r="C283" s="341"/>
      <c r="D283" s="341"/>
      <c r="E283" s="341"/>
      <c r="F283" s="341"/>
      <c r="G283" s="341"/>
      <c r="H283" s="341"/>
      <c r="I283" s="341"/>
      <c r="J283" s="341"/>
      <c r="K283" s="341"/>
      <c r="L283" s="125"/>
      <c r="N283" s="133"/>
      <c r="O283" s="125"/>
      <c r="P283" s="125"/>
    </row>
    <row r="284" spans="1:16">
      <c r="A284" s="264" t="s">
        <v>445</v>
      </c>
      <c r="B284" s="341" t="s">
        <v>446</v>
      </c>
      <c r="C284" s="341"/>
      <c r="D284" s="341"/>
      <c r="E284" s="341"/>
      <c r="F284" s="341"/>
      <c r="G284" s="341"/>
      <c r="H284" s="341"/>
      <c r="I284" s="341"/>
      <c r="J284" s="341"/>
      <c r="K284" s="341"/>
      <c r="L284" s="125"/>
      <c r="N284" s="133"/>
      <c r="O284" s="125"/>
      <c r="P284" s="125"/>
    </row>
    <row r="285" spans="1:16" ht="32.25" customHeight="1">
      <c r="A285" s="264" t="s">
        <v>447</v>
      </c>
      <c r="B285" s="341" t="s">
        <v>448</v>
      </c>
      <c r="C285" s="341"/>
      <c r="D285" s="341"/>
      <c r="E285" s="341"/>
      <c r="F285" s="341"/>
      <c r="G285" s="341"/>
      <c r="H285" s="341"/>
      <c r="I285" s="341"/>
      <c r="J285" s="341"/>
      <c r="K285" s="341"/>
      <c r="L285" s="125"/>
      <c r="N285" s="133"/>
      <c r="O285" s="125"/>
      <c r="P285" s="125"/>
    </row>
    <row r="286" spans="1:16" ht="32.25" customHeight="1">
      <c r="A286" s="264" t="s">
        <v>449</v>
      </c>
      <c r="B286" s="342" t="s">
        <v>450</v>
      </c>
      <c r="C286" s="342"/>
      <c r="D286" s="342"/>
      <c r="E286" s="342"/>
      <c r="F286" s="342"/>
      <c r="G286" s="342"/>
      <c r="H286" s="342"/>
      <c r="I286" s="342"/>
      <c r="J286" s="342"/>
      <c r="K286" s="342"/>
      <c r="L286" s="125"/>
      <c r="N286" s="133"/>
      <c r="O286" s="125"/>
      <c r="P286" s="125"/>
    </row>
    <row r="287" spans="1:16" ht="32.25" customHeight="1">
      <c r="A287" s="264" t="s">
        <v>451</v>
      </c>
      <c r="B287" s="341" t="s">
        <v>452</v>
      </c>
      <c r="C287" s="341"/>
      <c r="D287" s="341"/>
      <c r="E287" s="341"/>
      <c r="F287" s="341"/>
      <c r="G287" s="341"/>
      <c r="H287" s="341"/>
      <c r="I287" s="341"/>
      <c r="J287" s="341"/>
      <c r="K287" s="341"/>
      <c r="L287" s="125"/>
      <c r="N287" s="133"/>
      <c r="O287" s="155"/>
      <c r="P287" s="125"/>
    </row>
    <row r="288" spans="1:16" ht="79.5" customHeight="1">
      <c r="A288" s="264" t="s">
        <v>453</v>
      </c>
      <c r="B288" s="341" t="s">
        <v>454</v>
      </c>
      <c r="C288" s="341"/>
      <c r="D288" s="341"/>
      <c r="E288" s="341"/>
      <c r="F288" s="341"/>
      <c r="G288" s="341"/>
      <c r="H288" s="341"/>
      <c r="I288" s="341"/>
      <c r="J288" s="341"/>
      <c r="K288" s="341"/>
      <c r="L288" s="125"/>
      <c r="N288" s="133"/>
      <c r="O288" s="125"/>
      <c r="P288" s="125"/>
    </row>
    <row r="289" spans="1:16">
      <c r="A289" s="264" t="s">
        <v>172</v>
      </c>
      <c r="B289" s="265" t="s">
        <v>455</v>
      </c>
      <c r="C289" s="266" t="s">
        <v>456</v>
      </c>
      <c r="D289" s="267">
        <v>0</v>
      </c>
      <c r="E289" s="266"/>
      <c r="F289" s="268"/>
      <c r="G289" s="268"/>
      <c r="H289" s="269"/>
      <c r="I289" s="268"/>
      <c r="J289" s="269"/>
      <c r="K289" s="268"/>
      <c r="L289" s="125"/>
      <c r="N289" s="133"/>
      <c r="O289" s="125"/>
      <c r="P289" s="125"/>
    </row>
    <row r="290" spans="1:16">
      <c r="A290" s="264"/>
      <c r="B290" s="266"/>
      <c r="C290" s="266" t="s">
        <v>457</v>
      </c>
      <c r="D290" s="267">
        <v>0</v>
      </c>
      <c r="E290" s="341" t="s">
        <v>458</v>
      </c>
      <c r="F290" s="341"/>
      <c r="G290" s="341"/>
      <c r="H290" s="341"/>
      <c r="I290" s="341"/>
      <c r="J290" s="341"/>
      <c r="K290" s="341"/>
      <c r="N290" s="133"/>
      <c r="O290" s="125"/>
      <c r="P290" s="125"/>
    </row>
    <row r="291" spans="1:16">
      <c r="A291" s="264"/>
      <c r="B291" s="266"/>
      <c r="C291" s="266" t="s">
        <v>459</v>
      </c>
      <c r="D291" s="267">
        <v>0</v>
      </c>
      <c r="E291" s="341" t="s">
        <v>460</v>
      </c>
      <c r="F291" s="341"/>
      <c r="G291" s="341"/>
      <c r="H291" s="341"/>
      <c r="I291" s="341"/>
      <c r="J291" s="341"/>
      <c r="K291" s="341"/>
      <c r="L291" s="125"/>
      <c r="N291" s="133"/>
      <c r="O291" s="125"/>
      <c r="P291" s="125"/>
    </row>
    <row r="292" spans="1:16">
      <c r="A292" s="264" t="s">
        <v>461</v>
      </c>
      <c r="B292" s="341" t="s">
        <v>462</v>
      </c>
      <c r="C292" s="341"/>
      <c r="D292" s="341"/>
      <c r="E292" s="341"/>
      <c r="F292" s="341"/>
      <c r="G292" s="341"/>
      <c r="H292" s="341"/>
      <c r="I292" s="341"/>
      <c r="J292" s="341"/>
      <c r="K292" s="341"/>
      <c r="L292" s="125"/>
      <c r="N292" s="133"/>
      <c r="O292" s="125"/>
      <c r="P292" s="125"/>
    </row>
    <row r="293" spans="1:16" ht="32.25" customHeight="1">
      <c r="A293" s="264" t="s">
        <v>463</v>
      </c>
      <c r="B293" s="341" t="s">
        <v>464</v>
      </c>
      <c r="C293" s="341"/>
      <c r="D293" s="341"/>
      <c r="E293" s="341"/>
      <c r="F293" s="341"/>
      <c r="G293" s="341"/>
      <c r="H293" s="341"/>
      <c r="I293" s="341"/>
      <c r="J293" s="341"/>
      <c r="K293" s="341"/>
      <c r="L293" s="270" t="s">
        <v>465</v>
      </c>
      <c r="N293" s="133"/>
      <c r="O293" s="125"/>
      <c r="P293" s="125"/>
    </row>
    <row r="294" spans="1:16" ht="48" customHeight="1">
      <c r="A294" s="264" t="s">
        <v>466</v>
      </c>
      <c r="B294" s="341" t="s">
        <v>467</v>
      </c>
      <c r="C294" s="341"/>
      <c r="D294" s="341"/>
      <c r="E294" s="341"/>
      <c r="F294" s="341"/>
      <c r="G294" s="341"/>
      <c r="H294" s="341"/>
      <c r="I294" s="341"/>
      <c r="J294" s="341"/>
      <c r="K294" s="341"/>
      <c r="L294" s="125"/>
      <c r="N294" s="133"/>
      <c r="O294" s="125"/>
      <c r="P294" s="125"/>
    </row>
    <row r="295" spans="1:16">
      <c r="A295" s="264" t="s">
        <v>468</v>
      </c>
      <c r="B295" s="341" t="s">
        <v>469</v>
      </c>
      <c r="C295" s="341"/>
      <c r="D295" s="341"/>
      <c r="E295" s="341"/>
      <c r="F295" s="341"/>
      <c r="G295" s="341"/>
      <c r="H295" s="341"/>
      <c r="I295" s="341"/>
      <c r="J295" s="341"/>
      <c r="K295" s="341"/>
      <c r="L295" s="125"/>
      <c r="N295" s="133"/>
      <c r="O295" s="155"/>
      <c r="P295" s="125"/>
    </row>
    <row r="296" spans="1:16" ht="48" customHeight="1">
      <c r="A296" s="264" t="s">
        <v>470</v>
      </c>
      <c r="B296" s="342" t="s">
        <v>471</v>
      </c>
      <c r="C296" s="342"/>
      <c r="D296" s="342"/>
      <c r="E296" s="342"/>
      <c r="F296" s="342"/>
      <c r="G296" s="342"/>
      <c r="H296" s="342"/>
      <c r="I296" s="342"/>
      <c r="J296" s="342"/>
      <c r="K296" s="342"/>
      <c r="L296" s="125"/>
      <c r="N296" s="133"/>
      <c r="O296" s="155"/>
      <c r="P296" s="125"/>
    </row>
    <row r="297" spans="1:16" ht="32.25" customHeight="1">
      <c r="A297" s="264" t="s">
        <v>472</v>
      </c>
      <c r="B297" s="341" t="s">
        <v>473</v>
      </c>
      <c r="C297" s="341"/>
      <c r="D297" s="341"/>
      <c r="E297" s="341"/>
      <c r="F297" s="341"/>
      <c r="G297" s="341"/>
      <c r="H297" s="341"/>
      <c r="I297" s="341"/>
      <c r="J297" s="341"/>
      <c r="K297" s="341"/>
      <c r="L297" s="125"/>
      <c r="N297" s="133"/>
      <c r="O297" s="125"/>
      <c r="P297" s="125"/>
    </row>
    <row r="298" spans="1:16">
      <c r="A298" s="264" t="s">
        <v>474</v>
      </c>
      <c r="B298" s="341" t="s">
        <v>475</v>
      </c>
      <c r="C298" s="341"/>
      <c r="D298" s="341"/>
      <c r="E298" s="341"/>
      <c r="F298" s="341"/>
      <c r="G298" s="341"/>
      <c r="H298" s="341"/>
      <c r="I298" s="341"/>
      <c r="J298" s="341"/>
      <c r="K298" s="341"/>
      <c r="L298" s="125"/>
      <c r="N298" s="133"/>
      <c r="O298" s="125"/>
      <c r="P298" s="125"/>
    </row>
    <row r="299" spans="1:16" ht="48" customHeight="1">
      <c r="A299" s="264" t="s">
        <v>476</v>
      </c>
      <c r="B299" s="341" t="s">
        <v>477</v>
      </c>
      <c r="C299" s="341"/>
      <c r="D299" s="341"/>
      <c r="E299" s="341"/>
      <c r="F299" s="341"/>
      <c r="G299" s="341"/>
      <c r="H299" s="341"/>
      <c r="I299" s="341"/>
      <c r="J299" s="341"/>
      <c r="K299" s="341"/>
      <c r="L299" s="125"/>
      <c r="N299" s="133"/>
      <c r="O299" s="125"/>
      <c r="P299" s="125"/>
    </row>
    <row r="300" spans="1:16" ht="65.25" customHeight="1">
      <c r="A300" s="271" t="s">
        <v>478</v>
      </c>
      <c r="B300" s="340" t="s">
        <v>479</v>
      </c>
      <c r="C300" s="340"/>
      <c r="D300" s="340"/>
      <c r="E300" s="340"/>
      <c r="F300" s="340"/>
      <c r="G300" s="340"/>
      <c r="H300" s="340"/>
      <c r="I300" s="340"/>
      <c r="J300" s="340"/>
      <c r="K300" s="340"/>
      <c r="L300" s="125"/>
      <c r="N300" s="133"/>
      <c r="O300" s="125"/>
      <c r="P300" s="125"/>
    </row>
    <row r="301" spans="1:16">
      <c r="A301" s="271" t="s">
        <v>480</v>
      </c>
      <c r="B301" s="340" t="s">
        <v>481</v>
      </c>
      <c r="C301" s="340"/>
      <c r="D301" s="340"/>
      <c r="E301" s="340"/>
      <c r="F301" s="340"/>
      <c r="G301" s="340"/>
      <c r="H301" s="340"/>
      <c r="I301" s="340"/>
      <c r="J301" s="340"/>
      <c r="K301" s="340"/>
      <c r="L301" s="125"/>
      <c r="N301" s="133"/>
      <c r="O301" s="125"/>
      <c r="P301" s="125"/>
    </row>
    <row r="302" spans="1:16">
      <c r="A302" s="272" t="s">
        <v>482</v>
      </c>
      <c r="B302" s="340" t="s">
        <v>483</v>
      </c>
      <c r="C302" s="340"/>
      <c r="D302" s="340"/>
      <c r="E302" s="340"/>
      <c r="F302" s="340"/>
      <c r="G302" s="340"/>
      <c r="H302" s="340"/>
      <c r="I302" s="340"/>
      <c r="J302" s="340"/>
      <c r="K302" s="340"/>
      <c r="L302" s="125"/>
      <c r="N302" s="170"/>
      <c r="O302" s="125"/>
      <c r="P302" s="125"/>
    </row>
    <row r="303" spans="1:16">
      <c r="A303" s="272" t="s">
        <v>484</v>
      </c>
      <c r="B303" s="340" t="s">
        <v>485</v>
      </c>
      <c r="C303" s="340"/>
      <c r="D303" s="340"/>
      <c r="E303" s="340"/>
      <c r="F303" s="340"/>
      <c r="G303" s="340"/>
      <c r="H303" s="340"/>
      <c r="I303" s="340"/>
      <c r="J303" s="340"/>
      <c r="K303" s="340"/>
      <c r="L303" s="125"/>
      <c r="N303" s="170"/>
      <c r="O303" s="125"/>
      <c r="P303" s="125"/>
    </row>
    <row r="304" spans="1:16" s="176" customFormat="1" ht="32.25" customHeight="1">
      <c r="A304" s="271" t="s">
        <v>486</v>
      </c>
      <c r="B304" s="340" t="s">
        <v>487</v>
      </c>
      <c r="C304" s="340"/>
      <c r="D304" s="340"/>
      <c r="E304" s="340"/>
      <c r="F304" s="340"/>
      <c r="G304" s="340"/>
      <c r="H304" s="340"/>
      <c r="I304" s="340"/>
      <c r="J304" s="340"/>
      <c r="K304" s="340"/>
      <c r="L304" s="194"/>
      <c r="N304" s="174"/>
      <c r="O304" s="194"/>
      <c r="P304" s="194"/>
    </row>
    <row r="305" spans="1:16" s="196" customFormat="1">
      <c r="A305" s="272" t="s">
        <v>488</v>
      </c>
      <c r="B305" s="340" t="s">
        <v>489</v>
      </c>
      <c r="C305" s="340"/>
      <c r="D305" s="340"/>
      <c r="E305" s="340"/>
      <c r="F305" s="340"/>
      <c r="G305" s="340"/>
      <c r="H305" s="340"/>
      <c r="I305" s="340"/>
      <c r="J305" s="340"/>
      <c r="K305" s="340"/>
      <c r="L305" s="198"/>
      <c r="N305" s="195"/>
      <c r="O305" s="198"/>
      <c r="P305" s="198"/>
    </row>
    <row r="306" spans="1:16" s="196" customFormat="1" ht="33" customHeight="1">
      <c r="A306" s="271" t="s">
        <v>490</v>
      </c>
      <c r="B306" s="340" t="s">
        <v>491</v>
      </c>
      <c r="C306" s="340"/>
      <c r="D306" s="340"/>
      <c r="E306" s="340"/>
      <c r="F306" s="340"/>
      <c r="G306" s="340"/>
      <c r="H306" s="340"/>
      <c r="I306" s="340"/>
      <c r="J306" s="340"/>
      <c r="K306" s="340"/>
      <c r="L306" s="198"/>
      <c r="N306" s="195"/>
      <c r="O306" s="198"/>
      <c r="P306" s="198"/>
    </row>
    <row r="307" spans="1:16" s="196" customFormat="1" ht="15" customHeight="1">
      <c r="A307" s="271" t="s">
        <v>492</v>
      </c>
      <c r="B307" s="273" t="s">
        <v>493</v>
      </c>
      <c r="C307" s="274"/>
      <c r="D307" s="274"/>
      <c r="E307" s="274"/>
      <c r="F307" s="274"/>
      <c r="G307" s="274"/>
      <c r="H307" s="274"/>
      <c r="I307" s="274"/>
      <c r="J307" s="274"/>
      <c r="K307" s="274"/>
      <c r="L307" s="198"/>
      <c r="N307" s="195"/>
      <c r="O307" s="198"/>
      <c r="P307" s="198"/>
    </row>
    <row r="308" spans="1:16" s="196" customFormat="1" ht="15" customHeight="1">
      <c r="A308" s="271" t="s">
        <v>494</v>
      </c>
      <c r="B308" s="275" t="s">
        <v>495</v>
      </c>
      <c r="C308" s="274"/>
      <c r="D308" s="274"/>
      <c r="E308" s="274"/>
      <c r="F308" s="274"/>
      <c r="G308" s="274"/>
      <c r="H308" s="274"/>
      <c r="I308" s="274"/>
      <c r="J308" s="274"/>
      <c r="K308" s="274"/>
      <c r="L308" s="198"/>
      <c r="N308" s="195"/>
      <c r="O308" s="198"/>
      <c r="P308" s="198"/>
    </row>
    <row r="309" spans="1:16" s="196" customFormat="1" ht="15" customHeight="1">
      <c r="A309" s="276"/>
      <c r="B309" s="277"/>
      <c r="C309" s="274"/>
      <c r="D309" s="274"/>
      <c r="E309" s="274"/>
      <c r="F309" s="274"/>
      <c r="G309" s="274"/>
      <c r="H309" s="274"/>
      <c r="I309" s="274"/>
      <c r="J309" s="274"/>
      <c r="K309" s="274"/>
      <c r="L309" s="198"/>
      <c r="N309" s="195"/>
      <c r="O309" s="198"/>
      <c r="P309" s="198"/>
    </row>
    <row r="310" spans="1:16" s="196" customFormat="1" ht="15" customHeight="1">
      <c r="A310" s="271"/>
      <c r="B310" s="278"/>
      <c r="C310" s="269"/>
      <c r="D310" s="269"/>
      <c r="E310" s="269"/>
      <c r="F310" s="269"/>
      <c r="G310" s="269"/>
      <c r="H310" s="269"/>
      <c r="I310" s="269"/>
      <c r="J310" s="269"/>
      <c r="K310" s="269"/>
      <c r="L310" s="198"/>
      <c r="N310" s="195"/>
      <c r="O310" s="198"/>
      <c r="P310" s="198"/>
    </row>
    <row r="311" spans="1:16">
      <c r="A311" s="133"/>
      <c r="B311" s="124"/>
      <c r="C311" s="124"/>
      <c r="D311" s="124"/>
      <c r="E311" s="124"/>
      <c r="F311" s="124"/>
      <c r="G311" s="124"/>
      <c r="H311" s="124"/>
      <c r="I311" s="124"/>
      <c r="J311" s="124"/>
      <c r="K311" s="124"/>
      <c r="N311" s="133"/>
      <c r="O311" s="125"/>
      <c r="P311" s="125"/>
    </row>
    <row r="312" spans="1:16">
      <c r="A312" s="133"/>
      <c r="B312" s="124"/>
      <c r="C312" s="124"/>
      <c r="D312" s="124"/>
      <c r="E312" s="124"/>
      <c r="F312" s="124"/>
      <c r="G312" s="124"/>
      <c r="H312" s="124"/>
      <c r="I312" s="124"/>
      <c r="J312" s="124"/>
      <c r="K312" s="124"/>
      <c r="N312" s="133"/>
      <c r="O312" s="125"/>
      <c r="P312" s="125"/>
    </row>
    <row r="313" spans="1:16">
      <c r="A313" s="133"/>
      <c r="B313" s="124"/>
      <c r="C313" s="124"/>
      <c r="D313" s="124"/>
      <c r="E313" s="124"/>
      <c r="F313" s="124"/>
      <c r="G313" s="124"/>
      <c r="H313" s="124"/>
      <c r="I313" s="124"/>
      <c r="J313" s="124"/>
      <c r="K313" s="124"/>
      <c r="N313" s="133"/>
      <c r="O313" s="125"/>
      <c r="P313" s="125"/>
    </row>
    <row r="314" spans="1:16">
      <c r="A314" s="133"/>
      <c r="B314" s="124"/>
      <c r="C314" s="124"/>
      <c r="D314" s="124"/>
      <c r="E314" s="124"/>
      <c r="F314" s="124"/>
      <c r="G314" s="124"/>
      <c r="H314" s="124"/>
      <c r="I314" s="124"/>
      <c r="J314" s="124"/>
      <c r="K314" s="124"/>
      <c r="N314" s="133"/>
      <c r="O314" s="125"/>
      <c r="P314" s="125"/>
    </row>
    <row r="315" spans="1:16">
      <c r="A315" s="133"/>
      <c r="B315" s="124"/>
      <c r="C315" s="124"/>
      <c r="D315" s="124"/>
      <c r="E315" s="124"/>
      <c r="F315" s="124"/>
      <c r="G315" s="124"/>
      <c r="H315" s="124"/>
      <c r="I315" s="124"/>
      <c r="J315" s="124"/>
      <c r="K315" s="124"/>
      <c r="N315" s="133"/>
      <c r="O315" s="125"/>
      <c r="P315" s="125"/>
    </row>
    <row r="316" spans="1:16">
      <c r="A316" s="133"/>
      <c r="B316" s="124"/>
      <c r="C316" s="124"/>
      <c r="D316" s="124"/>
      <c r="E316" s="124"/>
      <c r="F316" s="124"/>
      <c r="G316" s="124"/>
      <c r="H316" s="124"/>
      <c r="I316" s="124"/>
      <c r="J316" s="124"/>
      <c r="K316" s="124"/>
      <c r="N316" s="133"/>
      <c r="O316" s="125"/>
      <c r="P316" s="125"/>
    </row>
    <row r="317" spans="1:16">
      <c r="A317" s="133"/>
      <c r="B317" s="124"/>
      <c r="C317" s="124"/>
      <c r="D317" s="124"/>
      <c r="E317" s="124"/>
      <c r="F317" s="124"/>
      <c r="G317" s="124"/>
      <c r="H317" s="124"/>
      <c r="I317" s="124"/>
      <c r="J317" s="124"/>
      <c r="K317" s="124"/>
      <c r="N317" s="133"/>
      <c r="O317" s="125"/>
      <c r="P317" s="125"/>
    </row>
    <row r="318" spans="1:16">
      <c r="A318" s="133"/>
      <c r="B318" s="124"/>
      <c r="C318" s="124"/>
      <c r="D318" s="124"/>
      <c r="E318" s="124"/>
      <c r="F318" s="124"/>
      <c r="G318" s="124"/>
      <c r="H318" s="124"/>
      <c r="I318" s="124"/>
      <c r="J318" s="124"/>
      <c r="K318" s="124"/>
      <c r="N318" s="133"/>
      <c r="O318" s="125"/>
      <c r="P318" s="125"/>
    </row>
    <row r="319" spans="1:16">
      <c r="A319" s="133"/>
      <c r="B319" s="124"/>
      <c r="C319" s="124"/>
      <c r="D319" s="124"/>
      <c r="E319" s="124"/>
      <c r="F319" s="124"/>
      <c r="G319" s="124"/>
      <c r="H319" s="124"/>
      <c r="I319" s="124"/>
      <c r="J319" s="124"/>
      <c r="K319" s="124"/>
      <c r="N319" s="133"/>
      <c r="O319" s="125"/>
      <c r="P319" s="125"/>
    </row>
    <row r="320" spans="1:16">
      <c r="A320" s="133"/>
      <c r="B320" s="124"/>
      <c r="C320" s="124"/>
      <c r="D320" s="124"/>
      <c r="E320" s="124"/>
      <c r="F320" s="124"/>
      <c r="G320" s="124"/>
      <c r="H320" s="124"/>
      <c r="I320" s="124"/>
      <c r="J320" s="124"/>
      <c r="K320" s="124"/>
      <c r="N320" s="133"/>
      <c r="O320" s="125"/>
      <c r="P320" s="125"/>
    </row>
    <row r="321" spans="1:16">
      <c r="A321" s="133"/>
      <c r="B321" s="124"/>
      <c r="C321" s="124"/>
      <c r="D321" s="124"/>
      <c r="E321" s="124"/>
      <c r="F321" s="124"/>
      <c r="G321" s="124"/>
      <c r="H321" s="124"/>
      <c r="I321" s="124"/>
      <c r="J321" s="124"/>
      <c r="K321" s="124"/>
      <c r="N321" s="133"/>
      <c r="O321" s="125"/>
      <c r="P321" s="125"/>
    </row>
    <row r="322" spans="1:16">
      <c r="A322" s="133"/>
      <c r="B322" s="124"/>
      <c r="C322" s="124"/>
      <c r="D322" s="124"/>
      <c r="E322" s="124"/>
      <c r="F322" s="124"/>
      <c r="G322" s="124"/>
      <c r="H322" s="124"/>
      <c r="I322" s="124"/>
      <c r="J322" s="124"/>
      <c r="K322" s="124"/>
      <c r="N322" s="133"/>
      <c r="O322" s="125"/>
      <c r="P322" s="125"/>
    </row>
    <row r="323" spans="1:16">
      <c r="A323" s="133"/>
      <c r="B323" s="124"/>
      <c r="C323" s="124"/>
      <c r="D323" s="124"/>
      <c r="E323" s="124"/>
      <c r="F323" s="124"/>
      <c r="G323" s="124"/>
      <c r="H323" s="124"/>
      <c r="I323" s="124"/>
      <c r="J323" s="124"/>
      <c r="K323" s="124"/>
      <c r="N323" s="133"/>
      <c r="O323" s="125"/>
      <c r="P323" s="125"/>
    </row>
    <row r="324" spans="1:16">
      <c r="A324" s="133"/>
      <c r="B324" s="124"/>
      <c r="C324" s="124"/>
      <c r="D324" s="124"/>
      <c r="E324" s="124"/>
      <c r="F324" s="124"/>
      <c r="G324" s="124"/>
      <c r="H324" s="124"/>
      <c r="I324" s="124"/>
      <c r="J324" s="124"/>
      <c r="K324" s="124"/>
      <c r="N324" s="133"/>
      <c r="O324" s="125"/>
      <c r="P324" s="125"/>
    </row>
    <row r="325" spans="1:16">
      <c r="A325" s="133"/>
      <c r="B325" s="124"/>
      <c r="C325" s="124"/>
      <c r="D325" s="124"/>
      <c r="E325" s="124"/>
      <c r="F325" s="124"/>
      <c r="G325" s="124"/>
      <c r="H325" s="124"/>
      <c r="I325" s="124"/>
      <c r="J325" s="124"/>
      <c r="K325" s="124"/>
      <c r="N325" s="133"/>
      <c r="O325" s="125"/>
      <c r="P325" s="125"/>
    </row>
    <row r="326" spans="1:16">
      <c r="B326" s="125"/>
      <c r="C326" s="125"/>
      <c r="D326" s="125"/>
      <c r="E326" s="125"/>
      <c r="F326" s="125"/>
      <c r="G326" s="125"/>
      <c r="H326" s="125"/>
      <c r="I326" s="125"/>
      <c r="J326" s="124"/>
      <c r="K326" s="124"/>
      <c r="N326" s="133"/>
      <c r="O326" s="125"/>
      <c r="P326" s="125"/>
    </row>
    <row r="327" spans="1:16">
      <c r="B327" s="125"/>
      <c r="C327" s="125"/>
      <c r="D327" s="125"/>
      <c r="E327" s="125"/>
      <c r="F327" s="125"/>
      <c r="G327" s="125"/>
      <c r="H327" s="125"/>
      <c r="I327" s="125"/>
      <c r="J327" s="125"/>
      <c r="K327" s="125"/>
      <c r="N327" s="133"/>
      <c r="O327" s="125"/>
      <c r="P327" s="125"/>
    </row>
    <row r="328" spans="1:16">
      <c r="B328" s="125"/>
      <c r="C328" s="125"/>
      <c r="D328" s="125"/>
      <c r="E328" s="125"/>
      <c r="F328" s="125"/>
      <c r="G328" s="125"/>
      <c r="H328" s="125"/>
      <c r="I328" s="125"/>
      <c r="J328" s="125"/>
      <c r="K328" s="125"/>
      <c r="N328" s="133"/>
      <c r="O328" s="125"/>
      <c r="P328" s="125"/>
    </row>
    <row r="329" spans="1:16">
      <c r="B329" s="125"/>
      <c r="C329" s="125"/>
      <c r="D329" s="125"/>
      <c r="E329" s="125"/>
      <c r="F329" s="125"/>
      <c r="G329" s="125"/>
      <c r="H329" s="125"/>
      <c r="I329" s="125"/>
      <c r="J329" s="125"/>
      <c r="K329" s="125"/>
      <c r="N329" s="125"/>
      <c r="O329" s="125"/>
      <c r="P329" s="125"/>
    </row>
    <row r="330" spans="1:16">
      <c r="B330" s="125"/>
      <c r="C330" s="125"/>
      <c r="D330" s="125"/>
      <c r="E330" s="125"/>
      <c r="F330" s="125"/>
      <c r="G330" s="125"/>
      <c r="H330" s="125"/>
      <c r="I330" s="125"/>
      <c r="J330" s="125"/>
      <c r="K330" s="125"/>
      <c r="N330" s="125"/>
      <c r="O330" s="125"/>
      <c r="P330" s="125"/>
    </row>
    <row r="331" spans="1:16">
      <c r="B331" s="125"/>
      <c r="C331" s="125"/>
      <c r="D331" s="125"/>
      <c r="E331" s="125"/>
      <c r="F331" s="125"/>
      <c r="G331" s="125"/>
      <c r="H331" s="125"/>
      <c r="I331" s="125"/>
      <c r="J331" s="125"/>
      <c r="K331" s="125"/>
      <c r="N331" s="125"/>
      <c r="O331" s="125"/>
      <c r="P331" s="125"/>
    </row>
    <row r="332" spans="1:16">
      <c r="B332" s="125"/>
      <c r="C332" s="125"/>
      <c r="D332" s="125"/>
      <c r="E332" s="125"/>
      <c r="F332" s="125"/>
      <c r="G332" s="125"/>
      <c r="H332" s="125"/>
      <c r="I332" s="125"/>
      <c r="J332" s="125"/>
      <c r="K332" s="125"/>
      <c r="N332" s="125"/>
      <c r="O332" s="125"/>
      <c r="P332" s="125"/>
    </row>
    <row r="333" spans="1:16">
      <c r="B333" s="125"/>
      <c r="C333" s="125"/>
      <c r="D333" s="125"/>
      <c r="E333" s="125"/>
      <c r="F333" s="125"/>
      <c r="G333" s="125"/>
      <c r="H333" s="125"/>
      <c r="I333" s="125"/>
      <c r="J333" s="125"/>
      <c r="K333" s="125"/>
      <c r="N333" s="125"/>
      <c r="O333" s="125"/>
      <c r="P333" s="125"/>
    </row>
    <row r="334" spans="1:16">
      <c r="B334" s="125"/>
      <c r="C334" s="125"/>
      <c r="D334" s="125"/>
      <c r="E334" s="125"/>
      <c r="F334" s="125"/>
      <c r="G334" s="125"/>
      <c r="H334" s="125"/>
      <c r="I334" s="125"/>
      <c r="J334" s="125"/>
      <c r="K334" s="125"/>
      <c r="N334" s="125"/>
      <c r="O334" s="125"/>
      <c r="P334" s="125"/>
    </row>
    <row r="335" spans="1:16">
      <c r="J335" s="125"/>
      <c r="K335" s="125"/>
      <c r="N335" s="125"/>
      <c r="O335" s="125"/>
      <c r="P335" s="125"/>
    </row>
    <row r="336" spans="1:16">
      <c r="N336" s="125"/>
      <c r="O336" s="125"/>
      <c r="P336" s="125"/>
    </row>
    <row r="337" spans="14:16">
      <c r="N337" s="125"/>
      <c r="O337" s="125"/>
      <c r="P337" s="125"/>
    </row>
  </sheetData>
  <mergeCells count="30">
    <mergeCell ref="B281:K281"/>
    <mergeCell ref="L219:Q219"/>
    <mergeCell ref="C270:D270"/>
    <mergeCell ref="B278:K278"/>
    <mergeCell ref="B279:K279"/>
    <mergeCell ref="B280:K280"/>
    <mergeCell ref="B294:K294"/>
    <mergeCell ref="B282:K282"/>
    <mergeCell ref="B283:K283"/>
    <mergeCell ref="B284:K284"/>
    <mergeCell ref="B285:K285"/>
    <mergeCell ref="B286:K286"/>
    <mergeCell ref="B287:K287"/>
    <mergeCell ref="B288:K288"/>
    <mergeCell ref="E290:K290"/>
    <mergeCell ref="E291:K291"/>
    <mergeCell ref="B292:K292"/>
    <mergeCell ref="B293:K293"/>
    <mergeCell ref="B306:K306"/>
    <mergeCell ref="B295:K295"/>
    <mergeCell ref="B296:K296"/>
    <mergeCell ref="B297:K297"/>
    <mergeCell ref="B298:K298"/>
    <mergeCell ref="B299:K299"/>
    <mergeCell ref="B300:K300"/>
    <mergeCell ref="B301:K301"/>
    <mergeCell ref="B302:K302"/>
    <mergeCell ref="B303:K303"/>
    <mergeCell ref="B304:K304"/>
    <mergeCell ref="B305:K30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6"/>
  <sheetViews>
    <sheetView topLeftCell="A13" zoomScale="80" workbookViewId="0">
      <selection activeCell="J50" sqref="J50"/>
    </sheetView>
  </sheetViews>
  <sheetFormatPr defaultRowHeight="12.75"/>
  <cols>
    <col min="1" max="1" width="6.7109375" customWidth="1"/>
    <col min="2" max="2" width="39.7109375" customWidth="1"/>
    <col min="3" max="3" width="16.7109375" customWidth="1"/>
    <col min="4" max="4" width="6.7109375" customWidth="1"/>
    <col min="5" max="5" width="39.7109375" customWidth="1"/>
    <col min="6" max="6" width="16.7109375" customWidth="1"/>
  </cols>
  <sheetData>
    <row r="1" spans="1:6" ht="15.75">
      <c r="A1" s="347" t="str">
        <f>+'Nonlevelized EIA 412'!D74</f>
        <v>Worthington (Minnesota) Public Utilities</v>
      </c>
      <c r="B1" s="348"/>
      <c r="C1" s="348"/>
      <c r="D1" s="348"/>
      <c r="E1" s="348"/>
      <c r="F1" s="348"/>
    </row>
    <row r="2" spans="1:6" ht="15">
      <c r="A2" s="349" t="s">
        <v>0</v>
      </c>
      <c r="B2" s="349"/>
      <c r="C2" s="349"/>
      <c r="D2" s="349"/>
      <c r="E2" s="349"/>
      <c r="F2" s="349"/>
    </row>
    <row r="3" spans="1:6" ht="15">
      <c r="A3" s="349" t="s">
        <v>176</v>
      </c>
      <c r="B3" s="349"/>
      <c r="C3" s="349"/>
      <c r="D3" s="349"/>
      <c r="E3" s="349"/>
      <c r="F3" s="349"/>
    </row>
    <row r="4" spans="1:6" ht="15.75">
      <c r="A4" s="350" t="str">
        <f>+'Nonlevelized EIA 412'!K71</f>
        <v>For the 12 months ended 12/31/2012</v>
      </c>
      <c r="B4" s="350"/>
      <c r="C4" s="350"/>
      <c r="D4" s="350"/>
      <c r="E4" s="350"/>
      <c r="F4" s="350"/>
    </row>
    <row r="6" spans="1:6" ht="15">
      <c r="A6" s="351" t="s">
        <v>90</v>
      </c>
      <c r="B6" s="351"/>
      <c r="C6" s="351"/>
      <c r="D6" s="351"/>
      <c r="E6" s="351"/>
      <c r="F6" s="351"/>
    </row>
    <row r="7" spans="1:6">
      <c r="A7" s="27" t="s">
        <v>1</v>
      </c>
      <c r="B7" s="25"/>
      <c r="C7" s="23" t="s">
        <v>4</v>
      </c>
      <c r="D7" s="23" t="s">
        <v>1</v>
      </c>
      <c r="E7" s="25"/>
      <c r="F7" s="23" t="s">
        <v>4</v>
      </c>
    </row>
    <row r="8" spans="1:6">
      <c r="A8" s="29" t="s">
        <v>2</v>
      </c>
      <c r="B8" s="24" t="s">
        <v>3</v>
      </c>
      <c r="C8" s="24" t="s">
        <v>7</v>
      </c>
      <c r="D8" s="24" t="s">
        <v>5</v>
      </c>
      <c r="E8" s="24" t="s">
        <v>6</v>
      </c>
      <c r="F8" s="24" t="s">
        <v>7</v>
      </c>
    </row>
    <row r="9" spans="1:6">
      <c r="A9" s="28"/>
      <c r="B9" s="9" t="s">
        <v>21</v>
      </c>
      <c r="C9" s="14"/>
      <c r="D9" s="27"/>
      <c r="E9" s="9" t="s">
        <v>52</v>
      </c>
      <c r="F9" s="14"/>
    </row>
    <row r="10" spans="1:6">
      <c r="A10" s="28">
        <v>1</v>
      </c>
      <c r="B10" s="4" t="s">
        <v>8</v>
      </c>
      <c r="C10" s="15"/>
      <c r="D10" s="28"/>
      <c r="E10" s="4"/>
      <c r="F10" s="15"/>
    </row>
    <row r="11" spans="1:6">
      <c r="A11" s="29"/>
      <c r="B11" s="67" t="s">
        <v>9</v>
      </c>
      <c r="C11" s="279">
        <f>255010+5735419+473370+2882671+17064239+1767301+116186+128220</f>
        <v>28422416</v>
      </c>
      <c r="D11" s="29">
        <v>29</v>
      </c>
      <c r="E11" s="5" t="s">
        <v>53</v>
      </c>
      <c r="F11" s="279">
        <v>15968470</v>
      </c>
    </row>
    <row r="12" spans="1:6">
      <c r="A12" s="30">
        <v>2</v>
      </c>
      <c r="B12" s="6" t="s">
        <v>10</v>
      </c>
      <c r="C12" s="280">
        <v>0</v>
      </c>
      <c r="D12" s="30">
        <v>30</v>
      </c>
      <c r="E12" s="7" t="s">
        <v>54</v>
      </c>
      <c r="F12" s="288">
        <v>0</v>
      </c>
    </row>
    <row r="13" spans="1:6">
      <c r="A13" s="28">
        <v>3</v>
      </c>
      <c r="B13" s="4" t="s">
        <v>11</v>
      </c>
      <c r="C13" s="281"/>
      <c r="D13" s="28"/>
      <c r="E13" s="4"/>
      <c r="F13" s="289"/>
    </row>
    <row r="14" spans="1:6">
      <c r="A14" s="28"/>
      <c r="B14" s="66" t="s">
        <v>12</v>
      </c>
      <c r="C14" s="281"/>
      <c r="D14" s="28">
        <v>31</v>
      </c>
      <c r="E14" s="4" t="s">
        <v>55</v>
      </c>
      <c r="F14" s="289"/>
    </row>
    <row r="15" spans="1:6" ht="13.5" thickBot="1">
      <c r="A15" s="29"/>
      <c r="B15" s="67" t="s">
        <v>13</v>
      </c>
      <c r="C15" s="282">
        <v>11563436</v>
      </c>
      <c r="D15" s="29"/>
      <c r="E15" s="67" t="s">
        <v>56</v>
      </c>
      <c r="F15" s="282">
        <f>4500000+250000+7171280</f>
        <v>11921280</v>
      </c>
    </row>
    <row r="16" spans="1:6" ht="13.5" thickBot="1">
      <c r="A16" s="30">
        <v>4</v>
      </c>
      <c r="B16" s="58" t="s">
        <v>14</v>
      </c>
      <c r="C16" s="56">
        <f>+C11+C12-C15</f>
        <v>16858980</v>
      </c>
      <c r="D16" s="55">
        <v>32</v>
      </c>
      <c r="E16" s="54" t="s">
        <v>57</v>
      </c>
      <c r="F16" s="56">
        <f>+F15+F11+F12</f>
        <v>27889750</v>
      </c>
    </row>
    <row r="17" spans="1:6">
      <c r="A17" s="59">
        <v>5</v>
      </c>
      <c r="B17" s="20" t="s">
        <v>15</v>
      </c>
      <c r="C17" s="73">
        <v>0</v>
      </c>
      <c r="D17" s="28"/>
      <c r="E17" s="21" t="s">
        <v>58</v>
      </c>
      <c r="F17" s="15"/>
    </row>
    <row r="18" spans="1:6">
      <c r="A18" s="32">
        <v>6</v>
      </c>
      <c r="B18" s="57" t="s">
        <v>11</v>
      </c>
      <c r="C18" s="15"/>
      <c r="D18" s="23"/>
      <c r="E18" s="4"/>
      <c r="F18" s="15"/>
    </row>
    <row r="19" spans="1:6">
      <c r="A19" s="28"/>
      <c r="B19" s="66" t="s">
        <v>16</v>
      </c>
      <c r="C19" s="15"/>
      <c r="D19" s="28"/>
      <c r="E19" s="4"/>
      <c r="F19" s="15"/>
    </row>
    <row r="20" spans="1:6">
      <c r="A20" s="28"/>
      <c r="B20" s="66" t="s">
        <v>17</v>
      </c>
      <c r="C20" s="72">
        <v>0</v>
      </c>
      <c r="D20" s="29">
        <v>33</v>
      </c>
      <c r="E20" s="5" t="s">
        <v>59</v>
      </c>
      <c r="F20" s="287">
        <f>677276+213234</f>
        <v>890510</v>
      </c>
    </row>
    <row r="21" spans="1:6" ht="13.5" thickBot="1">
      <c r="A21" s="62">
        <v>7</v>
      </c>
      <c r="B21" s="65" t="s">
        <v>18</v>
      </c>
      <c r="C21" s="63"/>
      <c r="D21" s="23">
        <v>34</v>
      </c>
      <c r="E21" s="20" t="s">
        <v>60</v>
      </c>
      <c r="F21" s="15"/>
    </row>
    <row r="22" spans="1:6" ht="13.5" thickBot="1">
      <c r="A22" s="29"/>
      <c r="B22" s="64" t="s">
        <v>19</v>
      </c>
      <c r="C22" s="56">
        <f>+C16+C17-C20</f>
        <v>16858980</v>
      </c>
      <c r="D22" s="24"/>
      <c r="E22" s="67" t="s">
        <v>61</v>
      </c>
      <c r="F22" s="16">
        <v>0</v>
      </c>
    </row>
    <row r="23" spans="1:6">
      <c r="A23" s="28"/>
      <c r="B23" s="8" t="s">
        <v>20</v>
      </c>
      <c r="C23" s="15"/>
      <c r="D23" s="28">
        <v>35</v>
      </c>
      <c r="E23" s="20" t="s">
        <v>62</v>
      </c>
      <c r="F23" s="15"/>
    </row>
    <row r="24" spans="1:6">
      <c r="A24" s="29">
        <v>8</v>
      </c>
      <c r="B24" s="5" t="s">
        <v>22</v>
      </c>
      <c r="C24" s="74">
        <v>0</v>
      </c>
      <c r="D24" s="29"/>
      <c r="E24" s="68" t="s">
        <v>63</v>
      </c>
      <c r="F24" s="74">
        <v>0</v>
      </c>
    </row>
    <row r="25" spans="1:6">
      <c r="A25" s="28">
        <v>9</v>
      </c>
      <c r="B25" s="4" t="s">
        <v>11</v>
      </c>
      <c r="C25" s="75"/>
      <c r="D25" s="28">
        <v>36</v>
      </c>
      <c r="E25" s="20" t="s">
        <v>64</v>
      </c>
      <c r="F25" s="75"/>
    </row>
    <row r="26" spans="1:6">
      <c r="A26" s="29"/>
      <c r="B26" s="67" t="s">
        <v>23</v>
      </c>
      <c r="C26" s="74">
        <v>0</v>
      </c>
      <c r="D26" s="29"/>
      <c r="E26" s="67" t="s">
        <v>65</v>
      </c>
      <c r="F26" s="74">
        <v>0</v>
      </c>
    </row>
    <row r="27" spans="1:6" ht="13.5" thickBot="1">
      <c r="A27" s="28">
        <v>10</v>
      </c>
      <c r="B27" s="4" t="s">
        <v>24</v>
      </c>
      <c r="C27" s="75"/>
      <c r="D27" s="28"/>
      <c r="E27" s="20"/>
      <c r="F27" s="75"/>
    </row>
    <row r="28" spans="1:6" ht="13.5" thickBot="1">
      <c r="A28" s="29"/>
      <c r="B28" s="67" t="s">
        <v>25</v>
      </c>
      <c r="C28" s="74">
        <v>0</v>
      </c>
      <c r="D28" s="29">
        <v>37</v>
      </c>
      <c r="E28" s="70" t="s">
        <v>66</v>
      </c>
      <c r="F28" s="77">
        <f>+F20+F22+F24-F26</f>
        <v>890510</v>
      </c>
    </row>
    <row r="29" spans="1:6" ht="13.5" thickBot="1">
      <c r="A29" s="30">
        <v>11</v>
      </c>
      <c r="B29" s="6" t="s">
        <v>26</v>
      </c>
      <c r="C29" s="76">
        <v>0</v>
      </c>
      <c r="D29" s="29"/>
      <c r="E29" s="5"/>
      <c r="F29" s="82"/>
    </row>
    <row r="30" spans="1:6" ht="13.5" thickBot="1">
      <c r="A30" s="30">
        <v>12</v>
      </c>
      <c r="B30" s="60" t="s">
        <v>27</v>
      </c>
      <c r="C30" s="77">
        <f>+C24+C26+C28+C29</f>
        <v>0</v>
      </c>
      <c r="D30" s="24"/>
      <c r="E30" s="22" t="s">
        <v>67</v>
      </c>
      <c r="F30" s="82"/>
    </row>
    <row r="31" spans="1:6">
      <c r="A31" s="28"/>
      <c r="B31" s="8" t="s">
        <v>28</v>
      </c>
      <c r="C31" s="75"/>
      <c r="D31" s="30">
        <v>38</v>
      </c>
      <c r="E31" s="7" t="s">
        <v>68</v>
      </c>
      <c r="F31" s="78">
        <v>0</v>
      </c>
    </row>
    <row r="32" spans="1:6" ht="13.5" thickBot="1">
      <c r="A32" s="28">
        <v>13</v>
      </c>
      <c r="B32" s="4" t="s">
        <v>29</v>
      </c>
      <c r="C32" s="75"/>
      <c r="D32" s="30">
        <v>39</v>
      </c>
      <c r="E32" s="7" t="s">
        <v>69</v>
      </c>
      <c r="F32" s="76">
        <v>0</v>
      </c>
    </row>
    <row r="33" spans="1:6" ht="13.5" thickBot="1">
      <c r="A33" s="29"/>
      <c r="B33" s="67" t="s">
        <v>30</v>
      </c>
      <c r="C33" s="283">
        <f>12061498+349882</f>
        <v>12411380</v>
      </c>
      <c r="D33" s="29">
        <v>40</v>
      </c>
      <c r="E33" s="61" t="s">
        <v>70</v>
      </c>
      <c r="F33" s="77">
        <f>SUM(F31:F32)</f>
        <v>0</v>
      </c>
    </row>
    <row r="34" spans="1:6">
      <c r="A34" s="28">
        <v>14</v>
      </c>
      <c r="B34" s="4" t="s">
        <v>31</v>
      </c>
      <c r="C34" s="284"/>
      <c r="D34" s="28"/>
      <c r="E34" s="4"/>
      <c r="F34" s="75"/>
    </row>
    <row r="35" spans="1:6">
      <c r="A35" s="29"/>
      <c r="B35" s="67" t="s">
        <v>32</v>
      </c>
      <c r="C35" s="283">
        <f>58314+4688</f>
        <v>63002</v>
      </c>
      <c r="D35" s="29"/>
      <c r="E35" s="22" t="s">
        <v>71</v>
      </c>
      <c r="F35" s="82"/>
    </row>
    <row r="36" spans="1:6">
      <c r="A36" s="30">
        <v>15</v>
      </c>
      <c r="B36" s="6" t="s">
        <v>33</v>
      </c>
      <c r="C36" s="285">
        <v>1710848</v>
      </c>
      <c r="D36" s="29">
        <v>41</v>
      </c>
      <c r="E36" s="5" t="s">
        <v>72</v>
      </c>
      <c r="F36" s="74">
        <v>0</v>
      </c>
    </row>
    <row r="37" spans="1:6">
      <c r="A37" s="28">
        <v>16</v>
      </c>
      <c r="B37" s="4" t="s">
        <v>11</v>
      </c>
      <c r="C37" s="284"/>
      <c r="D37" s="28"/>
      <c r="E37" s="4"/>
      <c r="F37" s="75"/>
    </row>
    <row r="38" spans="1:6">
      <c r="A38" s="29"/>
      <c r="B38" s="67" t="s">
        <v>34</v>
      </c>
      <c r="C38" s="283">
        <v>0</v>
      </c>
      <c r="D38" s="29">
        <v>42</v>
      </c>
      <c r="E38" s="5" t="s">
        <v>73</v>
      </c>
      <c r="F38" s="283">
        <f>2047574+35752</f>
        <v>2083326</v>
      </c>
    </row>
    <row r="39" spans="1:6">
      <c r="A39" s="28">
        <v>17</v>
      </c>
      <c r="B39" s="4" t="s">
        <v>35</v>
      </c>
      <c r="C39" s="284"/>
      <c r="D39" s="28">
        <v>43</v>
      </c>
      <c r="E39" s="20" t="s">
        <v>75</v>
      </c>
      <c r="F39" s="286"/>
    </row>
    <row r="40" spans="1:6">
      <c r="A40" s="29"/>
      <c r="B40" s="67" t="s">
        <v>36</v>
      </c>
      <c r="C40" s="283"/>
      <c r="D40" s="29"/>
      <c r="E40" s="67" t="s">
        <v>74</v>
      </c>
      <c r="F40" s="283">
        <v>48059</v>
      </c>
    </row>
    <row r="41" spans="1:6">
      <c r="A41" s="30">
        <v>18</v>
      </c>
      <c r="B41" s="6" t="s">
        <v>37</v>
      </c>
      <c r="C41" s="285"/>
      <c r="D41" s="29">
        <v>44</v>
      </c>
      <c r="E41" s="5" t="s">
        <v>76</v>
      </c>
      <c r="F41" s="283">
        <v>163111</v>
      </c>
    </row>
    <row r="42" spans="1:6">
      <c r="A42" s="30">
        <v>19</v>
      </c>
      <c r="B42" s="6" t="s">
        <v>38</v>
      </c>
      <c r="C42" s="285"/>
      <c r="D42" s="29">
        <v>45</v>
      </c>
      <c r="E42" s="5" t="s">
        <v>77</v>
      </c>
      <c r="F42" s="74">
        <v>0</v>
      </c>
    </row>
    <row r="43" spans="1:6">
      <c r="A43" s="30">
        <v>20</v>
      </c>
      <c r="B43" s="6" t="s">
        <v>39</v>
      </c>
      <c r="C43" s="285">
        <v>30546</v>
      </c>
      <c r="D43" s="29">
        <v>46</v>
      </c>
      <c r="E43" s="5" t="s">
        <v>78</v>
      </c>
      <c r="F43" s="74">
        <v>0</v>
      </c>
    </row>
    <row r="44" spans="1:6" ht="13.5" thickBot="1">
      <c r="A44" s="31">
        <v>21</v>
      </c>
      <c r="B44" s="6" t="s">
        <v>40</v>
      </c>
      <c r="C44" s="78">
        <v>0</v>
      </c>
      <c r="D44" s="29">
        <v>47</v>
      </c>
      <c r="E44" s="5" t="s">
        <v>79</v>
      </c>
      <c r="F44" s="79">
        <v>0</v>
      </c>
    </row>
    <row r="45" spans="1:6" ht="13.5" thickBot="1">
      <c r="A45" s="31">
        <v>22</v>
      </c>
      <c r="B45" s="6" t="s">
        <v>41</v>
      </c>
      <c r="C45" s="76">
        <v>0</v>
      </c>
      <c r="D45" s="29">
        <v>48</v>
      </c>
      <c r="E45" s="61" t="s">
        <v>80</v>
      </c>
      <c r="F45" s="77">
        <f>+F44+F43+F42+F41+F40+F38+F36</f>
        <v>2294496</v>
      </c>
    </row>
    <row r="46" spans="1:6" ht="13.5" thickBot="1">
      <c r="A46" s="31">
        <v>23</v>
      </c>
      <c r="B46" s="60" t="s">
        <v>42</v>
      </c>
      <c r="C46" s="77">
        <f>+C33+C35+C36-C38+C40+C41+C42+C43+C44+C45</f>
        <v>14215776</v>
      </c>
      <c r="D46" s="24"/>
      <c r="E46" s="22" t="s">
        <v>84</v>
      </c>
      <c r="F46" s="82"/>
    </row>
    <row r="47" spans="1:6">
      <c r="A47" s="4"/>
      <c r="B47" s="8" t="s">
        <v>50</v>
      </c>
      <c r="C47" s="75"/>
      <c r="D47" s="32">
        <v>49</v>
      </c>
      <c r="E47" s="20" t="s">
        <v>85</v>
      </c>
      <c r="F47" s="75"/>
    </row>
    <row r="48" spans="1:6">
      <c r="A48" s="46">
        <v>24</v>
      </c>
      <c r="B48" s="5" t="s">
        <v>43</v>
      </c>
      <c r="C48" s="74">
        <v>0</v>
      </c>
      <c r="D48" s="29"/>
      <c r="E48" s="69" t="s">
        <v>86</v>
      </c>
      <c r="F48" s="74">
        <v>0</v>
      </c>
    </row>
    <row r="49" spans="1:6">
      <c r="A49" s="32">
        <v>25</v>
      </c>
      <c r="B49" s="4" t="s">
        <v>44</v>
      </c>
      <c r="C49" s="75"/>
      <c r="D49" s="32">
        <v>50</v>
      </c>
      <c r="E49" s="4" t="s">
        <v>87</v>
      </c>
      <c r="F49" s="75"/>
    </row>
    <row r="50" spans="1:6">
      <c r="A50" s="5"/>
      <c r="B50" s="67" t="s">
        <v>45</v>
      </c>
      <c r="C50" s="74">
        <v>0</v>
      </c>
      <c r="D50" s="29"/>
      <c r="E50" s="67" t="s">
        <v>88</v>
      </c>
      <c r="F50" s="74">
        <v>0</v>
      </c>
    </row>
    <row r="51" spans="1:6">
      <c r="A51" s="32">
        <v>26</v>
      </c>
      <c r="B51" s="4" t="s">
        <v>46</v>
      </c>
      <c r="C51" s="75"/>
      <c r="D51" s="28"/>
      <c r="E51" s="4"/>
      <c r="F51" s="75"/>
    </row>
    <row r="52" spans="1:6">
      <c r="A52" s="28"/>
      <c r="B52" s="66" t="s">
        <v>47</v>
      </c>
      <c r="C52" s="75"/>
      <c r="D52" s="28">
        <v>51</v>
      </c>
      <c r="E52" s="4" t="s">
        <v>83</v>
      </c>
      <c r="F52" s="75"/>
    </row>
    <row r="53" spans="1:6" ht="13.5" thickBot="1">
      <c r="A53" s="29"/>
      <c r="B53" s="67" t="s">
        <v>48</v>
      </c>
      <c r="C53" s="79">
        <v>0</v>
      </c>
      <c r="D53" s="29"/>
      <c r="E53" s="69" t="s">
        <v>89</v>
      </c>
      <c r="F53" s="79">
        <v>0</v>
      </c>
    </row>
    <row r="54" spans="1:6" ht="13.5" thickBot="1">
      <c r="A54" s="30">
        <v>27</v>
      </c>
      <c r="B54" s="60" t="s">
        <v>49</v>
      </c>
      <c r="C54" s="77">
        <f>C48+C50+C53</f>
        <v>0</v>
      </c>
      <c r="D54" s="24">
        <v>52</v>
      </c>
      <c r="E54" s="61" t="s">
        <v>82</v>
      </c>
      <c r="F54" s="77">
        <f>+F53+F50+F48</f>
        <v>0</v>
      </c>
    </row>
    <row r="55" spans="1:6" ht="13.5" thickBot="1">
      <c r="A55" s="28"/>
      <c r="B55" s="12"/>
      <c r="C55" s="80"/>
      <c r="D55" s="28"/>
      <c r="E55" s="4"/>
      <c r="F55" s="75"/>
    </row>
    <row r="56" spans="1:6" ht="13.5" thickBot="1">
      <c r="A56" s="33">
        <v>28</v>
      </c>
      <c r="B56" s="71" t="s">
        <v>51</v>
      </c>
      <c r="C56" s="84">
        <f>+C54+C46+C21+C22+C30</f>
        <v>31074756</v>
      </c>
      <c r="D56" s="83">
        <v>53</v>
      </c>
      <c r="E56" s="71" t="s">
        <v>81</v>
      </c>
      <c r="F56" s="84">
        <f>+F54+F45+F28+F16+F33</f>
        <v>31074756</v>
      </c>
    </row>
    <row r="57" spans="1:6">
      <c r="A57" s="2"/>
      <c r="B57" s="2"/>
      <c r="C57" s="17"/>
      <c r="D57" s="2"/>
      <c r="E57" s="2"/>
      <c r="F57" s="18">
        <f>+C56-F56</f>
        <v>0</v>
      </c>
    </row>
    <row r="58" spans="1:6">
      <c r="A58" s="2"/>
      <c r="B58" s="2"/>
      <c r="C58" s="17"/>
      <c r="D58" s="2"/>
      <c r="E58" s="2"/>
      <c r="F58" s="18"/>
    </row>
    <row r="59" spans="1:6">
      <c r="A59" s="2"/>
      <c r="B59" s="2"/>
      <c r="C59" s="19"/>
      <c r="D59" s="2"/>
      <c r="E59" s="2"/>
      <c r="F59" s="18"/>
    </row>
    <row r="60" spans="1:6">
      <c r="A60" s="2"/>
      <c r="B60" s="2"/>
      <c r="C60" s="19"/>
      <c r="D60" s="2"/>
      <c r="E60" s="2"/>
      <c r="F60" s="18"/>
    </row>
    <row r="61" spans="1:6">
      <c r="A61" s="2"/>
      <c r="B61" s="2"/>
      <c r="C61" s="19"/>
      <c r="D61" s="2"/>
      <c r="E61" s="2"/>
      <c r="F61" s="18"/>
    </row>
    <row r="62" spans="1:6">
      <c r="A62" s="2"/>
      <c r="B62" s="2"/>
      <c r="C62" s="19"/>
      <c r="D62" s="2"/>
      <c r="E62" s="2"/>
      <c r="F62" s="18"/>
    </row>
    <row r="63" spans="1:6">
      <c r="A63" s="2"/>
      <c r="B63" s="2"/>
      <c r="C63" s="19"/>
      <c r="D63" s="2"/>
      <c r="E63" s="2"/>
      <c r="F63" s="18"/>
    </row>
    <row r="64" spans="1:6">
      <c r="A64" s="2"/>
      <c r="B64" s="2"/>
      <c r="C64" s="19"/>
      <c r="D64" s="2"/>
      <c r="E64" s="2"/>
      <c r="F64" s="2"/>
    </row>
    <row r="65" spans="1:6">
      <c r="A65" s="2"/>
      <c r="B65" s="2"/>
      <c r="C65" s="19"/>
      <c r="D65" s="2"/>
      <c r="E65" s="2"/>
      <c r="F65" s="2"/>
    </row>
    <row r="66" spans="1:6">
      <c r="A66" s="2"/>
      <c r="B66" s="2"/>
      <c r="C66" s="19"/>
      <c r="D66" s="2"/>
      <c r="E66" s="2"/>
      <c r="F66" s="2"/>
    </row>
    <row r="67" spans="1:6">
      <c r="A67" s="2"/>
      <c r="B67" s="2"/>
      <c r="C67" s="19"/>
      <c r="D67" s="2"/>
      <c r="E67" s="2"/>
      <c r="F67" s="2"/>
    </row>
    <row r="68" spans="1:6">
      <c r="A68" s="2"/>
      <c r="B68" s="2"/>
      <c r="C68" s="19"/>
      <c r="D68" s="2"/>
      <c r="E68" s="2"/>
      <c r="F68" s="2"/>
    </row>
    <row r="69" spans="1:6">
      <c r="A69" s="2"/>
      <c r="B69" s="2"/>
      <c r="C69" s="2"/>
      <c r="D69" s="2"/>
      <c r="E69" s="2"/>
      <c r="F69" s="2"/>
    </row>
    <row r="70" spans="1:6">
      <c r="A70" s="2"/>
      <c r="B70" s="2"/>
      <c r="C70" s="2"/>
      <c r="D70" s="2"/>
      <c r="E70" s="2"/>
      <c r="F70" s="2"/>
    </row>
    <row r="71" spans="1:6">
      <c r="A71" s="2"/>
      <c r="B71" s="2"/>
      <c r="C71" s="2"/>
      <c r="D71" s="2"/>
      <c r="E71" s="2"/>
      <c r="F71" s="2"/>
    </row>
    <row r="72" spans="1:6">
      <c r="A72" s="2"/>
      <c r="B72" s="2"/>
      <c r="C72" s="2"/>
      <c r="D72" s="2"/>
      <c r="E72" s="2"/>
      <c r="F72" s="2"/>
    </row>
    <row r="73" spans="1:6">
      <c r="A73" s="2"/>
      <c r="B73" s="2"/>
      <c r="C73" s="2"/>
      <c r="D73" s="2"/>
      <c r="E73" s="2"/>
      <c r="F73" s="2"/>
    </row>
    <row r="74" spans="1:6">
      <c r="A74" s="2"/>
      <c r="B74" s="2"/>
      <c r="C74" s="2"/>
      <c r="D74" s="2"/>
      <c r="E74" s="2"/>
      <c r="F74" s="2"/>
    </row>
    <row r="75" spans="1:6">
      <c r="A75" s="2"/>
      <c r="B75" s="2"/>
      <c r="C75" s="2"/>
      <c r="D75" s="2"/>
      <c r="E75" s="2"/>
      <c r="F75" s="2"/>
    </row>
    <row r="76" spans="1:6">
      <c r="A76" s="2"/>
      <c r="B76" s="2"/>
      <c r="C76" s="2"/>
      <c r="D76" s="2"/>
      <c r="E76" s="2"/>
      <c r="F76" s="2"/>
    </row>
  </sheetData>
  <mergeCells count="5">
    <mergeCell ref="A1:F1"/>
    <mergeCell ref="A2:F2"/>
    <mergeCell ref="A4:F4"/>
    <mergeCell ref="A6:F6"/>
    <mergeCell ref="A3:F3"/>
  </mergeCells>
  <phoneticPr fontId="0" type="noConversion"/>
  <pageMargins left="0.47" right="0.45" top="1" bottom="0.5" header="0.5" footer="0.5"/>
  <pageSetup scale="76" orientation="portrait" r:id="rId1"/>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zoomScale="90" workbookViewId="0">
      <selection activeCell="C35" sqref="C35"/>
    </sheetView>
  </sheetViews>
  <sheetFormatPr defaultRowHeight="12.75"/>
  <cols>
    <col min="1" max="1" width="6.7109375" customWidth="1"/>
    <col min="2" max="2" width="77.140625" customWidth="1"/>
    <col min="3" max="3" width="16.7109375" customWidth="1"/>
  </cols>
  <sheetData>
    <row r="1" spans="1:6" ht="15.75">
      <c r="A1" s="348" t="str">
        <f>+'Balance sheet'!A1:F1</f>
        <v>Worthington (Minnesota) Public Utilities</v>
      </c>
      <c r="B1" s="348"/>
      <c r="C1" s="348"/>
      <c r="D1" s="35"/>
      <c r="E1" s="35"/>
      <c r="F1" s="35"/>
    </row>
    <row r="2" spans="1:6" ht="15">
      <c r="A2" s="349" t="s">
        <v>0</v>
      </c>
      <c r="B2" s="349"/>
      <c r="C2" s="349"/>
      <c r="D2" s="35"/>
      <c r="E2" s="35"/>
      <c r="F2" s="35"/>
    </row>
    <row r="3" spans="1:6" ht="15">
      <c r="A3" s="349" t="s">
        <v>177</v>
      </c>
      <c r="B3" s="349"/>
      <c r="C3" s="349"/>
      <c r="D3" s="35"/>
      <c r="E3" s="35"/>
      <c r="F3" s="35"/>
    </row>
    <row r="4" spans="1:6" ht="15.75">
      <c r="A4" s="350" t="str">
        <f>+'Balance sheet'!A4:F4</f>
        <v>For the 12 months ended 12/31/2012</v>
      </c>
      <c r="B4" s="350"/>
      <c r="C4" s="350"/>
      <c r="D4" s="36"/>
      <c r="E4" s="36"/>
      <c r="F4" s="36"/>
    </row>
    <row r="5" spans="1:6">
      <c r="A5" s="34"/>
      <c r="B5" s="34"/>
      <c r="C5" s="34"/>
      <c r="D5" s="34"/>
      <c r="E5" s="34"/>
      <c r="F5" s="34"/>
    </row>
    <row r="6" spans="1:6" ht="15">
      <c r="A6" s="351" t="s">
        <v>91</v>
      </c>
      <c r="B6" s="351"/>
      <c r="C6" s="351"/>
      <c r="D6" s="37"/>
      <c r="E6" s="37"/>
      <c r="F6" s="37"/>
    </row>
    <row r="7" spans="1:6">
      <c r="A7" s="51" t="s">
        <v>1</v>
      </c>
      <c r="B7" s="39"/>
      <c r="C7" s="41" t="s">
        <v>93</v>
      </c>
    </row>
    <row r="8" spans="1:6">
      <c r="A8" s="5" t="s">
        <v>2</v>
      </c>
      <c r="B8" s="40"/>
      <c r="C8" s="24" t="s">
        <v>7</v>
      </c>
    </row>
    <row r="9" spans="1:6">
      <c r="A9" s="29">
        <v>1</v>
      </c>
      <c r="B9" s="40" t="s">
        <v>92</v>
      </c>
      <c r="C9" s="290">
        <v>17820190</v>
      </c>
    </row>
    <row r="10" spans="1:6">
      <c r="A10" s="29">
        <v>2</v>
      </c>
      <c r="B10" s="40" t="s">
        <v>94</v>
      </c>
      <c r="C10" s="291">
        <v>15592827</v>
      </c>
    </row>
    <row r="11" spans="1:6">
      <c r="A11" s="29">
        <v>3</v>
      </c>
      <c r="B11" s="40" t="s">
        <v>95</v>
      </c>
      <c r="C11" s="291">
        <f>37101+175336</f>
        <v>212437</v>
      </c>
    </row>
    <row r="12" spans="1:6">
      <c r="A12" s="30">
        <v>4</v>
      </c>
      <c r="B12" s="43" t="s">
        <v>96</v>
      </c>
      <c r="C12" s="292">
        <v>830617</v>
      </c>
    </row>
    <row r="13" spans="1:6">
      <c r="A13" s="29">
        <v>5</v>
      </c>
      <c r="B13" s="40" t="s">
        <v>97</v>
      </c>
      <c r="C13" s="291">
        <v>0</v>
      </c>
    </row>
    <row r="14" spans="1:6" ht="13.5" thickBot="1">
      <c r="A14" s="28">
        <v>6</v>
      </c>
      <c r="B14" s="25" t="s">
        <v>98</v>
      </c>
      <c r="C14" s="293">
        <f>645697</f>
        <v>645697</v>
      </c>
    </row>
    <row r="15" spans="1:6" ht="13.5" thickBot="1">
      <c r="A15" s="52">
        <v>7</v>
      </c>
      <c r="B15" s="48" t="s">
        <v>99</v>
      </c>
      <c r="C15" s="85">
        <f>SUM(C10:C14)</f>
        <v>17281578</v>
      </c>
    </row>
    <row r="16" spans="1:6" ht="13.5" thickBot="1">
      <c r="A16" s="52">
        <v>8</v>
      </c>
      <c r="B16" s="49" t="s">
        <v>100</v>
      </c>
      <c r="C16" s="85">
        <f>+C9-C15</f>
        <v>538612</v>
      </c>
    </row>
    <row r="17" spans="1:5" ht="13.5" thickBot="1">
      <c r="A17" s="28">
        <v>9</v>
      </c>
      <c r="B17" s="25" t="s">
        <v>101</v>
      </c>
      <c r="C17" s="105"/>
    </row>
    <row r="18" spans="1:5" ht="13.5" thickBot="1">
      <c r="A18" s="53">
        <v>10</v>
      </c>
      <c r="B18" s="50" t="s">
        <v>102</v>
      </c>
      <c r="C18" s="85">
        <f>+C17+C16</f>
        <v>538612</v>
      </c>
    </row>
    <row r="19" spans="1:5">
      <c r="A19" s="29">
        <v>11</v>
      </c>
      <c r="B19" s="40" t="s">
        <v>103</v>
      </c>
      <c r="C19" s="291">
        <f>32505+4681+199552+123000+9000-225158</f>
        <v>143580</v>
      </c>
      <c r="E19" s="294" t="s">
        <v>498</v>
      </c>
    </row>
    <row r="20" spans="1:5">
      <c r="A20" s="29">
        <v>12</v>
      </c>
      <c r="B20" s="40" t="s">
        <v>104</v>
      </c>
      <c r="C20" s="106"/>
      <c r="E20" s="339" t="s">
        <v>567</v>
      </c>
    </row>
    <row r="21" spans="1:5">
      <c r="A21" s="29">
        <v>13</v>
      </c>
      <c r="B21" s="40" t="s">
        <v>105</v>
      </c>
      <c r="C21" s="106"/>
    </row>
    <row r="22" spans="1:5" ht="13.5" thickBot="1">
      <c r="A22" s="28">
        <v>14</v>
      </c>
      <c r="B22" s="25" t="s">
        <v>106</v>
      </c>
      <c r="C22" s="105"/>
    </row>
    <row r="23" spans="1:5" ht="13.5" thickBot="1">
      <c r="A23" s="52">
        <v>15</v>
      </c>
      <c r="B23" s="48" t="s">
        <v>107</v>
      </c>
      <c r="C23" s="85">
        <f>+C18+C19-C20-C21-C22</f>
        <v>682192</v>
      </c>
    </row>
    <row r="24" spans="1:5">
      <c r="A24" s="29">
        <v>16</v>
      </c>
      <c r="B24" s="40" t="s">
        <v>108</v>
      </c>
      <c r="C24" s="291">
        <v>32550</v>
      </c>
    </row>
    <row r="25" spans="1:5">
      <c r="A25" s="29">
        <v>17</v>
      </c>
      <c r="B25" s="40" t="s">
        <v>109</v>
      </c>
      <c r="C25" s="291">
        <f>371-3234</f>
        <v>-2863</v>
      </c>
    </row>
    <row r="26" spans="1:5" ht="13.5" thickBot="1">
      <c r="A26" s="28">
        <v>18</v>
      </c>
      <c r="B26" s="25" t="s">
        <v>110</v>
      </c>
      <c r="C26" s="105">
        <v>0</v>
      </c>
    </row>
    <row r="27" spans="1:5" ht="13.5" thickBot="1">
      <c r="A27" s="52">
        <v>19</v>
      </c>
      <c r="B27" s="48" t="s">
        <v>111</v>
      </c>
      <c r="C27" s="85">
        <f>SUM(C24:C26)</f>
        <v>29687</v>
      </c>
    </row>
    <row r="28" spans="1:5" ht="13.5" thickBot="1">
      <c r="A28" s="52">
        <v>20</v>
      </c>
      <c r="B28" s="48" t="s">
        <v>112</v>
      </c>
      <c r="C28" s="85">
        <f>+C23-C27</f>
        <v>652505</v>
      </c>
    </row>
    <row r="29" spans="1:5">
      <c r="A29" s="29">
        <v>21</v>
      </c>
      <c r="B29" s="40" t="s">
        <v>113</v>
      </c>
      <c r="C29" s="106">
        <v>0</v>
      </c>
    </row>
    <row r="30" spans="1:5" ht="13.5" thickBot="1">
      <c r="A30" s="28">
        <v>22</v>
      </c>
      <c r="B30" s="25" t="s">
        <v>114</v>
      </c>
      <c r="C30" s="105">
        <v>0</v>
      </c>
    </row>
    <row r="31" spans="1:5" ht="13.5" thickBot="1">
      <c r="A31" s="52">
        <v>23</v>
      </c>
      <c r="B31" s="49" t="s">
        <v>115</v>
      </c>
      <c r="C31" s="88">
        <f>SUM(C28:C30)</f>
        <v>652505</v>
      </c>
    </row>
    <row r="32" spans="1:5">
      <c r="A32" s="2"/>
      <c r="B32" s="2"/>
      <c r="C32" s="19"/>
    </row>
    <row r="33" spans="1:4">
      <c r="A33" s="2"/>
      <c r="B33" s="2"/>
      <c r="C33" s="19"/>
      <c r="D33" s="2"/>
    </row>
    <row r="34" spans="1:4">
      <c r="A34" s="2"/>
      <c r="B34" s="2"/>
      <c r="C34" s="19"/>
      <c r="D34" s="2"/>
    </row>
    <row r="35" spans="1:4">
      <c r="A35" s="2"/>
      <c r="B35" s="2"/>
      <c r="C35" s="19"/>
      <c r="D35" s="2"/>
    </row>
    <row r="36" spans="1:4">
      <c r="A36" s="2"/>
      <c r="B36" s="2"/>
      <c r="C36" s="19"/>
      <c r="D36" s="2"/>
    </row>
    <row r="37" spans="1:4">
      <c r="A37" s="2"/>
      <c r="B37" s="2"/>
      <c r="C37" s="19"/>
      <c r="D37" s="2"/>
    </row>
    <row r="38" spans="1:4">
      <c r="A38" s="2"/>
      <c r="B38" s="2"/>
      <c r="C38" s="19"/>
      <c r="D38" s="2"/>
    </row>
    <row r="39" spans="1:4">
      <c r="A39" s="2"/>
      <c r="B39" s="2"/>
      <c r="C39" s="19"/>
      <c r="D39" s="2"/>
    </row>
    <row r="40" spans="1:4">
      <c r="A40" s="2"/>
      <c r="B40" s="2"/>
      <c r="C40" s="19"/>
      <c r="D40" s="2"/>
    </row>
    <row r="41" spans="1:4">
      <c r="A41" s="2"/>
      <c r="B41" s="2"/>
      <c r="C41" s="19"/>
      <c r="D41" s="2"/>
    </row>
    <row r="42" spans="1:4">
      <c r="A42" s="2"/>
      <c r="B42" s="2"/>
      <c r="C42" s="19"/>
      <c r="D42" s="2"/>
    </row>
    <row r="43" spans="1:4">
      <c r="A43" s="2"/>
      <c r="B43" s="2"/>
      <c r="C43" s="19"/>
      <c r="D43" s="2"/>
    </row>
    <row r="44" spans="1:4">
      <c r="C44" s="10"/>
    </row>
    <row r="45" spans="1:4">
      <c r="C45" s="10"/>
    </row>
    <row r="46" spans="1:4">
      <c r="C46" s="10"/>
    </row>
    <row r="47" spans="1:4">
      <c r="C47" s="10"/>
    </row>
    <row r="48" spans="1:4">
      <c r="C48" s="10"/>
    </row>
    <row r="49" spans="3:3">
      <c r="C49" s="10"/>
    </row>
    <row r="50" spans="3:3">
      <c r="C50" s="10"/>
    </row>
    <row r="51" spans="3:3">
      <c r="C51" s="10"/>
    </row>
    <row r="52" spans="3:3">
      <c r="C52" s="10"/>
    </row>
    <row r="53" spans="3:3">
      <c r="C53" s="10"/>
    </row>
  </sheetData>
  <mergeCells count="5">
    <mergeCell ref="A1:C1"/>
    <mergeCell ref="A2:C2"/>
    <mergeCell ref="A4:C4"/>
    <mergeCell ref="A6:C6"/>
    <mergeCell ref="A3:C3"/>
  </mergeCells>
  <phoneticPr fontId="0" type="noConversion"/>
  <pageMargins left="0.75" right="0.75" top="1" bottom="1" header="0.5" footer="0.5"/>
  <pageSetup scale="89" orientation="portrait" horizontalDpi="4294967293" r:id="rId1"/>
  <headerFooter alignWithMargins="0">
    <oddFooter>&amp;L&amp;Z&amp;F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90" workbookViewId="0">
      <selection activeCell="M19" sqref="M19"/>
    </sheetView>
  </sheetViews>
  <sheetFormatPr defaultRowHeight="12.75"/>
  <cols>
    <col min="1" max="1" width="6.7109375" customWidth="1"/>
    <col min="2" max="2" width="29.28515625" customWidth="1"/>
    <col min="3" max="7" width="15.7109375" customWidth="1"/>
    <col min="9" max="9" width="16.42578125" style="295" customWidth="1"/>
    <col min="10" max="10" width="1" style="295" customWidth="1"/>
    <col min="11" max="11" width="17.28515625" style="295" customWidth="1"/>
    <col min="12" max="12" width="1" style="295" customWidth="1"/>
    <col min="13" max="13" width="59.85546875" style="295" customWidth="1"/>
  </cols>
  <sheetData>
    <row r="1" spans="1:13" ht="15.75">
      <c r="A1" s="348" t="str">
        <f>+'Balance sheet'!A1:F1</f>
        <v>Worthington (Minnesota) Public Utilities</v>
      </c>
      <c r="B1" s="348"/>
      <c r="C1" s="348"/>
      <c r="D1" s="348"/>
      <c r="E1" s="348"/>
      <c r="F1" s="348"/>
      <c r="G1" s="348"/>
      <c r="I1" s="294"/>
      <c r="J1" s="294"/>
      <c r="K1" s="294"/>
      <c r="L1" s="294"/>
      <c r="M1" s="294"/>
    </row>
    <row r="2" spans="1:13" ht="15">
      <c r="A2" s="349" t="s">
        <v>0</v>
      </c>
      <c r="B2" s="349"/>
      <c r="C2" s="349"/>
      <c r="D2" s="349"/>
      <c r="E2" s="349"/>
      <c r="F2" s="349"/>
      <c r="G2" s="349"/>
      <c r="I2" s="294"/>
      <c r="J2" s="294"/>
      <c r="K2" s="294"/>
      <c r="L2" s="294"/>
      <c r="M2" s="294"/>
    </row>
    <row r="3" spans="1:13" ht="15">
      <c r="A3" s="349" t="s">
        <v>178</v>
      </c>
      <c r="B3" s="349"/>
      <c r="C3" s="349"/>
      <c r="D3" s="349"/>
      <c r="E3" s="349"/>
      <c r="F3" s="349"/>
      <c r="G3" s="349"/>
      <c r="I3" s="294"/>
      <c r="J3" s="294"/>
      <c r="K3" s="294"/>
      <c r="L3" s="294"/>
      <c r="M3" s="294"/>
    </row>
    <row r="4" spans="1:13" ht="15.75">
      <c r="A4" s="350" t="str">
        <f>+'Balance sheet'!A4:F4</f>
        <v>For the 12 months ended 12/31/2012</v>
      </c>
      <c r="B4" s="350"/>
      <c r="C4" s="350"/>
      <c r="D4" s="350"/>
      <c r="E4" s="350"/>
      <c r="F4" s="350"/>
      <c r="G4" s="350"/>
      <c r="I4" s="294"/>
      <c r="J4" s="294"/>
      <c r="K4" s="294"/>
      <c r="L4" s="294"/>
      <c r="M4" s="294"/>
    </row>
    <row r="5" spans="1:13">
      <c r="A5" s="34"/>
      <c r="B5" s="34"/>
      <c r="C5" s="34"/>
      <c r="I5" s="294"/>
      <c r="J5" s="294"/>
      <c r="K5" s="294"/>
      <c r="L5" s="294"/>
      <c r="M5" s="294"/>
    </row>
    <row r="6" spans="1:13" ht="15">
      <c r="A6" s="351" t="s">
        <v>21</v>
      </c>
      <c r="B6" s="351"/>
      <c r="C6" s="351"/>
      <c r="D6" s="351"/>
      <c r="E6" s="351"/>
      <c r="F6" s="351"/>
      <c r="G6" s="351"/>
    </row>
    <row r="7" spans="1:13">
      <c r="A7" s="27" t="s">
        <v>1</v>
      </c>
      <c r="B7" s="41"/>
      <c r="C7" s="41" t="s">
        <v>116</v>
      </c>
      <c r="D7" s="41"/>
      <c r="E7" s="41"/>
      <c r="F7" s="41"/>
      <c r="G7" s="41" t="s">
        <v>121</v>
      </c>
      <c r="I7" s="296" t="s">
        <v>499</v>
      </c>
      <c r="J7" s="294"/>
      <c r="K7" s="296" t="s">
        <v>500</v>
      </c>
      <c r="L7" s="294"/>
    </row>
    <row r="8" spans="1:13">
      <c r="A8" s="29" t="s">
        <v>2</v>
      </c>
      <c r="B8" s="24"/>
      <c r="C8" s="24" t="s">
        <v>117</v>
      </c>
      <c r="D8" s="24" t="s">
        <v>118</v>
      </c>
      <c r="E8" s="24" t="s">
        <v>119</v>
      </c>
      <c r="F8" s="24" t="s">
        <v>120</v>
      </c>
      <c r="G8" s="24" t="s">
        <v>117</v>
      </c>
      <c r="I8" s="297" t="s">
        <v>501</v>
      </c>
      <c r="J8" s="294"/>
      <c r="K8" s="297" t="s">
        <v>502</v>
      </c>
      <c r="L8" s="294"/>
      <c r="M8" s="298"/>
    </row>
    <row r="9" spans="1:13" ht="20.100000000000001" customHeight="1">
      <c r="A9" s="30">
        <v>1</v>
      </c>
      <c r="B9" s="6" t="s">
        <v>122</v>
      </c>
      <c r="C9" s="109">
        <v>0</v>
      </c>
      <c r="D9" s="109">
        <v>0</v>
      </c>
      <c r="E9" s="109">
        <v>0</v>
      </c>
      <c r="F9" s="109">
        <v>0</v>
      </c>
      <c r="G9" s="90">
        <f t="shared" ref="G9:G17" si="0">+C9+D9-E9-F9</f>
        <v>0</v>
      </c>
      <c r="I9" s="299">
        <v>0</v>
      </c>
      <c r="J9" s="294"/>
      <c r="K9" s="299">
        <v>0</v>
      </c>
      <c r="L9" s="294"/>
      <c r="M9" s="294"/>
    </row>
    <row r="10" spans="1:13" ht="12.75" customHeight="1">
      <c r="A10" s="30"/>
      <c r="B10" s="6"/>
      <c r="C10" s="89"/>
      <c r="D10" s="89"/>
      <c r="E10" s="89"/>
      <c r="F10" s="89"/>
      <c r="G10" s="90"/>
      <c r="I10" s="299"/>
      <c r="J10" s="294"/>
      <c r="K10" s="299"/>
      <c r="L10" s="294"/>
    </row>
    <row r="11" spans="1:13" ht="20.100000000000001" customHeight="1">
      <c r="A11" s="30">
        <v>2</v>
      </c>
      <c r="B11" s="6" t="s">
        <v>123</v>
      </c>
      <c r="C11" s="107">
        <v>0</v>
      </c>
      <c r="D11" s="107">
        <v>0</v>
      </c>
      <c r="E11" s="107">
        <v>0</v>
      </c>
      <c r="F11" s="107"/>
      <c r="G11" s="91">
        <f t="shared" si="0"/>
        <v>0</v>
      </c>
      <c r="I11" s="299">
        <v>0</v>
      </c>
      <c r="J11" s="294"/>
      <c r="K11" s="299">
        <v>0</v>
      </c>
      <c r="L11" s="294"/>
    </row>
    <row r="12" spans="1:13" ht="20.100000000000001" customHeight="1">
      <c r="A12" s="30">
        <v>3</v>
      </c>
      <c r="B12" s="6" t="s">
        <v>124</v>
      </c>
      <c r="C12" s="107">
        <v>0</v>
      </c>
      <c r="D12" s="107">
        <v>0</v>
      </c>
      <c r="E12" s="107">
        <v>0</v>
      </c>
      <c r="F12" s="107">
        <v>0</v>
      </c>
      <c r="G12" s="91">
        <f t="shared" si="0"/>
        <v>0</v>
      </c>
      <c r="I12" s="299">
        <v>0</v>
      </c>
      <c r="J12" s="294"/>
      <c r="K12" s="299">
        <v>0</v>
      </c>
      <c r="L12" s="294"/>
    </row>
    <row r="13" spans="1:13" ht="20.100000000000001" customHeight="1">
      <c r="A13" s="30">
        <v>4</v>
      </c>
      <c r="B13" s="6" t="s">
        <v>125</v>
      </c>
      <c r="C13" s="107">
        <v>0</v>
      </c>
      <c r="D13" s="107">
        <v>0</v>
      </c>
      <c r="E13" s="107">
        <v>0</v>
      </c>
      <c r="F13" s="107">
        <v>0</v>
      </c>
      <c r="G13" s="91">
        <f t="shared" si="0"/>
        <v>0</v>
      </c>
      <c r="I13" s="300">
        <v>0</v>
      </c>
      <c r="J13" s="301"/>
      <c r="K13" s="300">
        <v>0</v>
      </c>
      <c r="L13" s="294"/>
    </row>
    <row r="14" spans="1:13" ht="20.100000000000001" customHeight="1" thickBot="1">
      <c r="A14" s="30">
        <v>5</v>
      </c>
      <c r="B14" s="6" t="s">
        <v>126</v>
      </c>
      <c r="C14" s="315">
        <f>5306611+473370</f>
        <v>5779981</v>
      </c>
      <c r="D14" s="315">
        <v>312782.39</v>
      </c>
      <c r="E14" s="108">
        <v>0</v>
      </c>
      <c r="F14" s="108"/>
      <c r="G14" s="92">
        <f t="shared" si="0"/>
        <v>6092763.3899999997</v>
      </c>
      <c r="I14" s="302">
        <f>1387967+176958+7820</f>
        <v>1572745</v>
      </c>
      <c r="J14" s="303"/>
      <c r="K14" s="302">
        <f>132666+15779+7820</f>
        <v>156265</v>
      </c>
      <c r="L14" s="294"/>
    </row>
    <row r="15" spans="1:13" ht="20.100000000000001" customHeight="1" thickBot="1">
      <c r="A15" s="30">
        <v>6</v>
      </c>
      <c r="B15" s="60" t="s">
        <v>127</v>
      </c>
      <c r="C15" s="94">
        <f>SUM(C11:C14)</f>
        <v>5779981</v>
      </c>
      <c r="D15" s="95">
        <f>SUM(D11:D14)</f>
        <v>312782.39</v>
      </c>
      <c r="E15" s="95">
        <f>SUM(E11:E14)</f>
        <v>0</v>
      </c>
      <c r="F15" s="95">
        <f>SUM(F11:F14)</f>
        <v>0</v>
      </c>
      <c r="G15" s="88">
        <f t="shared" si="0"/>
        <v>6092763.3899999997</v>
      </c>
      <c r="I15" s="304">
        <f>SUM(I11:I14)</f>
        <v>1572745</v>
      </c>
      <c r="J15" s="303"/>
      <c r="K15" s="304">
        <f>SUM(K11:K14)</f>
        <v>156265</v>
      </c>
      <c r="L15" s="294"/>
    </row>
    <row r="16" spans="1:13" ht="12" customHeight="1">
      <c r="A16" s="30"/>
      <c r="B16" s="13"/>
      <c r="C16" s="93"/>
      <c r="D16" s="93"/>
      <c r="E16" s="93"/>
      <c r="F16" s="93"/>
      <c r="G16" s="93"/>
      <c r="I16" s="305"/>
      <c r="J16" s="303"/>
      <c r="K16" s="305"/>
      <c r="L16" s="294"/>
    </row>
    <row r="17" spans="1:13" ht="20.100000000000001" customHeight="1">
      <c r="A17" s="30">
        <v>7</v>
      </c>
      <c r="B17" s="6" t="s">
        <v>129</v>
      </c>
      <c r="C17" s="316">
        <f>1163357.37-161592.05</f>
        <v>1001765.3200000001</v>
      </c>
      <c r="D17" s="316">
        <f>2033782+138</f>
        <v>2033920</v>
      </c>
      <c r="E17" s="316">
        <f>256386.37-161592.05</f>
        <v>94794.32</v>
      </c>
      <c r="F17" s="107">
        <v>0</v>
      </c>
      <c r="G17" s="91">
        <f t="shared" si="0"/>
        <v>2940891.0000000005</v>
      </c>
      <c r="I17" s="300">
        <v>283089</v>
      </c>
      <c r="J17" s="303"/>
      <c r="K17" s="300">
        <f>63773</f>
        <v>63773</v>
      </c>
      <c r="L17" s="294"/>
      <c r="M17" s="294"/>
    </row>
    <row r="18" spans="1:13" ht="20.100000000000001" customHeight="1">
      <c r="A18" s="30">
        <v>8</v>
      </c>
      <c r="B18" s="6" t="s">
        <v>130</v>
      </c>
      <c r="C18" s="316">
        <f>17256769.07-86918.78</f>
        <v>17169850.289999999</v>
      </c>
      <c r="D18" s="316">
        <v>1254211.8500000001</v>
      </c>
      <c r="E18" s="316">
        <f>445023.98-86918.78</f>
        <v>358105.19999999995</v>
      </c>
      <c r="F18" s="107">
        <v>0</v>
      </c>
      <c r="G18" s="91">
        <f>+C18+D18-E18-F18</f>
        <v>18065956.940000001</v>
      </c>
      <c r="I18" s="300">
        <f>263937+8238747+425306</f>
        <v>8927990</v>
      </c>
      <c r="J18" s="303"/>
      <c r="K18" s="300">
        <f>505418+10149+1249</f>
        <v>516816</v>
      </c>
      <c r="L18" s="294"/>
    </row>
    <row r="19" spans="1:13" ht="20.100000000000001" customHeight="1" thickBot="1">
      <c r="A19" s="30">
        <v>9</v>
      </c>
      <c r="B19" s="6" t="s">
        <v>131</v>
      </c>
      <c r="C19" s="315">
        <f>1253112.2-181296.06</f>
        <v>1071816.1399999999</v>
      </c>
      <c r="D19" s="315">
        <v>281799.74</v>
      </c>
      <c r="E19" s="315">
        <v>30810.7</v>
      </c>
      <c r="F19" s="108">
        <v>0</v>
      </c>
      <c r="G19" s="92">
        <f>+C19+D19-E19-F19</f>
        <v>1322805.18</v>
      </c>
      <c r="I19" s="300">
        <f>3022+660404+116186</f>
        <v>779612</v>
      </c>
      <c r="J19" s="306"/>
      <c r="K19" s="300">
        <f>3022+90741</f>
        <v>93763</v>
      </c>
      <c r="L19" s="294"/>
    </row>
    <row r="20" spans="1:13" ht="20.100000000000001" customHeight="1" thickBot="1">
      <c r="A20" s="30">
        <v>10</v>
      </c>
      <c r="B20" s="60" t="s">
        <v>132</v>
      </c>
      <c r="C20" s="94">
        <f>SUM(C15:C19)+C9</f>
        <v>25023412.75</v>
      </c>
      <c r="D20" s="95">
        <f>SUM(D15:D19)+D9</f>
        <v>3882713.9800000004</v>
      </c>
      <c r="E20" s="95">
        <f>SUM(E15:E19)+E9</f>
        <v>483710.22</v>
      </c>
      <c r="F20" s="95">
        <f>SUM(F15:F19)+F9</f>
        <v>0</v>
      </c>
      <c r="G20" s="88">
        <f>+C20+D20-E20-F20</f>
        <v>28422416.510000002</v>
      </c>
      <c r="I20" s="307">
        <f>SUM(I15:I19)</f>
        <v>11563436</v>
      </c>
      <c r="J20" s="301"/>
      <c r="K20" s="307">
        <f>SUM(K15:K19)</f>
        <v>830617</v>
      </c>
      <c r="L20" s="294"/>
    </row>
    <row r="21" spans="1:13" ht="11.25" customHeight="1">
      <c r="A21" s="30"/>
      <c r="B21" s="13"/>
      <c r="C21" s="93"/>
      <c r="D21" s="93"/>
      <c r="E21" s="93"/>
      <c r="F21" s="93"/>
      <c r="G21" s="93"/>
      <c r="I21" s="308"/>
      <c r="J21" s="301"/>
      <c r="K21" s="308"/>
      <c r="L21" s="294"/>
    </row>
    <row r="22" spans="1:13" ht="20.100000000000001" customHeight="1">
      <c r="A22" s="30">
        <v>11</v>
      </c>
      <c r="B22" s="6" t="s">
        <v>133</v>
      </c>
      <c r="C22" s="107">
        <v>0</v>
      </c>
      <c r="D22" s="107">
        <v>0</v>
      </c>
      <c r="E22" s="107">
        <v>0</v>
      </c>
      <c r="F22" s="107">
        <v>0</v>
      </c>
      <c r="G22" s="107">
        <f>+C22+D22+E22+F22</f>
        <v>0</v>
      </c>
      <c r="I22" s="300">
        <v>0</v>
      </c>
      <c r="J22" s="301"/>
      <c r="K22" s="300">
        <v>0</v>
      </c>
      <c r="L22" s="294"/>
    </row>
    <row r="23" spans="1:13" ht="20.100000000000001" customHeight="1">
      <c r="A23" s="30">
        <v>12</v>
      </c>
      <c r="B23" s="6" t="s">
        <v>134</v>
      </c>
      <c r="C23" s="107">
        <v>0</v>
      </c>
      <c r="D23" s="107">
        <v>0</v>
      </c>
      <c r="E23" s="107">
        <v>0</v>
      </c>
      <c r="F23" s="107">
        <v>0</v>
      </c>
      <c r="G23" s="107">
        <f>+C23+D23+E23+F23</f>
        <v>0</v>
      </c>
      <c r="I23" s="300">
        <v>0</v>
      </c>
      <c r="J23" s="301"/>
      <c r="K23" s="300">
        <v>0</v>
      </c>
      <c r="L23" s="294"/>
    </row>
    <row r="24" spans="1:13" ht="20.100000000000001" customHeight="1" thickBot="1">
      <c r="A24" s="30">
        <v>13</v>
      </c>
      <c r="B24" s="6" t="s">
        <v>135</v>
      </c>
      <c r="C24" s="108">
        <v>0</v>
      </c>
      <c r="D24" s="108">
        <v>0</v>
      </c>
      <c r="E24" s="108">
        <v>0</v>
      </c>
      <c r="F24" s="108">
        <v>0</v>
      </c>
      <c r="G24" s="108">
        <f>+C24+D24+E24+F24</f>
        <v>0</v>
      </c>
      <c r="I24" s="302">
        <v>0</v>
      </c>
      <c r="J24" s="301"/>
      <c r="K24" s="302">
        <v>0</v>
      </c>
      <c r="L24" s="294"/>
    </row>
    <row r="25" spans="1:13" ht="20.100000000000001" customHeight="1" thickBot="1">
      <c r="A25" s="30">
        <v>14</v>
      </c>
      <c r="B25" s="60" t="s">
        <v>8</v>
      </c>
      <c r="C25" s="94">
        <f>SUM(C20:C24)</f>
        <v>25023412.75</v>
      </c>
      <c r="D25" s="95">
        <f>SUM(D20:D24)</f>
        <v>3882713.9800000004</v>
      </c>
      <c r="E25" s="95">
        <f>SUM(E20:E24)</f>
        <v>483710.22</v>
      </c>
      <c r="F25" s="95">
        <f>SUM(F20:F24)</f>
        <v>0</v>
      </c>
      <c r="G25" s="88">
        <f>+C25+D25-E25+F25</f>
        <v>28422416.510000002</v>
      </c>
      <c r="I25" s="304">
        <f>SUM(I20:I24)</f>
        <v>11563436</v>
      </c>
      <c r="J25" s="301"/>
      <c r="K25" s="304">
        <f>SUM(K20:K24)</f>
        <v>830617</v>
      </c>
      <c r="L25" s="294"/>
    </row>
    <row r="26" spans="1:13" ht="11.25" customHeight="1">
      <c r="A26" s="30"/>
      <c r="B26" s="13"/>
      <c r="C26" s="96"/>
      <c r="D26" s="96"/>
      <c r="E26" s="96"/>
      <c r="F26" s="96"/>
      <c r="G26" s="96"/>
      <c r="I26" s="309"/>
      <c r="J26" s="294"/>
      <c r="K26" s="309"/>
      <c r="L26" s="294"/>
    </row>
    <row r="27" spans="1:13" ht="20.100000000000001" customHeight="1" thickBot="1">
      <c r="A27" s="30">
        <v>15</v>
      </c>
      <c r="B27" s="6" t="s">
        <v>136</v>
      </c>
      <c r="C27" s="315">
        <v>429807</v>
      </c>
      <c r="D27" s="315"/>
      <c r="E27" s="315">
        <v>429807</v>
      </c>
      <c r="F27" s="108">
        <v>0</v>
      </c>
      <c r="G27" s="92">
        <f>+C27+D27-E27-F27</f>
        <v>0</v>
      </c>
      <c r="I27" s="310"/>
      <c r="J27" s="294"/>
      <c r="K27" s="310"/>
      <c r="L27" s="294"/>
    </row>
    <row r="28" spans="1:13" ht="20.100000000000001" customHeight="1" thickBot="1">
      <c r="A28" s="30">
        <v>16</v>
      </c>
      <c r="B28" s="60" t="s">
        <v>137</v>
      </c>
      <c r="C28" s="94">
        <f>SUM(C25:C27)</f>
        <v>25453219.75</v>
      </c>
      <c r="D28" s="95">
        <f>SUM(D25:D27)</f>
        <v>3882713.9800000004</v>
      </c>
      <c r="E28" s="95">
        <f>SUM(E25:E27)</f>
        <v>913517.22</v>
      </c>
      <c r="F28" s="95">
        <f>SUM(F25:F27)</f>
        <v>0</v>
      </c>
      <c r="G28" s="88">
        <f>+C28+D28-E28-F28</f>
        <v>28422416.510000002</v>
      </c>
      <c r="I28" s="311">
        <f>SUM(I25:I27)</f>
        <v>11563436</v>
      </c>
      <c r="J28" s="294"/>
      <c r="K28" s="311">
        <f>SUM(K25:K27)</f>
        <v>830617</v>
      </c>
      <c r="L28" s="294"/>
    </row>
    <row r="29" spans="1:13" ht="20.100000000000001" customHeight="1">
      <c r="B29" t="s">
        <v>128</v>
      </c>
      <c r="G29" s="10" t="s">
        <v>172</v>
      </c>
      <c r="I29" s="294"/>
      <c r="J29" s="294"/>
      <c r="K29" s="294"/>
      <c r="L29" s="294"/>
    </row>
    <row r="30" spans="1:13">
      <c r="I30" s="312"/>
      <c r="J30" s="294"/>
      <c r="K30" s="294"/>
      <c r="L30" s="294"/>
    </row>
    <row r="31" spans="1:13">
      <c r="G31" s="10"/>
    </row>
    <row r="32" spans="1:13">
      <c r="G32" s="10" t="s">
        <v>172</v>
      </c>
      <c r="I32" s="313"/>
      <c r="J32" s="314"/>
      <c r="K32" s="314"/>
    </row>
    <row r="33" spans="9:11">
      <c r="I33" s="313"/>
      <c r="J33" s="314"/>
      <c r="K33" s="314"/>
    </row>
    <row r="34" spans="9:11">
      <c r="I34" s="313"/>
      <c r="J34" s="314"/>
      <c r="K34" s="314"/>
    </row>
    <row r="35" spans="9:11">
      <c r="I35" s="314"/>
      <c r="J35" s="314"/>
      <c r="K35" s="314"/>
    </row>
  </sheetData>
  <mergeCells count="5">
    <mergeCell ref="A1:G1"/>
    <mergeCell ref="A2:G2"/>
    <mergeCell ref="A4:G4"/>
    <mergeCell ref="A6:G6"/>
    <mergeCell ref="A3:G3"/>
  </mergeCells>
  <phoneticPr fontId="0" type="noConversion"/>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workbookViewId="0">
      <selection activeCell="H44" sqref="H44"/>
    </sheetView>
  </sheetViews>
  <sheetFormatPr defaultRowHeight="12.75"/>
  <cols>
    <col min="2" max="2" width="45" customWidth="1"/>
    <col min="3" max="3" width="12.140625" customWidth="1"/>
  </cols>
  <sheetData>
    <row r="1" spans="1:7" ht="15.75">
      <c r="A1" s="348" t="str">
        <f>+'Balance sheet'!A1:F1</f>
        <v>Worthington (Minnesota) Public Utilities</v>
      </c>
      <c r="B1" s="348"/>
      <c r="C1" s="348"/>
      <c r="D1" s="348"/>
      <c r="E1" s="348"/>
      <c r="F1" s="348"/>
      <c r="G1" s="348"/>
    </row>
    <row r="2" spans="1:7" ht="15">
      <c r="A2" s="349" t="s">
        <v>0</v>
      </c>
      <c r="B2" s="349"/>
      <c r="C2" s="349"/>
      <c r="D2" s="349"/>
      <c r="E2" s="349"/>
      <c r="F2" s="349"/>
      <c r="G2" s="349"/>
    </row>
    <row r="3" spans="1:7" ht="15">
      <c r="A3" s="349" t="s">
        <v>179</v>
      </c>
      <c r="B3" s="349"/>
      <c r="C3" s="349"/>
      <c r="D3" s="349"/>
      <c r="E3" s="349"/>
      <c r="F3" s="349"/>
      <c r="G3" s="349"/>
    </row>
    <row r="4" spans="1:7" ht="15.75">
      <c r="A4" s="350" t="str">
        <f>+'Balance sheet'!A4:F4</f>
        <v>For the 12 months ended 12/31/2012</v>
      </c>
      <c r="B4" s="350"/>
      <c r="C4" s="350"/>
      <c r="D4" s="350"/>
      <c r="E4" s="350"/>
      <c r="F4" s="350"/>
      <c r="G4" s="350"/>
    </row>
    <row r="5" spans="1:7">
      <c r="A5" s="34"/>
      <c r="B5" s="34"/>
      <c r="C5" s="34"/>
    </row>
    <row r="6" spans="1:7">
      <c r="A6" t="s">
        <v>138</v>
      </c>
    </row>
    <row r="7" spans="1:7">
      <c r="A7" t="s">
        <v>5</v>
      </c>
    </row>
    <row r="8" spans="1:7">
      <c r="A8">
        <v>1</v>
      </c>
      <c r="B8" t="s">
        <v>139</v>
      </c>
      <c r="C8" s="317">
        <v>645697</v>
      </c>
    </row>
  </sheetData>
  <mergeCells count="4">
    <mergeCell ref="A1:G1"/>
    <mergeCell ref="A2:G2"/>
    <mergeCell ref="A4:G4"/>
    <mergeCell ref="A3:G3"/>
  </mergeCells>
  <phoneticPr fontId="0" type="noConversion"/>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topLeftCell="A7" workbookViewId="0">
      <selection activeCell="L19" sqref="L19"/>
    </sheetView>
  </sheetViews>
  <sheetFormatPr defaultRowHeight="12.75"/>
  <cols>
    <col min="1" max="1" width="6.7109375" customWidth="1"/>
    <col min="2" max="2" width="29.5703125" customWidth="1"/>
    <col min="3" max="6" width="15.7109375" customWidth="1"/>
  </cols>
  <sheetData>
    <row r="1" spans="1:7" ht="15.75">
      <c r="A1" s="348" t="str">
        <f>+'Balance sheet'!A1:F1</f>
        <v>Worthington (Minnesota) Public Utilities</v>
      </c>
      <c r="B1" s="348"/>
      <c r="C1" s="348"/>
      <c r="D1" s="348"/>
      <c r="E1" s="348"/>
      <c r="F1" s="348"/>
      <c r="G1" s="11"/>
    </row>
    <row r="2" spans="1:7" ht="15">
      <c r="A2" s="349" t="s">
        <v>0</v>
      </c>
      <c r="B2" s="349"/>
      <c r="C2" s="349"/>
      <c r="D2" s="349"/>
      <c r="E2" s="349"/>
      <c r="F2" s="349"/>
      <c r="G2" s="11"/>
    </row>
    <row r="3" spans="1:7" ht="15">
      <c r="A3" s="349" t="s">
        <v>180</v>
      </c>
      <c r="B3" s="349"/>
      <c r="C3" s="349"/>
      <c r="D3" s="349"/>
      <c r="E3" s="349"/>
      <c r="F3" s="349"/>
      <c r="G3" s="11"/>
    </row>
    <row r="4" spans="1:7" ht="15.75">
      <c r="A4" s="350" t="str">
        <f>+'Balance sheet'!A4:F4</f>
        <v>For the 12 months ended 12/31/2012</v>
      </c>
      <c r="B4" s="350"/>
      <c r="C4" s="350"/>
      <c r="D4" s="350"/>
      <c r="E4" s="350"/>
      <c r="F4" s="350"/>
      <c r="G4" s="26"/>
    </row>
    <row r="6" spans="1:7">
      <c r="A6" s="352" t="s">
        <v>141</v>
      </c>
      <c r="B6" s="352"/>
      <c r="C6" s="352"/>
      <c r="D6" s="352"/>
      <c r="E6" s="352"/>
      <c r="F6" s="352"/>
    </row>
    <row r="7" spans="1:7">
      <c r="A7" s="27" t="s">
        <v>1</v>
      </c>
      <c r="B7" s="23"/>
      <c r="C7" s="23"/>
      <c r="D7" s="23"/>
      <c r="E7" s="23"/>
      <c r="F7" s="23"/>
    </row>
    <row r="8" spans="1:7">
      <c r="A8" s="29" t="s">
        <v>5</v>
      </c>
      <c r="B8" s="24"/>
      <c r="C8" s="23" t="s">
        <v>140</v>
      </c>
      <c r="D8" s="24" t="s">
        <v>142</v>
      </c>
      <c r="E8" s="24" t="s">
        <v>143</v>
      </c>
      <c r="F8" s="24" t="s">
        <v>144</v>
      </c>
    </row>
    <row r="9" spans="1:7">
      <c r="A9" s="4">
        <v>1</v>
      </c>
      <c r="B9" s="2" t="s">
        <v>145</v>
      </c>
      <c r="C9" s="47"/>
      <c r="D9" s="42"/>
      <c r="E9" s="42"/>
      <c r="F9" s="42"/>
    </row>
    <row r="10" spans="1:7">
      <c r="A10" s="5"/>
      <c r="B10" s="1" t="s">
        <v>146</v>
      </c>
      <c r="C10" s="81">
        <v>0</v>
      </c>
      <c r="D10" s="110">
        <v>0</v>
      </c>
      <c r="E10" s="110">
        <v>0</v>
      </c>
      <c r="F10" s="113">
        <f>SUM(C10:E10)</f>
        <v>0</v>
      </c>
    </row>
    <row r="11" spans="1:7">
      <c r="A11" s="5">
        <v>2</v>
      </c>
      <c r="B11" s="1" t="s">
        <v>147</v>
      </c>
      <c r="C11" s="74">
        <v>0</v>
      </c>
      <c r="D11" s="106">
        <v>0</v>
      </c>
      <c r="E11" s="106">
        <v>0</v>
      </c>
      <c r="F11" s="114">
        <f>SUM(C11:E11)</f>
        <v>0</v>
      </c>
    </row>
    <row r="12" spans="1:7">
      <c r="A12" s="4">
        <v>3</v>
      </c>
      <c r="B12" s="2" t="s">
        <v>148</v>
      </c>
      <c r="C12" s="79"/>
      <c r="D12" s="105"/>
      <c r="E12" s="105"/>
      <c r="F12" s="115"/>
    </row>
    <row r="13" spans="1:7">
      <c r="A13" s="5"/>
      <c r="B13" s="102" t="s">
        <v>149</v>
      </c>
      <c r="C13" s="74">
        <v>0</v>
      </c>
      <c r="D13" s="106">
        <v>0</v>
      </c>
      <c r="E13" s="106">
        <v>0</v>
      </c>
      <c r="F13" s="114">
        <f>SUM(C13:E13)</f>
        <v>0</v>
      </c>
    </row>
    <row r="14" spans="1:7">
      <c r="A14" s="20">
        <v>4</v>
      </c>
      <c r="B14" s="44" t="s">
        <v>150</v>
      </c>
      <c r="C14" s="79"/>
      <c r="D14" s="105"/>
      <c r="E14" s="105"/>
      <c r="F14" s="115"/>
    </row>
    <row r="15" spans="1:7">
      <c r="A15" s="5"/>
      <c r="B15" s="103" t="s">
        <v>151</v>
      </c>
      <c r="C15" s="283">
        <v>49073</v>
      </c>
      <c r="D15" s="291">
        <f>102064-C15</f>
        <v>52991</v>
      </c>
      <c r="E15" s="291">
        <v>37101</v>
      </c>
      <c r="F15" s="114">
        <f>SUM(C15:E15)</f>
        <v>139165</v>
      </c>
    </row>
    <row r="16" spans="1:7">
      <c r="A16" s="7">
        <v>5</v>
      </c>
      <c r="B16" s="45" t="s">
        <v>152</v>
      </c>
      <c r="C16" s="285">
        <v>0</v>
      </c>
      <c r="D16" s="292">
        <f>1826243+9447178</f>
        <v>11273421</v>
      </c>
      <c r="E16" s="292">
        <v>0</v>
      </c>
      <c r="F16" s="116">
        <f>SUM(C16:E16)</f>
        <v>11273421</v>
      </c>
    </row>
    <row r="17" spans="1:7">
      <c r="A17" s="4">
        <v>6</v>
      </c>
      <c r="B17" s="2" t="s">
        <v>153</v>
      </c>
      <c r="C17" s="79"/>
      <c r="D17" s="105"/>
      <c r="E17" s="105"/>
      <c r="F17" s="115"/>
    </row>
    <row r="18" spans="1:7" ht="13.5" thickBot="1">
      <c r="A18" s="5"/>
      <c r="B18" s="102" t="s">
        <v>154</v>
      </c>
      <c r="C18" s="79">
        <v>0</v>
      </c>
      <c r="D18" s="105">
        <v>0</v>
      </c>
      <c r="E18" s="105">
        <v>0</v>
      </c>
      <c r="F18" s="115">
        <f>SUM(C18:E18)</f>
        <v>0</v>
      </c>
    </row>
    <row r="19" spans="1:7" ht="13.5" thickBot="1">
      <c r="A19" s="6">
        <v>7</v>
      </c>
      <c r="B19" s="99" t="s">
        <v>155</v>
      </c>
      <c r="C19" s="94">
        <f>SUM(C10:C18)</f>
        <v>49073</v>
      </c>
      <c r="D19" s="100">
        <f>SUM(D10:D18)</f>
        <v>11326412</v>
      </c>
      <c r="E19" s="100">
        <f>SUM(E10:E18)</f>
        <v>37101</v>
      </c>
      <c r="F19" s="101">
        <f>SUM(C19:E19)</f>
        <v>11412586</v>
      </c>
    </row>
    <row r="20" spans="1:7">
      <c r="A20" s="4">
        <v>8</v>
      </c>
      <c r="B20" s="25" t="s">
        <v>156</v>
      </c>
      <c r="C20" s="111"/>
      <c r="D20" s="111"/>
      <c r="E20" s="111"/>
      <c r="F20" s="42"/>
    </row>
    <row r="21" spans="1:7">
      <c r="A21" s="5"/>
      <c r="B21" s="104" t="s">
        <v>157</v>
      </c>
      <c r="C21" s="117" t="s">
        <v>174</v>
      </c>
      <c r="D21" s="291">
        <v>3188616</v>
      </c>
      <c r="E21" s="291"/>
      <c r="F21" s="87">
        <f>SUM(D21:E21)</f>
        <v>3188616</v>
      </c>
      <c r="G21" t="s">
        <v>172</v>
      </c>
    </row>
    <row r="22" spans="1:7">
      <c r="A22" s="4">
        <v>9</v>
      </c>
      <c r="B22" s="25" t="s">
        <v>158</v>
      </c>
      <c r="C22" s="118"/>
      <c r="D22" s="293"/>
      <c r="E22" s="293"/>
      <c r="F22" s="86"/>
    </row>
    <row r="23" spans="1:7">
      <c r="A23" s="5"/>
      <c r="B23" s="104" t="s">
        <v>159</v>
      </c>
      <c r="C23" s="117" t="s">
        <v>174</v>
      </c>
      <c r="D23" s="291">
        <v>292903</v>
      </c>
      <c r="E23" s="291">
        <v>175336</v>
      </c>
      <c r="F23" s="87">
        <f>+D23+E23</f>
        <v>468239</v>
      </c>
    </row>
    <row r="24" spans="1:7">
      <c r="A24" s="4">
        <v>10</v>
      </c>
      <c r="B24" s="25" t="s">
        <v>160</v>
      </c>
      <c r="C24" s="118"/>
      <c r="D24" s="293"/>
      <c r="E24" s="293"/>
      <c r="F24" s="86"/>
    </row>
    <row r="25" spans="1:7">
      <c r="A25" s="5"/>
      <c r="B25" s="104" t="s">
        <v>161</v>
      </c>
      <c r="C25" s="117" t="s">
        <v>174</v>
      </c>
      <c r="D25" s="291">
        <v>254274</v>
      </c>
      <c r="E25" s="291">
        <v>0</v>
      </c>
      <c r="F25" s="87">
        <f>+D25+E25</f>
        <v>254274</v>
      </c>
    </row>
    <row r="26" spans="1:7">
      <c r="A26" s="4">
        <v>11</v>
      </c>
      <c r="B26" s="25" t="s">
        <v>162</v>
      </c>
      <c r="C26" s="118"/>
      <c r="D26" s="293"/>
      <c r="E26" s="293"/>
      <c r="F26" s="86"/>
    </row>
    <row r="27" spans="1:7">
      <c r="A27" s="5"/>
      <c r="B27" s="104" t="s">
        <v>163</v>
      </c>
      <c r="C27" s="117" t="s">
        <v>174</v>
      </c>
      <c r="D27" s="291">
        <v>102134</v>
      </c>
      <c r="E27" s="291">
        <v>0</v>
      </c>
      <c r="F27" s="87">
        <f>+D27+E27</f>
        <v>102134</v>
      </c>
    </row>
    <row r="28" spans="1:7">
      <c r="A28" s="6">
        <v>12</v>
      </c>
      <c r="B28" s="43" t="s">
        <v>164</v>
      </c>
      <c r="C28" s="112" t="s">
        <v>174</v>
      </c>
      <c r="D28" s="292"/>
      <c r="E28" s="292">
        <v>0</v>
      </c>
      <c r="F28" s="87">
        <f>+D28+E28</f>
        <v>0</v>
      </c>
    </row>
    <row r="29" spans="1:7">
      <c r="A29" s="6">
        <v>13</v>
      </c>
      <c r="B29" s="43" t="s">
        <v>165</v>
      </c>
      <c r="C29" s="112" t="s">
        <v>174</v>
      </c>
      <c r="D29" s="292">
        <v>379415</v>
      </c>
      <c r="E29" s="292">
        <v>0</v>
      </c>
      <c r="F29" s="87">
        <f>+D29+E29</f>
        <v>379415</v>
      </c>
    </row>
    <row r="30" spans="1:7" ht="13.5" thickBot="1">
      <c r="A30" s="4">
        <v>14</v>
      </c>
      <c r="B30" s="25" t="s">
        <v>166</v>
      </c>
      <c r="C30" s="119"/>
      <c r="D30" s="111"/>
      <c r="E30" s="111"/>
      <c r="F30" s="42"/>
    </row>
    <row r="31" spans="1:7" ht="13.5" thickBot="1">
      <c r="A31" s="5"/>
      <c r="B31" s="102" t="s">
        <v>167</v>
      </c>
      <c r="C31" s="94" t="s">
        <v>175</v>
      </c>
      <c r="D31" s="100">
        <f>SUM(D19:D29)</f>
        <v>15543754</v>
      </c>
      <c r="E31" s="100">
        <f>SUM(E19:E29)</f>
        <v>212437</v>
      </c>
      <c r="F31" s="101">
        <f>SUM(F19:F30)</f>
        <v>15805264</v>
      </c>
    </row>
    <row r="32" spans="1:7">
      <c r="C32" s="10"/>
      <c r="D32" s="10"/>
      <c r="E32" s="10"/>
      <c r="F32" s="10"/>
    </row>
    <row r="33" spans="2:6">
      <c r="B33" s="353" t="s">
        <v>168</v>
      </c>
      <c r="C33" s="354"/>
      <c r="D33" s="97">
        <v>10</v>
      </c>
      <c r="E33" s="10"/>
      <c r="F33" s="10"/>
    </row>
    <row r="34" spans="2:6">
      <c r="B34" s="3" t="s">
        <v>169</v>
      </c>
      <c r="C34" s="38"/>
      <c r="D34" s="98">
        <v>3</v>
      </c>
      <c r="E34" s="10"/>
      <c r="F34" s="10"/>
    </row>
    <row r="35" spans="2:6">
      <c r="C35" s="10"/>
      <c r="D35" s="10"/>
      <c r="E35" s="10"/>
      <c r="F35" s="10"/>
    </row>
    <row r="36" spans="2:6">
      <c r="B36" t="s">
        <v>170</v>
      </c>
    </row>
    <row r="37" spans="2:6">
      <c r="B37" t="s">
        <v>173</v>
      </c>
    </row>
  </sheetData>
  <mergeCells count="6">
    <mergeCell ref="A6:F6"/>
    <mergeCell ref="B33:C33"/>
    <mergeCell ref="A1:F1"/>
    <mergeCell ref="A2:F2"/>
    <mergeCell ref="A4:F4"/>
    <mergeCell ref="A3:F3"/>
  </mergeCells>
  <phoneticPr fontId="0" type="noConversion"/>
  <pageMargins left="0.75" right="0.75" top="1" bottom="1" header="0.5" footer="0.5"/>
  <pageSetup scale="83" orientation="portrait" horizontalDpi="4294967293" r:id="rId1"/>
  <headerFooter alignWithMargins="0">
    <oddFooter>&amp;L&amp;Z&amp;F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activeCell="P34" sqref="P34"/>
    </sheetView>
  </sheetViews>
  <sheetFormatPr defaultRowHeight="12.75"/>
  <cols>
    <col min="1" max="2" width="3.42578125" style="294" customWidth="1"/>
    <col min="3" max="3" width="31.85546875" style="294" customWidth="1"/>
    <col min="4" max="4" width="2.28515625" style="294" customWidth="1"/>
    <col min="5" max="9" width="14.5703125" style="294" customWidth="1"/>
    <col min="10" max="10" width="2.7109375" style="294" customWidth="1"/>
    <col min="11" max="11" width="14.5703125" style="294" customWidth="1"/>
    <col min="12" max="12" width="3.42578125" style="294" customWidth="1"/>
    <col min="13" max="13" width="14.5703125" style="294" customWidth="1"/>
    <col min="14" max="16384" width="9.140625" style="294"/>
  </cols>
  <sheetData>
    <row r="1" spans="1:14">
      <c r="A1" s="358" t="str">
        <f>+'[7]Balance sheet Sched 2'!A1:F1</f>
        <v>Worthington (Minnesota) Public Utilities</v>
      </c>
      <c r="B1" s="358"/>
      <c r="C1" s="358"/>
      <c r="D1" s="358"/>
      <c r="E1" s="358"/>
      <c r="F1" s="358"/>
      <c r="G1" s="358"/>
      <c r="H1" s="358"/>
      <c r="I1" s="358"/>
      <c r="J1" s="358"/>
      <c r="K1" s="358"/>
      <c r="L1" s="318"/>
      <c r="M1" s="318"/>
    </row>
    <row r="2" spans="1:14">
      <c r="A2" s="359">
        <f>+'[7]Balance sheet Sched 2'!A4:F4</f>
        <v>41274</v>
      </c>
      <c r="B2" s="359"/>
      <c r="C2" s="359"/>
      <c r="D2" s="359"/>
      <c r="E2" s="359"/>
      <c r="F2" s="359"/>
      <c r="G2" s="359"/>
      <c r="H2" s="359"/>
      <c r="I2" s="359"/>
      <c r="J2" s="359"/>
      <c r="K2" s="359"/>
      <c r="L2" s="319"/>
      <c r="M2" s="319"/>
    </row>
    <row r="3" spans="1:14">
      <c r="A3" s="358" t="s">
        <v>503</v>
      </c>
      <c r="B3" s="358"/>
      <c r="C3" s="358"/>
      <c r="D3" s="358"/>
      <c r="E3" s="358"/>
      <c r="F3" s="358"/>
      <c r="G3" s="358"/>
      <c r="H3" s="358"/>
      <c r="I3" s="358"/>
      <c r="J3" s="358"/>
      <c r="K3" s="358"/>
      <c r="L3" s="318"/>
      <c r="M3" s="318"/>
    </row>
    <row r="4" spans="1:14">
      <c r="A4" s="358"/>
      <c r="B4" s="358"/>
      <c r="C4" s="358"/>
      <c r="D4" s="358"/>
      <c r="E4" s="358"/>
      <c r="F4" s="358"/>
      <c r="G4" s="358"/>
      <c r="H4" s="358"/>
      <c r="I4" s="358"/>
      <c r="J4" s="358"/>
      <c r="K4" s="358"/>
      <c r="L4" s="318"/>
      <c r="M4" s="318"/>
    </row>
    <row r="5" spans="1:14">
      <c r="A5" s="358" t="s">
        <v>552</v>
      </c>
      <c r="B5" s="358"/>
      <c r="C5" s="358"/>
      <c r="D5" s="358"/>
      <c r="E5" s="358"/>
      <c r="F5" s="358"/>
      <c r="G5" s="358"/>
      <c r="H5" s="358"/>
      <c r="I5" s="358"/>
      <c r="J5" s="358"/>
      <c r="K5" s="358"/>
      <c r="L5" s="318"/>
      <c r="M5" s="318"/>
    </row>
    <row r="7" spans="1:14">
      <c r="A7" s="320"/>
      <c r="B7" s="321"/>
      <c r="C7" s="322"/>
      <c r="D7" s="323"/>
      <c r="E7" s="360" t="s">
        <v>504</v>
      </c>
      <c r="F7" s="360"/>
      <c r="G7" s="324" t="s">
        <v>505</v>
      </c>
      <c r="H7" s="296" t="s">
        <v>171</v>
      </c>
      <c r="I7" s="296" t="s">
        <v>506</v>
      </c>
      <c r="J7" s="325"/>
      <c r="K7" s="296"/>
      <c r="L7" s="325"/>
      <c r="M7" s="325"/>
    </row>
    <row r="8" spans="1:14">
      <c r="A8" s="355" t="s">
        <v>507</v>
      </c>
      <c r="B8" s="356"/>
      <c r="C8" s="357"/>
      <c r="D8" s="326"/>
      <c r="E8" s="327" t="s">
        <v>142</v>
      </c>
      <c r="F8" s="327" t="s">
        <v>143</v>
      </c>
      <c r="G8" s="328" t="s">
        <v>508</v>
      </c>
      <c r="H8" s="329" t="s">
        <v>509</v>
      </c>
      <c r="I8" s="329" t="s">
        <v>510</v>
      </c>
      <c r="J8" s="325"/>
      <c r="K8" s="329" t="s">
        <v>144</v>
      </c>
      <c r="L8" s="325"/>
      <c r="M8" s="325"/>
    </row>
    <row r="9" spans="1:14">
      <c r="A9" s="294" t="s">
        <v>511</v>
      </c>
      <c r="E9" s="317"/>
      <c r="F9" s="317"/>
      <c r="G9" s="317"/>
      <c r="H9" s="317"/>
      <c r="I9" s="317"/>
      <c r="J9" s="330"/>
      <c r="K9" s="317"/>
      <c r="L9" s="317"/>
      <c r="M9" s="317"/>
      <c r="N9" s="317"/>
    </row>
    <row r="10" spans="1:14">
      <c r="B10" s="294" t="s">
        <v>512</v>
      </c>
      <c r="E10" s="317"/>
      <c r="F10" s="317"/>
      <c r="G10" s="317"/>
      <c r="H10" s="317"/>
      <c r="I10" s="317"/>
      <c r="J10" s="330"/>
      <c r="K10" s="317"/>
      <c r="L10" s="317"/>
      <c r="M10" s="317"/>
      <c r="N10" s="317"/>
    </row>
    <row r="11" spans="1:14">
      <c r="C11" s="294" t="s">
        <v>513</v>
      </c>
      <c r="E11" s="317">
        <v>4121</v>
      </c>
      <c r="F11" s="317"/>
      <c r="G11" s="317">
        <v>331</v>
      </c>
      <c r="H11" s="317">
        <v>228</v>
      </c>
      <c r="I11" s="317">
        <v>292</v>
      </c>
      <c r="J11" s="330"/>
      <c r="K11" s="317">
        <f t="shared" ref="K11:K13" si="0">SUM(E11:I11)</f>
        <v>4972</v>
      </c>
      <c r="L11" s="317"/>
      <c r="M11" s="317"/>
      <c r="N11" s="317"/>
    </row>
    <row r="12" spans="1:14">
      <c r="C12" s="294" t="s">
        <v>514</v>
      </c>
      <c r="E12" s="317">
        <v>0</v>
      </c>
      <c r="F12" s="317"/>
      <c r="G12" s="317">
        <v>0</v>
      </c>
      <c r="H12" s="317">
        <v>0</v>
      </c>
      <c r="I12" s="317">
        <v>0</v>
      </c>
      <c r="J12" s="330"/>
      <c r="K12" s="317">
        <f t="shared" si="0"/>
        <v>0</v>
      </c>
      <c r="L12" s="317"/>
      <c r="M12" s="317"/>
      <c r="N12" s="317"/>
    </row>
    <row r="13" spans="1:14">
      <c r="C13" s="294" t="s">
        <v>515</v>
      </c>
      <c r="E13" s="317">
        <f>881+877</f>
        <v>1758</v>
      </c>
      <c r="F13" s="317"/>
      <c r="G13" s="317">
        <v>130</v>
      </c>
      <c r="H13" s="317">
        <v>138</v>
      </c>
      <c r="I13" s="317">
        <v>127</v>
      </c>
      <c r="J13" s="330"/>
      <c r="K13" s="317">
        <f t="shared" si="0"/>
        <v>2153</v>
      </c>
      <c r="L13" s="317"/>
      <c r="M13" s="317"/>
      <c r="N13" s="317"/>
    </row>
    <row r="14" spans="1:14">
      <c r="C14" s="294" t="s">
        <v>516</v>
      </c>
      <c r="E14" s="317">
        <v>0</v>
      </c>
      <c r="F14" s="317"/>
      <c r="G14" s="317">
        <v>0</v>
      </c>
      <c r="H14" s="317">
        <v>0</v>
      </c>
      <c r="I14" s="317">
        <v>0</v>
      </c>
      <c r="J14" s="330"/>
      <c r="K14" s="317">
        <f>SUM(E14:I14)</f>
        <v>0</v>
      </c>
      <c r="L14" s="317"/>
      <c r="M14" s="317"/>
      <c r="N14" s="317"/>
    </row>
    <row r="15" spans="1:14">
      <c r="B15" s="294" t="s">
        <v>143</v>
      </c>
      <c r="E15" s="317"/>
      <c r="F15" s="317"/>
      <c r="G15" s="317"/>
      <c r="H15" s="317"/>
      <c r="I15" s="317"/>
      <c r="J15" s="330"/>
      <c r="K15" s="317"/>
      <c r="L15" s="317"/>
      <c r="M15" s="317"/>
      <c r="N15" s="317"/>
    </row>
    <row r="16" spans="1:14">
      <c r="C16" s="294" t="s">
        <v>517</v>
      </c>
      <c r="E16" s="317"/>
      <c r="F16" s="317">
        <v>4121</v>
      </c>
      <c r="G16" s="317">
        <v>331</v>
      </c>
      <c r="H16" s="317">
        <f>111+2+19+97</f>
        <v>229</v>
      </c>
      <c r="I16" s="317">
        <v>292</v>
      </c>
      <c r="J16" s="330"/>
      <c r="K16" s="317">
        <f>SUM(E16:I16)</f>
        <v>4973</v>
      </c>
      <c r="L16" s="317"/>
      <c r="M16" s="317"/>
      <c r="N16" s="317"/>
    </row>
    <row r="17" spans="1:14">
      <c r="C17" s="294" t="s">
        <v>518</v>
      </c>
      <c r="E17" s="317"/>
      <c r="F17" s="317">
        <v>1094</v>
      </c>
      <c r="G17" s="317">
        <v>83</v>
      </c>
      <c r="H17" s="317">
        <f>41+1+4+103</f>
        <v>149</v>
      </c>
      <c r="I17" s="317">
        <v>79</v>
      </c>
      <c r="J17" s="330"/>
      <c r="K17" s="317">
        <f>SUM(E17:I17)</f>
        <v>1405</v>
      </c>
      <c r="L17" s="317"/>
      <c r="M17" s="317"/>
      <c r="N17" s="317"/>
    </row>
    <row r="18" spans="1:14">
      <c r="C18" s="294" t="s">
        <v>519</v>
      </c>
      <c r="E18" s="317"/>
      <c r="F18" s="317">
        <v>0</v>
      </c>
      <c r="G18" s="317">
        <v>0</v>
      </c>
      <c r="H18" s="317">
        <v>0</v>
      </c>
      <c r="I18" s="317">
        <v>0</v>
      </c>
      <c r="J18" s="330"/>
      <c r="K18" s="317">
        <f>SUM(E18:I18)</f>
        <v>0</v>
      </c>
      <c r="L18" s="317"/>
      <c r="M18" s="317" t="s">
        <v>511</v>
      </c>
      <c r="N18" s="317"/>
    </row>
    <row r="19" spans="1:14" ht="13.5" thickBot="1">
      <c r="C19" s="294" t="s">
        <v>520</v>
      </c>
      <c r="E19" s="317"/>
      <c r="F19" s="317">
        <f>2932+680</f>
        <v>3612</v>
      </c>
      <c r="G19" s="317">
        <v>274</v>
      </c>
      <c r="H19" s="317">
        <f>283+4+30+701</f>
        <v>1018</v>
      </c>
      <c r="I19" s="317">
        <v>262</v>
      </c>
      <c r="J19" s="330"/>
      <c r="K19" s="317">
        <f>SUM(E19:I19)</f>
        <v>5166</v>
      </c>
      <c r="L19" s="317"/>
      <c r="M19" s="331">
        <f>SUM(K11:K19)</f>
        <v>18669</v>
      </c>
      <c r="N19" s="317"/>
    </row>
    <row r="20" spans="1:14" ht="13.5" thickTop="1">
      <c r="E20" s="317"/>
      <c r="F20" s="317"/>
      <c r="G20" s="317"/>
      <c r="H20" s="317"/>
      <c r="I20" s="317"/>
      <c r="J20" s="330"/>
      <c r="K20" s="317"/>
      <c r="L20" s="317"/>
      <c r="M20" s="317"/>
      <c r="N20" s="317"/>
    </row>
    <row r="21" spans="1:14">
      <c r="A21" s="294" t="s">
        <v>521</v>
      </c>
      <c r="E21" s="317"/>
      <c r="F21" s="317"/>
      <c r="G21" s="317"/>
      <c r="H21" s="317"/>
      <c r="I21" s="317"/>
      <c r="J21" s="330"/>
      <c r="K21" s="317"/>
      <c r="L21" s="317"/>
      <c r="M21" s="317"/>
      <c r="N21" s="317"/>
    </row>
    <row r="22" spans="1:14">
      <c r="B22" s="294" t="s">
        <v>512</v>
      </c>
      <c r="E22" s="317">
        <v>0</v>
      </c>
      <c r="F22" s="317"/>
      <c r="G22" s="317">
        <v>0</v>
      </c>
      <c r="H22" s="317">
        <v>0</v>
      </c>
      <c r="I22" s="317">
        <v>0</v>
      </c>
      <c r="J22" s="330"/>
      <c r="K22" s="317">
        <f t="shared" ref="K22:K23" si="1">SUM(E22:I22)</f>
        <v>0</v>
      </c>
      <c r="L22" s="317"/>
      <c r="M22" s="317" t="s">
        <v>242</v>
      </c>
      <c r="N22" s="317"/>
    </row>
    <row r="23" spans="1:14" ht="13.5" thickBot="1">
      <c r="B23" s="294" t="s">
        <v>143</v>
      </c>
      <c r="E23" s="317">
        <v>0</v>
      </c>
      <c r="F23" s="317"/>
      <c r="G23" s="317">
        <v>0</v>
      </c>
      <c r="H23" s="317">
        <v>0</v>
      </c>
      <c r="I23" s="317">
        <v>0</v>
      </c>
      <c r="J23" s="330"/>
      <c r="K23" s="317">
        <f t="shared" si="1"/>
        <v>0</v>
      </c>
      <c r="L23" s="317"/>
      <c r="M23" s="331">
        <f>+K23+K22</f>
        <v>0</v>
      </c>
      <c r="N23" s="317"/>
    </row>
    <row r="24" spans="1:14" ht="13.5" thickTop="1">
      <c r="E24" s="317"/>
      <c r="F24" s="317"/>
      <c r="G24" s="317"/>
      <c r="H24" s="317"/>
      <c r="I24" s="317"/>
      <c r="J24" s="330"/>
      <c r="K24" s="317"/>
      <c r="L24" s="317"/>
      <c r="N24" s="317"/>
    </row>
    <row r="25" spans="1:14">
      <c r="A25" s="294" t="s">
        <v>522</v>
      </c>
      <c r="E25" s="317"/>
      <c r="F25" s="317"/>
      <c r="G25" s="317"/>
      <c r="H25" s="317"/>
      <c r="I25" s="317"/>
      <c r="J25" s="330"/>
      <c r="K25" s="317"/>
      <c r="L25" s="317"/>
      <c r="M25" s="317"/>
      <c r="N25" s="317"/>
    </row>
    <row r="26" spans="1:14">
      <c r="B26" s="294" t="s">
        <v>512</v>
      </c>
      <c r="E26" s="317"/>
      <c r="F26" s="317"/>
      <c r="G26" s="317"/>
      <c r="H26" s="317"/>
      <c r="I26" s="317"/>
      <c r="J26" s="330"/>
      <c r="K26" s="317"/>
      <c r="L26" s="317"/>
      <c r="M26" s="317"/>
      <c r="N26" s="317"/>
    </row>
    <row r="27" spans="1:14">
      <c r="C27" s="294" t="s">
        <v>523</v>
      </c>
      <c r="E27" s="317">
        <v>74496</v>
      </c>
      <c r="F27" s="317"/>
      <c r="G27" s="317">
        <v>5989</v>
      </c>
      <c r="H27" s="317">
        <f>2001+35+333+1735</f>
        <v>4104</v>
      </c>
      <c r="I27" s="317">
        <v>5274</v>
      </c>
      <c r="J27" s="330"/>
      <c r="K27" s="317">
        <f>SUM(E27:I27)</f>
        <v>89863</v>
      </c>
      <c r="L27" s="317"/>
      <c r="M27" s="317"/>
      <c r="N27" s="317"/>
    </row>
    <row r="28" spans="1:14">
      <c r="C28" s="294" t="s">
        <v>524</v>
      </c>
      <c r="E28" s="317">
        <v>0</v>
      </c>
      <c r="F28" s="317"/>
      <c r="G28" s="317">
        <v>0</v>
      </c>
      <c r="H28" s="317">
        <v>0</v>
      </c>
      <c r="I28" s="317">
        <v>0</v>
      </c>
      <c r="J28" s="330"/>
      <c r="K28" s="317">
        <f>SUM(E28:I28)</f>
        <v>0</v>
      </c>
      <c r="L28" s="317"/>
      <c r="M28" s="317"/>
      <c r="N28" s="317"/>
    </row>
    <row r="29" spans="1:14">
      <c r="C29" s="294" t="s">
        <v>525</v>
      </c>
      <c r="E29" s="317">
        <v>7912</v>
      </c>
      <c r="F29" s="317"/>
      <c r="G29" s="317">
        <v>549</v>
      </c>
      <c r="H29" s="317">
        <f>592+5+31+956</f>
        <v>1584</v>
      </c>
      <c r="I29" s="317">
        <v>571</v>
      </c>
      <c r="J29" s="330"/>
      <c r="K29" s="317">
        <f>SUM(E29:I29)</f>
        <v>10616</v>
      </c>
      <c r="L29" s="317"/>
      <c r="M29" s="317"/>
      <c r="N29" s="317"/>
    </row>
    <row r="30" spans="1:14">
      <c r="C30" s="294" t="s">
        <v>526</v>
      </c>
      <c r="E30" s="317">
        <v>0</v>
      </c>
      <c r="F30" s="317"/>
      <c r="G30" s="317">
        <v>0</v>
      </c>
      <c r="H30" s="317">
        <v>0</v>
      </c>
      <c r="I30" s="317">
        <v>0</v>
      </c>
      <c r="J30" s="330"/>
      <c r="K30" s="317">
        <f>SUM(E30:I30)</f>
        <v>0</v>
      </c>
      <c r="L30" s="317"/>
      <c r="M30" s="317"/>
      <c r="N30" s="317"/>
    </row>
    <row r="31" spans="1:14">
      <c r="C31" s="294" t="s">
        <v>527</v>
      </c>
      <c r="E31" s="317">
        <v>0</v>
      </c>
      <c r="F31" s="317"/>
      <c r="G31" s="317">
        <v>0</v>
      </c>
      <c r="H31" s="317">
        <v>0</v>
      </c>
      <c r="I31" s="317">
        <v>0</v>
      </c>
      <c r="J31" s="330"/>
      <c r="K31" s="317">
        <f>SUM(E31:I31)</f>
        <v>0</v>
      </c>
      <c r="L31" s="317"/>
      <c r="M31" s="317"/>
      <c r="N31" s="317"/>
    </row>
    <row r="32" spans="1:14">
      <c r="C32" s="294" t="s">
        <v>528</v>
      </c>
      <c r="E32" s="317">
        <f>56440+43</f>
        <v>56483</v>
      </c>
      <c r="F32" s="317"/>
      <c r="G32" s="317">
        <v>3991</v>
      </c>
      <c r="H32" s="317">
        <f>4052+38+262+6964</f>
        <v>11316</v>
      </c>
      <c r="I32" s="317">
        <v>4068</v>
      </c>
      <c r="J32" s="330"/>
      <c r="K32" s="317">
        <f t="shared" ref="K32:K36" si="2">SUM(E32:I32)</f>
        <v>75858</v>
      </c>
      <c r="L32" s="317"/>
      <c r="N32" s="317"/>
    </row>
    <row r="33" spans="1:14">
      <c r="C33" s="294" t="s">
        <v>529</v>
      </c>
      <c r="E33" s="317">
        <v>0</v>
      </c>
      <c r="F33" s="317"/>
      <c r="G33" s="317">
        <v>0</v>
      </c>
      <c r="H33" s="317">
        <v>0</v>
      </c>
      <c r="I33" s="317">
        <v>0</v>
      </c>
      <c r="J33" s="330"/>
      <c r="K33" s="317">
        <f t="shared" si="2"/>
        <v>0</v>
      </c>
      <c r="L33" s="317"/>
      <c r="N33" s="317"/>
    </row>
    <row r="34" spans="1:14">
      <c r="B34" s="294" t="s">
        <v>143</v>
      </c>
      <c r="E34" s="317"/>
      <c r="F34" s="317"/>
      <c r="G34" s="317"/>
      <c r="H34" s="317"/>
      <c r="I34" s="317"/>
      <c r="J34" s="330"/>
      <c r="K34" s="317"/>
      <c r="L34" s="317"/>
      <c r="M34" s="317"/>
      <c r="N34" s="317"/>
    </row>
    <row r="35" spans="1:14">
      <c r="C35" s="294" t="s">
        <v>530</v>
      </c>
      <c r="E35" s="317"/>
      <c r="F35" s="317">
        <v>3782</v>
      </c>
      <c r="G35" s="317">
        <v>266</v>
      </c>
      <c r="H35" s="317">
        <f>265+2+16+441</f>
        <v>724</v>
      </c>
      <c r="I35" s="317">
        <v>274</v>
      </c>
      <c r="J35" s="330"/>
      <c r="K35" s="317">
        <f>SUM(E35:I35)</f>
        <v>5046</v>
      </c>
      <c r="L35" s="317"/>
      <c r="M35" s="317"/>
      <c r="N35" s="317"/>
    </row>
    <row r="36" spans="1:14">
      <c r="C36" s="294" t="s">
        <v>531</v>
      </c>
      <c r="E36" s="317"/>
      <c r="F36" s="317">
        <f>5499+544</f>
        <v>6043</v>
      </c>
      <c r="G36" s="317">
        <v>447</v>
      </c>
      <c r="H36" s="317">
        <f>104+1+8+196</f>
        <v>309</v>
      </c>
      <c r="I36" s="317">
        <v>438</v>
      </c>
      <c r="J36" s="330"/>
      <c r="K36" s="317">
        <f t="shared" si="2"/>
        <v>7237</v>
      </c>
      <c r="L36" s="317"/>
      <c r="M36" s="317"/>
      <c r="N36" s="317"/>
    </row>
    <row r="37" spans="1:14">
      <c r="C37" s="294" t="s">
        <v>532</v>
      </c>
      <c r="E37" s="317"/>
      <c r="F37" s="317">
        <v>0</v>
      </c>
      <c r="G37" s="317">
        <v>0</v>
      </c>
      <c r="H37" s="317">
        <v>0</v>
      </c>
      <c r="I37" s="317">
        <v>0</v>
      </c>
      <c r="J37" s="330"/>
      <c r="K37" s="317">
        <f>SUM(E37:I37)</f>
        <v>0</v>
      </c>
      <c r="L37" s="317"/>
      <c r="M37" s="317"/>
      <c r="N37" s="317"/>
    </row>
    <row r="38" spans="1:14">
      <c r="C38" s="294" t="s">
        <v>533</v>
      </c>
      <c r="E38" s="317"/>
      <c r="F38" s="317">
        <f>24593+706+1191</f>
        <v>26490</v>
      </c>
      <c r="G38" s="317">
        <v>1925</v>
      </c>
      <c r="H38" s="317">
        <f>1382+14+105+2839</f>
        <v>4340</v>
      </c>
      <c r="I38" s="317">
        <v>1878</v>
      </c>
      <c r="J38" s="330"/>
      <c r="K38" s="317">
        <f>SUM(E38:I38)</f>
        <v>34633</v>
      </c>
      <c r="L38" s="317"/>
      <c r="M38" s="317"/>
      <c r="N38" s="317"/>
    </row>
    <row r="39" spans="1:14">
      <c r="C39" s="294" t="s">
        <v>534</v>
      </c>
      <c r="E39" s="317"/>
      <c r="F39" s="317">
        <v>0</v>
      </c>
      <c r="G39" s="317">
        <v>0</v>
      </c>
      <c r="H39" s="317">
        <v>0</v>
      </c>
      <c r="I39" s="317">
        <v>0</v>
      </c>
      <c r="J39" s="330"/>
      <c r="K39" s="317">
        <f t="shared" ref="K39:K42" si="3">SUM(E39:I39)</f>
        <v>0</v>
      </c>
      <c r="L39" s="317"/>
      <c r="M39" s="317"/>
      <c r="N39" s="317"/>
    </row>
    <row r="40" spans="1:14">
      <c r="C40" s="294" t="s">
        <v>535</v>
      </c>
      <c r="E40" s="317"/>
      <c r="F40" s="317">
        <f>7347+818</f>
        <v>8165</v>
      </c>
      <c r="G40" s="317">
        <v>599</v>
      </c>
      <c r="H40" s="317">
        <f>500+5+34+898</f>
        <v>1437</v>
      </c>
      <c r="I40" s="317">
        <v>575</v>
      </c>
      <c r="J40" s="330"/>
      <c r="K40" s="317">
        <f t="shared" si="3"/>
        <v>10776</v>
      </c>
      <c r="L40" s="317"/>
      <c r="M40" s="317"/>
      <c r="N40" s="317"/>
    </row>
    <row r="41" spans="1:14">
      <c r="C41" s="294" t="s">
        <v>536</v>
      </c>
      <c r="E41" s="317"/>
      <c r="F41" s="317">
        <v>0</v>
      </c>
      <c r="G41" s="317">
        <v>0</v>
      </c>
      <c r="H41" s="317">
        <v>0</v>
      </c>
      <c r="I41" s="317">
        <v>0</v>
      </c>
      <c r="J41" s="330">
        <v>0</v>
      </c>
      <c r="K41" s="317">
        <v>0</v>
      </c>
      <c r="L41" s="317"/>
      <c r="M41" s="317" t="s">
        <v>537</v>
      </c>
      <c r="N41" s="317"/>
    </row>
    <row r="42" spans="1:14" ht="13.5" thickBot="1">
      <c r="C42" s="294" t="s">
        <v>538</v>
      </c>
      <c r="E42" s="317"/>
      <c r="F42" s="317">
        <f>23470+691</f>
        <v>24161</v>
      </c>
      <c r="G42" s="317">
        <v>1754</v>
      </c>
      <c r="H42" s="317">
        <f>1508+15+106+2781</f>
        <v>4410</v>
      </c>
      <c r="I42" s="317">
        <v>1730</v>
      </c>
      <c r="J42" s="330"/>
      <c r="K42" s="317">
        <f t="shared" si="3"/>
        <v>32055</v>
      </c>
      <c r="L42" s="317"/>
      <c r="M42" s="331">
        <f>SUM(K27:K42)</f>
        <v>266084</v>
      </c>
      <c r="N42" s="317"/>
    </row>
    <row r="43" spans="1:14" ht="13.5" thickTop="1">
      <c r="E43" s="317"/>
      <c r="F43" s="317"/>
      <c r="G43" s="317"/>
      <c r="H43" s="317"/>
      <c r="I43" s="317"/>
      <c r="J43" s="330"/>
      <c r="K43" s="317"/>
      <c r="L43" s="317"/>
      <c r="M43" s="317"/>
      <c r="N43" s="317"/>
    </row>
    <row r="44" spans="1:14">
      <c r="A44" s="294" t="s">
        <v>539</v>
      </c>
      <c r="E44" s="317"/>
      <c r="F44" s="317"/>
      <c r="G44" s="317"/>
      <c r="H44" s="317"/>
      <c r="I44" s="317"/>
      <c r="J44" s="330"/>
      <c r="K44" s="317"/>
      <c r="L44" s="317"/>
      <c r="M44" s="317"/>
      <c r="N44" s="317"/>
    </row>
    <row r="45" spans="1:14">
      <c r="B45" s="294" t="s">
        <v>540</v>
      </c>
      <c r="E45" s="317">
        <f>14039+4470</f>
        <v>18509</v>
      </c>
      <c r="F45" s="317"/>
      <c r="G45" s="317">
        <v>1310</v>
      </c>
      <c r="H45" s="317">
        <f>1569+13+72+2534</f>
        <v>4188</v>
      </c>
      <c r="I45" s="317">
        <v>1337</v>
      </c>
      <c r="J45" s="330"/>
      <c r="K45" s="317">
        <f t="shared" ref="K45:K48" si="4">SUM(E45:I45)</f>
        <v>25344</v>
      </c>
      <c r="L45" s="317"/>
      <c r="M45" s="317"/>
      <c r="N45" s="317"/>
    </row>
    <row r="46" spans="1:14">
      <c r="B46" s="294" t="s">
        <v>541</v>
      </c>
      <c r="E46" s="317">
        <f>92148+19+3378</f>
        <v>95545</v>
      </c>
      <c r="F46" s="317"/>
      <c r="G46" s="317">
        <v>6931</v>
      </c>
      <c r="H46" s="317">
        <f>5902+89+411+11206</f>
        <v>17608</v>
      </c>
      <c r="I46" s="317">
        <v>6872</v>
      </c>
      <c r="J46" s="330"/>
      <c r="K46" s="317">
        <f t="shared" si="4"/>
        <v>126956</v>
      </c>
      <c r="L46" s="317"/>
      <c r="M46" s="317"/>
      <c r="N46" s="317"/>
    </row>
    <row r="47" spans="1:14">
      <c r="B47" s="294" t="s">
        <v>542</v>
      </c>
      <c r="E47" s="317">
        <v>0</v>
      </c>
      <c r="F47" s="317"/>
      <c r="G47" s="317">
        <v>0</v>
      </c>
      <c r="H47" s="317">
        <v>0</v>
      </c>
      <c r="I47" s="317">
        <v>0</v>
      </c>
      <c r="J47" s="330"/>
      <c r="K47" s="317">
        <f>SUM(E47:I47)</f>
        <v>0</v>
      </c>
      <c r="L47" s="317"/>
      <c r="M47" s="317" t="s">
        <v>543</v>
      </c>
      <c r="N47" s="317"/>
    </row>
    <row r="48" spans="1:14" ht="13.5" thickBot="1">
      <c r="B48" s="294" t="s">
        <v>544</v>
      </c>
      <c r="E48" s="317">
        <v>32470</v>
      </c>
      <c r="F48" s="317"/>
      <c r="G48" s="317">
        <v>2178</v>
      </c>
      <c r="H48" s="317">
        <f>2403+20+146+3809</f>
        <v>6378</v>
      </c>
      <c r="I48" s="317">
        <v>2354</v>
      </c>
      <c r="J48" s="330"/>
      <c r="K48" s="317">
        <f t="shared" si="4"/>
        <v>43380</v>
      </c>
      <c r="L48" s="317"/>
      <c r="M48" s="331">
        <f>SUM(K45:K49)</f>
        <v>195680</v>
      </c>
      <c r="N48" s="317"/>
    </row>
    <row r="49" spans="1:14" ht="13.5" thickTop="1">
      <c r="E49" s="317"/>
      <c r="F49" s="317"/>
      <c r="G49" s="317"/>
      <c r="H49" s="317"/>
      <c r="I49" s="317"/>
      <c r="J49" s="330"/>
      <c r="K49" s="317"/>
      <c r="L49" s="317"/>
      <c r="M49" s="317"/>
      <c r="N49" s="317"/>
    </row>
    <row r="50" spans="1:14">
      <c r="A50" s="294" t="s">
        <v>545</v>
      </c>
      <c r="E50" s="317"/>
      <c r="F50" s="317"/>
      <c r="G50" s="317"/>
      <c r="H50" s="317"/>
      <c r="I50" s="317"/>
      <c r="J50" s="330"/>
      <c r="K50" s="317"/>
      <c r="L50" s="317"/>
      <c r="M50" s="317"/>
      <c r="N50" s="317"/>
    </row>
    <row r="51" spans="1:14">
      <c r="C51" s="294" t="s">
        <v>546</v>
      </c>
      <c r="E51" s="317">
        <v>111986</v>
      </c>
      <c r="F51" s="317"/>
      <c r="G51" s="317">
        <v>8618</v>
      </c>
      <c r="H51" s="317">
        <f>3304+1829+55+480+1324+5026</f>
        <v>12018</v>
      </c>
      <c r="I51" s="317">
        <v>7871</v>
      </c>
      <c r="J51" s="330"/>
      <c r="K51" s="317">
        <f t="shared" ref="K51:K56" si="5">SUM(E51:I51)</f>
        <v>140493</v>
      </c>
      <c r="L51" s="317"/>
      <c r="M51" s="317"/>
      <c r="N51" s="317"/>
    </row>
    <row r="52" spans="1:14">
      <c r="C52" s="294" t="s">
        <v>547</v>
      </c>
      <c r="E52" s="317">
        <v>0</v>
      </c>
      <c r="F52" s="317"/>
      <c r="G52" s="317">
        <v>136</v>
      </c>
      <c r="H52" s="317">
        <f>175+1+17+265</f>
        <v>458</v>
      </c>
      <c r="I52" s="317">
        <v>123</v>
      </c>
      <c r="J52" s="330"/>
      <c r="K52" s="317">
        <f t="shared" si="5"/>
        <v>717</v>
      </c>
      <c r="L52" s="317"/>
      <c r="M52" s="317"/>
      <c r="N52" s="317"/>
    </row>
    <row r="53" spans="1:14">
      <c r="C53" s="294" t="s">
        <v>548</v>
      </c>
      <c r="E53" s="317">
        <v>2630</v>
      </c>
      <c r="F53" s="317"/>
      <c r="G53" s="317">
        <v>248</v>
      </c>
      <c r="H53" s="317">
        <v>0</v>
      </c>
      <c r="I53" s="317">
        <v>0</v>
      </c>
      <c r="J53" s="330"/>
      <c r="K53" s="317">
        <f t="shared" si="5"/>
        <v>2878</v>
      </c>
      <c r="L53" s="317"/>
      <c r="M53" s="317"/>
      <c r="N53" s="317"/>
    </row>
    <row r="54" spans="1:14">
      <c r="C54" s="294" t="s">
        <v>549</v>
      </c>
      <c r="E54" s="317">
        <v>0</v>
      </c>
      <c r="F54" s="317"/>
      <c r="G54" s="317">
        <v>805</v>
      </c>
      <c r="H54" s="317">
        <f>15234+119+46+609+126</f>
        <v>16134</v>
      </c>
      <c r="I54" s="317">
        <v>395</v>
      </c>
      <c r="J54" s="330"/>
      <c r="K54" s="317">
        <f t="shared" si="5"/>
        <v>17334</v>
      </c>
      <c r="L54" s="317"/>
      <c r="M54" s="317"/>
      <c r="N54" s="317"/>
    </row>
    <row r="55" spans="1:14">
      <c r="C55" s="294" t="s">
        <v>550</v>
      </c>
      <c r="E55" s="317">
        <v>0</v>
      </c>
      <c r="F55" s="317"/>
      <c r="G55" s="317">
        <v>0</v>
      </c>
      <c r="H55" s="317">
        <v>0</v>
      </c>
      <c r="I55" s="317">
        <v>0</v>
      </c>
      <c r="J55" s="330"/>
      <c r="K55" s="317">
        <f t="shared" si="5"/>
        <v>0</v>
      </c>
      <c r="L55" s="317"/>
      <c r="M55" s="317"/>
      <c r="N55" s="317"/>
    </row>
    <row r="56" spans="1:14">
      <c r="C56" s="294" t="s">
        <v>551</v>
      </c>
      <c r="E56" s="317">
        <v>2650</v>
      </c>
      <c r="F56" s="317"/>
      <c r="G56" s="317">
        <v>0</v>
      </c>
      <c r="H56" s="317">
        <v>0</v>
      </c>
      <c r="I56" s="317">
        <v>0</v>
      </c>
      <c r="J56" s="330"/>
      <c r="K56" s="317">
        <f t="shared" si="5"/>
        <v>2650</v>
      </c>
      <c r="L56" s="317"/>
      <c r="M56" s="317"/>
      <c r="N56" s="317"/>
    </row>
    <row r="57" spans="1:14">
      <c r="J57" s="323"/>
    </row>
    <row r="58" spans="1:14" ht="13.5" thickBot="1">
      <c r="C58" s="294" t="s">
        <v>144</v>
      </c>
      <c r="E58" s="331">
        <f>SUM(E9:E57)</f>
        <v>408560</v>
      </c>
      <c r="F58" s="331">
        <f>SUM(F9:F57)</f>
        <v>77468</v>
      </c>
      <c r="G58" s="331">
        <f>SUM(G9:G57)</f>
        <v>36895</v>
      </c>
      <c r="H58" s="331">
        <f>SUM(H9:H57)</f>
        <v>86770</v>
      </c>
      <c r="I58" s="331">
        <f>SUM(I9:I57)</f>
        <v>34812</v>
      </c>
      <c r="J58" s="330"/>
      <c r="K58" s="331">
        <f>SUM(K9:K57)</f>
        <v>644505</v>
      </c>
      <c r="L58" s="330"/>
      <c r="M58" s="330"/>
    </row>
    <row r="59" spans="1:14" ht="13.5" thickTop="1">
      <c r="J59" s="323"/>
    </row>
    <row r="60" spans="1:14">
      <c r="J60" s="323"/>
    </row>
    <row r="61" spans="1:14">
      <c r="J61" s="323"/>
    </row>
  </sheetData>
  <mergeCells count="7">
    <mergeCell ref="A8:C8"/>
    <mergeCell ref="A1:K1"/>
    <mergeCell ref="A2:K2"/>
    <mergeCell ref="A3:K3"/>
    <mergeCell ref="A4:K4"/>
    <mergeCell ref="A5:K5"/>
    <mergeCell ref="E7: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28" sqref="S28"/>
    </sheetView>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Nonlevelized EIA 412</vt:lpstr>
      <vt:lpstr>Balance sheet</vt:lpstr>
      <vt:lpstr>Income Statement</vt:lpstr>
      <vt:lpstr>Electric Plant</vt:lpstr>
      <vt:lpstr>Taxes</vt:lpstr>
      <vt:lpstr>Op &amp; Maint</vt:lpstr>
      <vt:lpstr>Salaries</vt:lpstr>
      <vt:lpstr>Notes</vt:lpstr>
      <vt:lpstr>'Income Statement'!Print_Area</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karen</cp:lastModifiedBy>
  <cp:lastPrinted>2009-03-12T15:44:21Z</cp:lastPrinted>
  <dcterms:created xsi:type="dcterms:W3CDTF">2005-04-15T13:36:01Z</dcterms:created>
  <dcterms:modified xsi:type="dcterms:W3CDTF">2014-04-03T20:03:25Z</dcterms:modified>
</cp:coreProperties>
</file>